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03.xml"/>
  <Override ContentType="application/vnd.openxmlformats-officedocument.spreadsheetml.table+xml" PartName="/xl/tables/table338.xml"/>
  <Override ContentType="application/vnd.openxmlformats-officedocument.spreadsheetml.table+xml" PartName="/xl/tables/table206.xml"/>
  <Override ContentType="application/vnd.openxmlformats-officedocument.spreadsheetml.table+xml" PartName="/xl/tables/table117.xml"/>
  <Override ContentType="application/vnd.openxmlformats-officedocument.spreadsheetml.table+xml" PartName="/xl/tables/table249.xml"/>
  <Override ContentType="application/vnd.openxmlformats-officedocument.spreadsheetml.table+xml" PartName="/xl/tables/table168.xml"/>
  <Override ContentType="application/vnd.openxmlformats-officedocument.spreadsheetml.table+xml" PartName="/xl/tables/table125.xml"/>
  <Override ContentType="application/vnd.openxmlformats-officedocument.spreadsheetml.table+xml" PartName="/xl/tables/table311.xml"/>
  <Override ContentType="application/vnd.openxmlformats-officedocument.spreadsheetml.table+xml" PartName="/xl/tables/table214.xml"/>
  <Override ContentType="application/vnd.openxmlformats-officedocument.spreadsheetml.table+xml" PartName="/xl/tables/table257.xml"/>
  <Override ContentType="application/vnd.openxmlformats-officedocument.spreadsheetml.table+xml" PartName="/xl/tables/table50.xml"/>
  <Override ContentType="application/vnd.openxmlformats-officedocument.spreadsheetml.table+xml" PartName="/xl/tables/table93.xml"/>
  <Override ContentType="application/vnd.openxmlformats-officedocument.spreadsheetml.table+xml" PartName="/xl/tables/table49.xml"/>
  <Override ContentType="application/vnd.openxmlformats-officedocument.spreadsheetml.table+xml" PartName="/xl/tables/table192.xml"/>
  <Override ContentType="application/vnd.openxmlformats-officedocument.spreadsheetml.table+xml" PartName="/xl/tables/table57.xml"/>
  <Override ContentType="application/vnd.openxmlformats-officedocument.spreadsheetml.table+xml" PartName="/xl/tables/table14.xml"/>
  <Override ContentType="application/vnd.openxmlformats-officedocument.spreadsheetml.table+xml" PartName="/xl/tables/table109.xml"/>
  <Override ContentType="application/vnd.openxmlformats-officedocument.spreadsheetml.table+xml" PartName="/xl/tables/table293.xml"/>
  <Override ContentType="application/vnd.openxmlformats-officedocument.spreadsheetml.table+xml" PartName="/xl/tables/table161.xml"/>
  <Override ContentType="application/vnd.openxmlformats-officedocument.spreadsheetml.table+xml" PartName="/xl/tables/table18.xml"/>
  <Override ContentType="application/vnd.openxmlformats-officedocument.spreadsheetml.table+xml" PartName="/xl/tables/table81.xml"/>
  <Override ContentType="application/vnd.openxmlformats-officedocument.spreadsheetml.table+xml" PartName="/xl/tables/table285.xml"/>
  <Override ContentType="application/vnd.openxmlformats-officedocument.spreadsheetml.table+xml" PartName="/xl/tables/table102.xml"/>
  <Override ContentType="application/vnd.openxmlformats-officedocument.spreadsheetml.table+xml" PartName="/xl/tables/table22.xml"/>
  <Override ContentType="application/vnd.openxmlformats-officedocument.spreadsheetml.table+xml" PartName="/xl/tables/table145.xml"/>
  <Override ContentType="application/vnd.openxmlformats-officedocument.spreadsheetml.table+xml" PartName="/xl/tables/table318.xml"/>
  <Override ContentType="application/vnd.openxmlformats-officedocument.spreadsheetml.table+xml" PartName="/xl/tables/table188.xml"/>
  <Override ContentType="application/vnd.openxmlformats-officedocument.spreadsheetml.table+xml" PartName="/xl/tables/table242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129.xml"/>
  <Override ContentType="application/vnd.openxmlformats-officedocument.spreadsheetml.table+xml" PartName="/xl/tables/table273.xml"/>
  <Override ContentType="application/vnd.openxmlformats-officedocument.spreadsheetml.table+xml" PartName="/xl/tables/table34.xml"/>
  <Override ContentType="application/vnd.openxmlformats-officedocument.spreadsheetml.table+xml" PartName="/xl/tables/table133.xml"/>
  <Override ContentType="application/vnd.openxmlformats-officedocument.spreadsheetml.table+xml" PartName="/xl/tables/table323.xml"/>
  <Override ContentType="application/vnd.openxmlformats-officedocument.spreadsheetml.table+xml" PartName="/xl/tables/table176.xml"/>
  <Override ContentType="application/vnd.openxmlformats-officedocument.spreadsheetml.table+xml" PartName="/xl/tables/table226.xml"/>
  <Override ContentType="application/vnd.openxmlformats-officedocument.spreadsheetml.table+xml" PartName="/xl/tables/table230.xml"/>
  <Override ContentType="application/vnd.openxmlformats-officedocument.spreadsheetml.table+xml" PartName="/xl/tables/table77.xml"/>
  <Override ContentType="application/vnd.openxmlformats-officedocument.spreadsheetml.table+xml" PartName="/xl/tables/table269.xml"/>
  <Override ContentType="application/vnd.openxmlformats-officedocument.spreadsheetml.table+xml" PartName="/xl/tables/table172.xml"/>
  <Override ContentType="application/vnd.openxmlformats-officedocument.spreadsheetml.table+xml" PartName="/xl/tables/table29.xml"/>
  <Override ContentType="application/vnd.openxmlformats-officedocument.spreadsheetml.table+xml" PartName="/xl/tables/table180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10.xml"/>
  <Override ContentType="application/vnd.openxmlformats-officedocument.spreadsheetml.table+xml" PartName="/xl/tables/table253.xml"/>
  <Override ContentType="application/vnd.openxmlformats-officedocument.spreadsheetml.table+xml" PartName="/xl/tables/table89.xml"/>
  <Override ContentType="application/vnd.openxmlformats-officedocument.spreadsheetml.table+xml" PartName="/xl/tables/table270.xml"/>
  <Override ContentType="application/vnd.openxmlformats-officedocument.spreadsheetml.table+xml" PartName="/xl/tables/table164.xml"/>
  <Override ContentType="application/vnd.openxmlformats-officedocument.spreadsheetml.table+xml" PartName="/xl/tables/table296.xml"/>
  <Override ContentType="application/vnd.openxmlformats-officedocument.spreadsheetml.table+xml" PartName="/xl/tables/table307.xml"/>
  <Override ContentType="application/vnd.openxmlformats-officedocument.spreadsheetml.table+xml" PartName="/xl/tables/table121.xml"/>
  <Override ContentType="application/vnd.openxmlformats-officedocument.spreadsheetml.table+xml" PartName="/xl/tables/table262.xml"/>
  <Override ContentType="application/vnd.openxmlformats-officedocument.spreadsheetml.table+xml" PartName="/xl/tables/table61.xml"/>
  <Override ContentType="application/vnd.openxmlformats-officedocument.spreadsheetml.table+xml" PartName="/xl/tables/table326.xml"/>
  <Override ContentType="application/vnd.openxmlformats-officedocument.spreadsheetml.table+xml" PartName="/xl/tables/table96.xml"/>
  <Override ContentType="application/vnd.openxmlformats-officedocument.spreadsheetml.table+xml" PartName="/xl/tables/table157.xml"/>
  <Override ContentType="application/vnd.openxmlformats-officedocument.spreadsheetml.table+xml" PartName="/xl/tables/table288.xml"/>
  <Override ContentType="application/vnd.openxmlformats-officedocument.spreadsheetml.table+xml" PartName="/xl/tables/table300.xml"/>
  <Override ContentType="application/vnd.openxmlformats-officedocument.spreadsheetml.table+xml" PartName="/xl/tables/table10.xml"/>
  <Override ContentType="application/vnd.openxmlformats-officedocument.spreadsheetml.table+xml" PartName="/xl/tables/table53.xml"/>
  <Override ContentType="application/vnd.openxmlformats-officedocument.spreadsheetml.table+xml" PartName="/xl/tables/table245.xml"/>
  <Override ContentType="application/vnd.openxmlformats-officedocument.spreadsheetml.table+xml" PartName="/xl/tables/table202.xml"/>
  <Override ContentType="application/vnd.openxmlformats-officedocument.spreadsheetml.table+xml" PartName="/xl/tables/table9.xml"/>
  <Override ContentType="application/vnd.openxmlformats-officedocument.spreadsheetml.table+xml" PartName="/xl/tables/table334.xml"/>
  <Override ContentType="application/vnd.openxmlformats-officedocument.spreadsheetml.table+xml" PartName="/xl/tables/table196.xml"/>
  <Override ContentType="application/vnd.openxmlformats-officedocument.spreadsheetml.table+xml" PartName="/xl/tables/table153.xml"/>
  <Override ContentType="application/vnd.openxmlformats-officedocument.spreadsheetml.table+xml" PartName="/xl/tables/table2.xml"/>
  <Override ContentType="application/vnd.openxmlformats-officedocument.spreadsheetml.table+xml" PartName="/xl/tables/table277.xml"/>
  <Override ContentType="application/vnd.openxmlformats-officedocument.spreadsheetml.table+xml" PartName="/xl/tables/table106.xml"/>
  <Override ContentType="application/vnd.openxmlformats-officedocument.spreadsheetml.table+xml" PartName="/xl/tables/table179.xml"/>
  <Override ContentType="application/vnd.openxmlformats-officedocument.spreadsheetml.table+xml" PartName="/xl/tables/table110.xml"/>
  <Override ContentType="application/vnd.openxmlformats-officedocument.spreadsheetml.table+xml" PartName="/xl/tables/table149.xml"/>
  <Override ContentType="application/vnd.openxmlformats-officedocument.spreadsheetml.table+xml" PartName="/xl/tables/table281.xml"/>
  <Override ContentType="application/vnd.openxmlformats-officedocument.spreadsheetml.table+xml" PartName="/xl/tables/table136.xml"/>
  <Override ContentType="application/vnd.openxmlformats-officedocument.spreadsheetml.table+xml" PartName="/xl/tables/table68.xml"/>
  <Override ContentType="application/vnd.openxmlformats-officedocument.spreadsheetml.table+xml" PartName="/xl/tables/table42.xml"/>
  <Override ContentType="application/vnd.openxmlformats-officedocument.spreadsheetml.table+xml" PartName="/xl/tables/table85.xml"/>
  <Override ContentType="application/vnd.openxmlformats-officedocument.spreadsheetml.table+xml" PartName="/xl/tables/table315.xml"/>
  <Override ContentType="application/vnd.openxmlformats-officedocument.spreadsheetml.table+xml" PartName="/xl/tables/table234.xml"/>
  <Override ContentType="application/vnd.openxmlformats-officedocument.spreadsheetml.table+xml" PartName="/xl/tables/table38.xml"/>
  <Override ContentType="application/vnd.openxmlformats-officedocument.spreadsheetml.table+xml" PartName="/xl/tables/table217.xml"/>
  <Override ContentType="application/vnd.openxmlformats-officedocument.spreadsheetml.table+xml" PartName="/xl/tables/table25.xml"/>
  <Override ContentType="application/vnd.openxmlformats-officedocument.spreadsheetml.table+xml" PartName="/xl/tables/table177.xml"/>
  <Override ContentType="application/vnd.openxmlformats-officedocument.spreadsheetml.table+xml" PartName="/xl/tables/table185.xml"/>
  <Override ContentType="application/vnd.openxmlformats-officedocument.spreadsheetml.table+xml" PartName="/xl/tables/table231.xml"/>
  <Override ContentType="application/vnd.openxmlformats-officedocument.spreadsheetml.table+xml" PartName="/xl/tables/table142.xml"/>
  <Override ContentType="application/vnd.openxmlformats-officedocument.spreadsheetml.table+xml" PartName="/xl/tables/table84.xml"/>
  <Override ContentType="application/vnd.openxmlformats-officedocument.spreadsheetml.table+xml" PartName="/xl/tables/table274.xml"/>
  <Override ContentType="application/vnd.openxmlformats-officedocument.spreadsheetml.table+xml" PartName="/xl/tables/table329.xml"/>
  <Override ContentType="application/vnd.openxmlformats-officedocument.spreadsheetml.table+xml" PartName="/xl/tables/table41.xml"/>
  <Override ContentType="application/vnd.openxmlformats-officedocument.spreadsheetml.table+xml" PartName="/xl/tables/table108.xml"/>
  <Override ContentType="application/vnd.openxmlformats-officedocument.spreadsheetml.table+xml" PartName="/xl/tables/table290.xml"/>
  <Override ContentType="application/vnd.openxmlformats-officedocument.spreadsheetml.table+xml" PartName="/xl/tables/table134.xml"/>
  <Override ContentType="application/vnd.openxmlformats-officedocument.spreadsheetml.table+xml" PartName="/xl/tables/table32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207.xml"/>
  <Override ContentType="application/vnd.openxmlformats-officedocument.spreadsheetml.table+xml" PartName="/xl/tables/table74.xml"/>
  <Override ContentType="application/vnd.openxmlformats-officedocument.spreadsheetml.table+xml" PartName="/xl/tables/table339.xml"/>
  <Override ContentType="application/vnd.openxmlformats-officedocument.spreadsheetml.table+xml" PartName="/xl/tables/table152.xml"/>
  <Override ContentType="application/vnd.openxmlformats-officedocument.spreadsheetml.table+xml" PartName="/xl/tables/table304.xml"/>
  <Override ContentType="application/vnd.openxmlformats-officedocument.spreadsheetml.table+xml" PartName="/xl/tables/table118.xml"/>
  <Override ContentType="application/vnd.openxmlformats-officedocument.spreadsheetml.table+xml" PartName="/xl/tables/table195.xml"/>
  <Override ContentType="application/vnd.openxmlformats-officedocument.spreadsheetml.table+xml" PartName="/xl/tables/table284.xml"/>
  <Override ContentType="application/vnd.openxmlformats-officedocument.spreadsheetml.table+xml" PartName="/xl/tables/table330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241.xml"/>
  <Override ContentType="application/vnd.openxmlformats-officedocument.spreadsheetml.table+xml" PartName="/xl/tables/table280.xml"/>
  <Override ContentType="application/vnd.openxmlformats-officedocument.spreadsheetml.table+xml" PartName="/xl/tables/table128.xml"/>
  <Override ContentType="application/vnd.openxmlformats-officedocument.spreadsheetml.table+xml" PartName="/xl/tables/table225.xml"/>
  <Override ContentType="application/vnd.openxmlformats-officedocument.spreadsheetml.table+xml" PartName="/xl/tables/table319.xml"/>
  <Override ContentType="application/vnd.openxmlformats-officedocument.spreadsheetml.table+xml" PartName="/xl/tables/table114.xml"/>
  <Override ContentType="application/vnd.openxmlformats-officedocument.spreadsheetml.table+xml" PartName="/xl/tables/table35.xml"/>
  <Override ContentType="application/vnd.openxmlformats-officedocument.spreadsheetml.table+xml" PartName="/xl/tables/table162.xml"/>
  <Override ContentType="application/vnd.openxmlformats-officedocument.spreadsheetml.table+xml" PartName="/xl/tables/table268.xml"/>
  <Override ContentType="application/vnd.openxmlformats-officedocument.spreadsheetml.table+xml" PartName="/xl/tables/table335.xml"/>
  <Override ContentType="application/vnd.openxmlformats-officedocument.spreadsheetml.table+xml" PartName="/xl/tables/table78.xml"/>
  <Override ContentType="application/vnd.openxmlformats-officedocument.spreadsheetml.table+xml" PartName="/xl/tables/table213.xml"/>
  <Override ContentType="application/vnd.openxmlformats-officedocument.spreadsheetml.table+xml" PartName="/xl/tables/table146.xml"/>
  <Override ContentType="application/vnd.openxmlformats-officedocument.spreadsheetml.table+xml" PartName="/xl/tables/table310.xml"/>
  <Override ContentType="application/vnd.openxmlformats-officedocument.spreadsheetml.table+xml" PartName="/xl/tables/table103.xml"/>
  <Override ContentType="application/vnd.openxmlformats-officedocument.spreadsheetml.table+xml" PartName="/xl/tables/table299.xml"/>
  <Override ContentType="application/vnd.openxmlformats-officedocument.spreadsheetml.table+xml" PartName="/xl/tables/table17.xml"/>
  <Override ContentType="application/vnd.openxmlformats-officedocument.spreadsheetml.table+xml" PartName="/xl/tables/table94.xml"/>
  <Override ContentType="application/vnd.openxmlformats-officedocument.spreadsheetml.table+xml" PartName="/xl/tables/table51.xml"/>
  <Override ContentType="application/vnd.openxmlformats-officedocument.spreadsheetml.table+xml" PartName="/xl/tables/table256.xml"/>
  <Override ContentType="application/vnd.openxmlformats-officedocument.spreadsheetml.table+xml" PartName="/xl/tables/table189.xml"/>
  <Override ContentType="application/vnd.openxmlformats-officedocument.spreadsheetml.table+xml" PartName="/xl/tables/table308.xml"/>
  <Override ContentType="application/vnd.openxmlformats-officedocument.spreadsheetml.table+xml" PartName="/xl/tables/table62.xml"/>
  <Override ContentType="application/vnd.openxmlformats-officedocument.spreadsheetml.table+xml" PartName="/xl/tables/table325.xml"/>
  <Override ContentType="application/vnd.openxmlformats-officedocument.spreadsheetml.table+xml" PartName="/xl/tables/table45.xml"/>
  <Override ContentType="application/vnd.openxmlformats-officedocument.spreadsheetml.table+xml" PartName="/xl/tables/table28.xml"/>
  <Override ContentType="application/vnd.openxmlformats-officedocument.spreadsheetml.table+xml" PartName="/xl/tables/table199.xml"/>
  <Override ContentType="application/vnd.openxmlformats-officedocument.spreadsheetml.table+xml" PartName="/xl/tables/table173.xml"/>
  <Override ContentType="application/vnd.openxmlformats-officedocument.spreadsheetml.table+xml" PartName="/xl/tables/table130.xml"/>
  <Override ContentType="application/vnd.openxmlformats-officedocument.spreadsheetml.table+xml" PartName="/xl/tables/table156.xml"/>
  <Override ContentType="application/vnd.openxmlformats-officedocument.spreadsheetml.table+xml" PartName="/xl/tables/table289.xml"/>
  <Override ContentType="application/vnd.openxmlformats-officedocument.spreadsheetml.table+xml" PartName="/xl/tables/table113.xml"/>
  <Override ContentType="application/vnd.openxmlformats-officedocument.spreadsheetml.table+xml" PartName="/xl/tables/table88.xml"/>
  <Override ContentType="application/vnd.openxmlformats-officedocument.spreadsheetml.table+xml" PartName="/xl/tables/table139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73.xml"/>
  <Override ContentType="application/vnd.openxmlformats-officedocument.spreadsheetml.table+xml" PartName="/xl/tables/table99.xml"/>
  <Override ContentType="application/vnd.openxmlformats-officedocument.spreadsheetml.table+xml" PartName="/xl/tables/table263.xml"/>
  <Override ContentType="application/vnd.openxmlformats-officedocument.spreadsheetml.table+xml" PartName="/xl/tables/table1.xml"/>
  <Override ContentType="application/vnd.openxmlformats-officedocument.spreadsheetml.table+xml" PartName="/xl/tables/table220.xml"/>
  <Override ContentType="application/vnd.openxmlformats-officedocument.spreadsheetml.table+xml" PartName="/xl/tables/table30.xml"/>
  <Override ContentType="application/vnd.openxmlformats-officedocument.spreadsheetml.table+xml" PartName="/xl/tables/table314.xml"/>
  <Override ContentType="application/vnd.openxmlformats-officedocument.spreadsheetml.table+xml" PartName="/xl/tables/table246.xml"/>
  <Override ContentType="application/vnd.openxmlformats-officedocument.spreadsheetml.table+xml" PartName="/xl/tables/table203.xml"/>
  <Override ContentType="application/vnd.openxmlformats-officedocument.spreadsheetml.table+xml" PartName="/xl/tables/table331.xml"/>
  <Override ContentType="application/vnd.openxmlformats-officedocument.spreadsheetml.table+xml" PartName="/xl/tables/table229.xml"/>
  <Override ContentType="application/vnd.openxmlformats-officedocument.spreadsheetml.table+xml" PartName="/xl/tables/table39.xml"/>
  <Override ContentType="application/vnd.openxmlformats-officedocument.spreadsheetml.table+xml" PartName="/xl/tables/table184.xml"/>
  <Override ContentType="application/vnd.openxmlformats-officedocument.spreadsheetml.table+xml" PartName="/xl/tables/table218.xml"/>
  <Override ContentType="application/vnd.openxmlformats-officedocument.spreadsheetml.table+xml" PartName="/xl/tables/table190.xml"/>
  <Override ContentType="application/vnd.openxmlformats-officedocument.spreadsheetml.table+xml" PartName="/xl/tables/table167.xml"/>
  <Override ContentType="application/vnd.openxmlformats-officedocument.spreadsheetml.table+xml" PartName="/xl/tables/table278.xml"/>
  <Override ContentType="application/vnd.openxmlformats-officedocument.spreadsheetml.table+xml" PartName="/xl/tables/table141.xml"/>
  <Override ContentType="application/vnd.openxmlformats-officedocument.spreadsheetml.table+xml" PartName="/xl/tables/table235.xml"/>
  <Override ContentType="application/vnd.openxmlformats-officedocument.spreadsheetml.table+xml" PartName="/xl/tables/table107.xml"/>
  <Override ContentType="application/vnd.openxmlformats-officedocument.spreadsheetml.table+xml" PartName="/xl/tables/table295.xml"/>
  <Override ContentType="application/vnd.openxmlformats-officedocument.spreadsheetml.table+xml" PartName="/xl/tables/table252.xml"/>
  <Override ContentType="application/vnd.openxmlformats-officedocument.spreadsheetml.table+xml" PartName="/xl/tables/table124.xml"/>
  <Override ContentType="application/vnd.openxmlformats-officedocument.spreadsheetml.table+xml" PartName="/xl/tables/table90.xml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194.xml"/>
  <Override ContentType="application/vnd.openxmlformats-officedocument.spreadsheetml.table+xml" PartName="/xl/tables/table59.xml"/>
  <Override ContentType="application/vnd.openxmlformats-officedocument.spreadsheetml.table+xml" PartName="/xl/tables/table283.xml"/>
  <Override ContentType="application/vnd.openxmlformats-officedocument.spreadsheetml.table+xml" PartName="/xl/tables/table186.xml"/>
  <Override ContentType="application/vnd.openxmlformats-officedocument.spreadsheetml.table+xml" PartName="/xl/tables/table151.xml"/>
  <Override ContentType="application/vnd.openxmlformats-officedocument.spreadsheetml.table+xml" PartName="/xl/tables/table91.xml"/>
  <Override ContentType="application/vnd.openxmlformats-officedocument.spreadsheetml.table+xml" PartName="/xl/tables/table24.xml"/>
  <Override ContentType="application/vnd.openxmlformats-officedocument.spreadsheetml.table+xml" PartName="/xl/tables/table240.xml"/>
  <Override ContentType="application/vnd.openxmlformats-officedocument.spreadsheetml.table+xml" PartName="/xl/tables/table135.xml"/>
  <Override ContentType="application/vnd.openxmlformats-officedocument.spreadsheetml.table+xml" PartName="/xl/tables/table321.xml"/>
  <Override ContentType="application/vnd.openxmlformats-officedocument.spreadsheetml.table+xml" PartName="/xl/tables/table267.xml"/>
  <Override ContentType="application/vnd.openxmlformats-officedocument.spreadsheetml.table+xml" PartName="/xl/tables/table178.xml"/>
  <Override ContentType="application/vnd.openxmlformats-officedocument.spreadsheetml.table+xml" PartName="/xl/tables/table224.xml"/>
  <Override ContentType="application/vnd.openxmlformats-officedocument.spreadsheetml.table+xml" PartName="/xl/tables/table232.xml"/>
  <Override ContentType="application/vnd.openxmlformats-officedocument.spreadsheetml.table+xml" PartName="/xl/tables/table127.xml"/>
  <Override ContentType="application/vnd.openxmlformats-officedocument.spreadsheetml.table+xml" PartName="/xl/tables/table275.xml"/>
  <Override ContentType="application/vnd.openxmlformats-officedocument.spreadsheetml.table+xml" PartName="/xl/tables/table313.xml"/>
  <Override ContentType="application/vnd.openxmlformats-officedocument.spreadsheetml.table+xml" PartName="/xl/tables/table100.xml"/>
  <Override ContentType="application/vnd.openxmlformats-officedocument.spreadsheetml.table+xml" PartName="/xl/tables/table143.xml"/>
  <Override ContentType="application/vnd.openxmlformats-officedocument.spreadsheetml.table+xml" PartName="/xl/tables/table83.xml"/>
  <Override ContentType="application/vnd.openxmlformats-officedocument.spreadsheetml.table+xml" PartName="/xl/tables/table40.xml"/>
  <Override ContentType="application/vnd.openxmlformats-officedocument.spreadsheetml.table+xml" PartName="/xl/tables/table75.xml"/>
  <Override ContentType="application/vnd.openxmlformats-officedocument.spreadsheetml.table+xml" PartName="/xl/tables/table212.xml"/>
  <Override ContentType="application/vnd.openxmlformats-officedocument.spreadsheetml.table+xml" PartName="/xl/tables/table298.xml"/>
  <Override ContentType="application/vnd.openxmlformats-officedocument.spreadsheetml.table+xml" PartName="/xl/tables/table115.xml"/>
  <Override ContentType="application/vnd.openxmlformats-officedocument.spreadsheetml.table+xml" PartName="/xl/tables/table158.xml"/>
  <Override ContentType="application/vnd.openxmlformats-officedocument.spreadsheetml.table+xml" PartName="/xl/tables/table208.xml"/>
  <Override ContentType="application/vnd.openxmlformats-officedocument.spreadsheetml.table+xml" PartName="/xl/tables/table95.xml"/>
  <Override ContentType="application/vnd.openxmlformats-officedocument.spreadsheetml.table+xml" PartName="/xl/tables/table52.xml"/>
  <Override ContentType="application/vnd.openxmlformats-officedocument.spreadsheetml.table+xml" PartName="/xl/tables/table305.xml"/>
  <Override ContentType="application/vnd.openxmlformats-officedocument.spreadsheetml.table+xml" PartName="/xl/tables/table255.xml"/>
  <Override ContentType="application/vnd.openxmlformats-officedocument.spreadsheetml.table+xml" PartName="/xl/tables/table20.xml"/>
  <Override ContentType="application/vnd.openxmlformats-officedocument.spreadsheetml.table+xml" PartName="/xl/tables/table47.xml"/>
  <Override ContentType="application/vnd.openxmlformats-officedocument.spreadsheetml.table+xml" PartName="/xl/tables/table260.xml"/>
  <Override ContentType="application/vnd.openxmlformats-officedocument.spreadsheetml.table+xml" PartName="/xl/tables/table120.xml"/>
  <Override ContentType="application/vnd.openxmlformats-officedocument.spreadsheetml.table+xml" PartName="/xl/tables/table163.xml"/>
  <Override ContentType="application/vnd.openxmlformats-officedocument.spreadsheetml.table+xml" PartName="/xl/tables/table336.xml"/>
  <Override ContentType="application/vnd.openxmlformats-officedocument.spreadsheetml.table+xml" PartName="/xl/tables/table16.xml"/>
  <Override ContentType="application/vnd.openxmlformats-officedocument.spreadsheetml.table+xml" PartName="/xl/tables/table239.xml"/>
  <Override ContentType="application/vnd.openxmlformats-officedocument.spreadsheetml.table+xml" PartName="/xl/tables/table291.xml"/>
  <Override ContentType="application/vnd.openxmlformats-officedocument.spreadsheetml.table+xml" PartName="/xl/tables/table147.xml"/>
  <Override ContentType="application/vnd.openxmlformats-officedocument.spreadsheetml.table+xml" PartName="/xl/tables/table104.xml"/>
  <Override ContentType="application/vnd.openxmlformats-officedocument.spreadsheetml.table+xml" PartName="/xl/tables/table219.xml"/>
  <Override ContentType="application/vnd.openxmlformats-officedocument.spreadsheetml.table+xml" PartName="/xl/tables/table112.xml"/>
  <Override ContentType="application/vnd.openxmlformats-officedocument.spreadsheetml.table+xml" PartName="/xl/tables/table279.xml"/>
  <Override ContentType="application/vnd.openxmlformats-officedocument.spreadsheetml.table+xml" PartName="/xl/tables/table341.xml"/>
  <Override ContentType="application/vnd.openxmlformats-officedocument.spreadsheetml.table+xml" PartName="/xl/tables/table236.xml"/>
  <Override ContentType="application/vnd.openxmlformats-officedocument.spreadsheetml.table+xml" PartName="/xl/tables/table155.xml"/>
  <Override ContentType="application/vnd.openxmlformats-officedocument.spreadsheetml.table+xml" PartName="/xl/tables/table138.xml"/>
  <Override ContentType="application/vnd.openxmlformats-officedocument.spreadsheetml.table+xml" PartName="/xl/tables/table324.xml"/>
  <Override ContentType="application/vnd.openxmlformats-officedocument.spreadsheetml.table+xml" PartName="/xl/tables/table63.xml"/>
  <Override ContentType="application/vnd.openxmlformats-officedocument.spreadsheetml.table+xml" PartName="/xl/tables/table309.xml"/>
  <Override ContentType="application/vnd.openxmlformats-officedocument.spreadsheetml.table+xml" PartName="/xl/tables/table79.xml"/>
  <Override ContentType="application/vnd.openxmlformats-officedocument.spreadsheetml.table+xml" PartName="/xl/tables/table80.xml"/>
  <Override ContentType="application/vnd.openxmlformats-officedocument.spreadsheetml.table+xml" PartName="/xl/tables/table36.xml"/>
  <Override ContentType="application/vnd.openxmlformats-officedocument.spreadsheetml.table+xml" PartName="/xl/tables/table87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27.xml"/>
  <Override ContentType="application/vnd.openxmlformats-officedocument.spreadsheetml.table+xml" PartName="/xl/tables/table317.xml"/>
  <Override ContentType="application/vnd.openxmlformats-officedocument.spreadsheetml.table+xml" PartName="/xl/tables/table170.xml"/>
  <Override ContentType="application/vnd.openxmlformats-officedocument.spreadsheetml.table+xml" PartName="/xl/tables/table131.xml"/>
  <Override ContentType="application/vnd.openxmlformats-officedocument.spreadsheetml.table+xml" PartName="/xl/tables/table174.xml"/>
  <Override ContentType="application/vnd.openxmlformats-officedocument.spreadsheetml.table+xml" PartName="/xl/tables/table228.xml"/>
  <Override ContentType="application/vnd.openxmlformats-officedocument.spreadsheetml.table+xml" PartName="/xl/tables/table123.xml"/>
  <Override ContentType="application/vnd.openxmlformats-officedocument.spreadsheetml.table+xml" PartName="/xl/tables/table166.xml"/>
  <Override ContentType="application/vnd.openxmlformats-officedocument.spreadsheetml.table+xml" PartName="/xl/tables/table191.xml"/>
  <Override ContentType="application/vnd.openxmlformats-officedocument.spreadsheetml.table+xml" PartName="/xl/tables/table140.xml"/>
  <Override ContentType="application/vnd.openxmlformats-officedocument.spreadsheetml.table+xml" PartName="/xl/tables/table183.xml"/>
  <Override ContentType="application/vnd.openxmlformats-officedocument.spreadsheetml.table+xml" PartName="/xl/tables/table247.xml"/>
  <Override ContentType="application/vnd.openxmlformats-officedocument.spreadsheetml.table+xml" PartName="/xl/tables/table119.xml"/>
  <Override ContentType="application/vnd.openxmlformats-officedocument.spreadsheetml.table+xml" PartName="/xl/tables/table264.xml"/>
  <Override ContentType="application/vnd.openxmlformats-officedocument.spreadsheetml.table+xml" PartName="/xl/tables/table251.xml"/>
  <Override ContentType="application/vnd.openxmlformats-officedocument.spreadsheetml.table+xml" PartName="/xl/tables/table294.xml"/>
  <Override ContentType="application/vnd.openxmlformats-officedocument.spreadsheetml.table+xml" PartName="/xl/tables/table55.xml"/>
  <Override ContentType="application/vnd.openxmlformats-officedocument.spreadsheetml.table+xml" PartName="/xl/tables/table302.xml"/>
  <Override ContentType="application/vnd.openxmlformats-officedocument.spreadsheetml.table+xml" PartName="/xl/tables/table328.xml"/>
  <Override ContentType="application/vnd.openxmlformats-officedocument.spreadsheetml.table+xml" PartName="/xl/tables/table72.xml"/>
  <Override ContentType="application/vnd.openxmlformats-officedocument.spreadsheetml.table+xml" PartName="/xl/tables/table98.xml"/>
  <Override ContentType="application/vnd.openxmlformats-officedocument.spreadsheetml.table+xml" PartName="/xl/tables/table221.xml"/>
  <Override ContentType="application/vnd.openxmlformats-officedocument.spreadsheetml.table+xml" PartName="/xl/tables/table198.xml"/>
  <Override ContentType="application/vnd.openxmlformats-officedocument.spreadsheetml.table+xml" PartName="/xl/tables/table204.xml"/>
  <Override ContentType="application/vnd.openxmlformats-officedocument.spreadsheetml.table+xml" PartName="/xl/tables/table332.xml"/>
  <Override ContentType="application/vnd.openxmlformats-officedocument.spreadsheetml.table+xml" PartName="/xl/tables/table12.xml"/>
  <Override ContentType="application/vnd.openxmlformats-officedocument.spreadsheetml.table+xml" PartName="/xl/tables/table92.xml"/>
  <Override ContentType="application/vnd.openxmlformats-officedocument.spreadsheetml.table+xml" PartName="/xl/tables/table223.xml"/>
  <Override ContentType="application/vnd.openxmlformats-officedocument.spreadsheetml.table+xml" PartName="/xl/tables/table169.xml"/>
  <Override ContentType="application/vnd.openxmlformats-officedocument.spreadsheetml.table+xml" PartName="/xl/tables/table58.xml"/>
  <Override ContentType="application/vnd.openxmlformats-officedocument.spreadsheetml.table+xml" PartName="/xl/tables/table76.xml"/>
  <Override ContentType="application/vnd.openxmlformats-officedocument.spreadsheetml.table+xml" PartName="/xl/tables/table15.xml"/>
  <Override ContentType="application/vnd.openxmlformats-officedocument.spreadsheetml.table+xml" PartName="/xl/tables/table266.xml"/>
  <Override ContentType="application/vnd.openxmlformats-officedocument.spreadsheetml.table+xml" PartName="/xl/tables/table337.xml"/>
  <Override ContentType="application/vnd.openxmlformats-officedocument.spreadsheetml.table+xml" PartName="/xl/tables/table160.xml"/>
  <Override ContentType="application/vnd.openxmlformats-officedocument.spreadsheetml.table+xml" PartName="/xl/tables/table292.xml"/>
  <Override ContentType="application/vnd.openxmlformats-officedocument.spreadsheetml.table+xml" PartName="/xl/tables/table258.xml"/>
  <Override ContentType="application/vnd.openxmlformats-officedocument.spreadsheetml.table+xml" PartName="/xl/tables/table144.xml"/>
  <Override ContentType="application/vnd.openxmlformats-officedocument.spreadsheetml.table+xml" PartName="/xl/tables/table187.xml"/>
  <Override ContentType="application/vnd.openxmlformats-officedocument.spreadsheetml.table+xml" PartName="/xl/tables/table312.xml"/>
  <Override ContentType="application/vnd.openxmlformats-officedocument.spreadsheetml.table+xml" PartName="/xl/tables/table126.xml"/>
  <Override ContentType="application/vnd.openxmlformats-officedocument.spreadsheetml.table+xml" PartName="/xl/tables/table215.xml"/>
  <Override ContentType="application/vnd.openxmlformats-officedocument.spreadsheetml.table+xml" PartName="/xl/tables/table48.xml"/>
  <Override ContentType="application/vnd.openxmlformats-officedocument.spreadsheetml.table+xml" PartName="/xl/tables/table238.xml"/>
  <Override ContentType="application/vnd.openxmlformats-officedocument.spreadsheetml.table+xml" PartName="/xl/tables/table272.xml"/>
  <Override ContentType="application/vnd.openxmlformats-officedocument.spreadsheetml.table+xml" PartName="/xl/tables/table101.xml"/>
  <Override ContentType="application/vnd.openxmlformats-officedocument.spreadsheetml.table+xml" PartName="/xl/tables/table209.xml"/>
  <Override ContentType="application/vnd.openxmlformats-officedocument.spreadsheetml.table+xml" PartName="/xl/tables/table132.xml"/>
  <Override ContentType="application/vnd.openxmlformats-officedocument.spreadsheetml.table+xml" PartName="/xl/tables/table322.xml"/>
  <Override ContentType="application/vnd.openxmlformats-officedocument.spreadsheetml.table+xml" PartName="/xl/tables/table175.xml"/>
  <Override ContentType="application/vnd.openxmlformats-officedocument.spreadsheetml.table+xml" PartName="/xl/tables/table159.xml"/>
  <Override ContentType="application/vnd.openxmlformats-officedocument.spreadsheetml.table+xml" PartName="/xl/tables/table243.xml"/>
  <Override ContentType="application/vnd.openxmlformats-officedocument.spreadsheetml.table+xml" PartName="/xl/tables/table286.xml"/>
  <Override ContentType="application/vnd.openxmlformats-officedocument.spreadsheetml.table+xml" PartName="/xl/tables/table33.xml"/>
  <Override ContentType="application/vnd.openxmlformats-officedocument.spreadsheetml.table+xml" PartName="/xl/tables/table82.xml"/>
  <Override ContentType="application/vnd.openxmlformats-officedocument.spreadsheetml.table+xml" PartName="/xl/tables/table116.xml"/>
  <Override ContentType="application/vnd.openxmlformats-officedocument.spreadsheetml.table+xml" PartName="/xl/tables/table181.xml"/>
  <Override ContentType="application/vnd.openxmlformats-officedocument.spreadsheetml.table+xml" PartName="/xl/tables/table340.xml"/>
  <Override ContentType="application/vnd.openxmlformats-officedocument.spreadsheetml.table+xml" PartName="/xl/tables/table7.xml"/>
  <Override ContentType="application/vnd.openxmlformats-officedocument.spreadsheetml.table+xml" PartName="/xl/tables/table193.xml"/>
  <Override ContentType="application/vnd.openxmlformats-officedocument.spreadsheetml.table+xml" PartName="/xl/tables/table150.xml"/>
  <Override ContentType="application/vnd.openxmlformats-officedocument.spreadsheetml.table+xml" PartName="/xl/tables/table306.xml"/>
  <Override ContentType="application/vnd.openxmlformats-officedocument.spreadsheetml.table+xml" PartName="/xl/tables/table21.xml"/>
  <Override ContentType="application/vnd.openxmlformats-officedocument.spreadsheetml.table+xml" PartName="/xl/tables/table200.xml"/>
  <Override ContentType="application/vnd.openxmlformats-officedocument.spreadsheetml.table+xml" PartName="/xl/tables/table64.xml"/>
  <Override ContentType="application/vnd.openxmlformats-officedocument.spreadsheetml.table+xml" PartName="/xl/tables/table333.xml"/>
  <Override ContentType="application/vnd.openxmlformats-officedocument.spreadsheetml.table+xml" PartName="/xl/tables/table37.xml"/>
  <Override ContentType="application/vnd.openxmlformats-officedocument.spreadsheetml.table+xml" PartName="/xl/tables/table244.xml"/>
  <Override ContentType="application/vnd.openxmlformats-officedocument.spreadsheetml.table+xml" PartName="/xl/tables/table54.xml"/>
  <Override ContentType="application/vnd.openxmlformats-officedocument.spreadsheetml.table+xml" PartName="/xl/tables/table287.xml"/>
  <Override ContentType="application/vnd.openxmlformats-officedocument.spreadsheetml.table+xml" PartName="/xl/tables/table316.xml"/>
  <Override ContentType="application/vnd.openxmlformats-officedocument.spreadsheetml.table+xml" PartName="/xl/tables/table97.xml"/>
  <Override ContentType="application/vnd.openxmlformats-officedocument.spreadsheetml.table+xml" PartName="/xl/tables/table261.xml"/>
  <Override ContentType="application/vnd.openxmlformats-officedocument.spreadsheetml.table+xml" PartName="/xl/tables/table227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201.xml"/>
  <Override ContentType="application/vnd.openxmlformats-officedocument.spreadsheetml.table+xml" PartName="/xl/tables/table237.xml"/>
  <Override ContentType="application/vnd.openxmlformats-officedocument.spreadsheetml.table+xml" PartName="/xl/tables/table105.xml"/>
  <Override ContentType="application/vnd.openxmlformats-officedocument.spreadsheetml.table+xml" PartName="/xl/tables/table297.xml"/>
  <Override ContentType="application/vnd.openxmlformats-officedocument.spreadsheetml.table+xml" PartName="/xl/tables/table165.xml"/>
  <Override ContentType="application/vnd.openxmlformats-officedocument.spreadsheetml.table+xml" PartName="/xl/tables/table182.xml"/>
  <Override ContentType="application/vnd.openxmlformats-officedocument.spreadsheetml.table+xml" PartName="/xl/tables/table71.xml"/>
  <Override ContentType="application/vnd.openxmlformats-officedocument.spreadsheetml.table+xml" PartName="/xl/tables/table271.xml"/>
  <Override ContentType="application/vnd.openxmlformats-officedocument.spreadsheetml.table+xml" PartName="/xl/tables/table211.xml"/>
  <Override ContentType="application/vnd.openxmlformats-officedocument.spreadsheetml.table+xml" PartName="/xl/tables/table254.xml"/>
  <Override ContentType="application/vnd.openxmlformats-officedocument.spreadsheetml.table+xml" PartName="/xl/tables/table148.xml"/>
  <Override ContentType="application/vnd.openxmlformats-officedocument.spreadsheetml.table+xml" PartName="/xl/tables/table122.xml"/>
  <Override ContentType="application/vnd.openxmlformats-officedocument.spreadsheetml.table+xml" PartName="/xl/tables/table43.xml"/>
  <Override ContentType="application/vnd.openxmlformats-officedocument.spreadsheetml.table+xml" PartName="/xl/tables/table86.xml"/>
  <Override ContentType="application/vnd.openxmlformats-officedocument.spreadsheetml.table+xml" PartName="/xl/tables/table327.xml"/>
  <Override ContentType="application/vnd.openxmlformats-officedocument.spreadsheetml.table+xml" PartName="/xl/tables/table250.xml"/>
  <Override ContentType="application/vnd.openxmlformats-officedocument.spreadsheetml.table+xml" PartName="/xl/tables/table301.xml"/>
  <Override ContentType="application/vnd.openxmlformats-officedocument.spreadsheetml.table+xml" PartName="/xl/tables/table233.xml"/>
  <Override ContentType="application/vnd.openxmlformats-officedocument.spreadsheetml.table+xml" PartName="/xl/tables/table276.xml"/>
  <Override ContentType="application/vnd.openxmlformats-officedocument.spreadsheetml.table+xml" PartName="/xl/tables/table69.xml"/>
  <Override ContentType="application/vnd.openxmlformats-officedocument.spreadsheetml.table+xml" PartName="/xl/tables/table259.xml"/>
  <Override ContentType="application/vnd.openxmlformats-officedocument.spreadsheetml.table+xml" PartName="/xl/tables/table26.xml"/>
  <Override ContentType="application/vnd.openxmlformats-officedocument.spreadsheetml.table+xml" PartName="/xl/tables/table216.xml"/>
  <Override ContentType="application/vnd.openxmlformats-officedocument.spreadsheetml.table+xml" PartName="/xl/tables/table111.xml"/>
  <Override ContentType="application/vnd.openxmlformats-officedocument.spreadsheetml.table+xml" PartName="/xl/tables/table171.xml"/>
  <Override ContentType="application/vnd.openxmlformats-officedocument.spreadsheetml.table+xml" PartName="/xl/tables/table205.xml"/>
  <Override ContentType="application/vnd.openxmlformats-officedocument.spreadsheetml.table+xml" PartName="/xl/tables/table3.xml"/>
  <Override ContentType="application/vnd.openxmlformats-officedocument.spreadsheetml.table+xml" PartName="/xl/tables/table197.xml"/>
  <Override ContentType="application/vnd.openxmlformats-officedocument.spreadsheetml.table+xml" PartName="/xl/tables/table154.xml"/>
  <Override ContentType="application/vnd.openxmlformats-officedocument.spreadsheetml.table+xml" PartName="/xl/tables/table248.xml"/>
  <Override ContentType="application/vnd.openxmlformats-officedocument.spreadsheetml.table+xml" PartName="/xl/tables/table222.xml"/>
  <Override ContentType="application/vnd.openxmlformats-officedocument.spreadsheetml.table+xml" PartName="/xl/tables/table60.xml"/>
  <Override ContentType="application/vnd.openxmlformats-officedocument.spreadsheetml.table+xml" PartName="/xl/tables/table265.xml"/>
  <Override ContentType="application/vnd.openxmlformats-officedocument.spreadsheetml.table+xml" PartName="/xl/tables/table282.xml"/>
  <Override ContentType="application/vnd.openxmlformats-officedocument.spreadsheetml.table+xml" PartName="/xl/tables/table137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Board" sheetId="2" r:id="rId5"/>
    <sheet state="visible" name="disp board" sheetId="3" r:id="rId6"/>
    <sheet state="visible" name="Dispatch info weekly" sheetId="4" r:id="rId7"/>
    <sheet state="visible" name="Weekly summary" sheetId="5" r:id="rId8"/>
    <sheet state="visible" name="Driver statements 1110-111625" sheetId="6" r:id="rId9"/>
    <sheet state="visible" name="Dr Statements 17-23" sheetId="7" r:id="rId10"/>
    <sheet state="visible" name="Week 11.24-30" sheetId="8" r:id="rId11"/>
    <sheet state="visible" name="Stmts Dec 1-7" sheetId="9" r:id="rId12"/>
    <sheet state="visible" name="Week 12.01-12.07" sheetId="10" r:id="rId13"/>
    <sheet state="visible" name="Sheet6" sheetId="11" r:id="rId14"/>
    <sheet state="visible" name="Truck-Owner" sheetId="12" r:id="rId15"/>
    <sheet state="visible" name="Statements " sheetId="13" r:id="rId16"/>
    <sheet state="visible" name="Sheet9" sheetId="14" r:id="rId17"/>
    <sheet state="visible" name="Sheet10" sheetId="15" r:id="rId18"/>
  </sheets>
  <definedNames>
    <definedName hidden="1" localSheetId="1" name="_xlnm._FilterDatabase">Board!$A$1:$AF$1001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91">
      <text>
        <t xml:space="preserve">4506 board
	-Julia Cooper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966">
      <text>
        <t xml:space="preserve">1228
	-Julia Cooper</t>
      </text>
    </comment>
    <comment authorId="0" ref="M874">
      <text>
        <t xml:space="preserve">282
	-Julia Cooper</t>
      </text>
    </comment>
    <comment authorId="0" ref="M904">
      <text>
        <t xml:space="preserve">750
	-Julia Cooper</t>
      </text>
    </comment>
    <comment authorId="0" ref="M625">
      <text>
        <t xml:space="preserve">1677
	-Julia Cooper</t>
      </text>
    </comment>
    <comment authorId="0" ref="M222">
      <text>
        <t xml:space="preserve">991 mi
	-Julia Cooper</t>
      </text>
    </comment>
  </commentList>
</comments>
</file>

<file path=xl/sharedStrings.xml><?xml version="1.0" encoding="utf-8"?>
<sst xmlns="http://schemas.openxmlformats.org/spreadsheetml/2006/main" count="17147" uniqueCount="1582">
  <si>
    <t>Timestamp</t>
  </si>
  <si>
    <t>Untitled Question</t>
  </si>
  <si>
    <t>Week</t>
  </si>
  <si>
    <t>Customer</t>
  </si>
  <si>
    <t>PU date</t>
  </si>
  <si>
    <t>Load Number</t>
  </si>
  <si>
    <t>Pickup location</t>
  </si>
  <si>
    <t>Delivery location</t>
  </si>
  <si>
    <t>Gross</t>
  </si>
  <si>
    <t>Total miles</t>
  </si>
  <si>
    <t>invoice #</t>
  </si>
  <si>
    <t>Driver/Carrier</t>
  </si>
  <si>
    <t>Truck</t>
  </si>
  <si>
    <t>11.17.25-11.23.25</t>
  </si>
  <si>
    <t>Trans Border</t>
  </si>
  <si>
    <t>SOD1120905</t>
  </si>
  <si>
    <t>South Burlington, VT, 05403</t>
  </si>
  <si>
    <t>Salt Lake City, UT, 84116</t>
  </si>
  <si>
    <t>IN-002415</t>
  </si>
  <si>
    <t>VICTOR DEMCHENKO</t>
  </si>
  <si>
    <t>RXO CAPACITY SOLUTIONS, LLC</t>
  </si>
  <si>
    <t>Logan, UT, 84321</t>
  </si>
  <si>
    <t>Westampton Township, NJ, 08060</t>
  </si>
  <si>
    <t>IN-002451</t>
  </si>
  <si>
    <t>ALLEN LUND COMPANY LLC</t>
  </si>
  <si>
    <t>Chester, VA, 23836</t>
  </si>
  <si>
    <t>, SC, 29072</t>
  </si>
  <si>
    <t>IN-002413</t>
  </si>
  <si>
    <t>LOUIS JUSTE EMMANUEL</t>
  </si>
  <si>
    <t>VENTURE CONNECT</t>
  </si>
  <si>
    <t>Kennesaw, GA, 30144</t>
  </si>
  <si>
    <t>Sumterville, FL, 33585</t>
  </si>
  <si>
    <t>IN-002428</t>
  </si>
  <si>
    <t>John J. Jerue Truck Broker Inc</t>
  </si>
  <si>
    <t>Holly Hill, FL, 32117</t>
  </si>
  <si>
    <t>Twinsburg, OH, 44087</t>
  </si>
  <si>
    <t>IN-002370</t>
  </si>
  <si>
    <t>GLADIMY JULME</t>
  </si>
  <si>
    <t>TOMLIN TRUCKING AND BROKERAGE, INC.</t>
  </si>
  <si>
    <t>Norwalk, OH, 44857</t>
  </si>
  <si>
    <t>Kennett, MO, 63857</t>
  </si>
  <si>
    <t>IN-002403</t>
  </si>
  <si>
    <t>DestiNATION Transport LLC</t>
  </si>
  <si>
    <t>Jackson, MO, 63755</t>
  </si>
  <si>
    <t>Harper, IA, 52231</t>
  </si>
  <si>
    <t>IN-002417</t>
  </si>
  <si>
    <t>Priority 1 Inc.</t>
  </si>
  <si>
    <t>Hampton, IA, 50441</t>
  </si>
  <si>
    <t>, CA, 93725</t>
  </si>
  <si>
    <t>IN-002445</t>
  </si>
  <si>
    <t>Redgeline Logistics</t>
  </si>
  <si>
    <t>La Junta, CO, 81050</t>
  </si>
  <si>
    <t>IN-002461</t>
  </si>
  <si>
    <t xml:space="preserve">Jeremy Potter
</t>
  </si>
  <si>
    <t>MODE TRANSPORTATION LLC</t>
  </si>
  <si>
    <t>Powell, WY, 82435</t>
  </si>
  <si>
    <t>Brookshire, TX, 77423</t>
  </si>
  <si>
    <t>IN-002409</t>
  </si>
  <si>
    <t>Marco Cayo Cayo</t>
  </si>
  <si>
    <t>RYAN TRANSPORTATION SERVICE INC</t>
  </si>
  <si>
    <t>, TX, 77484</t>
  </si>
  <si>
    <t>Vancouver, WA, 98662</t>
  </si>
  <si>
    <t>IN-002436</t>
  </si>
  <si>
    <t>Go To Express, Inc</t>
  </si>
  <si>
    <t>Franklin, AL, 36444</t>
  </si>
  <si>
    <t>Cleburne, TX, 76033</t>
  </si>
  <si>
    <t>IN-002374</t>
  </si>
  <si>
    <t>NICOLAS PAULA</t>
  </si>
  <si>
    <t>Fort Worth, TX, 76106</t>
  </si>
  <si>
    <t>Myerstown, PA, 17067</t>
  </si>
  <si>
    <t>IN-002390</t>
  </si>
  <si>
    <t>IGT Logistics</t>
  </si>
  <si>
    <t>Edison, NJ, 08837</t>
  </si>
  <si>
    <t>Weston, FL, 33331</t>
  </si>
  <si>
    <t>IN-002447</t>
  </si>
  <si>
    <t>Corporate Traffic</t>
  </si>
  <si>
    <t>Jacksonville, FL, 32226</t>
  </si>
  <si>
    <t>Macon, GA, 31216</t>
  </si>
  <si>
    <t>IN-002389</t>
  </si>
  <si>
    <t>WILLIAMSON MONCHERY</t>
  </si>
  <si>
    <t>STEAM LOGISTICS - International</t>
  </si>
  <si>
    <t>Milledgeville, GA, 31061</t>
  </si>
  <si>
    <t>Pass Christian, MS, 39571</t>
  </si>
  <si>
    <t>IN-002402</t>
  </si>
  <si>
    <t>Plaquemine, LA, 70764</t>
  </si>
  <si>
    <t>Odessa, TX, 79766</t>
  </si>
  <si>
    <t>IN-002427</t>
  </si>
  <si>
    <t>Brock Transportations LLC</t>
  </si>
  <si>
    <t>Muleshoe, TX, 79347</t>
  </si>
  <si>
    <t>Portland, OR, 97203</t>
  </si>
  <si>
    <t>IN-002441</t>
  </si>
  <si>
    <t>AMERICAN DIAMOND LOGISTICS</t>
  </si>
  <si>
    <t>Coppell, TX, 75019</t>
  </si>
  <si>
    <t>Glenwood Springs, CO, 81601</t>
  </si>
  <si>
    <t>IN-002391</t>
  </si>
  <si>
    <t>RICHARD FLORESTAL</t>
  </si>
  <si>
    <t>TOGO LOGISTICS INC.</t>
  </si>
  <si>
    <t>Batavia, NY, 14020</t>
  </si>
  <si>
    <t>IN-002448</t>
  </si>
  <si>
    <t>AXLE LOGISTICS LLC</t>
  </si>
  <si>
    <t>Quincy, IL, 62305</t>
  </si>
  <si>
    <t>North Sioux City, SD, 57049</t>
  </si>
  <si>
    <t>IN-002369</t>
  </si>
  <si>
    <t>WILLIE HAMPTON ANDERSON</t>
  </si>
  <si>
    <t>C H ROBINSON COMPANY</t>
  </si>
  <si>
    <t>San Diego, CA, 92121</t>
  </si>
  <si>
    <t>IN-002387</t>
  </si>
  <si>
    <t>, CA, 91746</t>
  </si>
  <si>
    <t>Wilmington, DE, 19801</t>
  </si>
  <si>
    <t>IN-002446</t>
  </si>
  <si>
    <t>Blue Grace</t>
  </si>
  <si>
    <t>BG1046317725</t>
  </si>
  <si>
    <t>Indio, CA, 92201</t>
  </si>
  <si>
    <t>Manchester Township, PA, 17406</t>
  </si>
  <si>
    <t>IN-002453</t>
  </si>
  <si>
    <t>JOSEPH JOSEPH HYVENS</t>
  </si>
  <si>
    <t>Greenville, TX, 75402</t>
  </si>
  <si>
    <t>Selma, TX, 78154</t>
  </si>
  <si>
    <t>IN-002375</t>
  </si>
  <si>
    <t>Christopher Elliot Nunez</t>
  </si>
  <si>
    <t>MAG Transportation</t>
  </si>
  <si>
    <t>Fredericksburg, TX, 78624</t>
  </si>
  <si>
    <t>New Cumberland, PA, 17070</t>
  </si>
  <si>
    <t>IN-002392</t>
  </si>
  <si>
    <t>REV RC</t>
  </si>
  <si>
    <t>WEL LOGISTICS INC</t>
  </si>
  <si>
    <t>Hanover, PA, 17331</t>
  </si>
  <si>
    <t>IN-002464</t>
  </si>
  <si>
    <t>Integrity Express Logistics</t>
  </si>
  <si>
    <t>Oklahoma City, OK, 73108</t>
  </si>
  <si>
    <t>West Valley City, UT, 84128</t>
  </si>
  <si>
    <t>IN-002366</t>
  </si>
  <si>
    <t>KESNY METELUS</t>
  </si>
  <si>
    <t>Grantsville, UT, 84029</t>
  </si>
  <si>
    <t>Moxee, WA, 98936</t>
  </si>
  <si>
    <t>IN-002395</t>
  </si>
  <si>
    <t>Yakima, WA, 98902</t>
  </si>
  <si>
    <t>York, PA, 17406</t>
  </si>
  <si>
    <t>IN-002426</t>
  </si>
  <si>
    <t>BVB Freight</t>
  </si>
  <si>
    <t>Columbus, OH, 43229</t>
  </si>
  <si>
    <t>Edwardsville, IL, 62025</t>
  </si>
  <si>
    <t>IN-002386</t>
  </si>
  <si>
    <t>Ben Bellah Beliscar</t>
  </si>
  <si>
    <t>, MO, 63045</t>
  </si>
  <si>
    <t>Glendale, AZ, 85355</t>
  </si>
  <si>
    <t>IN-002393</t>
  </si>
  <si>
    <t>Tolleson, AZ, 85353</t>
  </si>
  <si>
    <t>West Palm Beach, FL, 33407</t>
  </si>
  <si>
    <t>IN-002422</t>
  </si>
  <si>
    <t>Laramie, WY, 82070</t>
  </si>
  <si>
    <t>Portland, OR, 97230</t>
  </si>
  <si>
    <t>IN-002368</t>
  </si>
  <si>
    <t>YVENSO BOSQUET</t>
  </si>
  <si>
    <t>Boring, OR, 97009</t>
  </si>
  <si>
    <t>Del Mar, CA, 92014</t>
  </si>
  <si>
    <t>IN-002410</t>
  </si>
  <si>
    <t>Verdemont, CA, 92407</t>
  </si>
  <si>
    <t>Mount Holly, NJ, 08060</t>
  </si>
  <si>
    <t>IN-002432</t>
  </si>
  <si>
    <t>Oelwein, IA, 50662</t>
  </si>
  <si>
    <t>IN-002381</t>
  </si>
  <si>
    <t>ANTOINE EMMANUEL</t>
  </si>
  <si>
    <t>St freight LLC</t>
  </si>
  <si>
    <t>Gold Hill, OR, 97525</t>
  </si>
  <si>
    <t>Soquel, CA, 95073</t>
  </si>
  <si>
    <t>IN-002433</t>
  </si>
  <si>
    <t>J.Boren &amp; Son’s Logistics</t>
  </si>
  <si>
    <t>Stockton, CA, 95206</t>
  </si>
  <si>
    <t>Dundee, FL, 33838</t>
  </si>
  <si>
    <t>IN-002454</t>
  </si>
  <si>
    <t>CIRCLE LOGISTICS INC</t>
  </si>
  <si>
    <t>Puyallup, WA, 98375</t>
  </si>
  <si>
    <t>Bend, OR, 97701</t>
  </si>
  <si>
    <t>IN-002416</t>
  </si>
  <si>
    <t>MICHEL PATRICK</t>
  </si>
  <si>
    <t>Logistics Dynamics LLC</t>
  </si>
  <si>
    <t>, OR, 97015</t>
  </si>
  <si>
    <t>Hanover Township, PA, 18706</t>
  </si>
  <si>
    <t>IN-002429</t>
  </si>
  <si>
    <t>Carlisle, PA, 17013</t>
  </si>
  <si>
    <t>IN-002452</t>
  </si>
  <si>
    <t>Portland, ME, 04103</t>
  </si>
  <si>
    <t>Mechanicsburg, PA, 17050</t>
  </si>
  <si>
    <t>IN-002408</t>
  </si>
  <si>
    <t>FENEL EDME</t>
  </si>
  <si>
    <t>C.H. Robinson</t>
  </si>
  <si>
    <t>Howard, PA, 16841</t>
  </si>
  <si>
    <t>Providence, RI, 02908</t>
  </si>
  <si>
    <t>IN-002419</t>
  </si>
  <si>
    <t>Taunton, MA, 02780</t>
  </si>
  <si>
    <t>South Fulton, GA, 30349</t>
  </si>
  <si>
    <t>IN-002420</t>
  </si>
  <si>
    <t>Worldwide Logistics</t>
  </si>
  <si>
    <t>Bridgeton, NJ, 08302</t>
  </si>
  <si>
    <t>Olathe, KS, 66061</t>
  </si>
  <si>
    <t>IN-002372</t>
  </si>
  <si>
    <t>FERHAT BAL</t>
  </si>
  <si>
    <t>Us Express Logistics</t>
  </si>
  <si>
    <t>Kansas City, MO, 64161</t>
  </si>
  <si>
    <t>Charlotte, NC, 28214</t>
  </si>
  <si>
    <t>IN-002424</t>
  </si>
  <si>
    <t>MEGACORP LOGISTICS LLC</t>
  </si>
  <si>
    <t>Shelby, NC, 28150</t>
  </si>
  <si>
    <t>Cincinnati, OH, 45215</t>
  </si>
  <si>
    <t>IN-002455</t>
  </si>
  <si>
    <t>JB Hunt inc</t>
  </si>
  <si>
    <t>6LL0249</t>
  </si>
  <si>
    <t xml:space="preserve">Monroe, OH, 45050
</t>
  </si>
  <si>
    <t>Beloit, WI, 53511</t>
  </si>
  <si>
    <t>IN-002459</t>
  </si>
  <si>
    <t>MACO LOGISTICS</t>
  </si>
  <si>
    <t>King William, VA, 23086</t>
  </si>
  <si>
    <t>Brattleboro, VT, 05301</t>
  </si>
  <si>
    <t>IN-002462</t>
  </si>
  <si>
    <t>LAWRENCE DANIEL MARTIN</t>
  </si>
  <si>
    <t>JAKE TRANS</t>
  </si>
  <si>
    <t>Fayetteville, NC, 28306</t>
  </si>
  <si>
    <t>, VA, 24553</t>
  </si>
  <si>
    <t>IN-002361</t>
  </si>
  <si>
    <t>ROUDELINE ZEPHIRIN</t>
  </si>
  <si>
    <t>Gladstone, VA, 24553</t>
  </si>
  <si>
    <t>Clay, NY, 13088</t>
  </si>
  <si>
    <t>IN-002362</t>
  </si>
  <si>
    <t>NOLAN TRANSPORTATION GROUP LLC</t>
  </si>
  <si>
    <t>Munsons Corners, NY, 13045</t>
  </si>
  <si>
    <t>Muscatine, IA, 52761</t>
  </si>
  <si>
    <t>IN-002388</t>
  </si>
  <si>
    <t>Sage Freight</t>
  </si>
  <si>
    <t>Forest Park, IL, 60130</t>
  </si>
  <si>
    <t>Irving, TX, 75059</t>
  </si>
  <si>
    <t>IN-002397</t>
  </si>
  <si>
    <t>SUNTECK TRANSPORT CO., LLC</t>
  </si>
  <si>
    <t>Tyler, TX, 75702</t>
  </si>
  <si>
    <t>Fredericksburg, VA, 22406</t>
  </si>
  <si>
    <t>IN-002400</t>
  </si>
  <si>
    <t>Landstar Ranger Inc</t>
  </si>
  <si>
    <t>Lynchburg, VA, 24502</t>
  </si>
  <si>
    <t>Lakeville, MN,</t>
  </si>
  <si>
    <t>IN-002434</t>
  </si>
  <si>
    <t>Armstrong Transport Group</t>
  </si>
  <si>
    <t>3937417-1</t>
  </si>
  <si>
    <t>Lakeville, MN, 55044</t>
  </si>
  <si>
    <t>Lafayette, LA, 70508</t>
  </si>
  <si>
    <t>IN-002458</t>
  </si>
  <si>
    <t>CargoRx</t>
  </si>
  <si>
    <t>Commerce City, CO, 80022</t>
  </si>
  <si>
    <t>Spokane, WA, 99202</t>
  </si>
  <si>
    <t>IN-002411</t>
  </si>
  <si>
    <t>DAGBOLEN ISA</t>
  </si>
  <si>
    <t>Richmond, UT, 84333</t>
  </si>
  <si>
    <t>Chesterfield, NH, 03443</t>
  </si>
  <si>
    <t>IN-002430</t>
  </si>
  <si>
    <t>Othello, WA, 99344</t>
  </si>
  <si>
    <t>Pocatello, ID, 83202</t>
  </si>
  <si>
    <t>IN-002439</t>
  </si>
  <si>
    <t>TONU</t>
  </si>
  <si>
    <t>IN-002377</t>
  </si>
  <si>
    <t>Diamond Transportation, Inc.</t>
  </si>
  <si>
    <t>Selma, CA, 93662</t>
  </si>
  <si>
    <t>Chanhassen, MN, 55318</t>
  </si>
  <si>
    <t>IN-002404</t>
  </si>
  <si>
    <t>BENCHIKA DOLL</t>
  </si>
  <si>
    <t>Luck, WI, 54853</t>
  </si>
  <si>
    <t>Methuen, MA, 01844</t>
  </si>
  <si>
    <t>IN-002437</t>
  </si>
  <si>
    <t>AVA Logistics</t>
  </si>
  <si>
    <t>AA130024</t>
  </si>
  <si>
    <t>Reno, NV, 89523</t>
  </si>
  <si>
    <t>Salinas, CA, 93901</t>
  </si>
  <si>
    <t>IN-002438</t>
  </si>
  <si>
    <t>Amanda Park, WA, 98526</t>
  </si>
  <si>
    <t>Lamont, CA, 93241</t>
  </si>
  <si>
    <t>IN-002412</t>
  </si>
  <si>
    <t>JEAN SONNY</t>
  </si>
  <si>
    <t>Brockton, MA, 02302</t>
  </si>
  <si>
    <t>Wapakoneta, OH, 45895</t>
  </si>
  <si>
    <t>IN-002398</t>
  </si>
  <si>
    <t>MARVIN CREARY</t>
  </si>
  <si>
    <t>Freight All Kinds LLC</t>
  </si>
  <si>
    <t>DX-190023</t>
  </si>
  <si>
    <t>Bluffton, IN, 46714</t>
  </si>
  <si>
    <t>Denver, CO, 80216</t>
  </si>
  <si>
    <t>IN-002443</t>
  </si>
  <si>
    <t>Bradenton, FL, 34208</t>
  </si>
  <si>
    <t>Rogers, AR, 72758</t>
  </si>
  <si>
    <t>IN-002371</t>
  </si>
  <si>
    <t>TOUSSAINT BESANTO</t>
  </si>
  <si>
    <t>Miami, OK, 74355</t>
  </si>
  <si>
    <t>Whitestown, IN, 46075</t>
  </si>
  <si>
    <t>IN-002414</t>
  </si>
  <si>
    <t>Paw Paw, MI, 49079</t>
  </si>
  <si>
    <t>Windsor, CT, 06095</t>
  </si>
  <si>
    <t>IN-002442</t>
  </si>
  <si>
    <t>Forsyth, GA, 31029</t>
  </si>
  <si>
    <t>Roanoke, VA, 24017</t>
  </si>
  <si>
    <t>IN-002440</t>
  </si>
  <si>
    <t>Kimberly Monique Sowell</t>
  </si>
  <si>
    <t>BG1049391825</t>
  </si>
  <si>
    <t>Ocala, FL, 34471</t>
  </si>
  <si>
    <t>Brownsville, TX, 78526</t>
  </si>
  <si>
    <t>IN-002367</t>
  </si>
  <si>
    <t>Bellane Stender</t>
  </si>
  <si>
    <t>GTS Freight Logistics</t>
  </si>
  <si>
    <t>TR-0000270191-01</t>
  </si>
  <si>
    <t>, TX, 78521</t>
  </si>
  <si>
    <t>Baton Rouge, LA, 70806</t>
  </si>
  <si>
    <t>IN-002396</t>
  </si>
  <si>
    <t>MAGELLAN TRANSPORT LOGISTICS INC</t>
  </si>
  <si>
    <t>Baton Rouge, LA, 70807</t>
  </si>
  <si>
    <t>High Point, NC, 27263</t>
  </si>
  <si>
    <t>IN-002401</t>
  </si>
  <si>
    <t>Lexington, NC, 27295</t>
  </si>
  <si>
    <t>Albany, GA, 31705</t>
  </si>
  <si>
    <t>IN-002456</t>
  </si>
  <si>
    <t>Ochlocknee, GA, 31773</t>
  </si>
  <si>
    <t>Northlake, TX, 76262</t>
  </si>
  <si>
    <t>IN-002457</t>
  </si>
  <si>
    <t>Portland, TN, 37148</t>
  </si>
  <si>
    <t>IN-002373</t>
  </si>
  <si>
    <t>WOODBENS JOSIL</t>
  </si>
  <si>
    <t>EASE LOGISTICS SERVICES, LLC</t>
  </si>
  <si>
    <t>Smyrna, TN, 37167</t>
  </si>
  <si>
    <t>New Baltimore, MI, 48047</t>
  </si>
  <si>
    <t>IN-002399</t>
  </si>
  <si>
    <t>The Worthington Company</t>
  </si>
  <si>
    <t>Pontiac, MI, 48342</t>
  </si>
  <si>
    <t>East Liberty, OH, 43319</t>
  </si>
  <si>
    <t>IN-002431</t>
  </si>
  <si>
    <t>DeGroot Logistics</t>
  </si>
  <si>
    <t>Athens, OH, 45701</t>
  </si>
  <si>
    <t>Aurora, CO, 80011</t>
  </si>
  <si>
    <t>IN-002444</t>
  </si>
  <si>
    <t>R2X LLC</t>
  </si>
  <si>
    <t>Waldwick, NJ, 07463</t>
  </si>
  <si>
    <t>Selah, WA, 98942</t>
  </si>
  <si>
    <t>IN-002365</t>
  </si>
  <si>
    <t>EMMANUEL MULLER</t>
  </si>
  <si>
    <t>Avenger Logistics</t>
  </si>
  <si>
    <t>, DE, 19720</t>
  </si>
  <si>
    <t>IN-002450</t>
  </si>
  <si>
    <t>Tomball, TX, 77377</t>
  </si>
  <si>
    <t>Monroe Township, NJ, 08831</t>
  </si>
  <si>
    <t>IN-002405</t>
  </si>
  <si>
    <t>AGX Freight</t>
  </si>
  <si>
    <t>Pooler, GA, 31322</t>
  </si>
  <si>
    <t>IN-002407</t>
  </si>
  <si>
    <t>Piscataway, NJ, 08854</t>
  </si>
  <si>
    <t>Richmond, VA, 23234</t>
  </si>
  <si>
    <t>IN-002435</t>
  </si>
  <si>
    <t>IN-002477</t>
  </si>
  <si>
    <t>Driver Name</t>
  </si>
  <si>
    <t>Truck #</t>
  </si>
  <si>
    <t>Dispatch</t>
  </si>
  <si>
    <t>RPM</t>
  </si>
  <si>
    <t>Total</t>
  </si>
  <si>
    <t>Plan to Reach</t>
  </si>
  <si>
    <t>Comment</t>
  </si>
  <si>
    <t>Monday</t>
  </si>
  <si>
    <t>Tuesday</t>
  </si>
  <si>
    <t>Wednesday</t>
  </si>
  <si>
    <t>Thursday</t>
  </si>
  <si>
    <t>Friday</t>
  </si>
  <si>
    <t>Saturday</t>
  </si>
  <si>
    <t>Sunday</t>
  </si>
  <si>
    <t>Ricky Lynn Mathews</t>
  </si>
  <si>
    <t>Alex</t>
  </si>
  <si>
    <t>Status</t>
  </si>
  <si>
    <t>HOME</t>
  </si>
  <si>
    <t>load#</t>
  </si>
  <si>
    <t>Rate</t>
  </si>
  <si>
    <t>Mile</t>
  </si>
  <si>
    <t>Lane</t>
  </si>
  <si>
    <t>Inv #</t>
  </si>
  <si>
    <t>Ferhat Bal  (о/о)</t>
  </si>
  <si>
    <t>ENROUTE</t>
  </si>
  <si>
    <t>5152889</t>
  </si>
  <si>
    <t>2172003</t>
  </si>
  <si>
    <t>2397726</t>
  </si>
  <si>
    <t xml:space="preserve"> 6LL0249</t>
  </si>
  <si>
    <t>Yvenso Bosquet</t>
  </si>
  <si>
    <t>60112376461</t>
  </si>
  <si>
    <t xml:space="preserve"> 20650629</t>
  </si>
  <si>
    <t>20648932</t>
  </si>
  <si>
    <t>Emmanuel Antoine</t>
  </si>
  <si>
    <t>Jean Soony</t>
  </si>
  <si>
    <t>Driver says he has to stay in this Area for Tuesday early morning inspections in LosAngeles area</t>
  </si>
  <si>
    <t>cancelled</t>
  </si>
  <si>
    <t>Anderson Willie (OD)</t>
  </si>
  <si>
    <t>2870321</t>
  </si>
  <si>
    <t>535189665</t>
  </si>
  <si>
    <t>535391448</t>
  </si>
  <si>
    <t>Emmanuel Muller</t>
  </si>
  <si>
    <t>Nick</t>
  </si>
  <si>
    <t>0227339</t>
  </si>
  <si>
    <t>15467599</t>
  </si>
  <si>
    <t>NJ-WA</t>
  </si>
  <si>
    <t>WA-MD-DE</t>
  </si>
  <si>
    <t>Jean Richard Florestal</t>
  </si>
  <si>
    <t>DEL LATE</t>
  </si>
  <si>
    <t>SHOP</t>
  </si>
  <si>
    <t>Add 250mi for move from the shop to Salt Lake, he was in a middle of nowhere. Was on the road 4 days of 7 days. That's why the gross is low</t>
  </si>
  <si>
    <t>628546</t>
  </si>
  <si>
    <t>Inspection</t>
  </si>
  <si>
    <t>Cancel</t>
  </si>
  <si>
    <t>1240875</t>
  </si>
  <si>
    <t>TX-CO</t>
  </si>
  <si>
    <t>UT-NY</t>
  </si>
  <si>
    <t xml:space="preserve"> Ben Beliscar  (OD)</t>
  </si>
  <si>
    <t>2932</t>
  </si>
  <si>
    <t>Going home</t>
  </si>
  <si>
    <t>13975</t>
  </si>
  <si>
    <t>5544032</t>
  </si>
  <si>
    <t>7957014</t>
  </si>
  <si>
    <t>OH-IL</t>
  </si>
  <si>
    <t>IL-AZ</t>
  </si>
  <si>
    <t>AZ-FL</t>
  </si>
  <si>
    <t>Patrick Michel (OD)</t>
  </si>
  <si>
    <t>2238280</t>
  </si>
  <si>
    <t>1876453</t>
  </si>
  <si>
    <t>WA-OR</t>
  </si>
  <si>
    <t>OR-PA</t>
  </si>
  <si>
    <t>Paula Nicholas</t>
  </si>
  <si>
    <t>READY</t>
  </si>
  <si>
    <t>1238994</t>
  </si>
  <si>
    <t>8002007</t>
  </si>
  <si>
    <t>0057602</t>
  </si>
  <si>
    <t>AL-TX</t>
  </si>
  <si>
    <t>TX-PA</t>
  </si>
  <si>
    <t>NJ-FL</t>
  </si>
  <si>
    <t>Victor Demchenko</t>
  </si>
  <si>
    <t>0427</t>
  </si>
  <si>
    <t>REST</t>
  </si>
  <si>
    <t>Started Wednesday in NJ</t>
  </si>
  <si>
    <t>20647819</t>
  </si>
  <si>
    <t>VT-UT</t>
  </si>
  <si>
    <t>UT-NJ</t>
  </si>
  <si>
    <t>Kimberly Sowell</t>
  </si>
  <si>
    <t>6338</t>
  </si>
  <si>
    <t>HOS</t>
  </si>
  <si>
    <t>Add this driver 450mi of empty driver to shop and to drop the trailer, money for the trailer move added to prevouis week</t>
  </si>
  <si>
    <t>2175253</t>
  </si>
  <si>
    <t>GA-MD PO</t>
  </si>
  <si>
    <t>Stender Bellane</t>
  </si>
  <si>
    <t>Julia</t>
  </si>
  <si>
    <t>1761383</t>
  </si>
  <si>
    <t>2233146</t>
  </si>
  <si>
    <t>1761581</t>
  </si>
  <si>
    <t>FL &gt; TX</t>
  </si>
  <si>
    <t>TX &gt; LA</t>
  </si>
  <si>
    <t>LA &gt; NC</t>
  </si>
  <si>
    <t>NC &gt; GA</t>
  </si>
  <si>
    <t>GA &gt; TX</t>
  </si>
  <si>
    <t>Roudeline Zephirin // Fritz Renel</t>
  </si>
  <si>
    <t>211032 / 210961</t>
  </si>
  <si>
    <t>8948393</t>
  </si>
  <si>
    <t>15460173</t>
  </si>
  <si>
    <t>5925917</t>
  </si>
  <si>
    <t>NC &gt; NY</t>
  </si>
  <si>
    <t>NY &gt; IA</t>
  </si>
  <si>
    <t>IL &gt; TX</t>
  </si>
  <si>
    <t>TX &gt; VA</t>
  </si>
  <si>
    <t>VA &gt; MN</t>
  </si>
  <si>
    <t>MN &gt; LA</t>
  </si>
  <si>
    <t>IN-002361/IN-002362</t>
  </si>
  <si>
    <t>Kesny Metelus</t>
  </si>
  <si>
    <t>2776823</t>
  </si>
  <si>
    <t>20542938</t>
  </si>
  <si>
    <t>288863</t>
  </si>
  <si>
    <t>OK &gt; UT</t>
  </si>
  <si>
    <t>UT &gt; WA</t>
  </si>
  <si>
    <t>WA &gt; PA</t>
  </si>
  <si>
    <t>Williamson Monchery</t>
  </si>
  <si>
    <t>11619708</t>
  </si>
  <si>
    <t>1534459</t>
  </si>
  <si>
    <t>20659778</t>
  </si>
  <si>
    <t>754981</t>
  </si>
  <si>
    <t>FL &gt; GA</t>
  </si>
  <si>
    <t>GA &gt; MS</t>
  </si>
  <si>
    <t>LA &gt; TX</t>
  </si>
  <si>
    <t>TX &gt; OR</t>
  </si>
  <si>
    <t>Kemal Dagbolen</t>
  </si>
  <si>
    <t>Christopher Elliot</t>
  </si>
  <si>
    <t>20589363</t>
  </si>
  <si>
    <t>0051417</t>
  </si>
  <si>
    <t>286330</t>
  </si>
  <si>
    <t>TX &gt; TX</t>
  </si>
  <si>
    <t>TX &gt; PA</t>
  </si>
  <si>
    <t>PA &gt; GA</t>
  </si>
  <si>
    <t>Louis Juste</t>
  </si>
  <si>
    <t>2653</t>
  </si>
  <si>
    <t>7982712</t>
  </si>
  <si>
    <t>2091995</t>
  </si>
  <si>
    <t>VA &gt; SC</t>
  </si>
  <si>
    <t>GA &gt; FL</t>
  </si>
  <si>
    <t xml:space="preserve">
Cayo </t>
  </si>
  <si>
    <t>0997*</t>
  </si>
  <si>
    <t>Walker</t>
  </si>
  <si>
    <t>INACTIVE</t>
  </si>
  <si>
    <t>15421907</t>
  </si>
  <si>
    <t>#5546288</t>
  </si>
  <si>
    <t>Joseph H. Joseph</t>
  </si>
  <si>
    <t>Driver stuck at the receiver on wednesday and thursday due to flooding over there , and $350 needs to be added to his statement as a layover for this load #4770125</t>
  </si>
  <si>
    <t>stuck at the receiver</t>
  </si>
  <si>
    <t>due to flooding there</t>
  </si>
  <si>
    <t>layover paid!</t>
  </si>
  <si>
    <t>Isa Dagbolen</t>
  </si>
  <si>
    <t xml:space="preserve">For the load #65043253 $75 needs to be added to the drivers statement </t>
  </si>
  <si>
    <t>65043253 // 30662</t>
  </si>
  <si>
    <t>2383253</t>
  </si>
  <si>
    <t>20647309</t>
  </si>
  <si>
    <r>
      <rPr>
        <rFont val="Arial"/>
        <color theme="1"/>
        <sz val="10.0"/>
      </rPr>
      <t>IN-002411/</t>
    </r>
    <r>
      <rPr>
        <rFont val="Arial"/>
        <color theme="1"/>
        <sz val="10.0"/>
      </rPr>
      <t>IN-002377</t>
    </r>
  </si>
  <si>
    <t xml:space="preserve">Jeremy Potter </t>
  </si>
  <si>
    <t>0913</t>
  </si>
  <si>
    <t>1054</t>
  </si>
  <si>
    <t xml:space="preserve">Benchika Doll </t>
  </si>
  <si>
    <t xml:space="preserve"> AA130024</t>
  </si>
  <si>
    <t>77409</t>
  </si>
  <si>
    <t>535683408</t>
  </si>
  <si>
    <t>Lawrence Daniel Martin</t>
  </si>
  <si>
    <t xml:space="preserve">Driver needed a load to only MS on Friday and got stuck at the receiver </t>
  </si>
  <si>
    <t>unloading</t>
  </si>
  <si>
    <t xml:space="preserve"> 865399///Alex</t>
  </si>
  <si>
    <t>Fenel Edme</t>
  </si>
  <si>
    <t>Alex S</t>
  </si>
  <si>
    <t>1529641 Walker</t>
  </si>
  <si>
    <t>PA-RI</t>
  </si>
  <si>
    <t>MA-GA</t>
  </si>
  <si>
    <t>Josil Woodbens</t>
  </si>
  <si>
    <t>Damien</t>
  </si>
  <si>
    <t>Driver Started in FL
Next Week will ballance the RPM 1333390-3 EXTRA STOPS PAYMENT TO DRIVER for this load
164911- INCLUDE APPROVED DRIVER PAY FOR EXTRA STOPS:
1 extra stop on this load.
+ 3 extra stops on previous loads earlier that was not in his previous payment
(7 extra stops total for this week)</t>
  </si>
  <si>
    <t>4922736</t>
  </si>
  <si>
    <t>1333390</t>
  </si>
  <si>
    <t>259927</t>
  </si>
  <si>
    <t>164911</t>
  </si>
  <si>
    <t>FL &gt; TN</t>
  </si>
  <si>
    <t>TN &gt; MI</t>
  </si>
  <si>
    <t>MI &gt; OH</t>
  </si>
  <si>
    <t>OH &gt; CO</t>
  </si>
  <si>
    <t>Ahmed Mehdi</t>
  </si>
  <si>
    <t>0514</t>
  </si>
  <si>
    <t>Truck is not yet repaired</t>
  </si>
  <si>
    <t>Jimmy Gladimy (OD)</t>
  </si>
  <si>
    <t>0689</t>
  </si>
  <si>
    <t>Driver Started in FL
Next Week will ballance the RPM 60112437900-INCLUDE APPROVED DRIVER PAY FOR EXTRA STOPS:
1 extra stop on this load.
+ 2 extra stops on previous loads earlier that was not in his previous payment</t>
  </si>
  <si>
    <t>20256418</t>
  </si>
  <si>
    <t>60112437900</t>
  </si>
  <si>
    <t>FL &gt; OH</t>
  </si>
  <si>
    <t>OH &gt; MO</t>
  </si>
  <si>
    <t>MO &gt; IA</t>
  </si>
  <si>
    <t>IA &gt; WA</t>
  </si>
  <si>
    <t>IN-002417V</t>
  </si>
  <si>
    <t>Besanto Toussaint</t>
  </si>
  <si>
    <r>
      <rPr>
        <rFont val="Calibri"/>
        <color theme="1"/>
      </rPr>
      <t xml:space="preserve">He has the last chance to Attend Court on next Friday (in FL)
</t>
    </r>
    <r>
      <rPr>
        <rFont val="Calibri"/>
        <b/>
        <color theme="1"/>
      </rPr>
      <t xml:space="preserve">I have to keep him rolling in the East Area
</t>
    </r>
    <r>
      <rPr>
        <rFont val="Calibri"/>
        <color theme="1"/>
      </rPr>
      <t>Driver Started in FL
Next Week will ballance the RPM</t>
    </r>
  </si>
  <si>
    <t>20599741</t>
  </si>
  <si>
    <t>20676852</t>
  </si>
  <si>
    <t>20554704</t>
  </si>
  <si>
    <t>FL &gt; AR</t>
  </si>
  <si>
    <t>AR &gt; IN</t>
  </si>
  <si>
    <t>MI &gt; CT</t>
  </si>
  <si>
    <t>Marvin Creary</t>
  </si>
  <si>
    <r>
      <rPr>
        <rFont val="Calibri"/>
        <color theme="1"/>
      </rPr>
      <t>Driver Started in RI
Next Week will ballance the RPM
LATE 1 delivery (</t>
    </r>
    <r>
      <rPr>
        <rFont val="Calibri"/>
        <i/>
        <color theme="1"/>
      </rPr>
      <t>Driver had to take a rest</t>
    </r>
    <r>
      <rPr>
        <rFont val="Calibri"/>
        <color theme="1"/>
      </rPr>
      <t>) and there were no good loads after 3:30 PM</t>
    </r>
  </si>
  <si>
    <t>No Loads</t>
  </si>
  <si>
    <t>For Today</t>
  </si>
  <si>
    <t>RI &gt; OH</t>
  </si>
  <si>
    <t xml:space="preserve">OH &gt; </t>
  </si>
  <si>
    <t>June 2-8</t>
  </si>
  <si>
    <t>June 9-15</t>
  </si>
  <si>
    <t>June 16-22</t>
  </si>
  <si>
    <t>June23-29</t>
  </si>
  <si>
    <t>June 30-July 6</t>
  </si>
  <si>
    <t>July 7 – July 13</t>
  </si>
  <si>
    <t>July 14 – July 20</t>
  </si>
  <si>
    <t>July 21-27</t>
  </si>
  <si>
    <t>July 28-Aug 3</t>
  </si>
  <si>
    <t>August 4-10</t>
  </si>
  <si>
    <t>August 11-17</t>
  </si>
  <si>
    <t>August 18-24</t>
  </si>
  <si>
    <t>August 25-31</t>
  </si>
  <si>
    <t>Sept 1-7</t>
  </si>
  <si>
    <t>Sept 8-14</t>
  </si>
  <si>
    <t>Sept 15-21</t>
  </si>
  <si>
    <t>Sept 22-28</t>
  </si>
  <si>
    <t>Sept 29-Oct 5</t>
  </si>
  <si>
    <t>Oct 6-12</t>
  </si>
  <si>
    <t>Oct 13-19</t>
  </si>
  <si>
    <t>Oct 20-26</t>
  </si>
  <si>
    <t>Oct 27- Nov 2</t>
  </si>
  <si>
    <t>Nov 3-9</t>
  </si>
  <si>
    <t>Nov 10-16</t>
  </si>
  <si>
    <t>Total Gross</t>
  </si>
  <si>
    <t>Miles</t>
  </si>
  <si>
    <t>Anderson Willie</t>
  </si>
  <si>
    <t>—</t>
  </si>
  <si>
    <t>Patrick Michel</t>
  </si>
  <si>
    <t>Benchika Doll</t>
  </si>
  <si>
    <t>Nicholas Paula</t>
  </si>
  <si>
    <t>Ferhat Bal (O/O)</t>
  </si>
  <si>
    <t>Ferhat Bal (о/о)</t>
  </si>
  <si>
    <t>BOSQUET YVENSO</t>
  </si>
  <si>
    <t>Ferhat Bal (o/o)</t>
  </si>
  <si>
    <t>CENECHARLES Marckenson</t>
  </si>
  <si>
    <t>Cenecharles Marckenson</t>
  </si>
  <si>
    <t>Edme Fenel</t>
  </si>
  <si>
    <t>Paula</t>
  </si>
  <si>
    <r>
      <rPr>
        <rFont val="Arial"/>
        <color theme="1"/>
      </rPr>
      <t xml:space="preserve">6125 </t>
    </r>
    <r>
      <rPr>
        <rFont val="Aptos Narrow"/>
        <i/>
        <color theme="1"/>
        <sz val="12.0"/>
      </rPr>
      <t>(uses “Miles” row exactly as written)</t>
    </r>
  </si>
  <si>
    <t>Creary Marvin</t>
  </si>
  <si>
    <t>Edme Feel</t>
  </si>
  <si>
    <t>Gabriel Esnel</t>
  </si>
  <si>
    <t>Louis Kendy</t>
  </si>
  <si>
    <t>Emmanuel Elveus</t>
  </si>
  <si>
    <t>Acikbas Sivan</t>
  </si>
  <si>
    <t>Ronald Sainval</t>
  </si>
  <si>
    <t>Ben Beliscar</t>
  </si>
  <si>
    <t>Ronald</t>
  </si>
  <si>
    <t>Monchery Williamson</t>
  </si>
  <si>
    <t>Bosquet Yvenso</t>
  </si>
  <si>
    <t>Waiting New Driver</t>
  </si>
  <si>
    <t>new unit</t>
  </si>
  <si>
    <t>Florestal Jean Richard</t>
  </si>
  <si>
    <t>Pierre Michael Cius (O/O)</t>
  </si>
  <si>
    <t>Antoine Emmanuel</t>
  </si>
  <si>
    <t>Jean Gardy (OD)</t>
  </si>
  <si>
    <t>*0427</t>
  </si>
  <si>
    <t>Sainval Ronald</t>
  </si>
  <si>
    <t>Pierre Michael Cius (о/о)</t>
  </si>
  <si>
    <t>Kimberly Sowell (OD)</t>
  </si>
  <si>
    <t>Ben Beliscar (OD)</t>
  </si>
  <si>
    <t>John Flowers</t>
  </si>
  <si>
    <t>JN – Jacques Mackendy</t>
  </si>
  <si>
    <t>Jeremy Potter</t>
  </si>
  <si>
    <t>Patrick Michel / Fritzner Charles (OD)</t>
  </si>
  <si>
    <t>Schnaider Fednand</t>
  </si>
  <si>
    <t>001*</t>
  </si>
  <si>
    <t>Martin Lawrence</t>
  </si>
  <si>
    <t>Leon Baptiste (OD)</t>
  </si>
  <si>
    <t>Roudeline Zephirin</t>
  </si>
  <si>
    <t>Roudeline Zephirin / Fritz Renel</t>
  </si>
  <si>
    <t>Willie Anderson</t>
  </si>
  <si>
    <t>Lawrence Martin</t>
  </si>
  <si>
    <t>Cenecharles / Marckenson</t>
  </si>
  <si>
    <t>Fenel Edme / Cayo (TEAM)</t>
  </si>
  <si>
    <t>#DIV/0</t>
  </si>
  <si>
    <t>Marvin</t>
  </si>
  <si>
    <t>Cayo</t>
  </si>
  <si>
    <t>“Cayo”</t>
  </si>
  <si>
    <t>Dagbolen Isa</t>
  </si>
  <si>
    <t>Chevelon Rikingson (OD)</t>
  </si>
  <si>
    <t>Chevelon Rikingson</t>
  </si>
  <si>
    <t>Besanto Toussaint &amp; Daniela</t>
  </si>
  <si>
    <t xml:space="preserve">WEEK — 10/27/2025 to 11/02/2025 </t>
  </si>
  <si>
    <t>COMPANY FLEET</t>
  </si>
  <si>
    <t>Unit</t>
  </si>
  <si>
    <t>Payments To Do</t>
  </si>
  <si>
    <t>Driver / Owner</t>
  </si>
  <si>
    <t>Net Pay</t>
  </si>
  <si>
    <t>Fuel</t>
  </si>
  <si>
    <t>Owner Profit</t>
  </si>
  <si>
    <t>Driver Debt</t>
  </si>
  <si>
    <t>Owner Debt</t>
  </si>
  <si>
    <t>Arba Express LLC</t>
  </si>
  <si>
    <t>Fritz Renel Francois</t>
  </si>
  <si>
    <t>Company Fleet Totals</t>
  </si>
  <si>
    <t>OWNER FLEET</t>
  </si>
  <si>
    <t>Ada Fleet LLC</t>
  </si>
  <si>
    <t>Komo Logistics LLC</t>
  </si>
  <si>
    <t>Fwziyes Place LLC</t>
  </si>
  <si>
    <t>(Turkish notes translated)</t>
  </si>
  <si>
    <t>ARBA EXPRESS WEEKLY NET PROFIT:</t>
  </si>
  <si>
    <t>113,585 × 12% = 13,630.02</t>
  </si>
  <si>
    <t>Fuel Discount 7.5% = 3,063.26</t>
  </si>
  <si>
    <t>Insurance Fee (400 × number of trucks) = 6,800</t>
  </si>
  <si>
    <t>Total = 23,493.28 USD (20.68%)</t>
  </si>
  <si>
    <t>Nationwide LLC</t>
  </si>
  <si>
    <t>US Ela Logistic LLC</t>
  </si>
  <si>
    <t>Neta Global Logistic LLC</t>
  </si>
  <si>
    <t>Skyhill LLC</t>
  </si>
  <si>
    <t>Nicolas Poula</t>
  </si>
  <si>
    <t>Rivershore</t>
  </si>
  <si>
    <t>Apex Turk Transport LLC</t>
  </si>
  <si>
    <t>EDT Logistics LLC</t>
  </si>
  <si>
    <t>Jimmy Gladimy</t>
  </si>
  <si>
    <t>Beycan LLC</t>
  </si>
  <si>
    <t>Perlivion LLC</t>
  </si>
  <si>
    <t>Careway Logistic LLC</t>
  </si>
  <si>
    <t>Cayo Marc Aurel–Edme Fenel</t>
  </si>
  <si>
    <t>Owner Fleet Totals</t>
  </si>
  <si>
    <t>OWNER-OPERATOR FLEET</t>
  </si>
  <si>
    <t>(Translated Turkish note)</t>
  </si>
  <si>
    <t>6,305 × 12% = 756.6</t>
  </si>
  <si>
    <t>Fuel Discount 7.5% = 150.88</t>
  </si>
  <si>
    <t>Insurance Fee = 400</t>
  </si>
  <si>
    <t>Total = 1,307.48 USD (20.73%)</t>
  </si>
  <si>
    <t>Ferhat Bal</t>
  </si>
  <si>
    <t>Activ Logistics LLC</t>
  </si>
  <si>
    <t>Owner-Operator Totals</t>
  </si>
  <si>
    <t>FULL TOTALS</t>
  </si>
  <si>
    <t>WEEK 11/03/2025-11/09/2025</t>
  </si>
  <si>
    <t>WEEK 11/10/2025-11/16/2025</t>
  </si>
  <si>
    <t>WEEK 11/17/2025-11/23/2025</t>
  </si>
  <si>
    <t>Work Period</t>
  </si>
  <si>
    <t>11/10/2025 - 11/16/2025</t>
  </si>
  <si>
    <t>Owner Name</t>
  </si>
  <si>
    <t>Unit Number</t>
  </si>
  <si>
    <t>Pick Up Date</t>
  </si>
  <si>
    <t>ROUTE</t>
  </si>
  <si>
    <t>%</t>
  </si>
  <si>
    <t>Gross Pay</t>
  </si>
  <si>
    <t>$ Per Mile</t>
  </si>
  <si>
    <t>Watsonville,CA-Santa Clarita,CA</t>
  </si>
  <si>
    <t>Temecula,CA-Sanford,FL</t>
  </si>
  <si>
    <t>TOTAL</t>
  </si>
  <si>
    <t>ADDITIONS</t>
  </si>
  <si>
    <t>Inspecton</t>
  </si>
  <si>
    <t>TOTAL ADDITIONS</t>
  </si>
  <si>
    <t>DEDUCTIONS</t>
  </si>
  <si>
    <t>ELD %150 Weekly</t>
  </si>
  <si>
    <t>Cargo Insurance $400 Weekly</t>
  </si>
  <si>
    <t>Trailer $200 Weekly</t>
  </si>
  <si>
    <t>PAY CHECK AMOUNT 
 to the DRIVER</t>
  </si>
  <si>
    <t>PAY CHECK AMOUNT 
 to the OWNER</t>
  </si>
  <si>
    <t>TOTAL DEDUCTIONS</t>
  </si>
  <si>
    <t>Middletown,OH-Forest Park,GA</t>
  </si>
  <si>
    <t>6KN1876</t>
  </si>
  <si>
    <t>Montgomery,AL-McComb,OH</t>
  </si>
  <si>
    <t>6JV6756</t>
  </si>
  <si>
    <t>Sidney,OH-Gardner,KS</t>
  </si>
  <si>
    <t>Saint Joseph,MO-Middletown,DE</t>
  </si>
  <si>
    <t>Name</t>
  </si>
  <si>
    <t>Apopka,FL-Fayetteville,AR</t>
  </si>
  <si>
    <t>6KJ3872</t>
  </si>
  <si>
    <t>Fayetteville,AR-Perris,CA</t>
  </si>
  <si>
    <t>Victorville,CA-Cheyenne,WY</t>
  </si>
  <si>
    <t>Remove&amp;Replace 8th of 13 total $3834</t>
  </si>
  <si>
    <t>Being late</t>
  </si>
  <si>
    <t>Driver Being late</t>
  </si>
  <si>
    <t>Tire Replacement 1st of 3 total $1533.16</t>
  </si>
  <si>
    <t>Fairport,NY-Romeoville,IL</t>
  </si>
  <si>
    <t>Wayne,NE-Fresno,CA</t>
  </si>
  <si>
    <t>Omaha,NE-Cedar Rapids,IA</t>
  </si>
  <si>
    <t>Driving Wrong city</t>
  </si>
  <si>
    <t>truckparkingclub</t>
  </si>
  <si>
    <t>Driver Driving Wrong city</t>
  </si>
  <si>
    <t>Careway LogisticsLLC</t>
  </si>
  <si>
    <t>TTSNM24653</t>
  </si>
  <si>
    <t>Louisville,KY-Federal Way,WA</t>
  </si>
  <si>
    <t>Bonus</t>
  </si>
  <si>
    <t>Tire Replacement 1st of 3 total $1,570.31</t>
  </si>
  <si>
    <t>Parking Fee</t>
  </si>
  <si>
    <t>Uber Fee</t>
  </si>
  <si>
    <t>Besa Transport LLc</t>
  </si>
  <si>
    <t>Denver,CO-Sacramento,CA</t>
  </si>
  <si>
    <t>Sebastopol,CA-Jurupa Valley,CA</t>
  </si>
  <si>
    <t>Carson,CA-Springfield,IL</t>
  </si>
  <si>
    <t>Cash Advance 1st of 2 total $600</t>
  </si>
  <si>
    <t>Cerritos,CA-Harrison,NJ</t>
  </si>
  <si>
    <t>Donalsonville,GA-Reynolds,IN</t>
  </si>
  <si>
    <t>Decatur,IL-Plano,TX</t>
  </si>
  <si>
    <t>Empty miles(260)</t>
  </si>
  <si>
    <t>Airfare</t>
  </si>
  <si>
    <t>EDT Logistic LLC</t>
  </si>
  <si>
    <t>Canby,OR-Stockton,CA</t>
  </si>
  <si>
    <t>Fremont,CA-Lockbourne,OH</t>
  </si>
  <si>
    <t>Extra stop</t>
  </si>
  <si>
    <t>Coolant Reservoir Repair 3rd of 4 total $2,950</t>
  </si>
  <si>
    <t>Hanover,PA-Sarasota,FL</t>
  </si>
  <si>
    <t>FDVCM22034</t>
  </si>
  <si>
    <t>Sarasota,FL-Jackson,AL</t>
  </si>
  <si>
    <t>Pine Hill,AL-Richmond,VA</t>
  </si>
  <si>
    <t>259406/259305/259534/5150775</t>
  </si>
  <si>
    <t>Laurel,VA-Portland,OR</t>
  </si>
  <si>
    <t>Trailer Wash</t>
  </si>
  <si>
    <t>Rivershore LLC</t>
  </si>
  <si>
    <t>Nicolas Paula</t>
  </si>
  <si>
    <t>Tampa,FL-Gastonia,NC</t>
  </si>
  <si>
    <t>Thomasville,NC-Commerce City,CO</t>
  </si>
  <si>
    <t>Scottsbuff,NE-Saraland,AL</t>
  </si>
  <si>
    <t>Owner Profıt</t>
  </si>
  <si>
    <t>Unit Numer</t>
  </si>
  <si>
    <t>North Bergen,NJ-Kent,WA</t>
  </si>
  <si>
    <t>Yakima,WA-Waynesboro,PA</t>
  </si>
  <si>
    <t>Clean Inspection</t>
  </si>
  <si>
    <t>dh miles (154)</t>
  </si>
  <si>
    <t>Boss Trucking Equipment LLC</t>
  </si>
  <si>
    <t>6LT3099</t>
  </si>
  <si>
    <t>Brookshire,TX-Southwest Ranches,FL</t>
  </si>
  <si>
    <t>31400-80278</t>
  </si>
  <si>
    <t>North Brunswick,NJ-Simsboro,LA</t>
  </si>
  <si>
    <t>Shreveport,LA-Austell,GA</t>
  </si>
  <si>
    <t>Denton,MT-Blauvelt,NY</t>
  </si>
  <si>
    <t>Rochester,NY-Aurora,CO</t>
  </si>
  <si>
    <t>3910712-1</t>
  </si>
  <si>
    <t>Windsor,CO-Willamsburg,VA</t>
  </si>
  <si>
    <t>Recovery miles</t>
  </si>
  <si>
    <t>Framingham,MA-Berwick,PA</t>
  </si>
  <si>
    <t>Scranton,PA-Suffolk,VA</t>
  </si>
  <si>
    <t>Sulfolk,VA-Oklahoma City,OK</t>
  </si>
  <si>
    <t>Toll Fee</t>
  </si>
  <si>
    <t>Tualatin,OR-West Palm Beach,FL</t>
  </si>
  <si>
    <t>dh miles(169)</t>
  </si>
  <si>
    <t>Caristadt,NJ-Fort Worth,TX</t>
  </si>
  <si>
    <t>Peach State Truck Center 3rd of 4 total $2,257.21</t>
  </si>
  <si>
    <t>Velox Limo LLC</t>
  </si>
  <si>
    <t>Canal Winchester,OH-Palmetto,GA</t>
  </si>
  <si>
    <t>Duncan,SC-Plainview,TX</t>
  </si>
  <si>
    <t>Portales,NM-Courtland,VA</t>
  </si>
  <si>
    <t>Repair 9th of 10 total $4154.03</t>
  </si>
  <si>
    <t>Negative Balance</t>
  </si>
  <si>
    <t>Carlisle,PA-Aurora,CO</t>
  </si>
  <si>
    <t>Denver,CO-Gillem Enclave,GA</t>
  </si>
  <si>
    <t>Truckn Roll 3rd of 4 total $2451.91</t>
  </si>
  <si>
    <t>Tampa,FL-Denver,CO</t>
  </si>
  <si>
    <t>Layover</t>
  </si>
  <si>
    <t>General Maintenance</t>
  </si>
  <si>
    <t>Kearneysville,WV-Aurora,CO</t>
  </si>
  <si>
    <t>AdaFleet LLC</t>
  </si>
  <si>
    <t>North Port,FL-Baltimore,MD</t>
  </si>
  <si>
    <t>Aston Township,PA-Milan Dr.Sparks,NV</t>
  </si>
  <si>
    <t>Reimbursement</t>
  </si>
  <si>
    <t>Cey&amp;Cey LLC</t>
  </si>
  <si>
    <t>Lake Park,FL-East Hartford,CT</t>
  </si>
  <si>
    <t>Unauthorized move</t>
  </si>
  <si>
    <t>Lawrance Daniel Martin</t>
  </si>
  <si>
    <t>Apopka,FL-Suffolk,VA</t>
  </si>
  <si>
    <t>Lewis Woodville,NC-Schelenburg,TX</t>
  </si>
  <si>
    <t>NZD Transport LLC</t>
  </si>
  <si>
    <t>LD-510897</t>
  </si>
  <si>
    <t>Ely,NV-Long Beach,CA</t>
  </si>
  <si>
    <t>San Gabriel,CA-Smithfield,RI</t>
  </si>
  <si>
    <t>truckparkinngclub</t>
  </si>
  <si>
    <t>statements</t>
  </si>
  <si>
    <t>Trucks</t>
  </si>
  <si>
    <t>Payments
 To Do</t>
  </si>
  <si>
    <t>Driver name/Owner name</t>
  </si>
  <si>
    <t>Mil</t>
  </si>
  <si>
    <t>Owner Kazanc/Profit</t>
  </si>
  <si>
    <t>Driver Borc/Debt</t>
  </si>
  <si>
    <t>Owner Borc/Debt</t>
  </si>
  <si>
    <t>Other deductions</t>
  </si>
  <si>
    <t>$ per Mile</t>
  </si>
  <si>
    <t>??</t>
  </si>
  <si>
    <t>deduction??</t>
  </si>
  <si>
    <t>PAY CHECK AMOUNT</t>
  </si>
  <si>
    <t>to the OWNER</t>
  </si>
  <si>
    <t>to the Driver</t>
  </si>
  <si>
    <t>*=XLOOKUP(A@&lt;&gt;&gt;&gt;&lt;&gt;&gt;&gt;)</t>
  </si>
  <si>
    <t>8=FILTER(Sheet2!B:B, Sheet2!A:A = A2)</t>
  </si>
  <si>
    <t>*=FILTER(Sheet1!A:C, Sheet1!A:A = 101)</t>
  </si>
  <si>
    <t>*=FILTER(Sheet1!A:E, Sheet1!F:F = G1)</t>
  </si>
  <si>
    <t>disp board</t>
  </si>
  <si>
    <t>?</t>
  </si>
  <si>
    <t>100 or 150</t>
  </si>
  <si>
    <t>Repair 10th of 10 total $4154.03</t>
  </si>
  <si>
    <t>Tire Repair</t>
  </si>
  <si>
    <t>to the DRIVER</t>
  </si>
  <si>
    <t>Truck Expenses 2nd of 6 total $6285.91</t>
  </si>
  <si>
    <t>Repair</t>
  </si>
  <si>
    <t>Towing Fee</t>
  </si>
  <si>
    <t>Radiator&amp;A/C Recharge 1st of 5 total $4056.66</t>
  </si>
  <si>
    <t>3 extra stops</t>
  </si>
  <si>
    <t>????</t>
  </si>
  <si>
    <t>Careway Logistics LLC</t>
  </si>
  <si>
    <t>Jump Start</t>
  </si>
  <si>
    <t>owner profit only</t>
  </si>
  <si>
    <t>????????</t>
  </si>
  <si>
    <t>deductions??</t>
  </si>
  <si>
    <t>additional miles 250</t>
  </si>
  <si>
    <t>Trailer Tire Replacement</t>
  </si>
  <si>
    <t xml:space="preserve">Loves	
</t>
  </si>
  <si>
    <t>Besa Transport LLC</t>
  </si>
  <si>
    <t>weekly 150 or 100</t>
  </si>
  <si>
    <t>Cash Advance 2nd of 2</t>
  </si>
  <si>
    <t>US Ela Logistics LLC</t>
  </si>
  <si>
    <t>Birthday Gift</t>
  </si>
  <si>
    <t>Layover for 4770125</t>
  </si>
  <si>
    <t>Truckn Roll 4th of 4 total $2451.91</t>
  </si>
  <si>
    <t>Peach State Truck Center 4th of 4 total $2,257.21</t>
  </si>
  <si>
    <t>Coolant Reservoir Repair 4thof 4 total $2,950</t>
  </si>
  <si>
    <t>Flat Tire Repair</t>
  </si>
  <si>
    <t>Remove&amp;Replace 9th of 13 total $3834</t>
  </si>
  <si>
    <t>Tire Replacement 2st of 3 total $1533.16</t>
  </si>
  <si>
    <t>Paycheck amount to the owner</t>
  </si>
  <si>
    <t>Mudflap&amp;Bar</t>
  </si>
  <si>
    <t>Truckparkingclub</t>
  </si>
  <si>
    <t>Windshield Washer</t>
  </si>
  <si>
    <t>Trailer</t>
  </si>
  <si>
    <t>deductions???</t>
  </si>
  <si>
    <t>Truck parking Club</t>
  </si>
  <si>
    <t>Cey &amp; Cey LLC</t>
  </si>
  <si>
    <t>Deduction?</t>
  </si>
  <si>
    <t>TONU load 65043253</t>
  </si>
  <si>
    <t>Negative stmt last week</t>
  </si>
  <si>
    <t>Tire Replacement 2nd of 3 total $1,570.31</t>
  </si>
  <si>
    <t>Snow Chains</t>
  </si>
  <si>
    <t>Coolant</t>
  </si>
  <si>
    <t>Chargingy system check</t>
  </si>
  <si>
    <t>Forklift Fee</t>
  </si>
  <si>
    <t>KOMO Logistics LLC</t>
  </si>
  <si>
    <t>Fwziyes Place LLC Boss Trucking Equipment LLC</t>
  </si>
  <si>
    <t>additional miles 450</t>
  </si>
  <si>
    <t>General Maintenance 1st of 3 total $2233.85</t>
  </si>
  <si>
    <t>Pest Control</t>
  </si>
  <si>
    <t>Neta Globbal Logistics LLC</t>
  </si>
  <si>
    <t>Bulb&amp;Retractable cable</t>
  </si>
  <si>
    <t>7 extra stops</t>
  </si>
  <si>
    <t>???????</t>
  </si>
  <si>
    <t>detentions</t>
  </si>
  <si>
    <t xml:space="preserve">Detention </t>
  </si>
  <si>
    <t>team!!!! 2 statments for drivers</t>
  </si>
  <si>
    <t>FRITZ??</t>
  </si>
  <si>
    <t>Paycheck Amount To Driver</t>
  </si>
  <si>
    <t>Perli Ovio LLC</t>
  </si>
  <si>
    <t>Owner profit</t>
  </si>
  <si>
    <t>?????????</t>
  </si>
  <si>
    <t>FUEL 11.17.25-11.23.25</t>
  </si>
  <si>
    <t>Card Number</t>
  </si>
  <si>
    <t>Driver Id</t>
  </si>
  <si>
    <t>7083050030484767947</t>
  </si>
  <si>
    <t>y</t>
  </si>
  <si>
    <t>29 active trucks</t>
  </si>
  <si>
    <t>7083050030792607371</t>
  </si>
  <si>
    <t>29 fuel cards</t>
  </si>
  <si>
    <t>7083050030785047544</t>
  </si>
  <si>
    <t>Jeremy POtter</t>
  </si>
  <si>
    <t>7083050030783007532</t>
  </si>
  <si>
    <t>7083050030282287262</t>
  </si>
  <si>
    <t>n</t>
  </si>
  <si>
    <t>Paula?</t>
  </si>
  <si>
    <t>7083050030687147947</t>
  </si>
  <si>
    <t>7083050030798617309</t>
  </si>
  <si>
    <t>7083050030799607309</t>
  </si>
  <si>
    <t>7083050030484757930</t>
  </si>
  <si>
    <t>7083050030484757948</t>
  </si>
  <si>
    <t>7083050030284267288</t>
  </si>
  <si>
    <t>7083050030788447428</t>
  </si>
  <si>
    <t>7083050030284237265</t>
  </si>
  <si>
    <t>7083050030283217284</t>
  </si>
  <si>
    <t>7083050030798607391</t>
  </si>
  <si>
    <t>7083050030484747949</t>
  </si>
  <si>
    <t>7083050030683137918</t>
  </si>
  <si>
    <t>Marvin?</t>
  </si>
  <si>
    <t>7083050030282287270</t>
  </si>
  <si>
    <t>Fennel?</t>
  </si>
  <si>
    <t>7083050030496927521</t>
  </si>
  <si>
    <t>Kimberly Sowell??</t>
  </si>
  <si>
    <t>7083050030784087533</t>
  </si>
  <si>
    <t>Ferhat Bal?</t>
  </si>
  <si>
    <t>7083050030284237281</t>
  </si>
  <si>
    <t>Lawrence?</t>
  </si>
  <si>
    <t>7083050030787407423</t>
  </si>
  <si>
    <t>Zephirin Roudeline</t>
  </si>
  <si>
    <t>7083050030798697392</t>
  </si>
  <si>
    <t>7083050030789457426</t>
  </si>
  <si>
    <t>7083050030788457427</t>
  </si>
  <si>
    <t>7083050030784057536</t>
  </si>
  <si>
    <t>7083050030788417421</t>
  </si>
  <si>
    <t>7083050030999737591</t>
  </si>
  <si>
    <t>7083050030788427420</t>
  </si>
  <si>
    <t>D967:D995,C967:C995</t>
  </si>
  <si>
    <t>FUEL</t>
  </si>
  <si>
    <t>DISPATCH BOARD</t>
  </si>
  <si>
    <t>actual</t>
  </si>
  <si>
    <t>w deductions</t>
  </si>
  <si>
    <t>Total Revenue</t>
  </si>
  <si>
    <t>Sum of Amt Billed</t>
  </si>
  <si>
    <t>Laurel, VA, 23228</t>
  </si>
  <si>
    <t>Tualatin, OR, 97035</t>
  </si>
  <si>
    <t>IN-002359</t>
  </si>
  <si>
    <t xml:space="preserve">Total Miles </t>
  </si>
  <si>
    <t>Buford, GA, 30518</t>
  </si>
  <si>
    <t>Fairfield, NJ, 07004</t>
  </si>
  <si>
    <t>IN-002460</t>
  </si>
  <si>
    <t>Fuel Costs</t>
  </si>
  <si>
    <t>0659</t>
  </si>
  <si>
    <t>Whitehall, NY, 12887</t>
  </si>
  <si>
    <t>Pompano Beach, FL, 33069</t>
  </si>
  <si>
    <t>IN-002463</t>
  </si>
  <si>
    <t>Staunton, VA, 24401</t>
  </si>
  <si>
    <t>Macon, GA, 31206</t>
  </si>
  <si>
    <t>IN-002465</t>
  </si>
  <si>
    <t>KIMBERLY MONIQUE SOWELL</t>
  </si>
  <si>
    <t>Maintenance Costs</t>
  </si>
  <si>
    <t>0997</t>
  </si>
  <si>
    <t>Trip-14626</t>
  </si>
  <si>
    <t>Waterford, PA, 16441</t>
  </si>
  <si>
    <t>Daytona Beach, FL, 32117</t>
  </si>
  <si>
    <t>IN-002466</t>
  </si>
  <si>
    <t>Truck Payment</t>
  </si>
  <si>
    <t>Chattanooga, TN, 37406</t>
  </si>
  <si>
    <t>Enfield, CT, 06082</t>
  </si>
  <si>
    <t>IN-002467</t>
  </si>
  <si>
    <t>Insurance</t>
  </si>
  <si>
    <t>6MT0940</t>
  </si>
  <si>
    <t>Clinton, UT, 84015</t>
  </si>
  <si>
    <t>IN-002468</t>
  </si>
  <si>
    <t>East Hartford, CT, 06118</t>
  </si>
  <si>
    <t>Bedford Heights, OH, 44146</t>
  </si>
  <si>
    <t>IN-002469</t>
  </si>
  <si>
    <t>Trailer cost</t>
  </si>
  <si>
    <t>Fort Worth, TX, 76131</t>
  </si>
  <si>
    <t>Fountain, CO, 80817</t>
  </si>
  <si>
    <t>IN-002470</t>
  </si>
  <si>
    <t>BELLANE STENDER</t>
  </si>
  <si>
    <t>6MT0872</t>
  </si>
  <si>
    <t>Riverton, UT, 84065</t>
  </si>
  <si>
    <t>IN-002471</t>
  </si>
  <si>
    <t>Driver Wages</t>
  </si>
  <si>
    <t>Philadelphia, PA, 19134</t>
  </si>
  <si>
    <t>Circleville, OH, 43113</t>
  </si>
  <si>
    <t>IN-002472</t>
  </si>
  <si>
    <t>Tolls</t>
  </si>
  <si>
    <t>Lemont, IL, 60439</t>
  </si>
  <si>
    <t>North Kansas City, MO, 64116</t>
  </si>
  <si>
    <t>IN-002473</t>
  </si>
  <si>
    <t>Easton, PA, 18064</t>
  </si>
  <si>
    <t>Huntington, WV, 25701</t>
  </si>
  <si>
    <t>IN-002474</t>
  </si>
  <si>
    <t>Other costs</t>
  </si>
  <si>
    <t>New Iberia, LA, 70560</t>
  </si>
  <si>
    <t>Florence, SC, 29501</t>
  </si>
  <si>
    <t>IN-002475</t>
  </si>
  <si>
    <t>Ripon, CA, 95366</t>
  </si>
  <si>
    <t>Goleta, CA, 93117</t>
  </si>
  <si>
    <t>IN-002476</t>
  </si>
  <si>
    <t>Total Costs</t>
  </si>
  <si>
    <t>Westlake, LA, 70669</t>
  </si>
  <si>
    <t>Mount Vernon, IL, 62864</t>
  </si>
  <si>
    <t>IN-002478</t>
  </si>
  <si>
    <t>CLAUDY VALMOND</t>
  </si>
  <si>
    <t>Revenue per Mile (RPM)</t>
  </si>
  <si>
    <t>Lancaster, PA, 17601</t>
  </si>
  <si>
    <t>Fort Pierce, FL, 34981</t>
  </si>
  <si>
    <t>IN-002479</t>
  </si>
  <si>
    <t>Cost per Mile (CPM)</t>
  </si>
  <si>
    <t>, GA, 30294</t>
  </si>
  <si>
    <t>Jersey City, NJ, 07307</t>
  </si>
  <si>
    <t>IN-002480</t>
  </si>
  <si>
    <t>Gross Profit per Mile</t>
  </si>
  <si>
    <t>Clarkston, GA, 30021</t>
  </si>
  <si>
    <t>Houston, TX, 77060</t>
  </si>
  <si>
    <t>IN-002481</t>
  </si>
  <si>
    <t>Woodburn, OR, 97071</t>
  </si>
  <si>
    <t>Brawley, CA, 92227</t>
  </si>
  <si>
    <t>IN-002482</t>
  </si>
  <si>
    <t xml:space="preserve">Profit </t>
  </si>
  <si>
    <t>Info from the statements</t>
  </si>
  <si>
    <t>Mechanicsburg, PA, 17055</t>
  </si>
  <si>
    <t>Royal Palm Beach, FL, 33411</t>
  </si>
  <si>
    <t>IN-002483</t>
  </si>
  <si>
    <t>ELD</t>
  </si>
  <si>
    <t>Maint cost</t>
  </si>
  <si>
    <t>Truck pmt</t>
  </si>
  <si>
    <t>Wages</t>
  </si>
  <si>
    <t>Other cost</t>
  </si>
  <si>
    <t>Olathe, KS, 66062</t>
  </si>
  <si>
    <t>Champaign, IL, 61822</t>
  </si>
  <si>
    <t>IN-002484</t>
  </si>
  <si>
    <t>Ironton, OH, 45638</t>
  </si>
  <si>
    <t>Sterling, VA, 20166</t>
  </si>
  <si>
    <t>IN-002485</t>
  </si>
  <si>
    <t>North East, MD, 21901</t>
  </si>
  <si>
    <t>Lithia Springs, GA, 30122</t>
  </si>
  <si>
    <t>IN-002486</t>
  </si>
  <si>
    <t>JEREMY POTTER</t>
  </si>
  <si>
    <t>TR-0000464066-01</t>
  </si>
  <si>
    <t>New Concord, OH, 43762</t>
  </si>
  <si>
    <t>Front Royal, VA, 22630</t>
  </si>
  <si>
    <t>IN-002487</t>
  </si>
  <si>
    <t>Belcamp, MD, 21017</t>
  </si>
  <si>
    <t>Mars Hill, ME, 04758</t>
  </si>
  <si>
    <t>IN-002488</t>
  </si>
  <si>
    <t>Fort Fairfield, ME, 04742</t>
  </si>
  <si>
    <t>, SC, 29455</t>
  </si>
  <si>
    <t>IN-002489</t>
  </si>
  <si>
    <t>TR-0000464915-01</t>
  </si>
  <si>
    <t>Inwood, WV, 25405</t>
  </si>
  <si>
    <t>Wilmer, TX, 75172</t>
  </si>
  <si>
    <t>IN-002490</t>
  </si>
  <si>
    <t>Austintown, OH, 44509</t>
  </si>
  <si>
    <t>Alachua, FL, 32615</t>
  </si>
  <si>
    <t>IN-002491</t>
  </si>
  <si>
    <t>3945526-1</t>
  </si>
  <si>
    <t>Sugar City, ID, 83448</t>
  </si>
  <si>
    <t>Moro, OR, 97039</t>
  </si>
  <si>
    <t>IN-002492</t>
  </si>
  <si>
    <t>Lakewood, CO, 80215</t>
  </si>
  <si>
    <t>IN-002493</t>
  </si>
  <si>
    <t>Bridgewater, NJ,</t>
  </si>
  <si>
    <t>Belle Fourche, WY, 82710</t>
  </si>
  <si>
    <t>IN-002494</t>
  </si>
  <si>
    <t>Evansville, WY, 82636</t>
  </si>
  <si>
    <t>IN-002495</t>
  </si>
  <si>
    <t>Shafter, CA, 93263</t>
  </si>
  <si>
    <t>Fremont, CA, 94538</t>
  </si>
  <si>
    <t>IN-002496</t>
  </si>
  <si>
    <t>Jonesboro, AR, 72401</t>
  </si>
  <si>
    <t>Westborough, MA, 01581</t>
  </si>
  <si>
    <t>IN-002498</t>
  </si>
  <si>
    <t>Portland, OR, 97217</t>
  </si>
  <si>
    <t>Colonial Heights, VA, 23834</t>
  </si>
  <si>
    <t>IN-002499</t>
  </si>
  <si>
    <t>South Jordan, UT, 84095</t>
  </si>
  <si>
    <t>Spencer, IN, 47460</t>
  </si>
  <si>
    <t>IN-002500</t>
  </si>
  <si>
    <t>Ellington, CT, 06029</t>
  </si>
  <si>
    <t>Abingdon, VA, 24210</t>
  </si>
  <si>
    <t>IN-002501</t>
  </si>
  <si>
    <t>EXP541159</t>
  </si>
  <si>
    <t>Spanish Fork, UT, 84660</t>
  </si>
  <si>
    <t>Henderson, NC, 27537</t>
  </si>
  <si>
    <t>IN-002502</t>
  </si>
  <si>
    <t>Plainville, MA, 02762</t>
  </si>
  <si>
    <t>IN-002503</t>
  </si>
  <si>
    <t>6MN4999</t>
  </si>
  <si>
    <t>Shippensburg, PA, 17257</t>
  </si>
  <si>
    <t>Windsor Locks, CT, 06096</t>
  </si>
  <si>
    <t>IN-002504</t>
  </si>
  <si>
    <t>Vernon, CA, 90058</t>
  </si>
  <si>
    <t>IN-002505</t>
  </si>
  <si>
    <t>Mattoon, IL, 61938</t>
  </si>
  <si>
    <t>Columbia, SC, 29209</t>
  </si>
  <si>
    <t>IN-002506</t>
  </si>
  <si>
    <t>Apple Valley, CA, 92307</t>
  </si>
  <si>
    <t>IN-002507</t>
  </si>
  <si>
    <t>North Haven, CT, 06473</t>
  </si>
  <si>
    <t>City of Auburn, NY, 13021</t>
  </si>
  <si>
    <t>IN-002508</t>
  </si>
  <si>
    <t>IN-002509</t>
  </si>
  <si>
    <t>Atlanta, GA, 30336</t>
  </si>
  <si>
    <t>Newburgh, NY, 12550</t>
  </si>
  <si>
    <t>IN-002510</t>
  </si>
  <si>
    <t>7291664773-1</t>
  </si>
  <si>
    <t>Langhorne, PA, 19047</t>
  </si>
  <si>
    <t>Sioux Falls, SD, 57104</t>
  </si>
  <si>
    <t>IN-002511</t>
  </si>
  <si>
    <t>7291665166-1</t>
  </si>
  <si>
    <t>IN-002512</t>
  </si>
  <si>
    <t>7291665266-1</t>
  </si>
  <si>
    <t>Centennial, CO, 80112</t>
  </si>
  <si>
    <t>IN-002513</t>
  </si>
  <si>
    <t>IN-002514</t>
  </si>
  <si>
    <t>Pine Hill, AL, 36769</t>
  </si>
  <si>
    <t>Shillington, PA, 19607</t>
  </si>
  <si>
    <t>IN-002515</t>
  </si>
  <si>
    <t>CHRISTOPHER ELIOTT NUNEZ</t>
  </si>
  <si>
    <t>Siler City, NC, 27344</t>
  </si>
  <si>
    <t>IN-002516</t>
  </si>
  <si>
    <t>OR463319</t>
  </si>
  <si>
    <t>Ontario, CA, 91761</t>
  </si>
  <si>
    <t>IN-002517</t>
  </si>
  <si>
    <t>Fort Worth, TX, 76140</t>
  </si>
  <si>
    <t>Clarksville, AR, 72830</t>
  </si>
  <si>
    <t>IN-002518</t>
  </si>
  <si>
    <t>West Jefferson, OH, 43162</t>
  </si>
  <si>
    <t>Naples, FL, 34104</t>
  </si>
  <si>
    <t>IN-002519</t>
  </si>
  <si>
    <t>New Windsor, NY, 12553</t>
  </si>
  <si>
    <t>Columbus, OH, 43215</t>
  </si>
  <si>
    <t>IN-002520</t>
  </si>
  <si>
    <t>TR-0000465566-01</t>
  </si>
  <si>
    <t>Piney, AR, 71913</t>
  </si>
  <si>
    <t>Vermont Heights, FL, 32033</t>
  </si>
  <si>
    <t>IN-002521</t>
  </si>
  <si>
    <t>Hollis, ME, 04042</t>
  </si>
  <si>
    <t>Seekonk, MA, 02771</t>
  </si>
  <si>
    <t>IN-002523</t>
  </si>
  <si>
    <t>Southborough, MA, 01772</t>
  </si>
  <si>
    <t>Savannah, GA, 31401</t>
  </si>
  <si>
    <t>IN-002525</t>
  </si>
  <si>
    <t>IN-002526</t>
  </si>
  <si>
    <t>M282847</t>
  </si>
  <si>
    <t>Clarkton, NC, 28433</t>
  </si>
  <si>
    <t>Spokane, WA, 99224</t>
  </si>
  <si>
    <t>IN-002530</t>
  </si>
  <si>
    <t>Williamsport, PA, 17701</t>
  </si>
  <si>
    <t>IN-002534</t>
  </si>
  <si>
    <t>IN-002538</t>
  </si>
  <si>
    <t>11.24.2025-11.30.2025</t>
  </si>
  <si>
    <t>MIles</t>
  </si>
  <si>
    <t>Thanksgiving Bonus</t>
  </si>
  <si>
    <t>Avoiding Tolls</t>
  </si>
  <si>
    <t>Driver payment</t>
  </si>
  <si>
    <t>PAYCHECK AMOUNT 
 to the OWNER</t>
  </si>
  <si>
    <t>PAYCHECK AMOUNT 
 to the DRIVER</t>
  </si>
  <si>
    <t>Maintenance/repairs</t>
  </si>
  <si>
    <t>Tire replacement- $479.43</t>
  </si>
  <si>
    <t xml:space="preserve">Repair </t>
  </si>
  <si>
    <t>2nd part of total $2800</t>
  </si>
  <si>
    <t>Peters Spring Alingment</t>
  </si>
  <si>
    <t>Elif's stmts</t>
  </si>
  <si>
    <t>Extra Stop</t>
  </si>
  <si>
    <t>elisf stmt</t>
  </si>
  <si>
    <t>Elifs stmts</t>
  </si>
  <si>
    <t>Parking fee</t>
  </si>
  <si>
    <t>Thanksgiving bonus</t>
  </si>
  <si>
    <t>Recovery</t>
  </si>
  <si>
    <t>1 extra stop</t>
  </si>
  <si>
    <t xml:space="preserve">Remove&amp;Replace </t>
  </si>
  <si>
    <t>10th of 13 total $3834</t>
  </si>
  <si>
    <t xml:space="preserve">Tire Replacement </t>
  </si>
  <si>
    <t>3rd of 3 total $1533.16</t>
  </si>
  <si>
    <t>DH miles</t>
  </si>
  <si>
    <t xml:space="preserve">Sensor replacement </t>
  </si>
  <si>
    <t>Truckparking Club</t>
  </si>
  <si>
    <t>miles</t>
  </si>
  <si>
    <t>Fuel is dif in Elifs stmts</t>
  </si>
  <si>
    <t>Tire Replacement 3rd of 3 total $1,570.31 and Electric line replacement</t>
  </si>
  <si>
    <t>Negative balance</t>
  </si>
  <si>
    <t>CEY&amp;CEY LLC</t>
  </si>
  <si>
    <t>Neg balance?</t>
  </si>
  <si>
    <t>Air leak repair</t>
  </si>
  <si>
    <t>3348 Elifs stmt</t>
  </si>
  <si>
    <t>Scrap fee &amp;Tire replacement</t>
  </si>
  <si>
    <t>Antifreeze</t>
  </si>
  <si>
    <t>Boss Trucking and Equipment LLC</t>
  </si>
  <si>
    <t>3466 Elifs stmt</t>
  </si>
  <si>
    <t>Uber &amp;Airfair</t>
  </si>
  <si>
    <t>1154 Elifs stmt</t>
  </si>
  <si>
    <t>Truck expences</t>
  </si>
  <si>
    <t>2nd of 4 Total $880</t>
  </si>
  <si>
    <t>2nd of 3 Total 2233.85</t>
  </si>
  <si>
    <t>0515</t>
  </si>
  <si>
    <t>Lysander New Community, NY, 13027</t>
  </si>
  <si>
    <t>Jacksonville, FL, 32218</t>
  </si>
  <si>
    <t>IN-002540</t>
  </si>
  <si>
    <t>Riverside, CA, 92508</t>
  </si>
  <si>
    <t>Sioux Falls, SD, 57107</t>
  </si>
  <si>
    <t>IN-002537</t>
  </si>
  <si>
    <t>Essex, MD, 21221</t>
  </si>
  <si>
    <t>Cicero, IL, 60155</t>
  </si>
  <si>
    <t>IN-002536</t>
  </si>
  <si>
    <t>La Porte, TX, 77571</t>
  </si>
  <si>
    <t>Naugatuck, CT, 06770</t>
  </si>
  <si>
    <t>IN-002535</t>
  </si>
  <si>
    <t>North Bellport, NY, 11713</t>
  </si>
  <si>
    <t>IN-002533</t>
  </si>
  <si>
    <t>BEN BELLAH BELISCAR</t>
  </si>
  <si>
    <t>IN-002532</t>
  </si>
  <si>
    <t>Orlando, FL, 32824</t>
  </si>
  <si>
    <t>Blasdell, NY, 14219</t>
  </si>
  <si>
    <t>IN-002531</t>
  </si>
  <si>
    <t>Allentown, PA, 18103</t>
  </si>
  <si>
    <t>Pompano Beach, FL, 33076</t>
  </si>
  <si>
    <t>IN-002529</t>
  </si>
  <si>
    <t>EFJ105052</t>
  </si>
  <si>
    <t>Williamston, NC, 27892</t>
  </si>
  <si>
    <t>Auburn, WA, 98001</t>
  </si>
  <si>
    <t>IN-002528</t>
  </si>
  <si>
    <t>Holbrook, MA, 02343</t>
  </si>
  <si>
    <t>Pleasant Prairie, WI, 53158</t>
  </si>
  <si>
    <t>IN-002527</t>
  </si>
  <si>
    <t>Plainfield, IN, 46168</t>
  </si>
  <si>
    <t>IN-002524</t>
  </si>
  <si>
    <t>Courtland, VA, 23837</t>
  </si>
  <si>
    <t>Chicopee, MA, 01013</t>
  </si>
  <si>
    <t>IN-002522</t>
  </si>
  <si>
    <t>Byhalia, MS, 38611</t>
  </si>
  <si>
    <t>Prattville, AL, 36067</t>
  </si>
  <si>
    <t>IN-002551</t>
  </si>
  <si>
    <t>356311-0</t>
  </si>
  <si>
    <t>Ware, MA, 01082</t>
  </si>
  <si>
    <t>Taylor, MI, 48180</t>
  </si>
  <si>
    <t>IN-002550</t>
  </si>
  <si>
    <t>Riverdale, UT, 84405</t>
  </si>
  <si>
    <t>IN-002547</t>
  </si>
  <si>
    <t>6NB1211</t>
  </si>
  <si>
    <t>Sanford, FL, 32771</t>
  </si>
  <si>
    <t>Pittsville, WI, 54466</t>
  </si>
  <si>
    <t>IN-002546</t>
  </si>
  <si>
    <t>Olive Branch, MS, 38654</t>
  </si>
  <si>
    <t>Cypress, TX, 77433</t>
  </si>
  <si>
    <t>IN-002545</t>
  </si>
  <si>
    <t>Camp Hill, PA, 17011</t>
  </si>
  <si>
    <t>Aurora, CO, 80019</t>
  </si>
  <si>
    <t>IN-002544</t>
  </si>
  <si>
    <t>McCalla, AL, 35111</t>
  </si>
  <si>
    <t>IN-002543</t>
  </si>
  <si>
    <t>KEMAL ISA DAGBOLEN</t>
  </si>
  <si>
    <t>Clinton, SC, 29325</t>
  </si>
  <si>
    <t>, NY, 12831</t>
  </si>
  <si>
    <t>IN-002542</t>
  </si>
  <si>
    <t>Quincy, FL, 32351</t>
  </si>
  <si>
    <t>Chicopee, MA, 01022</t>
  </si>
  <si>
    <t>IN-002541</t>
  </si>
  <si>
    <t>Dartmouth, MA, 02747</t>
  </si>
  <si>
    <t>IN-002539</t>
  </si>
  <si>
    <t>Moses Lake, WA, 98837</t>
  </si>
  <si>
    <t>Corcoran, CA, 93212</t>
  </si>
  <si>
    <t>IN-002563</t>
  </si>
  <si>
    <t>Columbus, MS, 39701</t>
  </si>
  <si>
    <t>PORT WENTWRTH, GA, 31407</t>
  </si>
  <si>
    <t>IN-002562</t>
  </si>
  <si>
    <t>Lake Forest, IL, 60045</t>
  </si>
  <si>
    <t>Wilmington, NC, 28405</t>
  </si>
  <si>
    <t>IN-002561</t>
  </si>
  <si>
    <t>Mebane, NC, 27302</t>
  </si>
  <si>
    <t>Abilene, TX, 79602</t>
  </si>
  <si>
    <t>IN-002560</t>
  </si>
  <si>
    <t>Town of Conklin, NY, 13748</t>
  </si>
  <si>
    <t>IN-002559</t>
  </si>
  <si>
    <t>Jacksonville, FL, 32221</t>
  </si>
  <si>
    <t>Jal, NM, 88252</t>
  </si>
  <si>
    <t>IN-002558</t>
  </si>
  <si>
    <t>Syosset, NY, 11791</t>
  </si>
  <si>
    <t>Boca Raton, FL, 33487</t>
  </si>
  <si>
    <t>IN-002557</t>
  </si>
  <si>
    <t>Quincy, WA, 98848</t>
  </si>
  <si>
    <t>Clewiston, FL, 33493</t>
  </si>
  <si>
    <t>IN-002556</t>
  </si>
  <si>
    <t>Daytona Beach, FL, 32114</t>
  </si>
  <si>
    <t>Manassas, VA, 20109</t>
  </si>
  <si>
    <t>IN-002555</t>
  </si>
  <si>
    <t>Tamaqua, PA, 18252</t>
  </si>
  <si>
    <t>Dundalk, MD, 21222</t>
  </si>
  <si>
    <t>IN-002554</t>
  </si>
  <si>
    <t>Wetumpka, AL, 36092</t>
  </si>
  <si>
    <t>Memphis, TN, 38118</t>
  </si>
  <si>
    <t>IN-002553</t>
  </si>
  <si>
    <t>City of Berlin, WI, 54923</t>
  </si>
  <si>
    <t>Winter Haven, FL, 33880</t>
  </si>
  <si>
    <t>IN-002552</t>
  </si>
  <si>
    <t>IN-002549</t>
  </si>
  <si>
    <t>IN-002548</t>
  </si>
  <si>
    <t>City of Amsterdam, NY, 12010</t>
  </si>
  <si>
    <t>New Bedford, MA, 02744</t>
  </si>
  <si>
    <t>IN-002584</t>
  </si>
  <si>
    <t>S CHESTERFLD, VA, 23834</t>
  </si>
  <si>
    <t>Lathrop, CA, 95330</t>
  </si>
  <si>
    <t>IN-002582</t>
  </si>
  <si>
    <t>53702-26</t>
  </si>
  <si>
    <t>City of Schenectady, NY, 12305</t>
  </si>
  <si>
    <t>Princeton, WV, 24740</t>
  </si>
  <si>
    <t>IN-002579</t>
  </si>
  <si>
    <t>Gleed, WA, 98908</t>
  </si>
  <si>
    <t>Washington Township, PA, 17268</t>
  </si>
  <si>
    <t>IN-002578</t>
  </si>
  <si>
    <t>Palm River-Clair Mel, FL, 33619</t>
  </si>
  <si>
    <t>Woodbridge Township, NJ, 07001</t>
  </si>
  <si>
    <t>IN-002576</t>
  </si>
  <si>
    <t>Austin, TX, 78754</t>
  </si>
  <si>
    <t>Jersey City, NJ, 07097</t>
  </si>
  <si>
    <t>IN-002575</t>
  </si>
  <si>
    <t>, MS, 38879</t>
  </si>
  <si>
    <t>Dallas, TX, 75232</t>
  </si>
  <si>
    <t>IN-002574</t>
  </si>
  <si>
    <t>Dorchester, WI, 54425</t>
  </si>
  <si>
    <t>IN-002573</t>
  </si>
  <si>
    <t>356475-0</t>
  </si>
  <si>
    <t>Columbia, TN, 38401</t>
  </si>
  <si>
    <t>IN-002572</t>
  </si>
  <si>
    <t>Albuquerque, NM, 87107</t>
  </si>
  <si>
    <t>IN-002571</t>
  </si>
  <si>
    <t>Agawam, MA, 01001</t>
  </si>
  <si>
    <t>New Springfield, OH, 44443</t>
  </si>
  <si>
    <t>IN-002570</t>
  </si>
  <si>
    <t>Holyoke, MA, 01040</t>
  </si>
  <si>
    <t>Munroe Falls, OH, 44262</t>
  </si>
  <si>
    <t>IN-002569</t>
  </si>
  <si>
    <t>152946-KL</t>
  </si>
  <si>
    <t>Statesboro, GA,</t>
  </si>
  <si>
    <t>Orlando, FL,</t>
  </si>
  <si>
    <t>IN-002568</t>
  </si>
  <si>
    <t>Pocomoke City, MD, 21851</t>
  </si>
  <si>
    <t>Farmington, CT, 06032</t>
  </si>
  <si>
    <t>IN-002567</t>
  </si>
  <si>
    <t>Hazle Township, PA, 18202</t>
  </si>
  <si>
    <t>IN-002566</t>
  </si>
  <si>
    <t>Fall River, MA, 02720</t>
  </si>
  <si>
    <t>IN-002565</t>
  </si>
  <si>
    <t>356325-0</t>
  </si>
  <si>
    <t>West Unity, OH, 43570</t>
  </si>
  <si>
    <t>Leominster, MA, 01453</t>
  </si>
  <si>
    <t>IN-002564</t>
  </si>
  <si>
    <t>356479-0</t>
  </si>
  <si>
    <t>IN-002595</t>
  </si>
  <si>
    <t>Hanover, MD, 21076</t>
  </si>
  <si>
    <t>IN-002594</t>
  </si>
  <si>
    <t>Quarryville, PA, 17566</t>
  </si>
  <si>
    <t>Springfield, MO, 65802</t>
  </si>
  <si>
    <t>IN-002593</t>
  </si>
  <si>
    <t>Golden, CO, 80403</t>
  </si>
  <si>
    <t>Nashua, NH, 03063</t>
  </si>
  <si>
    <t>IN-002591</t>
  </si>
  <si>
    <t>Hawkins, TX, 75765</t>
  </si>
  <si>
    <t>New Albany, MS, 38652</t>
  </si>
  <si>
    <t>IN-002590</t>
  </si>
  <si>
    <t>West Caldwell, NJ, 07006</t>
  </si>
  <si>
    <t>Missoula, MT, 59808</t>
  </si>
  <si>
    <t>IN-002589</t>
  </si>
  <si>
    <t>Imperial, PA, 15126</t>
  </si>
  <si>
    <t>Miami, FL, 33178</t>
  </si>
  <si>
    <t>IN-002588</t>
  </si>
  <si>
    <t>Fall River, MA, 02721</t>
  </si>
  <si>
    <t>Idaho Falls, ID, 83402</t>
  </si>
  <si>
    <t>IN-002587</t>
  </si>
  <si>
    <t>Albuquerque, NM, 87105</t>
  </si>
  <si>
    <t>Monrovia, MD, 21770</t>
  </si>
  <si>
    <t>IN-002586</t>
  </si>
  <si>
    <t>Springfield, OH, 45502</t>
  </si>
  <si>
    <t>IN-002585</t>
  </si>
  <si>
    <t>JAVEN PETERSON</t>
  </si>
  <si>
    <t>356304-0</t>
  </si>
  <si>
    <t>IN-002583</t>
  </si>
  <si>
    <t>El Paso, TX, 79907</t>
  </si>
  <si>
    <t>Atglen, PA, 19310</t>
  </si>
  <si>
    <t>IN-002581</t>
  </si>
  <si>
    <t>Wagram, NC, 28396</t>
  </si>
  <si>
    <t>Denver, CO, 80239</t>
  </si>
  <si>
    <t>IN-002580</t>
  </si>
  <si>
    <t>Charlotte, NC, 28269</t>
  </si>
  <si>
    <t>Kent, WA, 98032</t>
  </si>
  <si>
    <t>IN-002577</t>
  </si>
  <si>
    <t>Oakland, CA, 94607</t>
  </si>
  <si>
    <t>Yankton, SD, 57078</t>
  </si>
  <si>
    <t>IN-002615</t>
  </si>
  <si>
    <t>Lyons, GA, 30436</t>
  </si>
  <si>
    <t>Town of Lancaster, NY, 14086</t>
  </si>
  <si>
    <t>IN-002603</t>
  </si>
  <si>
    <t>Jupiter, FL, 33478</t>
  </si>
  <si>
    <t>Ocala, FL, 34482</t>
  </si>
  <si>
    <t>IN-002614</t>
  </si>
  <si>
    <t>Mitchell, SD, 57301</t>
  </si>
  <si>
    <t>Dover, DE, 19904</t>
  </si>
  <si>
    <t>IN-002605</t>
  </si>
  <si>
    <t>San Diego, CA, 92130</t>
  </si>
  <si>
    <t>Kansas City, MO, 64127</t>
  </si>
  <si>
    <t>IN-002598</t>
  </si>
  <si>
    <t>WILHEM FORTUNE</t>
  </si>
  <si>
    <t>Philadelphia, PA, 19116</t>
  </si>
  <si>
    <t>Gastonia, NC, 28054</t>
  </si>
  <si>
    <t>IN-002597</t>
  </si>
  <si>
    <t>Plant City, FL, 33566</t>
  </si>
  <si>
    <t>Flatonia, TX, 78941</t>
  </si>
  <si>
    <t>IN-002596</t>
  </si>
  <si>
    <t>12.01.2025-12.07.2025</t>
  </si>
  <si>
    <t>Thnaksgiving Day</t>
  </si>
  <si>
    <t>v</t>
  </si>
  <si>
    <t>11.24.25-11.30.25</t>
  </si>
  <si>
    <t>ITF LOGISTICS GROUP LLC</t>
  </si>
  <si>
    <t>dispatched</t>
  </si>
  <si>
    <t>in_transit</t>
  </si>
  <si>
    <t>Gravity Logistics</t>
  </si>
  <si>
    <t>CW Carriers USA Inc. Tampa FL</t>
  </si>
  <si>
    <t>invoiced</t>
  </si>
  <si>
    <t>Openroad Global</t>
  </si>
  <si>
    <t>canceled</t>
  </si>
  <si>
    <t>EXPRESS LOGISTICS INC.</t>
  </si>
  <si>
    <t>ECHO GLOBAL LOGISTICS INC</t>
  </si>
  <si>
    <t>Rome, GA, 30165</t>
  </si>
  <si>
    <t>Federalsburg, MD, 21632</t>
  </si>
  <si>
    <t>IN-002497</t>
  </si>
  <si>
    <t>assigned</t>
  </si>
  <si>
    <t>paid</t>
  </si>
  <si>
    <t>WATCO SUPPLY CHAIN SERVICES LLC</t>
  </si>
  <si>
    <t>ARMSTRONG TRANSPORTATION MANAGEMENT</t>
  </si>
  <si>
    <t>Listo Services</t>
  </si>
  <si>
    <t>Ship Spartan</t>
  </si>
  <si>
    <t>Value Logistics INC</t>
  </si>
  <si>
    <t>Backhaul Direct</t>
  </si>
  <si>
    <t>Midlink Logistics</t>
  </si>
  <si>
    <t>, SC, 29501</t>
  </si>
  <si>
    <t>CJ Logistics Transportation, LLC</t>
  </si>
  <si>
    <t>GREAT LAKES TRANSPORT SOLUTION</t>
  </si>
  <si>
    <t>ARVO DISTRIBUTION LLC</t>
  </si>
  <si>
    <t>North American Logistics Services</t>
  </si>
  <si>
    <t>TA services</t>
  </si>
  <si>
    <t>booked</t>
  </si>
  <si>
    <t>FUEL 11.24.25-11.30.25</t>
  </si>
  <si>
    <t>Amt Billed</t>
  </si>
  <si>
    <t>7083050030284277261</t>
  </si>
  <si>
    <t>7083050030788437429</t>
  </si>
  <si>
    <t>7083050030485767946</t>
  </si>
  <si>
    <t>7083050030284257263</t>
  </si>
  <si>
    <t>7083050030688137947</t>
  </si>
  <si>
    <t>7083050030791697381</t>
  </si>
  <si>
    <t>7083050030784017530</t>
  </si>
  <si>
    <t>7083050030283217276</t>
  </si>
  <si>
    <t>7083050030999767598</t>
  </si>
  <si>
    <t>7083050030496907515</t>
  </si>
  <si>
    <t>7083050030999747574</t>
  </si>
  <si>
    <t>7083050030784097532</t>
  </si>
  <si>
    <t>7083050030785027546</t>
  </si>
  <si>
    <t>7083050030783097533</t>
  </si>
  <si>
    <t>7083050030785057543</t>
  </si>
  <si>
    <t>Boss Trucking LLC</t>
  </si>
  <si>
    <t>Paula Nicolas</t>
  </si>
  <si>
    <t>Ricky L Mathews</t>
  </si>
  <si>
    <t>Dequarvion Khaleb</t>
  </si>
  <si>
    <t>Jean Florestal</t>
  </si>
  <si>
    <t>Besa Trans[port LLC</t>
  </si>
  <si>
    <t>Fewziyes Place LLC</t>
  </si>
  <si>
    <t>Neta Global Logistics LLC</t>
  </si>
  <si>
    <t>Rivershorevibes LLC</t>
  </si>
  <si>
    <t>11/24/2025 - 11/30/2025</t>
  </si>
  <si>
    <t>Bridgewater,NJ-Belle Fourche,WY</t>
  </si>
  <si>
    <t>Belle Fourche,WY-Apple Valley,CA</t>
  </si>
  <si>
    <t>Thanksgiving</t>
  </si>
  <si>
    <t>PAY CHECK AMOUNT 
to the DRIVER</t>
  </si>
  <si>
    <t>PAY CHECK AMOUNT 
to the OWNER</t>
  </si>
  <si>
    <t>20649044</t>
  </si>
  <si>
    <t>New Iberia,LA-Florence,SC</t>
  </si>
  <si>
    <t>Tire Replacement</t>
  </si>
  <si>
    <t>Whitehall,NY-Pompano Beach,FL</t>
  </si>
  <si>
    <t>Mechanicsburg,PA-Royal Palm Beach,FL</t>
  </si>
  <si>
    <t>7291664773-1/7291665166-1/7291665266-1</t>
  </si>
  <si>
    <t>Langhorne,PA-Centennial,CO</t>
  </si>
  <si>
    <t>Repair Fee 2nd of 3 total $2800</t>
  </si>
  <si>
    <t>Commerce City,CO-Clinton,UT</t>
  </si>
  <si>
    <t>Sugar City,ID-Moro,OR</t>
  </si>
  <si>
    <t>Yakima,WA-Plainville,MA</t>
  </si>
  <si>
    <t>East Hartford,CT-Bedford Heights,OH</t>
  </si>
  <si>
    <t>0393581</t>
  </si>
  <si>
    <t>Austintown,OH-Alachua,FL</t>
  </si>
  <si>
    <t>Belcamp,MD-Mars Hill,ME</t>
  </si>
  <si>
    <t>Fort Fairfield,ME-Johns Island,SC</t>
  </si>
  <si>
    <t>Clarkton,NC-Spokane,WA</t>
  </si>
  <si>
    <t>Fort Worth,TX-Fountain,CO</t>
  </si>
  <si>
    <t>2026142</t>
  </si>
  <si>
    <t>Lakewood,CO-Salt Lake City,UT</t>
  </si>
  <si>
    <t>Spanish Fork,Ut-Henderson,NC</t>
  </si>
  <si>
    <t>Strap</t>
  </si>
  <si>
    <t>2890</t>
  </si>
  <si>
    <t>Lancaster,PA-Fort Pierce,FL</t>
  </si>
  <si>
    <t>Portland,OR-Colonial Heights,VA</t>
  </si>
  <si>
    <t>Pine Hill,AL-Shillington,PA</t>
  </si>
  <si>
    <t>Shafter,CA-Fremont,CA</t>
  </si>
  <si>
    <t>Salinas,CA-Apple Valley,CA</t>
  </si>
  <si>
    <t>Ontario,CA-Charlotte,NC</t>
  </si>
  <si>
    <t>Philadelphia,PA-Circleville,OH</t>
  </si>
  <si>
    <t>New Concord,OH-Front Royal,VA</t>
  </si>
  <si>
    <t>Inwood,WV-Wilmer,TX</t>
  </si>
  <si>
    <t>0396969</t>
  </si>
  <si>
    <t>Fort Worth,TX-Clarksville,AR</t>
  </si>
  <si>
    <t>Piney,AR-Vermont Heights,FL</t>
  </si>
  <si>
    <t>Remove&amp;Replace 10th of 13 total $3834</t>
  </si>
  <si>
    <t>Tire Replacement 3rd of 3 total $1533.16</t>
  </si>
  <si>
    <t>North East,MD-Lithia Springs,GA</t>
  </si>
  <si>
    <t>Atlanta,GA-Newburgh,NY</t>
  </si>
  <si>
    <t>Waterford,PA-Daytona Beach,FL</t>
  </si>
  <si>
    <t>Cayo Marc Aurel</t>
  </si>
  <si>
    <t>Woodburn,OR-Brawley,CA</t>
  </si>
  <si>
    <t>dh miles</t>
  </si>
  <si>
    <t>Sensor Replacement</t>
  </si>
  <si>
    <t>LZ20638176</t>
  </si>
  <si>
    <t>Lemont,IL-North Kansas City,MO</t>
  </si>
  <si>
    <t>Olathe,KS-Champaign,IL</t>
  </si>
  <si>
    <t>Mattoon,IL-Columbia,SC</t>
  </si>
  <si>
    <t>Ripon,CA-Goleta,CA</t>
  </si>
  <si>
    <t>Vernon,CA-Mechanicsburg,PA</t>
  </si>
  <si>
    <t>Tire Replacement 3rd of 3 total $1,570.31</t>
  </si>
  <si>
    <t>Electric Line Replacement</t>
  </si>
  <si>
    <t>3881</t>
  </si>
  <si>
    <t>535801219/535295368</t>
  </si>
  <si>
    <t>Buford,GA-Enfield,CT</t>
  </si>
  <si>
    <t>Ellington,CT-Abingdon,VA</t>
  </si>
  <si>
    <t>Siler City,NC-Taunton,MA</t>
  </si>
  <si>
    <t>Hollis,ME-Seekonik,MA</t>
  </si>
  <si>
    <t>Commerce City,CO-Riverton,UT</t>
  </si>
  <si>
    <t>West Valley City,UT-Evansville,WY</t>
  </si>
  <si>
    <t>South Jordan,UT-Spencer,IN</t>
  </si>
  <si>
    <t>Air Leak Repair</t>
  </si>
  <si>
    <t>Easton,PA-Huntington,WV</t>
  </si>
  <si>
    <t>0120482</t>
  </si>
  <si>
    <t>Ironton,OH-Sterling,VA</t>
  </si>
  <si>
    <t>Shippensburg,PA-Windsor Locks,CT</t>
  </si>
  <si>
    <t>New Windsor,NY-Columbus,OH</t>
  </si>
  <si>
    <t>West Jefferson,OH-Naples,FL</t>
  </si>
  <si>
    <t>Scrap Fee&amp;Tire Replacement</t>
  </si>
  <si>
    <t>Valmond Cloudy</t>
  </si>
  <si>
    <t>Westlake,LA-Mount Vernon,IL</t>
  </si>
  <si>
    <t>Jonesboro,AR-Westborough,MA</t>
  </si>
  <si>
    <t>Southborough,MA-Savannah,GA</t>
  </si>
  <si>
    <t>Uber</t>
  </si>
  <si>
    <t>6813</t>
  </si>
  <si>
    <t>North Haven,CT-City of Auburn,NY</t>
  </si>
  <si>
    <t>Williamsport,PA-Williamsport,PA</t>
  </si>
  <si>
    <t>Truck Expences 2nd of 4 total $880</t>
  </si>
  <si>
    <t>0161551</t>
  </si>
  <si>
    <t>Staunton,VA-Macon,GA</t>
  </si>
  <si>
    <t>1540219/LOT 1258418</t>
  </si>
  <si>
    <t>Clarkston,GA-Jersey City,NJ</t>
  </si>
  <si>
    <t>General Maintenance 2nd of 3 total $2233.85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</si>
</sst>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/d/yyyy"/>
    <numFmt numFmtId="165" formatCode="&quot;$&quot;#,##0.00"/>
    <numFmt numFmtId="166" formatCode="&quot;$&quot;#,##0"/>
    <numFmt numFmtId="167" formatCode="mmmm d"/>
    <numFmt numFmtId="168" formatCode="&quot;$&quot;#,##0.00_);[Red]\(&quot;$&quot;#,##0.00\)"/>
    <numFmt numFmtId="169" formatCode="&quot;$&quot;#,##0_);[Red]\(&quot;$&quot;#,##0\)"/>
    <numFmt numFmtId="170" formatCode="m/d/yy"/>
    <numFmt numFmtId="171" formatCode="mm/dd/yyyy"/>
  </numFmts>
  <fonts count="59">
    <font>
      <sz val="12.0"/>
      <color theme="1"/>
      <name val="Arial"/>
      <scheme val="minor"/>
    </font>
    <font>
      <color theme="1"/>
      <name val="Arial"/>
      <scheme val="minor"/>
    </font>
    <font>
      <b/>
      <sz val="11.0"/>
      <color theme="1"/>
      <name val="Calibri"/>
    </font>
    <font>
      <b/>
      <sz val="11.0"/>
      <color rgb="FF000000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color theme="1"/>
      <name val="Calibri"/>
    </font>
    <font>
      <b/>
      <color theme="1"/>
      <name val="Calibri"/>
    </font>
    <font/>
    <font>
      <color rgb="FF1F1F1F"/>
      <name val="Calibri"/>
    </font>
    <font>
      <sz val="11.0"/>
      <color rgb="FF1F1F1F"/>
      <name val="Calibri"/>
    </font>
    <font>
      <sz val="10.0"/>
      <color theme="1"/>
      <name val="Arial"/>
    </font>
    <font>
      <color rgb="FF000000"/>
      <name val="Calibri"/>
    </font>
    <font>
      <sz val="12.0"/>
      <color theme="1"/>
      <name val="Aptos Narrow"/>
    </font>
    <font>
      <b/>
      <sz val="12.0"/>
      <color theme="1"/>
      <name val="Aptos Narrow"/>
    </font>
    <font>
      <b/>
      <sz val="24.0"/>
      <color theme="1"/>
      <name val="Aptos Narrow"/>
    </font>
    <font>
      <b/>
      <sz val="18.0"/>
      <color theme="1"/>
      <name val="Aptos Narrow"/>
    </font>
    <font>
      <b/>
      <sz val="13.0"/>
      <color theme="1"/>
      <name val="Aptos Narrow"/>
    </font>
    <font>
      <i/>
      <sz val="12.0"/>
      <color theme="1"/>
      <name val="Aptos Narrow"/>
    </font>
    <font>
      <b/>
      <sz val="24.0"/>
      <color theme="1"/>
      <name val="Arial"/>
    </font>
    <font>
      <sz val="12.0"/>
      <color rgb="FFFF0000"/>
      <name val="Aptos Narrow"/>
    </font>
    <font>
      <sz val="10.0"/>
      <color rgb="FF000000"/>
      <name val="Calibri"/>
    </font>
    <font>
      <sz val="10.0"/>
      <color theme="1"/>
      <name val="Calibri"/>
    </font>
    <font>
      <sz val="12.0"/>
      <color rgb="FF000000"/>
      <name val="&quot;Aptos Narrow&quot;"/>
    </font>
    <font>
      <sz val="12.0"/>
      <color rgb="FF000000"/>
      <name val="&quot;Century Gothic&quot;"/>
    </font>
    <font>
      <b/>
      <sz val="14.0"/>
      <color rgb="FF000000"/>
      <name val="&quot;Century Gothic&quot;"/>
    </font>
    <font>
      <b/>
      <sz val="10.0"/>
      <color rgb="FF000000"/>
      <name val="Calibri"/>
    </font>
    <font>
      <sz val="9.0"/>
      <color rgb="FF000000"/>
      <name val="&quot;Century Gothic&quot;"/>
    </font>
    <font>
      <sz val="11.0"/>
      <color rgb="FF000000"/>
      <name val="&quot;Century Gothic&quot;"/>
    </font>
    <font>
      <sz val="11.0"/>
      <color rgb="FF000000"/>
      <name val="Century Gothic"/>
    </font>
    <font>
      <b/>
      <sz val="11.0"/>
      <color theme="1"/>
      <name val="Century Gothic"/>
    </font>
    <font>
      <sz val="11.0"/>
      <color theme="1"/>
      <name val="Century Gothic"/>
    </font>
    <font>
      <color rgb="FFFFFFFF"/>
      <name val="&quot;Century Gothic&quot;"/>
    </font>
    <font>
      <sz val="10.0"/>
      <color rgb="FFFFFFFF"/>
      <name val="&quot;Century Gothic&quot;"/>
    </font>
    <font>
      <sz val="11.0"/>
      <color rgb="FFFFFFFF"/>
      <name val="Century Gothic"/>
    </font>
    <font>
      <b/>
      <color rgb="FFFFFFFF"/>
      <name val="&quot;Century Gothic&quot;"/>
    </font>
    <font>
      <b/>
      <sz val="11.0"/>
      <color rgb="FF000000"/>
      <name val="Century Gothic"/>
    </font>
    <font>
      <strike/>
      <sz val="11.0"/>
      <color rgb="FF000000"/>
      <name val="Century Gothic"/>
    </font>
    <font>
      <sz val="12.0"/>
      <color rgb="FF000000"/>
      <name val="Calibri"/>
    </font>
    <font>
      <color rgb="FFFF0000"/>
      <name val="Arial"/>
      <scheme val="minor"/>
    </font>
    <font>
      <b/>
      <sz val="12.0"/>
      <color rgb="FF000000"/>
      <name val="Calibri"/>
    </font>
    <font>
      <color rgb="FF000000"/>
      <name val="&quot;Arial Unicode MS&quot;"/>
    </font>
    <font>
      <color rgb="FF000000"/>
      <name val="Arial"/>
    </font>
    <font>
      <sz val="12.0"/>
      <color theme="1"/>
      <name val="Arial"/>
    </font>
    <font>
      <sz val="10.0"/>
      <color rgb="FF000000"/>
      <name val="Century Gothic"/>
    </font>
    <font>
      <sz val="12.0"/>
      <color rgb="FF000000"/>
      <name val="Arial"/>
    </font>
    <font>
      <b/>
      <sz val="12.0"/>
      <color rgb="FF000000"/>
      <name val="Arial"/>
    </font>
    <font>
      <sz val="11.0"/>
      <color rgb="FF000000"/>
      <name val="&quot;Arial Unicode MS&quot;"/>
    </font>
    <font>
      <b/>
      <sz val="13.0"/>
      <color theme="1"/>
      <name val="Arial"/>
    </font>
    <font>
      <b/>
      <sz val="12.0"/>
      <color theme="1"/>
      <name val="Arial"/>
    </font>
    <font>
      <b/>
      <sz val="10.0"/>
      <color rgb="FF000000"/>
      <name val="Century Gothic"/>
    </font>
    <font>
      <b/>
      <color rgb="FF000000"/>
      <name val="Arial"/>
    </font>
    <font>
      <b/>
      <sz val="10.0"/>
      <color theme="1"/>
      <name val="Arial"/>
    </font>
    <font>
      <b/>
      <sz val="9.0"/>
      <color rgb="FF000000"/>
      <name val="Arial"/>
    </font>
    <font>
      <color theme="1"/>
      <name val="Century Gothic"/>
    </font>
    <font>
      <sz val="12.0"/>
      <color theme="1"/>
      <name val="Century Gothic"/>
    </font>
    <font>
      <b/>
      <sz val="14.0"/>
      <color theme="1"/>
      <name val="Century Gothic"/>
    </font>
    <font>
      <sz val="9.0"/>
      <color theme="1"/>
      <name val="Century Gothic"/>
    </font>
  </fonts>
  <fills count="38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6FA8DC"/>
        <bgColor rgb="FF6FA8DC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666666"/>
        <bgColor rgb="FF666666"/>
      </patternFill>
    </fill>
    <fill>
      <patternFill patternType="solid">
        <fgColor rgb="FFF4CCCC"/>
        <bgColor rgb="FFF4CCCC"/>
      </patternFill>
    </fill>
    <fill>
      <patternFill patternType="solid">
        <fgColor rgb="FFFBBC04"/>
        <bgColor rgb="FFFBBC04"/>
      </patternFill>
    </fill>
    <fill>
      <patternFill patternType="solid">
        <fgColor rgb="FF6D9EEB"/>
        <bgColor rgb="FF6D9EEB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DBE9F7"/>
        <bgColor rgb="FFDBE9F7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FF00FF"/>
        <bgColor rgb="FFFF00FF"/>
      </patternFill>
    </fill>
    <fill>
      <patternFill patternType="solid">
        <fgColor rgb="FFCC0000"/>
        <bgColor rgb="FFCC0000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EFEFEF"/>
        <bgColor rgb="FFEFEFEF"/>
      </patternFill>
    </fill>
    <fill>
      <patternFill patternType="solid">
        <fgColor rgb="FFEEEEEE"/>
        <bgColor rgb="FFEEEEEE"/>
      </patternFill>
    </fill>
    <fill>
      <patternFill patternType="solid">
        <fgColor rgb="FFD9D2E9"/>
        <bgColor rgb="FFD9D2E9"/>
      </patternFill>
    </fill>
    <fill>
      <patternFill patternType="solid">
        <fgColor rgb="FF999999"/>
        <bgColor rgb="FF999999"/>
      </patternFill>
    </fill>
  </fills>
  <borders count="130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ck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medium">
        <color rgb="FF666666"/>
      </left>
      <top style="medium">
        <color rgb="FF666666"/>
      </top>
    </border>
    <border>
      <top style="medium">
        <color rgb="FF666666"/>
      </top>
    </border>
    <border>
      <right style="medium">
        <color rgb="FF666666"/>
      </right>
      <top style="medium">
        <color rgb="FF666666"/>
      </top>
    </border>
    <border>
      <left style="medium">
        <color rgb="FF666666"/>
      </left>
      <bottom style="medium">
        <color rgb="FF666666"/>
      </bottom>
    </border>
    <border>
      <bottom style="medium">
        <color rgb="FF666666"/>
      </bottom>
    </border>
    <border>
      <right style="medium">
        <color rgb="FF666666"/>
      </right>
      <bottom style="medium">
        <color rgb="FF666666"/>
      </bottom>
    </border>
    <border>
      <left style="thick">
        <color rgb="FFFF0000"/>
      </left>
      <top style="thick">
        <color rgb="FFFF0000"/>
      </top>
      <bottom style="thick">
        <color rgb="FF000000"/>
      </bottom>
    </border>
    <border>
      <top style="thick">
        <color rgb="FFFF0000"/>
      </top>
      <bottom style="thick">
        <color rgb="FF000000"/>
      </bottom>
    </border>
    <border>
      <right style="thick">
        <color rgb="FF000000"/>
      </right>
      <top style="thick">
        <color rgb="FFFF0000"/>
      </top>
      <bottom style="thick">
        <color rgb="FF000000"/>
      </bottom>
    </border>
    <border>
      <right style="thick">
        <color rgb="FFFF0000"/>
      </right>
      <top style="thick">
        <color rgb="FFFF0000"/>
      </top>
      <bottom style="thick">
        <color rgb="FF000000"/>
      </bottom>
    </border>
    <border>
      <left style="thick">
        <color rgb="FF666666"/>
      </left>
      <top style="thick">
        <color rgb="FF666666"/>
      </top>
    </border>
    <border>
      <top style="thick">
        <color rgb="FF666666"/>
      </top>
    </border>
    <border>
      <right style="thick">
        <color rgb="FF666666"/>
      </right>
      <top style="thick">
        <color rgb="FF666666"/>
      </top>
    </border>
    <border>
      <left style="thick">
        <color rgb="FFFF0000"/>
      </left>
      <bottom style="medium">
        <color rgb="FF000000"/>
      </bottom>
    </border>
    <border>
      <right style="medium">
        <color rgb="FFFF0000"/>
      </right>
      <bottom style="medium">
        <color rgb="FF000000"/>
      </bottom>
    </border>
    <border>
      <left style="thick">
        <color rgb="FF666666"/>
      </left>
    </border>
    <border>
      <right style="thick">
        <color rgb="FF666666"/>
      </right>
    </border>
    <border>
      <left style="thick">
        <color rgb="FFFF0000"/>
      </left>
    </border>
    <border>
      <bottom style="thin">
        <color rgb="FF95B3D7"/>
      </bottom>
    </border>
    <border>
      <right style="medium">
        <color rgb="FFFF0000"/>
      </right>
    </border>
    <border>
      <left style="thick">
        <color rgb="FF666666"/>
      </left>
      <bottom style="thick">
        <color rgb="FF666666"/>
      </bottom>
    </border>
    <border>
      <bottom style="thick">
        <color rgb="FF666666"/>
      </bottom>
    </border>
    <border>
      <right style="thick">
        <color rgb="FF666666"/>
      </right>
      <bottom style="thick">
        <color rgb="FF666666"/>
      </bottom>
    </border>
    <border>
      <left style="thick">
        <color rgb="FF666666"/>
      </left>
      <top style="thick">
        <color rgb="FF666666"/>
      </top>
      <bottom style="thick">
        <color rgb="FF666666"/>
      </bottom>
    </border>
    <border>
      <top style="thick">
        <color rgb="FF666666"/>
      </top>
      <bottom style="thick">
        <color rgb="FF666666"/>
      </bottom>
    </border>
    <border>
      <right style="thick">
        <color rgb="FF666666"/>
      </right>
      <top style="thick">
        <color rgb="FF666666"/>
      </top>
      <bottom style="thick">
        <color rgb="FF666666"/>
      </bottom>
    </border>
    <border>
      <top style="thin">
        <color rgb="FF95B3D7"/>
      </top>
    </border>
    <border>
      <right style="thick">
        <color rgb="FFFF0000"/>
      </right>
    </border>
    <border>
      <left style="thick">
        <color rgb="FFFF0000"/>
      </left>
      <bottom style="thick">
        <color rgb="FFFF0000"/>
      </bottom>
    </border>
    <border>
      <bottom style="thick">
        <color rgb="FFFF0000"/>
      </bottom>
    </border>
    <border>
      <right style="thick">
        <color rgb="FFFF0000"/>
      </right>
      <bottom style="thick">
        <color rgb="FFFF0000"/>
      </bottom>
    </border>
    <border>
      <left style="medium">
        <color rgb="FFB7B7B7"/>
      </left>
      <top style="medium">
        <color rgb="FFB7B7B7"/>
      </top>
    </border>
    <border>
      <top style="medium">
        <color rgb="FFB7B7B7"/>
      </top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top style="medium">
        <color rgb="FFB7B7B7"/>
      </top>
      <bottom style="medium">
        <color rgb="FFB7B7B7"/>
      </bottom>
    </border>
    <border>
      <top style="medium">
        <color rgb="FFB7B7B7"/>
      </top>
      <bottom style="medium">
        <color rgb="FFB7B7B7"/>
      </bottom>
    </border>
    <border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</border>
    <border>
      <right style="medium">
        <color rgb="FFB7B7B7"/>
      </right>
    </border>
    <border>
      <left style="medium">
        <color rgb="FF666666"/>
      </left>
      <top style="medium">
        <color rgb="FF666666"/>
      </top>
      <bottom style="medium">
        <color rgb="FF666666"/>
      </bottom>
    </border>
    <border>
      <top style="medium">
        <color rgb="FF666666"/>
      </top>
      <bottom style="medium">
        <color rgb="FF666666"/>
      </bottom>
    </border>
    <border>
      <right style="medium">
        <color rgb="FF666666"/>
      </right>
      <top style="medium">
        <color rgb="FF666666"/>
      </top>
      <bottom style="medium">
        <color rgb="FF666666"/>
      </bottom>
    </border>
    <border>
      <left style="medium">
        <color rgb="FFB7B7B7"/>
      </left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left style="medium">
        <color rgb="FFB7B7B7"/>
      </left>
      <right style="medium">
        <color rgb="FFB7B7B7"/>
      </right>
      <bottom style="medium">
        <color rgb="FFB7B7B7"/>
      </bottom>
    </border>
    <border>
      <right style="medium">
        <color rgb="FF999999"/>
      </right>
    </border>
    <border>
      <left style="medium">
        <color rgb="FF999999"/>
      </left>
      <right style="medium">
        <color rgb="FFB7B7B7"/>
      </right>
    </border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B7B7B7"/>
      </right>
      <top style="medium">
        <color rgb="FF999999"/>
      </top>
      <bottom style="medium">
        <color rgb="FF999999"/>
      </bottom>
    </border>
    <border>
      <left style="medium">
        <color rgb="FFB7B7B7"/>
      </left>
      <bottom style="medium">
        <color rgb="FF999999"/>
      </bottom>
    </border>
    <border>
      <right style="medium">
        <color rgb="FF999999"/>
      </right>
      <bottom style="medium">
        <color rgb="FF999999"/>
      </bottom>
    </border>
    <border>
      <left style="medium">
        <color rgb="FF999999"/>
      </left>
      <right style="medium">
        <color rgb="FFB7B7B7"/>
      </right>
      <bottom style="medium">
        <color rgb="FF999999"/>
      </bottom>
    </border>
    <border>
      <left style="medium">
        <color rgb="FFB7B7B7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B7B7B7"/>
      </right>
      <top style="medium">
        <color rgb="FF999999"/>
      </top>
      <bottom style="medium">
        <color rgb="FF999999"/>
      </bottom>
    </border>
    <border>
      <left style="medium">
        <color rgb="FFB7B7B7"/>
      </left>
      <top style="medium">
        <color rgb="FF999999"/>
      </top>
      <bottom style="medium">
        <color rgb="FFB7B7B7"/>
      </bottom>
    </border>
    <border>
      <right style="medium">
        <color rgb="FF999999"/>
      </right>
      <top style="medium">
        <color rgb="FF999999"/>
      </top>
      <bottom style="medium">
        <color rgb="FFB7B7B7"/>
      </bottom>
    </border>
    <border>
      <right style="medium">
        <color rgb="FFB7B7B7"/>
      </right>
      <top style="medium">
        <color rgb="FF999999"/>
      </top>
      <bottom style="medium">
        <color rgb="FFB7B7B7"/>
      </bottom>
    </border>
    <border>
      <bottom style="medium">
        <color rgb="FFB7B7B7"/>
      </bottom>
    </border>
    <border>
      <left style="thick">
        <color rgb="FFFF0000"/>
      </left>
      <top style="thick">
        <color rgb="FFFF0000"/>
      </top>
    </border>
    <border>
      <top style="thick">
        <color rgb="FFFF0000"/>
      </top>
    </border>
    <border>
      <right style="thick">
        <color rgb="FFFF0000"/>
      </right>
      <top style="thick">
        <color rgb="FFFF0000"/>
      </top>
    </border>
    <border>
      <right style="medium">
        <color rgb="FFFF0000"/>
      </right>
      <top style="thick">
        <color rgb="FFFF0000"/>
      </top>
      <bottom style="thick">
        <color rgb="FF000000"/>
      </bottom>
    </border>
    <border>
      <right style="thick">
        <color rgb="FFFF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0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bottom" wrapText="0"/>
    </xf>
    <xf borderId="0" fillId="0" fontId="3" numFmtId="164" xfId="0" applyAlignment="1" applyFont="1" applyNumberFormat="1">
      <alignment horizontal="center" readingOrder="0" shrinkToFit="0" vertical="bottom" wrapText="0"/>
    </xf>
    <xf borderId="0" fillId="0" fontId="3" numFmtId="165" xfId="0" applyAlignment="1" applyFont="1" applyNumberFormat="1">
      <alignment horizontal="center" readingOrder="0" shrinkToFit="0" vertical="bottom" wrapText="0"/>
    </xf>
    <xf borderId="0" fillId="0" fontId="3" numFmtId="1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2" fontId="5" numFmtId="0" xfId="0" applyAlignment="1" applyFill="1" applyFont="1">
      <alignment horizontal="center" vertical="bottom"/>
    </xf>
    <xf borderId="0" fillId="0" fontId="6" numFmtId="0" xfId="0" applyAlignment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6" numFmtId="1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vertical="bottom"/>
    </xf>
    <xf borderId="0" fillId="3" fontId="6" numFmtId="1" xfId="0" applyAlignment="1" applyFill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readingOrder="0" vertical="bottom"/>
    </xf>
    <xf borderId="0" fillId="0" fontId="1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vertical="bottom"/>
    </xf>
    <xf borderId="0" fillId="0" fontId="1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3" fontId="5" numFmtId="166" xfId="0" applyAlignment="1" applyFont="1" applyNumberFormat="1">
      <alignment horizontal="center" readingOrder="0" vertical="bottom"/>
    </xf>
    <xf borderId="0" fillId="3" fontId="5" numFmtId="0" xfId="0" applyAlignment="1" applyFont="1">
      <alignment horizontal="center" readingOrder="0" vertical="bottom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 vertical="bottom"/>
    </xf>
    <xf borderId="0" fillId="0" fontId="6" numFmtId="0" xfId="0" applyAlignment="1" applyFont="1">
      <alignment horizontal="center"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/>
    </xf>
    <xf borderId="0" fillId="0" fontId="5" numFmtId="165" xfId="0" applyAlignment="1" applyFont="1" applyNumberFormat="1">
      <alignment horizontal="center" vertical="bottom"/>
    </xf>
    <xf borderId="0" fillId="0" fontId="1" numFmtId="0" xfId="0" applyAlignment="1" applyFont="1">
      <alignment horizont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shrinkToFit="0" vertical="center" wrapText="1"/>
    </xf>
    <xf borderId="0" fillId="4" fontId="7" numFmtId="0" xfId="0" applyAlignment="1" applyFill="1" applyFont="1">
      <alignment vertical="center"/>
    </xf>
    <xf borderId="0" fillId="4" fontId="8" numFmtId="0" xfId="0" applyAlignment="1" applyFont="1">
      <alignment horizontal="center" vertical="center"/>
    </xf>
    <xf borderId="0" fillId="4" fontId="7" numFmtId="167" xfId="0" applyAlignment="1" applyFont="1" applyNumberFormat="1">
      <alignment vertical="center"/>
    </xf>
    <xf borderId="0" fillId="4" fontId="2" numFmtId="167" xfId="0" applyAlignment="1" applyFont="1" applyNumberFormat="1">
      <alignment horizontal="center" vertical="center"/>
    </xf>
    <xf borderId="0" fillId="4" fontId="8" numFmtId="0" xfId="0" applyAlignment="1" applyFont="1">
      <alignment horizontal="center" shrinkToFit="0" vertical="center" wrapText="1"/>
    </xf>
    <xf borderId="1" fillId="5" fontId="7" numFmtId="0" xfId="0" applyAlignment="1" applyBorder="1" applyFill="1" applyFont="1">
      <alignment vertical="center"/>
    </xf>
    <xf borderId="1" fillId="5" fontId="7" numFmtId="0" xfId="0" applyAlignment="1" applyBorder="1" applyFont="1">
      <alignment horizontal="center" vertical="center"/>
    </xf>
    <xf borderId="1" fillId="5" fontId="7" numFmtId="0" xfId="0" applyAlignment="1" applyBorder="1" applyFont="1">
      <alignment shrinkToFit="0" vertical="center" wrapText="1"/>
    </xf>
    <xf borderId="2" fillId="5" fontId="7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2" fillId="6" fontId="2" numFmtId="0" xfId="0" applyAlignment="1" applyBorder="1" applyFill="1" applyFont="1">
      <alignment horizontal="center" vertical="center"/>
    </xf>
    <xf borderId="2" fillId="7" fontId="2" numFmtId="0" xfId="0" applyAlignment="1" applyBorder="1" applyFill="1" applyFont="1">
      <alignment horizontal="center" vertical="center"/>
    </xf>
    <xf borderId="3" fillId="0" fontId="7" numFmtId="166" xfId="0" applyAlignment="1" applyBorder="1" applyFont="1" applyNumberFormat="1">
      <alignment horizontal="center" vertical="center"/>
    </xf>
    <xf borderId="4" fillId="0" fontId="7" numFmtId="49" xfId="0" applyAlignment="1" applyBorder="1" applyFont="1" applyNumberFormat="1">
      <alignment horizontal="center" vertical="center"/>
    </xf>
    <xf borderId="5" fillId="0" fontId="8" numFmtId="165" xfId="0" applyAlignment="1" applyBorder="1" applyFont="1" applyNumberFormat="1">
      <alignment horizontal="center" vertical="center"/>
    </xf>
    <xf borderId="3" fillId="8" fontId="8" numFmtId="165" xfId="0" applyAlignment="1" applyBorder="1" applyFill="1" applyFont="1" applyNumberFormat="1">
      <alignment horizontal="center" vertical="center"/>
    </xf>
    <xf borderId="3" fillId="9" fontId="8" numFmtId="165" xfId="0" applyAlignment="1" applyBorder="1" applyFill="1" applyFont="1" applyNumberFormat="1">
      <alignment horizontal="center" vertical="center"/>
    </xf>
    <xf borderId="5" fillId="0" fontId="7" numFmtId="0" xfId="0" applyAlignment="1" applyBorder="1" applyFont="1">
      <alignment shrinkToFit="0" vertical="center" wrapText="1"/>
    </xf>
    <xf borderId="2" fillId="0" fontId="9" numFmtId="0" xfId="0" applyBorder="1" applyFont="1"/>
    <xf borderId="3" fillId="0" fontId="9" numFmtId="0" xfId="0" applyBorder="1" applyFont="1"/>
    <xf borderId="4" fillId="0" fontId="7" numFmtId="49" xfId="0" applyAlignment="1" applyBorder="1" applyFont="1" applyNumberFormat="1">
      <alignment vertical="center"/>
    </xf>
    <xf borderId="3" fillId="0" fontId="7" numFmtId="0" xfId="0" applyAlignment="1" applyBorder="1" applyFont="1">
      <alignment horizontal="center" vertical="center"/>
    </xf>
    <xf borderId="4" fillId="0" fontId="7" numFmtId="166" xfId="0" applyAlignment="1" applyBorder="1" applyFont="1" applyNumberFormat="1">
      <alignment vertical="center"/>
    </xf>
    <xf borderId="6" fillId="0" fontId="9" numFmtId="0" xfId="0" applyBorder="1" applyFont="1"/>
    <xf borderId="2" fillId="0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vertical="center"/>
    </xf>
    <xf borderId="4" fillId="0" fontId="8" numFmtId="0" xfId="0" applyAlignment="1" applyBorder="1" applyFont="1">
      <alignment horizontal="center" vertical="center"/>
    </xf>
    <xf borderId="7" fillId="0" fontId="9" numFmtId="0" xfId="0" applyBorder="1" applyFont="1"/>
    <xf borderId="6" fillId="0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4" fillId="0" fontId="7" numFmtId="165" xfId="0" applyAlignment="1" applyBorder="1" applyFont="1" applyNumberFormat="1">
      <alignment horizontal="center" vertical="center"/>
    </xf>
    <xf borderId="4" fillId="0" fontId="7" numFmtId="165" xfId="0" applyAlignment="1" applyBorder="1" applyFont="1" applyNumberFormat="1">
      <alignment vertical="center"/>
    </xf>
    <xf borderId="4" fillId="0" fontId="7" numFmtId="165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10" fontId="8" numFmtId="0" xfId="0" applyAlignment="1" applyBorder="1" applyFill="1" applyFont="1">
      <alignment horizontal="center" vertical="center"/>
    </xf>
    <xf borderId="4" fillId="0" fontId="7" numFmtId="0" xfId="0" applyAlignment="1" applyBorder="1" applyFont="1">
      <alignment readingOrder="0" vertical="center"/>
    </xf>
    <xf borderId="4" fillId="0" fontId="7" numFmtId="166" xfId="0" applyAlignment="1" applyBorder="1" applyFont="1" applyNumberFormat="1">
      <alignment horizontal="center" vertical="center"/>
    </xf>
    <xf borderId="4" fillId="0" fontId="7" numFmtId="165" xfId="0" applyAlignment="1" applyBorder="1" applyFont="1" applyNumberFormat="1">
      <alignment vertical="center"/>
    </xf>
    <xf borderId="0" fillId="0" fontId="7" numFmtId="0" xfId="0" applyAlignment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4" fillId="6" fontId="7" numFmtId="0" xfId="0" applyAlignment="1" applyBorder="1" applyFont="1">
      <alignment horizontal="center" vertical="center"/>
    </xf>
    <xf borderId="4" fillId="6" fontId="7" numFmtId="165" xfId="0" applyAlignment="1" applyBorder="1" applyFont="1" applyNumberForma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5" fillId="0" fontId="7" numFmtId="49" xfId="0" applyAlignment="1" applyBorder="1" applyFont="1" applyNumberFormat="1">
      <alignment shrinkToFit="0" vertical="center" wrapText="1"/>
    </xf>
    <xf borderId="0" fillId="6" fontId="7" numFmtId="165" xfId="0" applyAlignment="1" applyFont="1" applyNumberFormat="1">
      <alignment vertical="center"/>
    </xf>
    <xf borderId="5" fillId="12" fontId="7" numFmtId="49" xfId="0" applyAlignment="1" applyBorder="1" applyFill="1" applyFont="1" applyNumberFormat="1">
      <alignment horizontal="center" shrinkToFit="0" vertical="center" wrapText="1"/>
    </xf>
    <xf borderId="4" fillId="0" fontId="7" numFmtId="49" xfId="0" applyAlignment="1" applyBorder="1" applyFont="1" applyNumberFormat="1">
      <alignment horizontal="center" shrinkToFit="0" vertical="center" wrapText="1"/>
    </xf>
    <xf borderId="2" fillId="6" fontId="2" numFmtId="49" xfId="0" applyAlignment="1" applyBorder="1" applyFont="1" applyNumberFormat="1">
      <alignment horizontal="center" vertical="center"/>
    </xf>
    <xf borderId="3" fillId="0" fontId="7" numFmtId="49" xfId="0" applyAlignment="1" applyBorder="1" applyFont="1" applyNumberFormat="1">
      <alignment vertical="center"/>
    </xf>
    <xf borderId="0" fillId="0" fontId="5" numFmtId="0" xfId="0" applyAlignment="1" applyFont="1">
      <alignment horizontal="center" vertical="center"/>
    </xf>
    <xf borderId="4" fillId="0" fontId="10" numFmtId="49" xfId="0" applyAlignment="1" applyBorder="1" applyFont="1" applyNumberFormat="1">
      <alignment horizontal="center" vertical="center"/>
    </xf>
    <xf borderId="0" fillId="13" fontId="11" numFmtId="0" xfId="0" applyAlignment="1" applyFill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shrinkToFit="0" textRotation="0" vertical="center" wrapText="1"/>
    </xf>
    <xf borderId="5" fillId="12" fontId="7" numFmtId="0" xfId="0" applyAlignment="1" applyBorder="1" applyFont="1">
      <alignment horizontal="center" shrinkToFit="0" vertical="center" wrapText="1"/>
    </xf>
    <xf borderId="2" fillId="14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shrinkToFit="0" vertical="center" wrapText="1"/>
    </xf>
    <xf borderId="4" fillId="6" fontId="7" numFmtId="49" xfId="0" applyAlignment="1" applyBorder="1" applyFont="1" applyNumberFormat="1">
      <alignment horizontal="center" shrinkToFit="0" vertical="center" wrapText="1"/>
    </xf>
    <xf borderId="4" fillId="0" fontId="7" numFmtId="0" xfId="0" applyAlignment="1" applyBorder="1" applyFont="1">
      <alignment horizontal="center" shrinkToFit="0" vertical="center" wrapText="1"/>
    </xf>
    <xf borderId="4" fillId="15" fontId="7" numFmtId="49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9" fillId="0" fontId="7" numFmtId="0" xfId="0" applyAlignment="1" applyBorder="1" applyFont="1">
      <alignment horizontal="center" vertical="center"/>
    </xf>
    <xf borderId="2" fillId="16" fontId="7" numFmtId="0" xfId="0" applyAlignment="1" applyBorder="1" applyFill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5" fillId="8" fontId="8" numFmtId="165" xfId="0" applyAlignment="1" applyBorder="1" applyFont="1" applyNumberFormat="1">
      <alignment horizontal="center" vertical="center"/>
    </xf>
    <xf borderId="3" fillId="0" fontId="7" numFmtId="0" xfId="0" applyAlignment="1" applyBorder="1" applyFont="1">
      <alignment vertical="center"/>
    </xf>
    <xf borderId="4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shrinkToFit="0" vertical="center" wrapText="1"/>
    </xf>
    <xf borderId="2" fillId="17" fontId="2" numFmtId="0" xfId="0" applyAlignment="1" applyBorder="1" applyFill="1" applyFont="1">
      <alignment horizontal="center" vertical="center"/>
    </xf>
    <xf borderId="1" fillId="0" fontId="7" numFmtId="0" xfId="0" applyAlignment="1" applyBorder="1" applyFont="1">
      <alignment vertical="center"/>
    </xf>
    <xf borderId="9" fillId="0" fontId="7" numFmtId="0" xfId="0" applyAlignment="1" applyBorder="1" applyFont="1">
      <alignment vertical="center"/>
    </xf>
    <xf borderId="4" fillId="0" fontId="12" numFmtId="0" xfId="0" applyAlignment="1" applyBorder="1" applyFont="1">
      <alignment horizontal="center" readingOrder="0" shrinkToFit="0" vertical="center" wrapText="1"/>
    </xf>
    <xf borderId="0" fillId="0" fontId="13" numFmtId="49" xfId="0" applyAlignment="1" applyFont="1" applyNumberFormat="1">
      <alignment horizontal="center" vertical="center"/>
    </xf>
    <xf borderId="2" fillId="18" fontId="2" numFmtId="0" xfId="0" applyAlignment="1" applyBorder="1" applyFill="1" applyFont="1">
      <alignment horizontal="center" vertical="center"/>
    </xf>
    <xf borderId="5" fillId="19" fontId="2" numFmtId="49" xfId="0" applyAlignment="1" applyBorder="1" applyFill="1" applyFont="1" applyNumberFormat="1">
      <alignment horizontal="center" vertical="center"/>
    </xf>
    <xf borderId="5" fillId="12" fontId="7" numFmtId="0" xfId="0" applyAlignment="1" applyBorder="1" applyFont="1">
      <alignment horizontal="center" readingOrder="0" shrinkToFit="0" vertical="center" wrapText="1"/>
    </xf>
    <xf borderId="4" fillId="6" fontId="7" numFmtId="49" xfId="0" applyAlignment="1" applyBorder="1" applyFont="1" applyNumberFormat="1">
      <alignment horizontal="center" vertical="center"/>
    </xf>
    <xf borderId="4" fillId="20" fontId="7" numFmtId="165" xfId="0" applyAlignment="1" applyBorder="1" applyFill="1" applyFont="1" applyNumberFormat="1">
      <alignment horizontal="center" vertical="center"/>
    </xf>
    <xf borderId="4" fillId="20" fontId="7" numFmtId="165" xfId="0" applyAlignment="1" applyBorder="1" applyFont="1" applyNumberFormat="1">
      <alignment horizontal="center" vertical="center"/>
    </xf>
    <xf borderId="4" fillId="6" fontId="7" numFmtId="0" xfId="0" applyAlignment="1" applyBorder="1" applyFont="1">
      <alignment vertical="center"/>
    </xf>
    <xf borderId="4" fillId="20" fontId="7" numFmtId="49" xfId="0" applyAlignment="1" applyBorder="1" applyFont="1" applyNumberFormat="1">
      <alignment horizontal="center" vertical="center"/>
    </xf>
    <xf borderId="4" fillId="6" fontId="7" numFmtId="165" xfId="0" applyAlignment="1" applyBorder="1" applyFont="1" applyNumberFormat="1">
      <alignment vertical="center"/>
    </xf>
    <xf borderId="4" fillId="6" fontId="7" numFmtId="165" xfId="0" applyAlignment="1" applyBorder="1" applyFont="1" applyNumberFormat="1">
      <alignment horizontal="center" vertical="center"/>
    </xf>
    <xf borderId="4" fillId="6" fontId="7" numFmtId="49" xfId="0" applyAlignment="1" applyBorder="1" applyFont="1" applyNumberFormat="1">
      <alignment vertical="center"/>
    </xf>
    <xf borderId="4" fillId="6" fontId="7" numFmtId="165" xfId="0" applyAlignment="1" applyBorder="1" applyFont="1" applyNumberFormat="1">
      <alignment vertical="center"/>
    </xf>
    <xf borderId="4" fillId="21" fontId="7" numFmtId="0" xfId="0" applyAlignment="1" applyBorder="1" applyFill="1" applyFont="1">
      <alignment horizontal="center" vertical="center"/>
    </xf>
    <xf borderId="4" fillId="21" fontId="7" numFmtId="165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horizontal="center" vertical="center"/>
    </xf>
    <xf borderId="0" fillId="0" fontId="1" numFmtId="0" xfId="0" applyFont="1"/>
    <xf borderId="0" fillId="0" fontId="14" numFmtId="168" xfId="0" applyFont="1" applyNumberFormat="1"/>
    <xf borderId="0" fillId="0" fontId="14" numFmtId="16" xfId="0" applyFont="1" applyNumberFormat="1"/>
    <xf borderId="0" fillId="0" fontId="15" numFmtId="0" xfId="0" applyFont="1"/>
    <xf borderId="0" fillId="0" fontId="14" numFmtId="3" xfId="0" applyFont="1" applyNumberFormat="1"/>
    <xf borderId="0" fillId="0" fontId="14" numFmtId="169" xfId="0" applyFont="1" applyNumberFormat="1"/>
    <xf borderId="0" fillId="0" fontId="15" numFmtId="168" xfId="0" applyFont="1" applyNumberFormat="1"/>
    <xf borderId="0" fillId="0" fontId="15" numFmtId="3" xfId="0" applyFont="1" applyNumberFormat="1"/>
    <xf borderId="0" fillId="0" fontId="14" numFmtId="4" xfId="0" applyFont="1" applyNumberFormat="1"/>
    <xf borderId="0" fillId="0" fontId="14" numFmtId="0" xfId="0" applyAlignment="1" applyFont="1">
      <alignment shrinkToFit="0" wrapText="1"/>
    </xf>
    <xf borderId="0" fillId="0" fontId="16" numFmtId="0" xfId="0" applyFont="1"/>
    <xf borderId="10" fillId="22" fontId="17" numFmtId="0" xfId="0" applyBorder="1" applyFill="1" applyFont="1"/>
    <xf borderId="11" fillId="22" fontId="14" numFmtId="0" xfId="0" applyBorder="1" applyFont="1"/>
    <xf borderId="12" fillId="22" fontId="14" numFmtId="0" xfId="0" applyBorder="1" applyFont="1"/>
    <xf borderId="13" fillId="22" fontId="14" numFmtId="0" xfId="0" applyBorder="1" applyFont="1"/>
    <xf borderId="14" fillId="22" fontId="14" numFmtId="0" xfId="0" applyBorder="1" applyFont="1"/>
    <xf borderId="15" fillId="22" fontId="14" numFmtId="0" xfId="0" applyBorder="1" applyFont="1"/>
    <xf borderId="16" fillId="0" fontId="15" numFmtId="0" xfId="0" applyBorder="1" applyFont="1"/>
    <xf borderId="17" fillId="0" fontId="15" numFmtId="0" xfId="0" applyBorder="1" applyFont="1"/>
    <xf borderId="16" fillId="0" fontId="14" numFmtId="0" xfId="0" applyBorder="1" applyFont="1"/>
    <xf borderId="0" fillId="0" fontId="14" numFmtId="0" xfId="0" applyFont="1"/>
    <xf borderId="17" fillId="0" fontId="14" numFmtId="0" xfId="0" applyBorder="1" applyFont="1"/>
    <xf borderId="17" fillId="0" fontId="14" numFmtId="168" xfId="0" applyBorder="1" applyFont="1" applyNumberFormat="1"/>
    <xf borderId="16" fillId="0" fontId="18" numFmtId="0" xfId="0" applyBorder="1" applyFont="1"/>
    <xf borderId="16" fillId="0" fontId="14" numFmtId="168" xfId="0" applyBorder="1" applyFont="1" applyNumberFormat="1"/>
    <xf borderId="18" fillId="0" fontId="14" numFmtId="0" xfId="0" applyBorder="1" applyFont="1"/>
    <xf borderId="19" fillId="0" fontId="14" numFmtId="0" xfId="0" applyBorder="1" applyFont="1"/>
    <xf borderId="20" fillId="0" fontId="14" numFmtId="0" xfId="0" applyBorder="1" applyFont="1"/>
    <xf borderId="16" fillId="0" fontId="19" numFmtId="0" xfId="0" applyBorder="1" applyFont="1"/>
    <xf borderId="21" fillId="0" fontId="14" numFmtId="0" xfId="0" applyBorder="1" applyFont="1"/>
    <xf borderId="22" fillId="0" fontId="14" numFmtId="0" xfId="0" applyBorder="1" applyFont="1"/>
    <xf borderId="10" fillId="22" fontId="14" numFmtId="0" xfId="0" applyBorder="1" applyFont="1"/>
    <xf borderId="13" fillId="22" fontId="17" numFmtId="0" xfId="0" applyBorder="1" applyFont="1"/>
    <xf borderId="18" fillId="0" fontId="14" numFmtId="168" xfId="0" applyBorder="1" applyFont="1" applyNumberFormat="1"/>
    <xf borderId="19" fillId="0" fontId="14" numFmtId="168" xfId="0" applyBorder="1" applyFont="1" applyNumberFormat="1"/>
    <xf borderId="19" fillId="0" fontId="14" numFmtId="3" xfId="0" applyBorder="1" applyFont="1" applyNumberFormat="1"/>
    <xf borderId="0" fillId="0" fontId="20" numFmtId="0" xfId="0" applyAlignment="1" applyFont="1">
      <alignment readingOrder="0"/>
    </xf>
    <xf borderId="0" fillId="0" fontId="20" numFmtId="0" xfId="0" applyAlignment="1" applyFont="1">
      <alignment readingOrder="0" vertical="bottom"/>
    </xf>
    <xf borderId="0" fillId="0" fontId="14" numFmtId="0" xfId="0" applyAlignment="1" applyFont="1">
      <alignment vertical="bottom"/>
    </xf>
    <xf borderId="10" fillId="22" fontId="17" numFmtId="0" xfId="0" applyAlignment="1" applyBorder="1" applyFont="1">
      <alignment vertical="bottom"/>
    </xf>
    <xf borderId="11" fillId="22" fontId="14" numFmtId="0" xfId="0" applyAlignment="1" applyBorder="1" applyFont="1">
      <alignment vertical="bottom"/>
    </xf>
    <xf borderId="12" fillId="22" fontId="14" numFmtId="0" xfId="0" applyAlignment="1" applyBorder="1" applyFont="1">
      <alignment vertical="bottom"/>
    </xf>
    <xf borderId="13" fillId="22" fontId="14" numFmtId="0" xfId="0" applyAlignment="1" applyBorder="1" applyFont="1">
      <alignment vertical="bottom"/>
    </xf>
    <xf borderId="14" fillId="22" fontId="14" numFmtId="0" xfId="0" applyAlignment="1" applyBorder="1" applyFont="1">
      <alignment vertical="bottom"/>
    </xf>
    <xf borderId="15" fillId="22" fontId="14" numFmtId="0" xfId="0" applyAlignment="1" applyBorder="1" applyFont="1">
      <alignment vertical="bottom"/>
    </xf>
    <xf borderId="16" fillId="0" fontId="15" numFmtId="0" xfId="0" applyAlignment="1" applyBorder="1" applyFont="1">
      <alignment vertical="bottom"/>
    </xf>
    <xf borderId="0" fillId="0" fontId="15" numFmtId="0" xfId="0" applyAlignment="1" applyFont="1">
      <alignment vertical="bottom"/>
    </xf>
    <xf borderId="17" fillId="0" fontId="15" numFmtId="0" xfId="0" applyAlignment="1" applyBorder="1" applyFont="1">
      <alignment vertical="bottom"/>
    </xf>
    <xf borderId="16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horizontal="right" vertical="bottom"/>
    </xf>
    <xf borderId="0" fillId="0" fontId="14" numFmtId="168" xfId="0" applyAlignment="1" applyFont="1" applyNumberFormat="1">
      <alignment horizontal="right" vertical="bottom"/>
    </xf>
    <xf borderId="0" fillId="0" fontId="14" numFmtId="3" xfId="0" applyAlignment="1" applyFont="1" applyNumberFormat="1">
      <alignment horizontal="right" vertical="bottom"/>
    </xf>
    <xf borderId="17" fillId="0" fontId="14" numFmtId="0" xfId="0" applyAlignment="1" applyBorder="1" applyFont="1">
      <alignment vertical="bottom"/>
    </xf>
    <xf borderId="17" fillId="0" fontId="14" numFmtId="168" xfId="0" applyAlignment="1" applyBorder="1" applyFont="1" applyNumberFormat="1">
      <alignment horizontal="right" vertical="bottom"/>
    </xf>
    <xf borderId="0" fillId="0" fontId="21" numFmtId="168" xfId="0" applyAlignment="1" applyFont="1" applyNumberFormat="1">
      <alignment horizontal="right" vertical="bottom"/>
    </xf>
    <xf borderId="16" fillId="0" fontId="14" numFmtId="0" xfId="0" applyAlignment="1" applyBorder="1" applyFont="1">
      <alignment vertical="bottom"/>
    </xf>
    <xf borderId="16" fillId="0" fontId="18" numFmtId="0" xfId="0" applyAlignment="1" applyBorder="1" applyFont="1">
      <alignment vertical="bottom"/>
    </xf>
    <xf borderId="16" fillId="0" fontId="14" numFmtId="168" xfId="0" applyAlignment="1" applyBorder="1" applyFont="1" applyNumberFormat="1">
      <alignment horizontal="right" vertical="bottom"/>
    </xf>
    <xf borderId="18" fillId="0" fontId="14" numFmtId="0" xfId="0" applyAlignment="1" applyBorder="1" applyFont="1">
      <alignment vertical="bottom"/>
    </xf>
    <xf borderId="19" fillId="0" fontId="14" numFmtId="0" xfId="0" applyAlignment="1" applyBorder="1" applyFont="1">
      <alignment vertical="bottom"/>
    </xf>
    <xf borderId="20" fillId="0" fontId="14" numFmtId="0" xfId="0" applyAlignment="1" applyBorder="1" applyFont="1">
      <alignment vertical="bottom"/>
    </xf>
    <xf borderId="16" fillId="0" fontId="19" numFmtId="0" xfId="0" applyAlignment="1" applyBorder="1" applyFont="1">
      <alignment vertical="bottom"/>
    </xf>
    <xf borderId="21" fillId="0" fontId="14" numFmtId="0" xfId="0" applyAlignment="1" applyBorder="1" applyFont="1">
      <alignment vertical="bottom"/>
    </xf>
    <xf borderId="22" fillId="0" fontId="14" numFmtId="0" xfId="0" applyAlignment="1" applyBorder="1" applyFont="1">
      <alignment vertical="bottom"/>
    </xf>
    <xf borderId="10" fillId="22" fontId="14" numFmtId="0" xfId="0" applyAlignment="1" applyBorder="1" applyFont="1">
      <alignment vertical="bottom"/>
    </xf>
    <xf borderId="13" fillId="22" fontId="17" numFmtId="0" xfId="0" applyAlignment="1" applyBorder="1" applyFont="1">
      <alignment vertical="bottom"/>
    </xf>
    <xf borderId="18" fillId="0" fontId="14" numFmtId="168" xfId="0" applyAlignment="1" applyBorder="1" applyFont="1" applyNumberFormat="1">
      <alignment horizontal="right" vertical="bottom"/>
    </xf>
    <xf borderId="19" fillId="0" fontId="14" numFmtId="168" xfId="0" applyAlignment="1" applyBorder="1" applyFont="1" applyNumberFormat="1">
      <alignment horizontal="right" vertical="bottom"/>
    </xf>
    <xf borderId="19" fillId="0" fontId="14" numFmtId="3" xfId="0" applyAlignment="1" applyBorder="1" applyFont="1" applyNumberFormat="1">
      <alignment horizontal="right" vertical="bottom"/>
    </xf>
    <xf borderId="0" fillId="0" fontId="22" numFmtId="0" xfId="0" applyAlignment="1" applyFont="1">
      <alignment horizontal="center" shrinkToFit="0" vertical="top" wrapText="0"/>
    </xf>
    <xf borderId="0" fillId="0" fontId="22" numFmtId="0" xfId="0" applyAlignment="1" applyFont="1">
      <alignment horizontal="left" shrinkToFit="0" vertical="top" wrapText="0"/>
    </xf>
    <xf borderId="0" fillId="0" fontId="22" numFmtId="0" xfId="0" applyAlignment="1" applyFont="1">
      <alignment horizontal="left" readingOrder="0" shrinkToFit="0" vertical="top" wrapText="0"/>
    </xf>
    <xf borderId="0" fillId="0" fontId="22" numFmtId="0" xfId="0" applyAlignment="1" applyFont="1">
      <alignment horizontal="center" readingOrder="0" shrinkToFit="0" wrapText="0"/>
    </xf>
    <xf borderId="0" fillId="0" fontId="22" numFmtId="0" xfId="0" applyAlignment="1" applyFont="1">
      <alignment horizontal="left" readingOrder="0" shrinkToFit="0" wrapText="0"/>
    </xf>
    <xf borderId="0" fillId="0" fontId="23" numFmtId="0" xfId="0" applyFont="1"/>
    <xf borderId="0" fillId="0" fontId="23" numFmtId="0" xfId="0" applyAlignment="1" applyFont="1">
      <alignment readingOrder="0"/>
    </xf>
    <xf borderId="0" fillId="0" fontId="22" numFmtId="0" xfId="0" applyAlignment="1" applyFont="1">
      <alignment horizontal="center" readingOrder="0" shrinkToFit="0" vertical="top" wrapText="0"/>
    </xf>
    <xf borderId="23" fillId="0" fontId="22" numFmtId="0" xfId="0" applyAlignment="1" applyBorder="1" applyFont="1">
      <alignment horizontal="left" shrinkToFit="0" vertical="top" wrapText="0"/>
    </xf>
    <xf borderId="24" fillId="0" fontId="9" numFmtId="0" xfId="0" applyBorder="1" applyFont="1"/>
    <xf borderId="24" fillId="0" fontId="22" numFmtId="0" xfId="0" applyAlignment="1" applyBorder="1" applyFont="1">
      <alignment horizontal="left" readingOrder="0" shrinkToFit="0" vertical="top" wrapText="0"/>
    </xf>
    <xf borderId="25" fillId="0" fontId="22" numFmtId="0" xfId="0" applyAlignment="1" applyBorder="1" applyFont="1">
      <alignment horizontal="center" readingOrder="0" shrinkToFit="0" wrapText="0"/>
    </xf>
    <xf borderId="26" fillId="0" fontId="9" numFmtId="0" xfId="0" applyBorder="1" applyFont="1"/>
    <xf borderId="25" fillId="0" fontId="22" numFmtId="0" xfId="0" applyAlignment="1" applyBorder="1" applyFont="1">
      <alignment horizontal="left" readingOrder="0" shrinkToFit="0" wrapText="0"/>
    </xf>
    <xf borderId="27" fillId="0" fontId="9" numFmtId="0" xfId="0" applyBorder="1" applyFont="1"/>
    <xf borderId="0" fillId="0" fontId="24" numFmtId="0" xfId="0" applyAlignment="1" applyFont="1">
      <alignment horizontal="left" shrinkToFit="0" vertical="top" wrapText="0"/>
    </xf>
    <xf borderId="28" fillId="0" fontId="25" numFmtId="0" xfId="0" applyAlignment="1" applyBorder="1" applyFont="1">
      <alignment horizontal="center" readingOrder="0" shrinkToFit="0" wrapText="0"/>
    </xf>
    <xf borderId="29" fillId="0" fontId="9" numFmtId="0" xfId="0" applyBorder="1" applyFont="1"/>
    <xf borderId="28" fillId="0" fontId="25" numFmtId="0" xfId="0" applyAlignment="1" applyBorder="1" applyFont="1">
      <alignment horizontal="left" readingOrder="0" shrinkToFit="0" wrapText="0"/>
    </xf>
    <xf borderId="9" fillId="0" fontId="9" numFmtId="0" xfId="0" applyBorder="1" applyFont="1"/>
    <xf borderId="30" fillId="0" fontId="9" numFmtId="0" xfId="0" applyBorder="1" applyFont="1"/>
    <xf borderId="31" fillId="0" fontId="9" numFmtId="0" xfId="0" applyBorder="1" applyFont="1"/>
    <xf borderId="1" fillId="0" fontId="9" numFmtId="0" xfId="0" applyBorder="1" applyFont="1"/>
    <xf borderId="32" fillId="0" fontId="9" numFmtId="0" xfId="0" applyBorder="1" applyFont="1"/>
    <xf borderId="28" fillId="0" fontId="22" numFmtId="0" xfId="0" applyAlignment="1" applyBorder="1" applyFont="1">
      <alignment horizontal="center" readingOrder="0" shrinkToFit="0" wrapText="0"/>
    </xf>
    <xf borderId="28" fillId="0" fontId="22" numFmtId="0" xfId="0" applyAlignment="1" applyBorder="1" applyFont="1">
      <alignment horizontal="left" readingOrder="0" shrinkToFit="0" wrapText="0"/>
    </xf>
    <xf borderId="33" fillId="0" fontId="9" numFmtId="0" xfId="0" applyBorder="1" applyFont="1"/>
    <xf borderId="34" fillId="0" fontId="22" numFmtId="0" xfId="0" applyAlignment="1" applyBorder="1" applyFont="1">
      <alignment horizontal="center" readingOrder="0" shrinkToFit="0" wrapText="0"/>
    </xf>
    <xf borderId="35" fillId="0" fontId="9" numFmtId="0" xfId="0" applyBorder="1" applyFont="1"/>
    <xf borderId="36" fillId="0" fontId="22" numFmtId="0" xfId="0" applyAlignment="1" applyBorder="1" applyFont="1">
      <alignment horizontal="center" readingOrder="0" shrinkToFit="0" wrapText="0"/>
    </xf>
    <xf borderId="37" fillId="0" fontId="9" numFmtId="0" xfId="0" applyBorder="1" applyFont="1"/>
    <xf borderId="4" fillId="0" fontId="22" numFmtId="0" xfId="0" applyAlignment="1" applyBorder="1" applyFont="1">
      <alignment horizontal="center" readingOrder="0" shrinkToFit="0" wrapText="0"/>
    </xf>
    <xf borderId="38" fillId="0" fontId="22" numFmtId="0" xfId="0" applyAlignment="1" applyBorder="1" applyFont="1">
      <alignment horizontal="center" readingOrder="0" shrinkToFit="0" wrapText="0"/>
    </xf>
    <xf borderId="36" fillId="0" fontId="25" numFmtId="0" xfId="0" applyAlignment="1" applyBorder="1" applyFont="1">
      <alignment horizontal="center" readingOrder="0" shrinkToFit="0" wrapText="0"/>
    </xf>
    <xf borderId="4" fillId="0" fontId="25" numFmtId="0" xfId="0" applyAlignment="1" applyBorder="1" applyFont="1">
      <alignment horizontal="center" readingOrder="0" shrinkToFit="0" wrapText="0"/>
    </xf>
    <xf borderId="0" fillId="0" fontId="22" numFmtId="170" xfId="0" applyAlignment="1" applyFont="1" applyNumberFormat="1">
      <alignment horizontal="center" readingOrder="0" shrinkToFit="0" wrapText="0"/>
    </xf>
    <xf borderId="34" fillId="0" fontId="22" numFmtId="170" xfId="0" applyAlignment="1" applyBorder="1" applyFont="1" applyNumberFormat="1">
      <alignment horizontal="center" readingOrder="0" shrinkToFit="0" wrapText="0"/>
    </xf>
    <xf borderId="37" fillId="0" fontId="22" numFmtId="0" xfId="0" applyAlignment="1" applyBorder="1" applyFont="1">
      <alignment horizontal="center" readingOrder="0" shrinkToFit="0" wrapText="0"/>
    </xf>
    <xf borderId="4" fillId="0" fontId="22" numFmtId="165" xfId="0" applyAlignment="1" applyBorder="1" applyFont="1" applyNumberFormat="1">
      <alignment horizontal="center" readingOrder="0" shrinkToFit="0" wrapText="0"/>
    </xf>
    <xf borderId="4" fillId="0" fontId="22" numFmtId="9" xfId="0" applyAlignment="1" applyBorder="1" applyFont="1" applyNumberFormat="1">
      <alignment horizontal="center" readingOrder="0" shrinkToFit="0" wrapText="0"/>
    </xf>
    <xf borderId="38" fillId="0" fontId="22" numFmtId="165" xfId="0" applyAlignment="1" applyBorder="1" applyFont="1" applyNumberFormat="1">
      <alignment horizontal="center" readingOrder="0" shrinkToFit="0" wrapText="0"/>
    </xf>
    <xf borderId="36" fillId="0" fontId="25" numFmtId="170" xfId="0" applyAlignment="1" applyBorder="1" applyFont="1" applyNumberFormat="1">
      <alignment horizontal="center" readingOrder="0" shrinkToFit="0" wrapText="0"/>
    </xf>
    <xf borderId="37" fillId="0" fontId="25" numFmtId="0" xfId="0" applyAlignment="1" applyBorder="1" applyFont="1">
      <alignment horizontal="center" readingOrder="0" shrinkToFit="0" wrapText="0"/>
    </xf>
    <xf borderId="4" fillId="0" fontId="25" numFmtId="165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horizontal="center" shrinkToFit="0" wrapText="0"/>
    </xf>
    <xf borderId="34" fillId="0" fontId="22" numFmtId="0" xfId="0" applyAlignment="1" applyBorder="1" applyFont="1">
      <alignment horizontal="center" shrinkToFit="0" wrapText="0"/>
    </xf>
    <xf borderId="36" fillId="0" fontId="22" numFmtId="0" xfId="0" applyAlignment="1" applyBorder="1" applyFont="1">
      <alignment horizontal="center" shrinkToFit="0" wrapText="0"/>
    </xf>
    <xf borderId="4" fillId="0" fontId="22" numFmtId="0" xfId="0" applyAlignment="1" applyBorder="1" applyFont="1">
      <alignment horizontal="center" shrinkToFit="0" wrapText="0"/>
    </xf>
    <xf borderId="36" fillId="0" fontId="25" numFmtId="0" xfId="0" applyAlignment="1" applyBorder="1" applyFont="1">
      <alignment horizontal="center" shrinkToFit="0" wrapText="0"/>
    </xf>
    <xf borderId="36" fillId="0" fontId="25" numFmtId="0" xfId="0" applyAlignment="1" applyBorder="1" applyFont="1">
      <alignment horizontal="center" shrinkToFit="0" wrapText="0"/>
    </xf>
    <xf borderId="4" fillId="0" fontId="25" numFmtId="0" xfId="0" applyAlignment="1" applyBorder="1" applyFont="1">
      <alignment horizontal="center" shrinkToFit="0" wrapText="0"/>
    </xf>
    <xf borderId="34" fillId="0" fontId="22" numFmtId="0" xfId="0" applyAlignment="1" applyBorder="1" applyFont="1">
      <alignment horizontal="right" readingOrder="0" shrinkToFit="0" wrapText="0"/>
    </xf>
    <xf borderId="36" fillId="0" fontId="25" numFmtId="0" xfId="0" applyAlignment="1" applyBorder="1" applyFont="1">
      <alignment horizontal="right" readingOrder="0" shrinkToFit="0" wrapText="0"/>
    </xf>
    <xf borderId="30" fillId="0" fontId="22" numFmtId="0" xfId="0" applyAlignment="1" applyBorder="1" applyFont="1">
      <alignment shrinkToFit="0" wrapText="0"/>
    </xf>
    <xf borderId="0" fillId="0" fontId="22" numFmtId="0" xfId="0" applyAlignment="1" applyFont="1">
      <alignment shrinkToFit="0" wrapText="0"/>
    </xf>
    <xf borderId="21" fillId="0" fontId="22" numFmtId="0" xfId="0" applyAlignment="1" applyBorder="1" applyFont="1">
      <alignment shrinkToFit="0" wrapText="0"/>
    </xf>
    <xf borderId="0" fillId="0" fontId="25" numFmtId="0" xfId="0" applyAlignment="1" applyFont="1">
      <alignment shrinkToFit="0" wrapText="0"/>
    </xf>
    <xf borderId="0" fillId="0" fontId="25" numFmtId="0" xfId="0" applyAlignment="1" applyFont="1">
      <alignment shrinkToFit="0" wrapText="0"/>
    </xf>
    <xf borderId="34" fillId="23" fontId="22" numFmtId="0" xfId="0" applyAlignment="1" applyBorder="1" applyFill="1" applyFont="1">
      <alignment horizontal="left" readingOrder="0" shrinkToFit="0" wrapText="0"/>
    </xf>
    <xf borderId="36" fillId="23" fontId="22" numFmtId="0" xfId="0" applyAlignment="1" applyBorder="1" applyFont="1">
      <alignment horizontal="center" shrinkToFit="0" wrapText="0"/>
    </xf>
    <xf borderId="36" fillId="23" fontId="25" numFmtId="0" xfId="0" applyAlignment="1" applyBorder="1" applyFont="1">
      <alignment horizontal="left" readingOrder="0" shrinkToFit="0" wrapText="0"/>
    </xf>
    <xf borderId="36" fillId="23" fontId="25" numFmtId="0" xfId="0" applyAlignment="1" applyBorder="1" applyFont="1">
      <alignment horizontal="center" shrinkToFit="0" wrapText="0"/>
    </xf>
    <xf borderId="34" fillId="23" fontId="22" numFmtId="0" xfId="0" applyAlignment="1" applyBorder="1" applyFont="1">
      <alignment horizontal="center" readingOrder="0" shrinkToFit="0" wrapText="0"/>
    </xf>
    <xf borderId="36" fillId="23" fontId="22" numFmtId="165" xfId="0" applyAlignment="1" applyBorder="1" applyFont="1" applyNumberFormat="1">
      <alignment horizontal="center" readingOrder="0" shrinkToFit="0" wrapText="0"/>
    </xf>
    <xf borderId="36" fillId="23" fontId="25" numFmtId="0" xfId="0" applyAlignment="1" applyBorder="1" applyFont="1">
      <alignment horizontal="center" shrinkToFit="0" wrapText="0"/>
    </xf>
    <xf borderId="34" fillId="23" fontId="22" numFmtId="0" xfId="0" applyAlignment="1" applyBorder="1" applyFont="1">
      <alignment horizontal="center" shrinkToFit="0" wrapText="0"/>
    </xf>
    <xf borderId="0" fillId="0" fontId="22" numFmtId="0" xfId="0" applyAlignment="1" applyFont="1">
      <alignment shrinkToFit="0" vertical="bottom" wrapText="0"/>
    </xf>
    <xf borderId="21" fillId="0" fontId="22" numFmtId="0" xfId="0" applyAlignment="1" applyBorder="1" applyFont="1">
      <alignment shrinkToFit="0" vertical="bottom" wrapText="0"/>
    </xf>
    <xf borderId="34" fillId="23" fontId="22" numFmtId="0" xfId="0" applyAlignment="1" applyBorder="1" applyFont="1">
      <alignment horizontal="right" readingOrder="0" shrinkToFit="0" wrapText="0"/>
    </xf>
    <xf borderId="34" fillId="6" fontId="22" numFmtId="0" xfId="0" applyAlignment="1" applyBorder="1" applyFont="1">
      <alignment horizontal="center" shrinkToFit="0" wrapText="0"/>
    </xf>
    <xf borderId="34" fillId="3" fontId="22" numFmtId="0" xfId="0" applyAlignment="1" applyBorder="1" applyFont="1">
      <alignment horizontal="left" readingOrder="0" shrinkToFit="0" wrapText="0"/>
    </xf>
    <xf borderId="36" fillId="3" fontId="22" numFmtId="0" xfId="0" applyAlignment="1" applyBorder="1" applyFont="1">
      <alignment horizontal="center" shrinkToFit="0" wrapText="0"/>
    </xf>
    <xf borderId="34" fillId="3" fontId="22" numFmtId="0" xfId="0" applyAlignment="1" applyBorder="1" applyFont="1">
      <alignment horizontal="right" readingOrder="0" shrinkToFit="0" wrapText="0"/>
    </xf>
    <xf borderId="36" fillId="3" fontId="22" numFmtId="165" xfId="0" applyAlignment="1" applyBorder="1" applyFont="1" applyNumberFormat="1">
      <alignment horizontal="center" readingOrder="0" shrinkToFit="0" wrapText="0"/>
    </xf>
    <xf borderId="36" fillId="23" fontId="25" numFmtId="0" xfId="0" applyAlignment="1" applyBorder="1" applyFont="1">
      <alignment horizontal="right" readingOrder="0" shrinkToFit="0" wrapText="0"/>
    </xf>
    <xf borderId="36" fillId="23" fontId="25" numFmtId="165" xfId="0" applyAlignment="1" applyBorder="1" applyFont="1" applyNumberFormat="1">
      <alignment horizontal="center" readingOrder="0" shrinkToFit="0" wrapText="0"/>
    </xf>
    <xf borderId="0" fillId="0" fontId="25" numFmtId="0" xfId="0" applyAlignment="1" applyFont="1">
      <alignment horizontal="center" shrinkToFit="0" wrapText="0"/>
    </xf>
    <xf borderId="36" fillId="3" fontId="25" numFmtId="0" xfId="0" applyAlignment="1" applyBorder="1" applyFont="1">
      <alignment horizontal="left" readingOrder="0" shrinkToFit="0" wrapText="0"/>
    </xf>
    <xf borderId="36" fillId="3" fontId="25" numFmtId="0" xfId="0" applyAlignment="1" applyBorder="1" applyFont="1">
      <alignment horizontal="center" shrinkToFit="0" wrapText="0"/>
    </xf>
    <xf borderId="28" fillId="24" fontId="25" numFmtId="0" xfId="0" applyAlignment="1" applyBorder="1" applyFill="1" applyFont="1">
      <alignment horizontal="center" readingOrder="0"/>
    </xf>
    <xf borderId="28" fillId="24" fontId="26" numFmtId="165" xfId="0" applyAlignment="1" applyBorder="1" applyFont="1" applyNumberFormat="1">
      <alignment horizontal="center" readingOrder="0" shrinkToFit="0" wrapText="0"/>
    </xf>
    <xf borderId="34" fillId="3" fontId="22" numFmtId="0" xfId="0" applyAlignment="1" applyBorder="1" applyFont="1">
      <alignment horizontal="right" shrinkToFit="0" wrapText="0"/>
    </xf>
    <xf borderId="28" fillId="24" fontId="22" numFmtId="0" xfId="0" applyAlignment="1" applyBorder="1" applyFont="1">
      <alignment horizontal="center" readingOrder="0"/>
    </xf>
    <xf borderId="28" fillId="24" fontId="27" numFmtId="165" xfId="0" applyAlignment="1" applyBorder="1" applyFont="1" applyNumberFormat="1">
      <alignment horizontal="center" readingOrder="0" shrinkToFit="0" wrapText="0"/>
    </xf>
    <xf borderId="8" fillId="0" fontId="9" numFmtId="0" xfId="0" applyBorder="1" applyFont="1"/>
    <xf borderId="21" fillId="0" fontId="9" numFmtId="0" xfId="0" applyBorder="1" applyFont="1"/>
    <xf borderId="36" fillId="3" fontId="25" numFmtId="0" xfId="0" applyAlignment="1" applyBorder="1" applyFont="1">
      <alignment horizontal="right" readingOrder="0" shrinkToFit="0" wrapText="0"/>
    </xf>
    <xf borderId="36" fillId="3" fontId="25" numFmtId="165" xfId="0" applyAlignment="1" applyBorder="1" applyFont="1" applyNumberFormat="1">
      <alignment horizontal="center" readingOrder="0" shrinkToFit="0" wrapText="0"/>
    </xf>
    <xf borderId="0" fillId="0" fontId="24" numFmtId="0" xfId="0" applyAlignment="1" applyFont="1">
      <alignment shrinkToFit="0" vertical="bottom" wrapText="0"/>
    </xf>
    <xf borderId="0" fillId="0" fontId="23" numFmtId="0" xfId="0" applyAlignment="1" applyFont="1">
      <alignment horizontal="center"/>
    </xf>
    <xf borderId="39" fillId="0" fontId="23" numFmtId="0" xfId="0" applyBorder="1" applyFont="1"/>
    <xf borderId="40" fillId="0" fontId="23" numFmtId="0" xfId="0" applyBorder="1" applyFont="1"/>
    <xf borderId="41" fillId="0" fontId="23" numFmtId="0" xfId="0" applyBorder="1" applyFont="1"/>
    <xf borderId="0" fillId="0" fontId="24" numFmtId="0" xfId="0" applyAlignment="1" applyFont="1">
      <alignment horizontal="left" shrinkToFit="0" vertical="top" wrapText="0"/>
    </xf>
    <xf borderId="4" fillId="0" fontId="22" numFmtId="0" xfId="0" applyAlignment="1" applyBorder="1" applyFont="1">
      <alignment horizontal="left" shrinkToFit="0" wrapText="0"/>
    </xf>
    <xf borderId="38" fillId="0" fontId="22" numFmtId="0" xfId="0" applyAlignment="1" applyBorder="1" applyFont="1">
      <alignment horizontal="left" shrinkToFit="0" wrapText="0"/>
    </xf>
    <xf borderId="4" fillId="0" fontId="25" numFmtId="0" xfId="0" applyAlignment="1" applyBorder="1" applyFont="1">
      <alignment shrinkToFit="0" wrapText="0"/>
    </xf>
    <xf borderId="4" fillId="0" fontId="22" numFmtId="165" xfId="0" applyAlignment="1" applyBorder="1" applyFont="1" applyNumberFormat="1">
      <alignment horizontal="left" readingOrder="0" shrinkToFit="0" wrapText="0"/>
    </xf>
    <xf borderId="38" fillId="0" fontId="22" numFmtId="165" xfId="0" applyAlignment="1" applyBorder="1" applyFont="1" applyNumberFormat="1">
      <alignment horizontal="left" readingOrder="0" shrinkToFit="0" wrapText="0"/>
    </xf>
    <xf borderId="0" fillId="0" fontId="22" numFmtId="0" xfId="0" applyAlignment="1" applyFont="1">
      <alignment horizontal="center" shrinkToFit="0" vertical="bottom" wrapText="0"/>
    </xf>
    <xf borderId="39" fillId="0" fontId="22" numFmtId="0" xfId="0" applyAlignment="1" applyBorder="1" applyFont="1">
      <alignment shrinkToFit="0" vertical="bottom" wrapText="0"/>
    </xf>
    <xf borderId="40" fillId="0" fontId="22" numFmtId="0" xfId="0" applyAlignment="1" applyBorder="1" applyFont="1">
      <alignment shrinkToFit="0" vertical="bottom" wrapText="0"/>
    </xf>
    <xf borderId="41" fillId="0" fontId="22" numFmtId="0" xfId="0" applyAlignment="1" applyBorder="1" applyFont="1">
      <alignment shrinkToFit="0" vertical="bottom" wrapText="0"/>
    </xf>
    <xf borderId="24" fillId="0" fontId="22" numFmtId="0" xfId="0" applyAlignment="1" applyBorder="1" applyFont="1">
      <alignment horizontal="left" shrinkToFit="0" vertical="top" wrapText="0"/>
    </xf>
    <xf borderId="28" fillId="3" fontId="28" numFmtId="0" xfId="0" applyAlignment="1" applyBorder="1" applyFont="1">
      <alignment horizontal="center" readingOrder="0"/>
    </xf>
    <xf borderId="28" fillId="3" fontId="25" numFmtId="165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horizontal="center" readingOrder="0"/>
    </xf>
    <xf borderId="42" fillId="3" fontId="22" numFmtId="0" xfId="0" applyAlignment="1" applyBorder="1" applyFont="1">
      <alignment horizontal="center" readingOrder="0"/>
    </xf>
    <xf borderId="28" fillId="3" fontId="22" numFmtId="165" xfId="0" applyAlignment="1" applyBorder="1" applyFont="1" applyNumberFormat="1">
      <alignment horizontal="center" readingOrder="0" shrinkToFit="0" wrapText="0"/>
    </xf>
    <xf borderId="43" fillId="0" fontId="9" numFmtId="0" xfId="0" applyBorder="1" applyFont="1"/>
    <xf borderId="36" fillId="3" fontId="28" numFmtId="0" xfId="0" applyAlignment="1" applyBorder="1" applyFont="1">
      <alignment horizontal="right" readingOrder="0" shrinkToFit="0" wrapText="0"/>
    </xf>
    <xf borderId="0" fillId="0" fontId="23" numFmtId="0" xfId="0" applyAlignment="1" applyFont="1">
      <alignment horizontal="center" readingOrder="0"/>
    </xf>
    <xf borderId="44" fillId="0" fontId="22" numFmtId="0" xfId="0" applyAlignment="1" applyBorder="1" applyFont="1">
      <alignment horizontal="left" shrinkToFit="0" vertical="top" wrapText="0"/>
    </xf>
    <xf borderId="45" fillId="0" fontId="9" numFmtId="0" xfId="0" applyBorder="1" applyFont="1"/>
    <xf borderId="46" fillId="0" fontId="22" numFmtId="0" xfId="0" applyAlignment="1" applyBorder="1" applyFont="1">
      <alignment horizontal="center" readingOrder="0" shrinkToFit="0" wrapText="0"/>
    </xf>
    <xf borderId="47" fillId="0" fontId="9" numFmtId="0" xfId="0" applyBorder="1" applyFont="1"/>
    <xf borderId="46" fillId="0" fontId="22" numFmtId="0" xfId="0" applyAlignment="1" applyBorder="1" applyFont="1">
      <alignment horizontal="left" readingOrder="0" shrinkToFit="0" wrapText="0"/>
    </xf>
    <xf borderId="48" fillId="0" fontId="9" numFmtId="0" xfId="0" applyBorder="1" applyFont="1"/>
    <xf borderId="16" fillId="0" fontId="9" numFmtId="0" xfId="0" applyBorder="1" applyFont="1"/>
    <xf borderId="49" fillId="0" fontId="9" numFmtId="0" xfId="0" applyBorder="1" applyFont="1"/>
    <xf borderId="50" fillId="0" fontId="9" numFmtId="0" xfId="0" applyBorder="1" applyFont="1"/>
    <xf borderId="51" fillId="0" fontId="22" numFmtId="0" xfId="0" applyAlignment="1" applyBorder="1" applyFont="1">
      <alignment horizontal="center" readingOrder="0" shrinkToFit="0" wrapText="0"/>
    </xf>
    <xf borderId="52" fillId="0" fontId="22" numFmtId="0" xfId="0" applyAlignment="1" applyBorder="1" applyFont="1">
      <alignment horizontal="center" readingOrder="0" shrinkToFit="0" wrapText="0"/>
    </xf>
    <xf borderId="51" fillId="0" fontId="22" numFmtId="170" xfId="0" applyAlignment="1" applyBorder="1" applyFont="1" applyNumberFormat="1">
      <alignment horizontal="center" readingOrder="0" shrinkToFit="0" wrapText="0"/>
    </xf>
    <xf borderId="52" fillId="0" fontId="22" numFmtId="165" xfId="0" applyAlignment="1" applyBorder="1" applyFont="1" applyNumberFormat="1">
      <alignment horizontal="center" readingOrder="0" shrinkToFit="0" wrapText="0"/>
    </xf>
    <xf borderId="51" fillId="0" fontId="22" numFmtId="0" xfId="0" applyAlignment="1" applyBorder="1" applyFont="1">
      <alignment horizontal="center" shrinkToFit="0" wrapText="0"/>
    </xf>
    <xf borderId="52" fillId="0" fontId="22" numFmtId="0" xfId="0" applyAlignment="1" applyBorder="1" applyFont="1">
      <alignment horizontal="center" shrinkToFit="0" wrapText="0"/>
    </xf>
    <xf borderId="52" fillId="0" fontId="22" numFmtId="0" xfId="0" applyAlignment="1" applyBorder="1" applyFont="1">
      <alignment horizontal="left" shrinkToFit="0" wrapText="0"/>
    </xf>
    <xf borderId="51" fillId="0" fontId="22" numFmtId="0" xfId="0" applyAlignment="1" applyBorder="1" applyFont="1">
      <alignment horizontal="right" readingOrder="0" shrinkToFit="0" wrapText="0"/>
    </xf>
    <xf borderId="52" fillId="0" fontId="22" numFmtId="165" xfId="0" applyAlignment="1" applyBorder="1" applyFont="1" applyNumberFormat="1">
      <alignment horizontal="left" readingOrder="0" shrinkToFit="0" wrapText="0"/>
    </xf>
    <xf borderId="16" fillId="0" fontId="22" numFmtId="0" xfId="0" applyAlignment="1" applyBorder="1" applyFont="1">
      <alignment shrinkToFit="0" wrapText="0"/>
    </xf>
    <xf borderId="17" fillId="0" fontId="22" numFmtId="0" xfId="0" applyAlignment="1" applyBorder="1" applyFont="1">
      <alignment shrinkToFit="0" wrapText="0"/>
    </xf>
    <xf borderId="51" fillId="23" fontId="22" numFmtId="0" xfId="0" applyAlignment="1" applyBorder="1" applyFont="1">
      <alignment horizontal="left" readingOrder="0" shrinkToFit="0" wrapText="0"/>
    </xf>
    <xf borderId="51" fillId="23" fontId="22" numFmtId="0" xfId="0" applyAlignment="1" applyBorder="1" applyFont="1">
      <alignment horizontal="center" shrinkToFit="0" wrapText="0"/>
    </xf>
    <xf borderId="51" fillId="23" fontId="22" numFmtId="0" xfId="0" applyAlignment="1" applyBorder="1" applyFont="1">
      <alignment horizontal="right" readingOrder="0" shrinkToFit="0" wrapText="0"/>
    </xf>
    <xf borderId="51" fillId="6" fontId="22" numFmtId="0" xfId="0" applyAlignment="1" applyBorder="1" applyFont="1">
      <alignment horizontal="center" shrinkToFit="0" wrapText="0"/>
    </xf>
    <xf borderId="51" fillId="3" fontId="22" numFmtId="0" xfId="0" applyAlignment="1" applyBorder="1" applyFont="1">
      <alignment horizontal="left" readingOrder="0" shrinkToFit="0" wrapText="0"/>
    </xf>
    <xf borderId="51" fillId="3" fontId="22" numFmtId="0" xfId="0" applyAlignment="1" applyBorder="1" applyFont="1">
      <alignment horizontal="right" readingOrder="0" shrinkToFit="0" wrapText="0"/>
    </xf>
    <xf borderId="36" fillId="3" fontId="25" numFmtId="0" xfId="0" applyAlignment="1" applyBorder="1" applyFont="1">
      <alignment horizontal="right" shrinkToFit="0" wrapText="0"/>
    </xf>
    <xf borderId="17" fillId="0" fontId="9" numFmtId="0" xfId="0" applyBorder="1" applyFont="1"/>
    <xf borderId="51" fillId="3" fontId="22" numFmtId="0" xfId="0" applyAlignment="1" applyBorder="1" applyFont="1">
      <alignment horizontal="right" shrinkToFit="0" wrapText="0"/>
    </xf>
    <xf borderId="53" fillId="3" fontId="22" numFmtId="0" xfId="0" applyAlignment="1" applyBorder="1" applyFont="1">
      <alignment horizontal="center"/>
    </xf>
    <xf borderId="54" fillId="3" fontId="22" numFmtId="0" xfId="0" applyAlignment="1" applyBorder="1" applyFont="1">
      <alignment horizontal="right" readingOrder="0" shrinkToFit="0" wrapText="0"/>
    </xf>
    <xf borderId="55" fillId="0" fontId="9" numFmtId="0" xfId="0" applyBorder="1" applyFont="1"/>
    <xf borderId="56" fillId="3" fontId="22" numFmtId="165" xfId="0" applyAlignment="1" applyBorder="1" applyFont="1" applyNumberFormat="1">
      <alignment horizontal="center" readingOrder="0" shrinkToFit="0" wrapText="0"/>
    </xf>
    <xf borderId="19" fillId="0" fontId="22" numFmtId="0" xfId="0" applyAlignment="1" applyBorder="1" applyFont="1">
      <alignment shrinkToFit="0" wrapText="0"/>
    </xf>
    <xf borderId="20" fillId="0" fontId="22" numFmtId="0" xfId="0" applyAlignment="1" applyBorder="1" applyFont="1">
      <alignment shrinkToFit="0" wrapText="0"/>
    </xf>
    <xf borderId="51" fillId="23" fontId="22" numFmtId="0" xfId="0" applyAlignment="1" applyBorder="1" applyFont="1">
      <alignment horizontal="center" readingOrder="0" shrinkToFit="0" wrapText="0"/>
    </xf>
    <xf borderId="36" fillId="23" fontId="25" numFmtId="0" xfId="0" applyAlignment="1" applyBorder="1" applyFont="1">
      <alignment horizontal="center" readingOrder="0" shrinkToFit="0" wrapText="0"/>
    </xf>
    <xf borderId="53" fillId="3" fontId="22" numFmtId="0" xfId="0" applyAlignment="1" applyBorder="1" applyFont="1">
      <alignment horizontal="center" readingOrder="0"/>
    </xf>
    <xf borderId="57" fillId="0" fontId="9" numFmtId="0" xfId="0" applyBorder="1" applyFont="1"/>
    <xf borderId="18" fillId="0" fontId="22" numFmtId="0" xfId="0" applyAlignment="1" applyBorder="1" applyFont="1">
      <alignment shrinkToFit="0" vertical="bottom" wrapText="0"/>
    </xf>
    <xf borderId="19" fillId="0" fontId="22" numFmtId="0" xfId="0" applyAlignment="1" applyBorder="1" applyFont="1">
      <alignment shrinkToFit="0" vertical="bottom" wrapText="0"/>
    </xf>
    <xf borderId="20" fillId="0" fontId="22" numFmtId="0" xfId="0" applyAlignment="1" applyBorder="1" applyFont="1">
      <alignment shrinkToFit="0" vertical="bottom" wrapText="0"/>
    </xf>
    <xf borderId="17" fillId="0" fontId="22" numFmtId="0" xfId="0" applyAlignment="1" applyBorder="1" applyFont="1">
      <alignment shrinkToFit="0" vertical="bottom" wrapText="0"/>
    </xf>
    <xf borderId="37" fillId="0" fontId="22" numFmtId="0" xfId="0" applyAlignment="1" applyBorder="1" applyFont="1">
      <alignment horizontal="center" shrinkToFit="0" wrapText="0"/>
    </xf>
    <xf borderId="37" fillId="0" fontId="25" numFmtId="0" xfId="0" applyAlignment="1" applyBorder="1" applyFont="1">
      <alignment horizontal="center" shrinkToFit="0" wrapText="0"/>
    </xf>
    <xf borderId="37" fillId="23" fontId="22" numFmtId="0" xfId="0" applyAlignment="1" applyBorder="1" applyFont="1">
      <alignment horizontal="center" shrinkToFit="0" wrapText="0"/>
    </xf>
    <xf borderId="37" fillId="23" fontId="22" numFmtId="165" xfId="0" applyAlignment="1" applyBorder="1" applyFont="1" applyNumberFormat="1">
      <alignment horizontal="center" readingOrder="0" shrinkToFit="0" wrapText="0"/>
    </xf>
    <xf borderId="37" fillId="3" fontId="22" numFmtId="0" xfId="0" applyAlignment="1" applyBorder="1" applyFont="1">
      <alignment horizontal="center" shrinkToFit="0" wrapText="0"/>
    </xf>
    <xf borderId="37" fillId="3" fontId="22" numFmtId="165" xfId="0" applyAlignment="1" applyBorder="1" applyFont="1" applyNumberFormat="1">
      <alignment horizontal="center" readingOrder="0" shrinkToFit="0" wrapText="0"/>
    </xf>
    <xf borderId="37" fillId="3" fontId="25" numFmtId="165" xfId="0" applyAlignment="1" applyBorder="1" applyFont="1" applyNumberFormat="1">
      <alignment horizontal="center" readingOrder="0" shrinkToFit="0" wrapText="0"/>
    </xf>
    <xf borderId="36" fillId="3" fontId="28" numFmtId="0" xfId="0" applyAlignment="1" applyBorder="1" applyFont="1">
      <alignment horizontal="right" shrinkToFit="0" wrapText="0"/>
    </xf>
    <xf borderId="37" fillId="23" fontId="25" numFmtId="0" xfId="0" applyAlignment="1" applyBorder="1" applyFont="1">
      <alignment horizontal="center" shrinkToFit="0" wrapText="0"/>
    </xf>
    <xf borderId="36" fillId="23" fontId="29" numFmtId="0" xfId="0" applyAlignment="1" applyBorder="1" applyFont="1">
      <alignment horizontal="center" shrinkToFit="0" wrapText="0"/>
    </xf>
    <xf borderId="37" fillId="23" fontId="25" numFmtId="165" xfId="0" applyAlignment="1" applyBorder="1" applyFont="1" applyNumberFormat="1">
      <alignment horizontal="center" readingOrder="0" shrinkToFit="0" wrapText="0"/>
    </xf>
    <xf borderId="37" fillId="3" fontId="25" numFmtId="0" xfId="0" applyAlignment="1" applyBorder="1" applyFont="1">
      <alignment horizontal="center" shrinkToFit="0" wrapText="0"/>
    </xf>
    <xf borderId="4" fillId="0" fontId="22" numFmtId="3" xfId="0" applyAlignment="1" applyBorder="1" applyFont="1" applyNumberFormat="1">
      <alignment horizontal="center" readingOrder="0" shrinkToFit="0" wrapText="0"/>
    </xf>
    <xf borderId="51" fillId="3" fontId="22" numFmtId="0" xfId="0" applyAlignment="1" applyBorder="1" applyFont="1">
      <alignment horizontal="center" shrinkToFit="0" wrapText="0"/>
    </xf>
    <xf borderId="36" fillId="23" fontId="29" numFmtId="0" xfId="0" applyAlignment="1" applyBorder="1" applyFont="1">
      <alignment horizontal="center" readingOrder="0" shrinkToFit="0" wrapText="0"/>
    </xf>
    <xf borderId="36" fillId="3" fontId="29" numFmtId="0" xfId="0" applyAlignment="1" applyBorder="1" applyFont="1">
      <alignment horizontal="center" shrinkToFit="0" wrapText="0"/>
    </xf>
    <xf borderId="4" fillId="0" fontId="25" numFmtId="9" xfId="0" applyAlignment="1" applyBorder="1" applyFont="1" applyNumberFormat="1">
      <alignment horizontal="center" readingOrder="0" shrinkToFit="0" wrapText="0"/>
    </xf>
    <xf borderId="4" fillId="0" fontId="25" numFmtId="166" xfId="0" applyAlignment="1" applyBorder="1" applyFont="1" applyNumberFormat="1">
      <alignment horizontal="center" readingOrder="0" shrinkToFit="0" wrapText="0"/>
    </xf>
    <xf borderId="0" fillId="0" fontId="25" numFmtId="0" xfId="0" applyAlignment="1" applyFont="1">
      <alignment horizontal="center" readingOrder="0" shrinkToFit="0" wrapText="0"/>
    </xf>
    <xf borderId="0" fillId="0" fontId="25" numFmtId="0" xfId="0" applyAlignment="1" applyFont="1">
      <alignment horizontal="left" readingOrder="0" shrinkToFit="0" wrapText="0"/>
    </xf>
    <xf borderId="28" fillId="3" fontId="25" numFmtId="0" xfId="0" applyAlignment="1" applyBorder="1" applyFont="1">
      <alignment horizontal="center" readingOrder="0"/>
    </xf>
    <xf borderId="22" fillId="0" fontId="22" numFmtId="0" xfId="0" applyAlignment="1" applyBorder="1" applyFont="1">
      <alignment shrinkToFit="0" vertical="bottom" wrapText="0"/>
    </xf>
    <xf borderId="36" fillId="3" fontId="25" numFmtId="0" xfId="0" applyAlignment="1" applyBorder="1" applyFont="1">
      <alignment horizontal="center" readingOrder="0" shrinkToFit="0" wrapText="0"/>
    </xf>
    <xf borderId="0" fillId="0" fontId="30" numFmtId="0" xfId="0" applyAlignment="1" applyFont="1">
      <alignment horizontal="center" shrinkToFit="0" vertical="top" wrapText="0"/>
    </xf>
    <xf borderId="0" fillId="0" fontId="30" numFmtId="0" xfId="0" applyAlignment="1" applyFont="1">
      <alignment horizontal="right" shrinkToFit="0" vertical="top" wrapText="1"/>
    </xf>
    <xf borderId="0" fillId="0" fontId="30" numFmtId="0" xfId="0" applyAlignment="1" applyFont="1">
      <alignment horizontal="center" readingOrder="0" shrinkToFit="0" vertical="top" wrapText="0"/>
    </xf>
    <xf borderId="0" fillId="0" fontId="30" numFmtId="0" xfId="0" applyAlignment="1" applyFont="1">
      <alignment horizontal="center" readingOrder="0" shrinkToFit="0" wrapText="0"/>
    </xf>
    <xf borderId="0" fillId="0" fontId="31" numFmtId="0" xfId="0" applyAlignment="1" applyFont="1">
      <alignment horizontal="center"/>
    </xf>
    <xf borderId="0" fillId="0" fontId="32" numFmtId="0" xfId="0" applyAlignment="1" applyFont="1">
      <alignment horizontal="right"/>
    </xf>
    <xf borderId="0" fillId="0" fontId="32" numFmtId="0" xfId="0" applyAlignment="1" applyFont="1">
      <alignment horizontal="center"/>
    </xf>
    <xf borderId="0" fillId="0" fontId="32" numFmtId="0" xfId="0" applyAlignment="1" applyFont="1">
      <alignment horizontal="center"/>
    </xf>
    <xf borderId="0" fillId="0" fontId="32" numFmtId="165" xfId="0" applyAlignment="1" applyFont="1" applyNumberFormat="1">
      <alignment horizontal="center"/>
    </xf>
    <xf borderId="0" fillId="0" fontId="32" numFmtId="0" xfId="0" applyAlignment="1" applyFont="1">
      <alignment horizontal="right" readingOrder="0"/>
    </xf>
    <xf borderId="28" fillId="0" fontId="30" numFmtId="0" xfId="0" applyAlignment="1" applyBorder="1" applyFont="1">
      <alignment horizontal="right" shrinkToFit="0" vertical="top" wrapText="1"/>
    </xf>
    <xf borderId="9" fillId="25" fontId="30" numFmtId="0" xfId="0" applyAlignment="1" applyBorder="1" applyFill="1" applyFont="1">
      <alignment horizontal="center" shrinkToFit="0" vertical="top" wrapText="0"/>
    </xf>
    <xf borderId="5" fillId="0" fontId="32" numFmtId="0" xfId="0" applyAlignment="1" applyBorder="1" applyFont="1">
      <alignment horizontal="center"/>
    </xf>
    <xf borderId="28" fillId="0" fontId="30" numFmtId="0" xfId="0" applyAlignment="1" applyBorder="1" applyFont="1">
      <alignment horizontal="center" readingOrder="0" shrinkToFit="0" wrapText="0"/>
    </xf>
    <xf borderId="0" fillId="0" fontId="31" numFmtId="0" xfId="0" applyAlignment="1" applyFont="1">
      <alignment horizontal="center" readingOrder="0"/>
    </xf>
    <xf borderId="28" fillId="0" fontId="30" numFmtId="0" xfId="0" applyAlignment="1" applyBorder="1" applyFont="1">
      <alignment horizontal="right" shrinkToFit="0" vertical="top" wrapText="0"/>
    </xf>
    <xf borderId="9" fillId="10" fontId="30" numFmtId="0" xfId="0" applyAlignment="1" applyBorder="1" applyFont="1">
      <alignment horizontal="center" shrinkToFit="0" vertical="top" wrapText="0"/>
    </xf>
    <xf borderId="58" fillId="26" fontId="33" numFmtId="0" xfId="0" applyAlignment="1" applyBorder="1" applyFill="1" applyFont="1">
      <alignment horizontal="center" readingOrder="0" shrinkToFit="0" wrapText="0"/>
    </xf>
    <xf borderId="58" fillId="26" fontId="33" numFmtId="0" xfId="0" applyAlignment="1" applyBorder="1" applyFont="1">
      <alignment horizontal="center" readingOrder="0"/>
    </xf>
    <xf borderId="59" fillId="26" fontId="33" numFmtId="0" xfId="0" applyAlignment="1" applyBorder="1" applyFont="1">
      <alignment horizontal="center" readingOrder="0" shrinkToFit="0" wrapText="0"/>
    </xf>
    <xf borderId="58" fillId="26" fontId="34" numFmtId="0" xfId="0" applyAlignment="1" applyBorder="1" applyFont="1">
      <alignment horizontal="center" readingOrder="0"/>
    </xf>
    <xf borderId="36" fillId="26" fontId="35" numFmtId="0" xfId="0" applyAlignment="1" applyBorder="1" applyFont="1">
      <alignment horizontal="right" readingOrder="0" shrinkToFit="0" wrapText="1"/>
    </xf>
    <xf borderId="0" fillId="26" fontId="36" numFmtId="0" xfId="0" applyAlignment="1" applyFont="1">
      <alignment horizontal="center" readingOrder="0"/>
    </xf>
    <xf borderId="8" fillId="0" fontId="30" numFmtId="0" xfId="0" applyAlignment="1" applyBorder="1" applyFont="1">
      <alignment horizontal="right" shrinkToFit="0" vertical="top" wrapText="1"/>
    </xf>
    <xf borderId="2" fillId="0" fontId="32" numFmtId="0" xfId="0" applyAlignment="1" applyBorder="1" applyFont="1">
      <alignment horizontal="center"/>
    </xf>
    <xf borderId="8" fillId="0" fontId="30" numFmtId="0" xfId="0" applyAlignment="1" applyBorder="1" applyFont="1">
      <alignment horizontal="right" shrinkToFit="0" vertical="top" wrapText="0"/>
    </xf>
    <xf borderId="0" fillId="0" fontId="32" numFmtId="0" xfId="0" applyAlignment="1" applyFont="1">
      <alignment horizontal="center" readingOrder="0"/>
    </xf>
    <xf borderId="0" fillId="0" fontId="32" numFmtId="165" xfId="0" applyAlignment="1" applyFont="1" applyNumberFormat="1">
      <alignment horizontal="center"/>
    </xf>
    <xf borderId="0" fillId="0" fontId="32" numFmtId="1" xfId="0" applyAlignment="1" applyFont="1" applyNumberFormat="1">
      <alignment horizontal="center"/>
    </xf>
    <xf borderId="0" fillId="0" fontId="32" numFmtId="165" xfId="0" applyAlignment="1" applyFont="1" applyNumberFormat="1">
      <alignment horizontal="center" readingOrder="0"/>
    </xf>
    <xf borderId="6" fillId="0" fontId="32" numFmtId="0" xfId="0" applyAlignment="1" applyBorder="1" applyFont="1">
      <alignment horizontal="center"/>
    </xf>
    <xf borderId="36" fillId="0" fontId="30" numFmtId="0" xfId="0" applyAlignment="1" applyBorder="1" applyFont="1">
      <alignment horizontal="right" readingOrder="0" shrinkToFit="0" wrapText="1"/>
    </xf>
    <xf borderId="4" fillId="0" fontId="30" numFmtId="0" xfId="0" applyAlignment="1" applyBorder="1" applyFont="1">
      <alignment horizontal="center" readingOrder="0" shrinkToFit="0" wrapText="0"/>
    </xf>
    <xf borderId="35" fillId="0" fontId="30" numFmtId="0" xfId="0" applyAlignment="1" applyBorder="1" applyFont="1">
      <alignment horizontal="center" readingOrder="0" shrinkToFit="0" wrapText="0"/>
    </xf>
    <xf borderId="36" fillId="0" fontId="30" numFmtId="0" xfId="0" applyAlignment="1" applyBorder="1" applyFont="1">
      <alignment horizontal="center" readingOrder="0" shrinkToFit="0" wrapText="0"/>
    </xf>
    <xf borderId="36" fillId="0" fontId="30" numFmtId="0" xfId="0" applyAlignment="1" applyBorder="1" applyFont="1">
      <alignment horizontal="right" readingOrder="0" shrinkToFit="0" wrapText="0"/>
    </xf>
    <xf borderId="4" fillId="0" fontId="30" numFmtId="165" xfId="0" applyAlignment="1" applyBorder="1" applyFont="1" applyNumberFormat="1">
      <alignment horizontal="center" readingOrder="0" shrinkToFit="0" wrapText="0"/>
    </xf>
    <xf borderId="0" fillId="0" fontId="30" numFmtId="170" xfId="0" applyAlignment="1" applyFont="1" applyNumberFormat="1">
      <alignment horizontal="center" readingOrder="0" shrinkToFit="0" wrapText="0"/>
    </xf>
    <xf borderId="4" fillId="0" fontId="30" numFmtId="164" xfId="0" applyAlignment="1" applyBorder="1" applyFont="1" applyNumberFormat="1">
      <alignment horizontal="right" readingOrder="0" shrinkToFit="0" vertical="bottom" wrapText="1"/>
    </xf>
    <xf borderId="4" fillId="0" fontId="30" numFmtId="0" xfId="0" applyAlignment="1" applyBorder="1" applyFont="1">
      <alignment horizontal="center" readingOrder="0" shrinkToFit="0" vertical="bottom" wrapText="0"/>
    </xf>
    <xf borderId="4" fillId="0" fontId="30" numFmtId="165" xfId="0" applyAlignment="1" applyBorder="1" applyFont="1" applyNumberFormat="1">
      <alignment horizontal="center" readingOrder="0" shrinkToFit="0" vertical="bottom" wrapText="0"/>
    </xf>
    <xf borderId="4" fillId="0" fontId="30" numFmtId="9" xfId="0" applyAlignment="1" applyBorder="1" applyFont="1" applyNumberFormat="1">
      <alignment horizontal="center" readingOrder="0" shrinkToFit="0" wrapText="0"/>
    </xf>
    <xf borderId="4" fillId="0" fontId="30" numFmtId="165" xfId="0" applyAlignment="1" applyBorder="1" applyFont="1" applyNumberFormat="1">
      <alignment horizontal="center" readingOrder="0" shrinkToFit="0" wrapText="0"/>
    </xf>
    <xf borderId="4" fillId="0" fontId="30" numFmtId="164" xfId="0" applyAlignment="1" applyBorder="1" applyFont="1" applyNumberFormat="1">
      <alignment horizontal="right" shrinkToFit="0" vertical="top" wrapText="0"/>
    </xf>
    <xf borderId="4" fillId="0" fontId="30" numFmtId="1" xfId="0" applyAlignment="1" applyBorder="1" applyFont="1" applyNumberFormat="1">
      <alignment horizontal="center" readingOrder="0" shrinkToFit="0" vertical="bottom" wrapText="0"/>
    </xf>
    <xf borderId="4" fillId="27" fontId="30" numFmtId="165" xfId="0" applyAlignment="1" applyBorder="1" applyFill="1" applyFont="1" applyNumberFormat="1">
      <alignment horizontal="center" readingOrder="0" shrinkToFit="0" wrapText="0"/>
    </xf>
    <xf borderId="4" fillId="0" fontId="30" numFmtId="164" xfId="0" applyAlignment="1" applyBorder="1" applyFont="1" applyNumberFormat="1">
      <alignment horizontal="right" readingOrder="0" shrinkToFit="0" vertical="bottom" wrapText="0"/>
    </xf>
    <xf borderId="0" fillId="0" fontId="30" numFmtId="0" xfId="0" applyAlignment="1" applyFont="1">
      <alignment horizontal="center" shrinkToFit="0" wrapText="0"/>
    </xf>
    <xf borderId="4" fillId="0" fontId="30" numFmtId="0" xfId="0" applyAlignment="1" applyBorder="1" applyFont="1">
      <alignment horizontal="right" shrinkToFit="0" wrapText="1"/>
    </xf>
    <xf borderId="4" fillId="0" fontId="30" numFmtId="0" xfId="0" applyAlignment="1" applyBorder="1" applyFont="1">
      <alignment horizontal="center" shrinkToFit="0" wrapText="0"/>
    </xf>
    <xf borderId="35" fillId="0" fontId="30" numFmtId="0" xfId="0" applyAlignment="1" applyBorder="1" applyFont="1">
      <alignment horizontal="center" shrinkToFit="0" wrapText="0"/>
    </xf>
    <xf borderId="36" fillId="0" fontId="30" numFmtId="0" xfId="0" applyAlignment="1" applyBorder="1" applyFont="1">
      <alignment horizontal="center" shrinkToFit="0" wrapText="0"/>
    </xf>
    <xf borderId="4" fillId="0" fontId="30" numFmtId="0" xfId="0" applyAlignment="1" applyBorder="1" applyFont="1">
      <alignment horizontal="right" shrinkToFit="0" wrapText="0"/>
    </xf>
    <xf borderId="4" fillId="0" fontId="30" numFmtId="0" xfId="0" applyAlignment="1" applyBorder="1" applyFont="1">
      <alignment horizontal="center" shrinkToFit="0" wrapText="0"/>
    </xf>
    <xf borderId="4" fillId="0" fontId="30" numFmtId="1" xfId="0" applyAlignment="1" applyBorder="1" applyFont="1" applyNumberFormat="1">
      <alignment horizontal="center" readingOrder="0" shrinkToFit="0" wrapText="0"/>
    </xf>
    <xf borderId="4" fillId="0" fontId="30" numFmtId="165" xfId="0" applyAlignment="1" applyBorder="1" applyFont="1" applyNumberFormat="1">
      <alignment horizontal="center" shrinkToFit="0" wrapText="0"/>
    </xf>
    <xf borderId="8" fillId="0" fontId="30" numFmtId="0" xfId="0" applyAlignment="1" applyBorder="1" applyFont="1">
      <alignment horizontal="right" shrinkToFit="0" wrapText="1"/>
    </xf>
    <xf borderId="3" fillId="0" fontId="30" numFmtId="0" xfId="0" applyAlignment="1" applyBorder="1" applyFont="1">
      <alignment horizontal="center" shrinkToFit="0" wrapText="0"/>
    </xf>
    <xf borderId="8" fillId="0" fontId="30" numFmtId="0" xfId="0" applyAlignment="1" applyBorder="1" applyFont="1">
      <alignment horizontal="right" shrinkToFit="0" wrapText="0"/>
    </xf>
    <xf borderId="0" fillId="0" fontId="30" numFmtId="0" xfId="0" applyAlignment="1" applyFont="1">
      <alignment horizontal="center" shrinkToFit="0" wrapText="0"/>
    </xf>
    <xf borderId="0" fillId="0" fontId="30" numFmtId="165" xfId="0" applyAlignment="1" applyFont="1" applyNumberFormat="1">
      <alignment horizontal="center" shrinkToFit="0" wrapText="0"/>
    </xf>
    <xf borderId="4" fillId="23" fontId="30" numFmtId="0" xfId="0" applyAlignment="1" applyBorder="1" applyFont="1">
      <alignment horizontal="right" readingOrder="0" shrinkToFit="0" wrapText="1"/>
    </xf>
    <xf borderId="36" fillId="23" fontId="30" numFmtId="0" xfId="0" applyAlignment="1" applyBorder="1" applyFont="1">
      <alignment horizontal="center" shrinkToFit="0" wrapText="0"/>
    </xf>
    <xf borderId="8" fillId="0" fontId="30" numFmtId="0" xfId="0" applyAlignment="1" applyBorder="1" applyFont="1">
      <alignment horizontal="center" shrinkToFit="0" wrapText="0"/>
    </xf>
    <xf borderId="4" fillId="27" fontId="25" numFmtId="0" xfId="0" applyAlignment="1" applyBorder="1" applyFont="1">
      <alignment horizontal="center" readingOrder="0" shrinkToFit="0" wrapText="0"/>
    </xf>
    <xf borderId="4" fillId="23" fontId="30" numFmtId="0" xfId="0" applyAlignment="1" applyBorder="1" applyFont="1">
      <alignment horizontal="right" readingOrder="0" shrinkToFit="0" wrapText="0"/>
    </xf>
    <xf borderId="36" fillId="23" fontId="30" numFmtId="0" xfId="0" applyAlignment="1" applyBorder="1" applyFont="1">
      <alignment horizontal="right" readingOrder="0" shrinkToFit="0" wrapText="1"/>
    </xf>
    <xf borderId="36" fillId="23" fontId="30" numFmtId="165" xfId="0" applyAlignment="1" applyBorder="1" applyFont="1" applyNumberFormat="1">
      <alignment horizontal="center" readingOrder="0" shrinkToFit="0" wrapText="0"/>
    </xf>
    <xf borderId="8" fillId="0" fontId="30" numFmtId="165" xfId="0" applyAlignment="1" applyBorder="1" applyFont="1" applyNumberFormat="1">
      <alignment horizontal="center" readingOrder="0" shrinkToFit="0" wrapText="0"/>
    </xf>
    <xf borderId="4" fillId="27" fontId="25" numFmtId="165" xfId="0" applyAlignment="1" applyBorder="1" applyFont="1" applyNumberFormat="1">
      <alignment horizontal="center" readingOrder="0" shrinkToFit="0" wrapText="0"/>
    </xf>
    <xf borderId="4" fillId="27" fontId="25" numFmtId="9" xfId="0" applyAlignment="1" applyBorder="1" applyFont="1" applyNumberFormat="1">
      <alignment horizontal="center" readingOrder="0" shrinkToFit="0" wrapText="0"/>
    </xf>
    <xf borderId="36" fillId="23" fontId="30" numFmtId="0" xfId="0" applyAlignment="1" applyBorder="1" applyFont="1">
      <alignment horizontal="right" readingOrder="0" shrinkToFit="0" wrapText="0"/>
    </xf>
    <xf borderId="36" fillId="23" fontId="30" numFmtId="0" xfId="0" applyAlignment="1" applyBorder="1" applyFont="1">
      <alignment horizontal="right" shrinkToFit="0" wrapText="1"/>
    </xf>
    <xf borderId="36" fillId="23" fontId="30" numFmtId="0" xfId="0" applyAlignment="1" applyBorder="1" applyFont="1">
      <alignment horizontal="right" shrinkToFit="0" wrapText="0"/>
    </xf>
    <xf borderId="0" fillId="0" fontId="30" numFmtId="0" xfId="0" applyAlignment="1" applyFont="1">
      <alignment horizontal="center" shrinkToFit="0" vertical="bottom" wrapText="0"/>
    </xf>
    <xf borderId="0" fillId="0" fontId="30" numFmtId="165" xfId="0" applyAlignment="1" applyFont="1" applyNumberFormat="1">
      <alignment horizontal="center" shrinkToFit="0" vertical="bottom" wrapText="0"/>
    </xf>
    <xf borderId="3" fillId="0" fontId="30" numFmtId="0" xfId="0" applyAlignment="1" applyBorder="1" applyFont="1">
      <alignment horizontal="center" shrinkToFit="0" vertical="bottom" wrapText="0"/>
    </xf>
    <xf borderId="4" fillId="27" fontId="25" numFmtId="0" xfId="0" applyAlignment="1" applyBorder="1" applyFont="1">
      <alignment horizontal="center" shrinkToFit="0" wrapText="0"/>
    </xf>
    <xf borderId="36" fillId="6" fontId="30" numFmtId="0" xfId="0" applyAlignment="1" applyBorder="1" applyFont="1">
      <alignment horizontal="right" shrinkToFit="0" wrapText="1"/>
    </xf>
    <xf borderId="37" fillId="6" fontId="30" numFmtId="0" xfId="0" applyAlignment="1" applyBorder="1" applyFont="1">
      <alignment horizontal="center" shrinkToFit="0" wrapText="0"/>
    </xf>
    <xf borderId="36" fillId="0" fontId="30" numFmtId="0" xfId="0" applyAlignment="1" applyBorder="1" applyFont="1">
      <alignment horizontal="right" shrinkToFit="0" wrapText="0"/>
    </xf>
    <xf borderId="37" fillId="0" fontId="30" numFmtId="0" xfId="0" applyAlignment="1" applyBorder="1" applyFont="1">
      <alignment horizontal="center" shrinkToFit="0" wrapText="0"/>
    </xf>
    <xf borderId="4" fillId="3" fontId="30" numFmtId="0" xfId="0" applyAlignment="1" applyBorder="1" applyFont="1">
      <alignment horizontal="right" readingOrder="0" shrinkToFit="0" wrapText="1"/>
    </xf>
    <xf borderId="36" fillId="3" fontId="30" numFmtId="0" xfId="0" applyAlignment="1" applyBorder="1" applyFont="1">
      <alignment horizontal="center" shrinkToFit="0" wrapText="0"/>
    </xf>
    <xf borderId="8" fillId="28" fontId="30" numFmtId="0" xfId="0" applyAlignment="1" applyBorder="1" applyFill="1" applyFont="1">
      <alignment horizontal="center" readingOrder="0" shrinkToFit="0" wrapText="0"/>
    </xf>
    <xf borderId="4" fillId="27" fontId="25" numFmtId="0" xfId="0" applyAlignment="1" applyBorder="1" applyFont="1">
      <alignment horizontal="left" shrinkToFit="0" wrapText="0"/>
    </xf>
    <xf borderId="4" fillId="3" fontId="30" numFmtId="0" xfId="0" applyAlignment="1" applyBorder="1" applyFont="1">
      <alignment horizontal="right" readingOrder="0" shrinkToFit="0" wrapText="0"/>
    </xf>
    <xf borderId="36" fillId="3" fontId="30" numFmtId="0" xfId="0" applyAlignment="1" applyBorder="1" applyFont="1">
      <alignment horizontal="right" readingOrder="0" shrinkToFit="0" wrapText="1"/>
    </xf>
    <xf borderId="36" fillId="3" fontId="30" numFmtId="165" xfId="0" applyAlignment="1" applyBorder="1" applyFont="1" applyNumberFormat="1">
      <alignment horizontal="center" readingOrder="0" shrinkToFit="0" wrapText="0"/>
    </xf>
    <xf borderId="4" fillId="27" fontId="25" numFmtId="165" xfId="0" applyAlignment="1" applyBorder="1" applyFont="1" applyNumberFormat="1">
      <alignment horizontal="left" readingOrder="0" shrinkToFit="0" wrapText="0"/>
    </xf>
    <xf borderId="36" fillId="3" fontId="30" numFmtId="0" xfId="0" applyAlignment="1" applyBorder="1" applyFont="1">
      <alignment horizontal="right" readingOrder="0" shrinkToFit="0" wrapText="0"/>
    </xf>
    <xf borderId="0" fillId="0" fontId="30" numFmtId="0" xfId="0" applyAlignment="1" applyFont="1">
      <alignment horizontal="center" shrinkToFit="0" vertical="bottom" wrapText="0"/>
    </xf>
    <xf borderId="4" fillId="3" fontId="30" numFmtId="0" xfId="0" applyAlignment="1" applyBorder="1" applyFont="1">
      <alignment horizontal="right" shrinkToFit="0" wrapText="1"/>
    </xf>
    <xf borderId="5" fillId="24" fontId="6" numFmtId="0" xfId="0" applyAlignment="1" applyBorder="1" applyFont="1">
      <alignment horizontal="center" readingOrder="0"/>
    </xf>
    <xf borderId="28" fillId="24" fontId="37" numFmtId="165" xfId="0" applyAlignment="1" applyBorder="1" applyFont="1" applyNumberFormat="1">
      <alignment horizontal="center" readingOrder="0" shrinkToFit="0" vertical="center" wrapText="0"/>
    </xf>
    <xf borderId="4" fillId="3" fontId="30" numFmtId="0" xfId="0" applyAlignment="1" applyBorder="1" applyFont="1">
      <alignment horizontal="right" shrinkToFit="0" wrapText="0"/>
    </xf>
    <xf borderId="5" fillId="24" fontId="30" numFmtId="0" xfId="0" applyAlignment="1" applyBorder="1" applyFont="1">
      <alignment horizontal="center" readingOrder="0"/>
    </xf>
    <xf borderId="2" fillId="24" fontId="30" numFmtId="0" xfId="0" applyAlignment="1" applyBorder="1" applyFont="1">
      <alignment horizontal="center" readingOrder="0"/>
    </xf>
    <xf borderId="6" fillId="24" fontId="30" numFmtId="0" xfId="0" applyAlignment="1" applyBorder="1" applyFont="1">
      <alignment horizontal="center" readingOrder="0"/>
    </xf>
    <xf borderId="31" fillId="0" fontId="32" numFmtId="0" xfId="0" applyAlignment="1" applyBorder="1" applyFont="1">
      <alignment horizontal="right" shrinkToFit="0" wrapText="1"/>
    </xf>
    <xf borderId="1" fillId="0" fontId="32" numFmtId="0" xfId="0" applyAlignment="1" applyBorder="1" applyFont="1">
      <alignment horizontal="center"/>
    </xf>
    <xf borderId="7" fillId="0" fontId="32" numFmtId="0" xfId="0" applyAlignment="1" applyBorder="1" applyFont="1">
      <alignment horizontal="center"/>
    </xf>
    <xf borderId="31" fillId="0" fontId="32" numFmtId="0" xfId="0" applyAlignment="1" applyBorder="1" applyFont="1">
      <alignment horizontal="right"/>
    </xf>
    <xf borderId="1" fillId="0" fontId="32" numFmtId="0" xfId="0" applyAlignment="1" applyBorder="1" applyFont="1">
      <alignment horizontal="center"/>
    </xf>
    <xf borderId="1" fillId="0" fontId="32" numFmtId="165" xfId="0" applyAlignment="1" applyBorder="1" applyFont="1" applyNumberFormat="1">
      <alignment horizontal="center"/>
    </xf>
    <xf borderId="0" fillId="0" fontId="32" numFmtId="0" xfId="0" applyAlignment="1" applyFont="1">
      <alignment horizontal="right" shrinkToFit="0" wrapText="1"/>
    </xf>
    <xf borderId="0" fillId="0" fontId="30" numFmtId="0" xfId="0" applyAlignment="1" applyFont="1">
      <alignment horizontal="center" readingOrder="0" shrinkToFit="0" vertical="bottom" wrapText="0"/>
    </xf>
    <xf borderId="9" fillId="0" fontId="30" numFmtId="0" xfId="0" applyAlignment="1" applyBorder="1" applyFont="1">
      <alignment horizontal="center" shrinkToFit="0" vertical="top" wrapText="0"/>
    </xf>
    <xf borderId="5" fillId="10" fontId="32" numFmtId="0" xfId="0" applyAlignment="1" applyBorder="1" applyFont="1">
      <alignment horizontal="center"/>
    </xf>
    <xf borderId="28" fillId="20" fontId="30" numFmtId="0" xfId="0" applyAlignment="1" applyBorder="1" applyFont="1">
      <alignment horizontal="right" shrinkToFit="0" vertical="top" wrapText="0"/>
    </xf>
    <xf borderId="9" fillId="20" fontId="30" numFmtId="0" xfId="0" applyAlignment="1" applyBorder="1" applyFont="1">
      <alignment horizontal="center" shrinkToFit="0" vertical="top" wrapText="0"/>
    </xf>
    <xf borderId="5" fillId="20" fontId="32" numFmtId="0" xfId="0" applyAlignment="1" applyBorder="1" applyFont="1">
      <alignment horizontal="center"/>
    </xf>
    <xf borderId="28" fillId="20" fontId="30" numFmtId="0" xfId="0" applyAlignment="1" applyBorder="1" applyFont="1">
      <alignment horizontal="center" readingOrder="0" shrinkToFit="0" wrapText="0"/>
    </xf>
    <xf borderId="8" fillId="20" fontId="30" numFmtId="0" xfId="0" applyAlignment="1" applyBorder="1" applyFont="1">
      <alignment horizontal="right" shrinkToFit="0" vertical="top" wrapText="0"/>
    </xf>
    <xf borderId="0" fillId="20" fontId="30" numFmtId="0" xfId="0" applyAlignment="1" applyFont="1">
      <alignment horizontal="center" shrinkToFit="0" vertical="top" wrapText="0"/>
    </xf>
    <xf borderId="2" fillId="20" fontId="32" numFmtId="0" xfId="0" applyAlignment="1" applyBorder="1" applyFont="1">
      <alignment horizontal="center"/>
    </xf>
    <xf borderId="6" fillId="20" fontId="32" numFmtId="0" xfId="0" applyAlignment="1" applyBorder="1" applyFont="1">
      <alignment horizontal="center"/>
    </xf>
    <xf borderId="36" fillId="20" fontId="30" numFmtId="0" xfId="0" applyAlignment="1" applyBorder="1" applyFont="1">
      <alignment horizontal="right" readingOrder="0" shrinkToFit="0" wrapText="0"/>
    </xf>
    <xf borderId="4" fillId="20" fontId="30" numFmtId="0" xfId="0" applyAlignment="1" applyBorder="1" applyFont="1">
      <alignment horizontal="center" readingOrder="0" shrinkToFit="0" wrapText="0"/>
    </xf>
    <xf borderId="35" fillId="20" fontId="30" numFmtId="0" xfId="0" applyAlignment="1" applyBorder="1" applyFont="1">
      <alignment horizontal="center" readingOrder="0" shrinkToFit="0" wrapText="0"/>
    </xf>
    <xf borderId="36" fillId="20" fontId="30" numFmtId="0" xfId="0" applyAlignment="1" applyBorder="1" applyFont="1">
      <alignment horizontal="center" readingOrder="0" shrinkToFit="0" wrapText="0"/>
    </xf>
    <xf borderId="4" fillId="20" fontId="30" numFmtId="165" xfId="0" applyAlignment="1" applyBorder="1" applyFont="1" applyNumberFormat="1">
      <alignment horizontal="center" readingOrder="0" shrinkToFit="0" wrapText="0"/>
    </xf>
    <xf borderId="4" fillId="0" fontId="30" numFmtId="164" xfId="0" applyAlignment="1" applyBorder="1" applyFont="1" applyNumberFormat="1">
      <alignment horizontal="right" shrinkToFit="0" vertical="top" wrapText="1"/>
    </xf>
    <xf borderId="4" fillId="20" fontId="30" numFmtId="0" xfId="0" applyAlignment="1" applyBorder="1" applyFont="1">
      <alignment horizontal="right" shrinkToFit="0" vertical="top" wrapText="0"/>
    </xf>
    <xf borderId="4" fillId="20" fontId="30" numFmtId="0" xfId="0" applyAlignment="1" applyBorder="1" applyFont="1">
      <alignment horizontal="center" readingOrder="0" shrinkToFit="0" vertical="bottom" wrapText="0"/>
    </xf>
    <xf borderId="4" fillId="20" fontId="30" numFmtId="165" xfId="0" applyAlignment="1" applyBorder="1" applyFont="1" applyNumberFormat="1">
      <alignment horizontal="center" readingOrder="0" shrinkToFit="0" wrapText="0"/>
    </xf>
    <xf borderId="4" fillId="20" fontId="30" numFmtId="164" xfId="0" applyAlignment="1" applyBorder="1" applyFont="1" applyNumberFormat="1">
      <alignment horizontal="right" readingOrder="0" shrinkToFit="0" vertical="bottom" wrapText="0"/>
    </xf>
    <xf borderId="4" fillId="0" fontId="30" numFmtId="164" xfId="0" applyAlignment="1" applyBorder="1" applyFont="1" applyNumberFormat="1">
      <alignment horizontal="right" shrinkToFit="0" wrapText="1"/>
    </xf>
    <xf borderId="4" fillId="0" fontId="30" numFmtId="165" xfId="0" applyAlignment="1" applyBorder="1" applyFont="1" applyNumberFormat="1">
      <alignment horizontal="center" shrinkToFit="0" wrapText="0"/>
    </xf>
    <xf borderId="4" fillId="20" fontId="30" numFmtId="0" xfId="0" applyAlignment="1" applyBorder="1" applyFont="1">
      <alignment horizontal="right" shrinkToFit="0" wrapText="0"/>
    </xf>
    <xf borderId="4" fillId="20" fontId="30" numFmtId="0" xfId="0" applyAlignment="1" applyBorder="1" applyFont="1">
      <alignment horizontal="center" shrinkToFit="0" wrapText="0"/>
    </xf>
    <xf borderId="35" fillId="20" fontId="30" numFmtId="0" xfId="0" applyAlignment="1" applyBorder="1" applyFont="1">
      <alignment horizontal="center" shrinkToFit="0" wrapText="0"/>
    </xf>
    <xf borderId="36" fillId="20" fontId="30" numFmtId="0" xfId="0" applyAlignment="1" applyBorder="1" applyFont="1">
      <alignment horizontal="center" shrinkToFit="0" wrapText="0"/>
    </xf>
    <xf borderId="4" fillId="20" fontId="30" numFmtId="0" xfId="0" applyAlignment="1" applyBorder="1" applyFont="1">
      <alignment horizontal="center" shrinkToFit="0" wrapText="0"/>
    </xf>
    <xf borderId="4" fillId="20" fontId="30" numFmtId="165" xfId="0" applyAlignment="1" applyBorder="1" applyFont="1" applyNumberFormat="1">
      <alignment horizontal="center" shrinkToFit="0" wrapText="0"/>
    </xf>
    <xf borderId="8" fillId="20" fontId="30" numFmtId="0" xfId="0" applyAlignment="1" applyBorder="1" applyFont="1">
      <alignment horizontal="right" shrinkToFit="0" wrapText="0"/>
    </xf>
    <xf borderId="0" fillId="20" fontId="30" numFmtId="0" xfId="0" applyAlignment="1" applyFont="1">
      <alignment horizontal="center" shrinkToFit="0" wrapText="0"/>
    </xf>
    <xf borderId="0" fillId="20" fontId="30" numFmtId="0" xfId="0" applyAlignment="1" applyFont="1">
      <alignment horizontal="center" shrinkToFit="0" wrapText="0"/>
    </xf>
    <xf borderId="0" fillId="20" fontId="30" numFmtId="165" xfId="0" applyAlignment="1" applyFont="1" applyNumberFormat="1">
      <alignment horizontal="center" shrinkToFit="0" wrapText="0"/>
    </xf>
    <xf borderId="3" fillId="20" fontId="30" numFmtId="0" xfId="0" applyAlignment="1" applyBorder="1" applyFont="1">
      <alignment horizontal="center" shrinkToFit="0" wrapText="0"/>
    </xf>
    <xf borderId="4" fillId="20" fontId="30" numFmtId="0" xfId="0" applyAlignment="1" applyBorder="1" applyFont="1">
      <alignment horizontal="right" readingOrder="0" shrinkToFit="0" wrapText="0"/>
    </xf>
    <xf borderId="8" fillId="20" fontId="30" numFmtId="0" xfId="0" applyAlignment="1" applyBorder="1" applyFont="1">
      <alignment horizontal="center" shrinkToFit="0" wrapText="0"/>
    </xf>
    <xf borderId="36" fillId="20" fontId="30" numFmtId="165" xfId="0" applyAlignment="1" applyBorder="1" applyFont="1" applyNumberFormat="1">
      <alignment horizontal="center" readingOrder="0" shrinkToFit="0" wrapText="0"/>
    </xf>
    <xf borderId="8" fillId="20" fontId="30" numFmtId="165" xfId="0" applyAlignment="1" applyBorder="1" applyFont="1" applyNumberFormat="1">
      <alignment horizontal="center" readingOrder="0" shrinkToFit="0" wrapText="0"/>
    </xf>
    <xf borderId="36" fillId="20" fontId="30" numFmtId="0" xfId="0" applyAlignment="1" applyBorder="1" applyFont="1">
      <alignment horizontal="right" shrinkToFit="0" wrapText="0"/>
    </xf>
    <xf borderId="0" fillId="20" fontId="30" numFmtId="0" xfId="0" applyAlignment="1" applyFont="1">
      <alignment horizontal="center" shrinkToFit="0" vertical="bottom" wrapText="0"/>
    </xf>
    <xf borderId="0" fillId="20" fontId="30" numFmtId="165" xfId="0" applyAlignment="1" applyFont="1" applyNumberFormat="1">
      <alignment horizontal="center" shrinkToFit="0" vertical="bottom" wrapText="0"/>
    </xf>
    <xf borderId="3" fillId="20" fontId="30" numFmtId="0" xfId="0" applyAlignment="1" applyBorder="1" applyFont="1">
      <alignment horizontal="center" shrinkToFit="0" vertical="bottom" wrapText="0"/>
    </xf>
    <xf borderId="37" fillId="20" fontId="30" numFmtId="0" xfId="0" applyAlignment="1" applyBorder="1" applyFont="1">
      <alignment horizontal="center" shrinkToFit="0" wrapText="0"/>
    </xf>
    <xf borderId="8" fillId="0" fontId="30" numFmtId="0" xfId="0" applyAlignment="1" applyBorder="1" applyFont="1">
      <alignment horizontal="center" readingOrder="0" shrinkToFit="0" wrapText="0"/>
    </xf>
    <xf borderId="5" fillId="20" fontId="30" numFmtId="0" xfId="0" applyAlignment="1" applyBorder="1" applyFont="1">
      <alignment horizontal="center" readingOrder="0"/>
    </xf>
    <xf borderId="28" fillId="20" fontId="37" numFmtId="165" xfId="0" applyAlignment="1" applyBorder="1" applyFont="1" applyNumberFormat="1">
      <alignment horizontal="center" readingOrder="0" shrinkToFit="0" wrapText="0"/>
    </xf>
    <xf borderId="31" fillId="20" fontId="32" numFmtId="0" xfId="0" applyAlignment="1" applyBorder="1" applyFont="1">
      <alignment horizontal="right"/>
    </xf>
    <xf borderId="1" fillId="20" fontId="32" numFmtId="0" xfId="0" applyAlignment="1" applyBorder="1" applyFont="1">
      <alignment horizontal="center"/>
    </xf>
    <xf borderId="1" fillId="20" fontId="32" numFmtId="0" xfId="0" applyAlignment="1" applyBorder="1" applyFont="1">
      <alignment horizontal="center"/>
    </xf>
    <xf borderId="1" fillId="20" fontId="32" numFmtId="165" xfId="0" applyAlignment="1" applyBorder="1" applyFont="1" applyNumberFormat="1">
      <alignment horizontal="center"/>
    </xf>
    <xf borderId="7" fillId="20" fontId="32" numFmtId="0" xfId="0" applyAlignment="1" applyBorder="1" applyFont="1">
      <alignment horizontal="center"/>
    </xf>
    <xf borderId="0" fillId="15" fontId="30" numFmtId="0" xfId="0" applyAlignment="1" applyFont="1">
      <alignment horizontal="center" readingOrder="0" shrinkToFit="0" wrapText="0"/>
    </xf>
    <xf borderId="0" fillId="0" fontId="32" numFmtId="165" xfId="0" applyAlignment="1" applyFont="1" applyNumberFormat="1">
      <alignment horizontal="center" readingOrder="0"/>
    </xf>
    <xf borderId="28" fillId="17" fontId="30" numFmtId="0" xfId="0" applyAlignment="1" applyBorder="1" applyFont="1">
      <alignment horizontal="center" readingOrder="0" shrinkToFit="0" wrapText="0"/>
    </xf>
    <xf borderId="9" fillId="0" fontId="30" numFmtId="0" xfId="0" applyAlignment="1" applyBorder="1" applyFont="1">
      <alignment horizontal="center" readingOrder="0" shrinkToFit="0" wrapText="0"/>
    </xf>
    <xf borderId="29" fillId="0" fontId="30" numFmtId="0" xfId="0" applyAlignment="1" applyBorder="1" applyFont="1">
      <alignment horizontal="center" readingOrder="0" shrinkToFit="0" wrapText="0"/>
    </xf>
    <xf borderId="28" fillId="28" fontId="30" numFmtId="0" xfId="0" applyAlignment="1" applyBorder="1" applyFont="1">
      <alignment horizontal="center" readingOrder="0" shrinkToFit="0" wrapText="0"/>
    </xf>
    <xf borderId="36" fillId="6" fontId="30" numFmtId="0" xfId="0" applyAlignment="1" applyBorder="1" applyFont="1">
      <alignment horizontal="right" shrinkToFit="0" wrapText="0"/>
    </xf>
    <xf borderId="0" fillId="27" fontId="30" numFmtId="0" xfId="0" applyAlignment="1" applyFont="1">
      <alignment horizontal="center" readingOrder="0" shrinkToFit="0" wrapText="0"/>
    </xf>
    <xf borderId="36" fillId="3" fontId="30" numFmtId="165" xfId="0" applyAlignment="1" applyBorder="1" applyFont="1" applyNumberFormat="1">
      <alignment horizontal="center" readingOrder="0" shrinkToFit="0" wrapText="0"/>
    </xf>
    <xf borderId="28" fillId="15" fontId="37" numFmtId="165" xfId="0" applyAlignment="1" applyBorder="1" applyFont="1" applyNumberFormat="1">
      <alignment horizontal="center" readingOrder="0" shrinkToFit="0" vertical="center" wrapText="0"/>
    </xf>
    <xf borderId="28" fillId="24" fontId="37" numFmtId="165" xfId="0" applyAlignment="1" applyBorder="1" applyFont="1" applyNumberFormat="1">
      <alignment horizontal="center" readingOrder="0" shrinkToFit="0" vertical="center" wrapText="0"/>
    </xf>
    <xf borderId="4" fillId="3" fontId="29" numFmtId="0" xfId="0" applyAlignment="1" applyBorder="1" applyFont="1">
      <alignment horizontal="right" readingOrder="0" shrinkToFit="0" wrapText="1"/>
    </xf>
    <xf borderId="0" fillId="0" fontId="30" numFmtId="0" xfId="0" applyAlignment="1" applyFont="1">
      <alignment horizontal="center" readingOrder="0"/>
    </xf>
    <xf borderId="8" fillId="3" fontId="29" numFmtId="0" xfId="0" applyAlignment="1" applyBorder="1" applyFont="1">
      <alignment horizontal="right" readingOrder="0" shrinkToFit="0" wrapText="1"/>
    </xf>
    <xf borderId="36" fillId="3" fontId="30" numFmtId="165" xfId="0" applyAlignment="1" applyBorder="1" applyFont="1" applyNumberFormat="1">
      <alignment horizontal="center" shrinkToFit="0" wrapText="0"/>
    </xf>
    <xf borderId="0" fillId="15" fontId="32" numFmtId="0" xfId="0" applyAlignment="1" applyFont="1">
      <alignment horizontal="center" readingOrder="0"/>
    </xf>
    <xf borderId="4" fillId="0" fontId="30" numFmtId="164" xfId="0" applyAlignment="1" applyBorder="1" applyFont="1" applyNumberFormat="1">
      <alignment horizontal="right" shrinkToFit="0" wrapText="0"/>
    </xf>
    <xf borderId="4" fillId="0" fontId="30" numFmtId="1" xfId="0" applyAlignment="1" applyBorder="1" applyFont="1" applyNumberFormat="1">
      <alignment horizontal="center" shrinkToFit="0" wrapText="0"/>
    </xf>
    <xf borderId="5" fillId="24" fontId="37" numFmtId="0" xfId="0" applyAlignment="1" applyBorder="1" applyFont="1">
      <alignment horizontal="center" readingOrder="0"/>
    </xf>
    <xf borderId="2" fillId="24" fontId="37" numFmtId="0" xfId="0" applyAlignment="1" applyBorder="1" applyFont="1">
      <alignment horizontal="center" readingOrder="0"/>
    </xf>
    <xf borderId="6" fillId="24" fontId="37" numFmtId="0" xfId="0" applyAlignment="1" applyBorder="1" applyFont="1">
      <alignment horizontal="center" readingOrder="0"/>
    </xf>
    <xf borderId="0" fillId="0" fontId="30" numFmtId="0" xfId="0" applyAlignment="1" applyFont="1">
      <alignment horizontal="right" shrinkToFit="0" vertical="bottom" wrapText="1"/>
    </xf>
    <xf borderId="0" fillId="23" fontId="1" numFmtId="0" xfId="0" applyFont="1"/>
    <xf borderId="36" fillId="23" fontId="38" numFmtId="0" xfId="0" applyAlignment="1" applyBorder="1" applyFont="1">
      <alignment horizontal="right" readingOrder="0" shrinkToFit="0" wrapText="1"/>
    </xf>
    <xf borderId="36" fillId="23" fontId="38" numFmtId="165" xfId="0" applyAlignment="1" applyBorder="1" applyFont="1" applyNumberFormat="1">
      <alignment horizontal="center" readingOrder="0" shrinkToFit="0" wrapText="0"/>
    </xf>
    <xf borderId="9" fillId="25" fontId="30" numFmtId="0" xfId="0" applyAlignment="1" applyBorder="1" applyFont="1">
      <alignment horizontal="center" readingOrder="0" shrinkToFit="0" vertical="top" wrapText="1"/>
    </xf>
    <xf borderId="36" fillId="0" fontId="30" numFmtId="170" xfId="0" applyAlignment="1" applyBorder="1" applyFont="1" applyNumberFormat="1">
      <alignment horizontal="right" readingOrder="0" shrinkToFit="0" wrapText="1"/>
    </xf>
    <xf borderId="0" fillId="25" fontId="30" numFmtId="0" xfId="0" applyAlignment="1" applyFont="1">
      <alignment horizontal="center" readingOrder="0" shrinkToFit="0" wrapText="0"/>
    </xf>
    <xf borderId="36" fillId="0" fontId="30" numFmtId="165" xfId="0" applyAlignment="1" applyBorder="1" applyFont="1" applyNumberFormat="1">
      <alignment horizontal="center" shrinkToFit="0" wrapText="0"/>
    </xf>
    <xf borderId="36" fillId="25" fontId="30" numFmtId="0" xfId="0" applyAlignment="1" applyBorder="1" applyFont="1">
      <alignment horizontal="right" readingOrder="0" shrinkToFit="0" wrapText="1"/>
    </xf>
    <xf borderId="36" fillId="25" fontId="30" numFmtId="165" xfId="0" applyAlignment="1" applyBorder="1" applyFont="1" applyNumberFormat="1">
      <alignment horizontal="center" readingOrder="0" shrinkToFit="0" wrapText="0"/>
    </xf>
    <xf borderId="5" fillId="0" fontId="32" numFmtId="0" xfId="0" applyAlignment="1" applyBorder="1" applyFont="1">
      <alignment horizontal="center" readingOrder="0"/>
    </xf>
    <xf borderId="5" fillId="24" fontId="37" numFmtId="0" xfId="0" applyAlignment="1" applyBorder="1" applyFont="1">
      <alignment horizontal="center" readingOrder="0" shrinkToFit="0" vertical="center" wrapText="1"/>
    </xf>
    <xf borderId="36" fillId="3" fontId="30" numFmtId="0" xfId="0" applyAlignment="1" applyBorder="1" applyFont="1">
      <alignment horizontal="center" readingOrder="0" shrinkToFit="0" wrapText="0"/>
    </xf>
    <xf borderId="0" fillId="15" fontId="31" numFmtId="0" xfId="0" applyAlignment="1" applyFont="1">
      <alignment horizontal="center" readingOrder="0"/>
    </xf>
    <xf borderId="28" fillId="24" fontId="37" numFmtId="165" xfId="0" applyAlignment="1" applyBorder="1" applyFont="1" applyNumberFormat="1">
      <alignment horizontal="center" readingOrder="0" shrinkToFit="0" wrapText="0"/>
    </xf>
    <xf borderId="36" fillId="0" fontId="30" numFmtId="165" xfId="0" applyAlignment="1" applyBorder="1" applyFont="1" applyNumberFormat="1">
      <alignment horizontal="center" readingOrder="0" shrinkToFit="0" wrapText="0"/>
    </xf>
    <xf borderId="4" fillId="0" fontId="30" numFmtId="165" xfId="0" applyAlignment="1" applyBorder="1" applyFont="1" applyNumberFormat="1">
      <alignment horizontal="center" readingOrder="0" shrinkToFit="0" vertical="bottom" wrapText="0"/>
    </xf>
    <xf borderId="8" fillId="17" fontId="30" numFmtId="165" xfId="0" applyAlignment="1" applyBorder="1" applyFont="1" applyNumberFormat="1">
      <alignment horizontal="center" readingOrder="0" shrinkToFit="0" wrapText="0"/>
    </xf>
    <xf borderId="5" fillId="24" fontId="37" numFmtId="0" xfId="0" applyAlignment="1" applyBorder="1" applyFont="1">
      <alignment horizontal="center" readingOrder="0" shrinkToFit="0" wrapText="1"/>
    </xf>
    <xf borderId="4" fillId="0" fontId="32" numFmtId="0" xfId="0" applyAlignment="1" applyBorder="1" applyFont="1">
      <alignment horizontal="right"/>
    </xf>
    <xf borderId="4" fillId="0" fontId="32" numFmtId="0" xfId="0" applyAlignment="1" applyBorder="1" applyFont="1">
      <alignment horizontal="center"/>
    </xf>
    <xf borderId="35" fillId="23" fontId="30" numFmtId="165" xfId="0" applyAlignment="1" applyBorder="1" applyFont="1" applyNumberFormat="1">
      <alignment horizontal="center" readingOrder="0" shrinkToFit="0" wrapText="0"/>
    </xf>
    <xf borderId="8" fillId="25" fontId="30" numFmtId="165" xfId="0" applyAlignment="1" applyBorder="1" applyFont="1" applyNumberFormat="1">
      <alignment horizontal="center" readingOrder="0" shrinkToFit="0" wrapText="0"/>
    </xf>
    <xf borderId="35" fillId="23" fontId="30" numFmtId="0" xfId="0" applyAlignment="1" applyBorder="1" applyFont="1">
      <alignment horizontal="center" readingOrder="0" shrinkToFit="0" wrapText="0"/>
    </xf>
    <xf borderId="8" fillId="28" fontId="30" numFmtId="165" xfId="0" applyAlignment="1" applyBorder="1" applyFont="1" applyNumberFormat="1">
      <alignment horizontal="center" readingOrder="0" shrinkToFit="0" wrapText="0"/>
    </xf>
    <xf borderId="4" fillId="3" fontId="30" numFmtId="165" xfId="0" applyAlignment="1" applyBorder="1" applyFont="1" applyNumberFormat="1">
      <alignment horizontal="center" readingOrder="0"/>
    </xf>
    <xf borderId="4" fillId="3" fontId="29" numFmtId="0" xfId="0" applyAlignment="1" applyBorder="1" applyFont="1">
      <alignment horizontal="right" readingOrder="0" shrinkToFit="0" wrapText="0"/>
    </xf>
    <xf borderId="8" fillId="27" fontId="30" numFmtId="165" xfId="0" applyAlignment="1" applyBorder="1" applyFont="1" applyNumberFormat="1">
      <alignment horizontal="center" readingOrder="0" shrinkToFit="0" wrapText="0"/>
    </xf>
    <xf borderId="8" fillId="6" fontId="30" numFmtId="165" xfId="0" applyAlignment="1" applyBorder="1" applyFont="1" applyNumberFormat="1">
      <alignment horizontal="center" readingOrder="0" shrinkToFit="0" wrapText="0"/>
    </xf>
    <xf borderId="31" fillId="0" fontId="30" numFmtId="165" xfId="0" applyAlignment="1" applyBorder="1" applyFont="1" applyNumberFormat="1">
      <alignment horizontal="center" readingOrder="0" shrinkToFit="0" wrapText="0"/>
    </xf>
    <xf borderId="1" fillId="0" fontId="30" numFmtId="0" xfId="0" applyAlignment="1" applyBorder="1" applyFont="1">
      <alignment horizontal="center" shrinkToFit="0" wrapText="0"/>
    </xf>
    <xf borderId="7" fillId="0" fontId="30" numFmtId="0" xfId="0" applyAlignment="1" applyBorder="1" applyFont="1">
      <alignment horizontal="center" shrinkToFit="0" wrapText="0"/>
    </xf>
    <xf borderId="3" fillId="25" fontId="30" numFmtId="165" xfId="0" applyAlignment="1" applyBorder="1" applyFont="1" applyNumberFormat="1">
      <alignment horizontal="center" readingOrder="0" shrinkToFit="0" vertical="bottom" wrapText="0"/>
    </xf>
    <xf borderId="28" fillId="0" fontId="32" numFmtId="0" xfId="0" applyAlignment="1" applyBorder="1" applyFont="1">
      <alignment horizontal="right" vertical="top"/>
    </xf>
    <xf borderId="9" fillId="10" fontId="32" numFmtId="0" xfId="0" applyAlignment="1" applyBorder="1" applyFont="1">
      <alignment horizontal="center" vertical="top"/>
    </xf>
    <xf borderId="5" fillId="0" fontId="32" numFmtId="0" xfId="0" applyAlignment="1" applyBorder="1" applyFont="1">
      <alignment horizontal="center" vertical="bottom"/>
    </xf>
    <xf borderId="28" fillId="0" fontId="32" numFmtId="0" xfId="0" applyAlignment="1" applyBorder="1" applyFont="1">
      <alignment horizontal="center" vertical="bottom"/>
    </xf>
    <xf borderId="28" fillId="0" fontId="32" numFmtId="0" xfId="0" applyAlignment="1" applyBorder="1" applyFont="1">
      <alignment horizontal="center" vertical="bottom"/>
    </xf>
    <xf borderId="8" fillId="0" fontId="32" numFmtId="0" xfId="0" applyAlignment="1" applyBorder="1" applyFont="1">
      <alignment horizontal="right" vertical="top"/>
    </xf>
    <xf borderId="0" fillId="0" fontId="32" numFmtId="0" xfId="0" applyAlignment="1" applyFont="1">
      <alignment horizontal="center" vertical="top"/>
    </xf>
    <xf borderId="2" fillId="0" fontId="32" numFmtId="0" xfId="0" applyAlignment="1" applyBorder="1" applyFont="1">
      <alignment horizontal="center" vertical="bottom"/>
    </xf>
    <xf borderId="6" fillId="0" fontId="32" numFmtId="0" xfId="0" applyAlignment="1" applyBorder="1" applyFont="1">
      <alignment horizontal="center" vertical="bottom"/>
    </xf>
    <xf borderId="36" fillId="0" fontId="32" numFmtId="0" xfId="0" applyAlignment="1" applyBorder="1" applyFont="1">
      <alignment horizontal="right" vertical="bottom"/>
    </xf>
    <xf borderId="4" fillId="0" fontId="32" numFmtId="0" xfId="0" applyAlignment="1" applyBorder="1" applyFont="1">
      <alignment horizontal="center" vertical="bottom"/>
    </xf>
    <xf borderId="35" fillId="0" fontId="32" numFmtId="0" xfId="0" applyAlignment="1" applyBorder="1" applyFont="1">
      <alignment horizontal="center" vertical="bottom"/>
    </xf>
    <xf borderId="36" fillId="0" fontId="32" numFmtId="0" xfId="0" applyAlignment="1" applyBorder="1" applyFont="1">
      <alignment horizontal="center" vertical="bottom"/>
    </xf>
    <xf borderId="4" fillId="0" fontId="32" numFmtId="0" xfId="0" applyAlignment="1" applyBorder="1" applyFont="1">
      <alignment horizontal="center" vertical="bottom"/>
    </xf>
    <xf borderId="4" fillId="0" fontId="32" numFmtId="165" xfId="0" applyAlignment="1" applyBorder="1" applyFont="1" applyNumberFormat="1">
      <alignment horizontal="center" vertical="bottom"/>
    </xf>
    <xf borderId="4" fillId="0" fontId="32" numFmtId="164" xfId="0" applyAlignment="1" applyBorder="1" applyFont="1" applyNumberFormat="1">
      <alignment horizontal="right" vertical="top"/>
    </xf>
    <xf borderId="4" fillId="0" fontId="32" numFmtId="1" xfId="0" applyAlignment="1" applyBorder="1" applyFont="1" applyNumberFormat="1">
      <alignment horizontal="center" vertical="bottom"/>
    </xf>
    <xf borderId="4" fillId="0" fontId="32" numFmtId="165" xfId="0" applyAlignment="1" applyBorder="1" applyFont="1" applyNumberFormat="1">
      <alignment horizontal="center" vertical="bottom"/>
    </xf>
    <xf borderId="4" fillId="0" fontId="32" numFmtId="164" xfId="0" applyAlignment="1" applyBorder="1" applyFont="1" applyNumberFormat="1">
      <alignment horizontal="right" vertical="bottom"/>
    </xf>
    <xf borderId="4" fillId="0" fontId="32" numFmtId="0" xfId="0" applyAlignment="1" applyBorder="1" applyFont="1">
      <alignment horizontal="right" vertical="bottom"/>
    </xf>
    <xf borderId="36" fillId="0" fontId="32" numFmtId="0" xfId="0" applyAlignment="1" applyBorder="1" applyFont="1">
      <alignment horizontal="right" readingOrder="0" vertical="bottom"/>
    </xf>
    <xf borderId="8" fillId="0" fontId="32" numFmtId="0" xfId="0" applyAlignment="1" applyBorder="1" applyFont="1">
      <alignment horizontal="right" vertical="bottom"/>
    </xf>
    <xf borderId="0" fillId="0" fontId="32" numFmtId="0" xfId="0" applyAlignment="1" applyFont="1">
      <alignment horizontal="center" vertical="bottom"/>
    </xf>
    <xf borderId="0" fillId="0" fontId="32" numFmtId="0" xfId="0" applyAlignment="1" applyFont="1">
      <alignment horizontal="center" vertical="bottom"/>
    </xf>
    <xf borderId="0" fillId="0" fontId="32" numFmtId="165" xfId="0" applyAlignment="1" applyFont="1" applyNumberFormat="1">
      <alignment horizontal="center" vertical="bottom"/>
    </xf>
    <xf borderId="3" fillId="0" fontId="32" numFmtId="0" xfId="0" applyAlignment="1" applyBorder="1" applyFont="1">
      <alignment horizontal="center" vertical="bottom"/>
    </xf>
    <xf borderId="36" fillId="23" fontId="32" numFmtId="0" xfId="0" applyAlignment="1" applyBorder="1" applyFont="1">
      <alignment horizontal="center" vertical="bottom"/>
    </xf>
    <xf borderId="8" fillId="0" fontId="32" numFmtId="0" xfId="0" applyAlignment="1" applyBorder="1" applyFont="1">
      <alignment horizontal="center" vertical="bottom"/>
    </xf>
    <xf borderId="36" fillId="23" fontId="32" numFmtId="165" xfId="0" applyAlignment="1" applyBorder="1" applyFont="1" applyNumberFormat="1">
      <alignment horizontal="center" vertical="bottom"/>
    </xf>
    <xf borderId="8" fillId="0" fontId="32" numFmtId="165" xfId="0" applyAlignment="1" applyBorder="1" applyFont="1" applyNumberFormat="1">
      <alignment horizontal="center" vertical="bottom"/>
    </xf>
    <xf borderId="36" fillId="6" fontId="32" numFmtId="0" xfId="0" applyAlignment="1" applyBorder="1" applyFont="1">
      <alignment horizontal="right" vertical="bottom"/>
    </xf>
    <xf borderId="37" fillId="6" fontId="32" numFmtId="0" xfId="0" applyAlignment="1" applyBorder="1" applyFont="1">
      <alignment horizontal="center" vertical="bottom"/>
    </xf>
    <xf borderId="4" fillId="3" fontId="32" numFmtId="0" xfId="0" applyAlignment="1" applyBorder="1" applyFont="1">
      <alignment horizontal="right" vertical="bottom"/>
    </xf>
    <xf borderId="36" fillId="3" fontId="32" numFmtId="0" xfId="0" applyAlignment="1" applyBorder="1" applyFont="1">
      <alignment horizontal="center" vertical="bottom"/>
    </xf>
    <xf borderId="36" fillId="3" fontId="32" numFmtId="0" xfId="0" applyAlignment="1" applyBorder="1" applyFont="1">
      <alignment horizontal="right" vertical="bottom"/>
    </xf>
    <xf borderId="36" fillId="3" fontId="32" numFmtId="165" xfId="0" applyAlignment="1" applyBorder="1" applyFont="1" applyNumberFormat="1">
      <alignment horizontal="center" vertical="bottom"/>
    </xf>
    <xf borderId="5" fillId="24" fontId="32" numFmtId="0" xfId="0" applyAlignment="1" applyBorder="1" applyFont="1">
      <alignment horizontal="center" readingOrder="0" vertical="bottom"/>
    </xf>
    <xf borderId="28" fillId="24" fontId="32" numFmtId="165" xfId="0" applyAlignment="1" applyBorder="1" applyFont="1" applyNumberFormat="1">
      <alignment horizontal="center" vertical="center"/>
    </xf>
    <xf borderId="2" fillId="24" fontId="32" numFmtId="0" xfId="0" applyAlignment="1" applyBorder="1" applyFont="1">
      <alignment horizontal="center" readingOrder="0" vertical="bottom"/>
    </xf>
    <xf borderId="6" fillId="24" fontId="32" numFmtId="0" xfId="0" applyAlignment="1" applyBorder="1" applyFont="1">
      <alignment horizontal="center" vertical="bottom"/>
    </xf>
    <xf borderId="31" fillId="0" fontId="32" numFmtId="0" xfId="0" applyAlignment="1" applyBorder="1" applyFont="1">
      <alignment horizontal="right" vertical="bottom"/>
    </xf>
    <xf borderId="1" fillId="0" fontId="32" numFmtId="0" xfId="0" applyAlignment="1" applyBorder="1" applyFont="1">
      <alignment horizontal="center" vertical="bottom"/>
    </xf>
    <xf borderId="1" fillId="0" fontId="32" numFmtId="0" xfId="0" applyAlignment="1" applyBorder="1" applyFont="1">
      <alignment horizontal="center" vertical="bottom"/>
    </xf>
    <xf borderId="1" fillId="0" fontId="32" numFmtId="165" xfId="0" applyAlignment="1" applyBorder="1" applyFont="1" applyNumberFormat="1">
      <alignment horizontal="center" vertical="bottom"/>
    </xf>
    <xf borderId="7" fillId="0" fontId="32" numFmtId="0" xfId="0" applyAlignment="1" applyBorder="1" applyFont="1">
      <alignment horizontal="center" vertical="bottom"/>
    </xf>
    <xf borderId="4" fillId="27" fontId="32" numFmtId="165" xfId="0" applyAlignment="1" applyBorder="1" applyFont="1" applyNumberFormat="1">
      <alignment horizontal="center" vertical="bottom"/>
    </xf>
    <xf borderId="36" fillId="23" fontId="32" numFmtId="0" xfId="0" applyAlignment="1" applyBorder="1" applyFont="1">
      <alignment horizontal="center" readingOrder="0" vertical="bottom"/>
    </xf>
    <xf borderId="8" fillId="28" fontId="32" numFmtId="0" xfId="0" applyAlignment="1" applyBorder="1" applyFont="1">
      <alignment horizontal="center" readingOrder="0" vertical="bottom"/>
    </xf>
    <xf borderId="36" fillId="23" fontId="30" numFmtId="0" xfId="0" applyAlignment="1" applyBorder="1" applyFont="1">
      <alignment horizontal="center" readingOrder="0" shrinkToFit="0" wrapText="0"/>
    </xf>
    <xf borderId="8" fillId="0" fontId="32" numFmtId="0" xfId="0" applyAlignment="1" applyBorder="1" applyFont="1">
      <alignment horizontal="center" readingOrder="0" vertical="bottom"/>
    </xf>
    <xf borderId="4" fillId="0" fontId="25" numFmtId="165" xfId="0" applyAlignment="1" applyBorder="1" applyFont="1" applyNumberFormat="1">
      <alignment horizontal="left" readingOrder="0" shrinkToFit="0" wrapText="0"/>
    </xf>
    <xf borderId="1" fillId="0" fontId="30" numFmtId="0" xfId="0" applyAlignment="1" applyBorder="1" applyFont="1">
      <alignment horizontal="right" shrinkToFit="0" vertical="bottom" wrapText="1"/>
    </xf>
    <xf borderId="1" fillId="0" fontId="30" numFmtId="0" xfId="0" applyAlignment="1" applyBorder="1" applyFont="1">
      <alignment horizontal="center" shrinkToFit="0" vertical="bottom" wrapText="0"/>
    </xf>
    <xf borderId="4" fillId="3" fontId="32" numFmtId="1" xfId="0" applyAlignment="1" applyBorder="1" applyFont="1" applyNumberFormat="1">
      <alignment horizontal="center" vertical="bottom"/>
    </xf>
    <xf borderId="9" fillId="25" fontId="32" numFmtId="0" xfId="0" applyAlignment="1" applyBorder="1" applyFont="1">
      <alignment horizontal="center" readingOrder="0" shrinkToFit="0" vertical="top" wrapText="1"/>
    </xf>
    <xf borderId="0" fillId="3" fontId="32" numFmtId="0" xfId="0" applyAlignment="1" applyFont="1">
      <alignment horizontal="center" readingOrder="0"/>
    </xf>
    <xf borderId="28" fillId="0" fontId="32" numFmtId="0" xfId="0" applyAlignment="1" applyBorder="1" applyFont="1">
      <alignment horizontal="center" readingOrder="0" vertical="bottom"/>
    </xf>
    <xf borderId="4" fillId="0" fontId="32" numFmtId="165" xfId="0" applyAlignment="1" applyBorder="1" applyFont="1" applyNumberFormat="1">
      <alignment horizontal="center" readingOrder="0" vertical="bottom"/>
    </xf>
    <xf borderId="0" fillId="25" fontId="32" numFmtId="165" xfId="0" applyAlignment="1" applyFont="1" applyNumberFormat="1">
      <alignment horizontal="center" vertical="bottom"/>
    </xf>
    <xf borderId="3" fillId="25" fontId="32" numFmtId="165" xfId="0" applyAlignment="1" applyBorder="1" applyFont="1" applyNumberFormat="1">
      <alignment horizontal="center" vertical="bottom"/>
    </xf>
    <xf borderId="4" fillId="0" fontId="30" numFmtId="0" xfId="0" applyAlignment="1" applyBorder="1" applyFont="1">
      <alignment horizontal="right" readingOrder="0" shrinkToFit="0" wrapText="1"/>
    </xf>
    <xf borderId="28" fillId="3" fontId="30" numFmtId="0" xfId="0" applyAlignment="1" applyBorder="1" applyFont="1">
      <alignment horizontal="center" readingOrder="0" shrinkToFit="0" wrapText="0"/>
    </xf>
    <xf borderId="36" fillId="0" fontId="30" numFmtId="170" xfId="0" applyAlignment="1" applyBorder="1" applyFont="1" applyNumberFormat="1">
      <alignment horizontal="right" readingOrder="0" shrinkToFit="0" wrapText="0"/>
    </xf>
    <xf borderId="8" fillId="25" fontId="30" numFmtId="165" xfId="0" applyAlignment="1" applyBorder="1" applyFont="1" applyNumberFormat="1">
      <alignment horizontal="center" readingOrder="0" shrinkToFit="0" wrapText="0"/>
    </xf>
    <xf borderId="60" fillId="26" fontId="33" numFmtId="0" xfId="0" applyAlignment="1" applyBorder="1" applyFont="1">
      <alignment horizontal="center" readingOrder="0" shrinkToFit="0" wrapText="0"/>
    </xf>
    <xf borderId="60" fillId="26" fontId="33" numFmtId="0" xfId="0" applyAlignment="1" applyBorder="1" applyFont="1">
      <alignment horizontal="center" readingOrder="0"/>
    </xf>
    <xf borderId="61" fillId="26" fontId="33" numFmtId="0" xfId="0" applyAlignment="1" applyBorder="1" applyFont="1">
      <alignment horizontal="center" readingOrder="0" shrinkToFit="0" wrapText="0"/>
    </xf>
    <xf borderId="60" fillId="26" fontId="34" numFmtId="0" xfId="0" applyAlignment="1" applyBorder="1" applyFont="1">
      <alignment horizontal="center" readingOrder="0"/>
    </xf>
    <xf borderId="28" fillId="26" fontId="35" numFmtId="0" xfId="0" applyAlignment="1" applyBorder="1" applyFont="1">
      <alignment horizontal="right" readingOrder="0" shrinkToFit="0" wrapText="1"/>
    </xf>
    <xf borderId="62" fillId="0" fontId="32" numFmtId="0" xfId="0" applyAlignment="1" applyBorder="1" applyFont="1">
      <alignment horizontal="center"/>
    </xf>
    <xf borderId="63" fillId="0" fontId="32" numFmtId="0" xfId="0" applyAlignment="1" applyBorder="1" applyFont="1">
      <alignment horizontal="center"/>
    </xf>
    <xf borderId="63" fillId="0" fontId="32" numFmtId="165" xfId="0" applyAlignment="1" applyBorder="1" applyFont="1" applyNumberFormat="1">
      <alignment horizontal="center"/>
    </xf>
    <xf borderId="63" fillId="0" fontId="32" numFmtId="1" xfId="0" applyAlignment="1" applyBorder="1" applyFont="1" applyNumberFormat="1">
      <alignment horizontal="center"/>
    </xf>
    <xf borderId="64" fillId="0" fontId="32" numFmtId="0" xfId="0" applyAlignment="1" applyBorder="1" applyFont="1">
      <alignment horizontal="center"/>
    </xf>
    <xf borderId="0" fillId="0" fontId="32" numFmtId="0" xfId="0" applyAlignment="1" applyFont="1">
      <alignment horizontal="right" readingOrder="0" shrinkToFit="0" wrapText="1"/>
    </xf>
    <xf borderId="65" fillId="0" fontId="32" numFmtId="0" xfId="0" applyAlignment="1" applyBorder="1" applyFont="1">
      <alignment horizontal="center"/>
    </xf>
    <xf borderId="66" fillId="0" fontId="32" numFmtId="0" xfId="0" applyAlignment="1" applyBorder="1" applyFont="1">
      <alignment horizontal="center"/>
    </xf>
    <xf borderId="66" fillId="0" fontId="32" numFmtId="165" xfId="0" applyAlignment="1" applyBorder="1" applyFont="1" applyNumberFormat="1">
      <alignment horizontal="center"/>
    </xf>
    <xf borderId="67" fillId="0" fontId="32" numFmtId="0" xfId="0" applyAlignment="1" applyBorder="1" applyFont="1">
      <alignment horizontal="center"/>
    </xf>
    <xf borderId="0" fillId="0" fontId="39" numFmtId="0" xfId="0" applyAlignment="1" applyFont="1">
      <alignment horizontal="right" readingOrder="0" shrinkToFit="0" wrapText="1"/>
    </xf>
    <xf borderId="0" fillId="0" fontId="39" numFmtId="0" xfId="0" applyAlignment="1" applyFont="1">
      <alignment horizontal="center" readingOrder="0" shrinkToFit="0" wrapText="0"/>
    </xf>
    <xf borderId="0" fillId="0" fontId="39" numFmtId="0" xfId="0" applyAlignment="1" applyFont="1">
      <alignment horizontal="center" readingOrder="0" shrinkToFit="0" vertical="bottom" wrapText="0"/>
    </xf>
    <xf borderId="63" fillId="0" fontId="32" numFmtId="165" xfId="0" applyAlignment="1" applyBorder="1" applyFont="1" applyNumberFormat="1">
      <alignment horizontal="center"/>
    </xf>
    <xf borderId="0" fillId="0" fontId="13" numFmtId="0" xfId="0" applyAlignment="1" applyFont="1">
      <alignment horizontal="right" readingOrder="0" shrinkToFit="0" vertical="bottom" wrapText="1"/>
    </xf>
    <xf borderId="0" fillId="0" fontId="13" numFmtId="0" xfId="0" applyAlignment="1" applyFont="1">
      <alignment horizontal="center" readingOrder="0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readingOrder="0"/>
    </xf>
    <xf borderId="0" fillId="12" fontId="1" numFmtId="0" xfId="0" applyAlignment="1" applyFont="1">
      <alignment horizontal="left" readingOrder="0"/>
    </xf>
    <xf borderId="62" fillId="0" fontId="32" numFmtId="0" xfId="0" applyAlignment="1" applyBorder="1" applyFont="1">
      <alignment horizontal="center" readingOrder="0"/>
    </xf>
    <xf borderId="0" fillId="0" fontId="40" numFmtId="0" xfId="0" applyAlignment="1" applyFont="1">
      <alignment readingOrder="0"/>
    </xf>
    <xf borderId="66" fillId="0" fontId="32" numFmtId="0" xfId="0" applyAlignment="1" applyBorder="1" applyFont="1">
      <alignment horizontal="center" readingOrder="0"/>
    </xf>
    <xf borderId="0" fillId="17" fontId="13" numFmtId="0" xfId="0" applyAlignment="1" applyFont="1">
      <alignment horizontal="center" readingOrder="0" shrinkToFit="0" vertical="bottom" wrapText="0"/>
    </xf>
    <xf borderId="0" fillId="17" fontId="1" numFmtId="0" xfId="0" applyAlignment="1" applyFont="1">
      <alignment readingOrder="0"/>
    </xf>
    <xf borderId="0" fillId="3" fontId="1" numFmtId="0" xfId="0" applyAlignment="1" applyFont="1">
      <alignment readingOrder="0"/>
    </xf>
    <xf borderId="0" fillId="0" fontId="13" numFmtId="0" xfId="0" applyAlignment="1" applyFont="1">
      <alignment horizontal="right" shrinkToFit="0" wrapText="1"/>
    </xf>
    <xf borderId="0" fillId="0" fontId="13" numFmtId="0" xfId="0" applyAlignment="1" applyFont="1">
      <alignment horizontal="center" shrinkToFit="0" wrapText="0"/>
    </xf>
    <xf borderId="0" fillId="0" fontId="41" numFmtId="0" xfId="0" applyAlignment="1" applyFont="1">
      <alignment horizontal="center" readingOrder="0" shrinkToFit="0" vertical="bottom" wrapText="0"/>
    </xf>
    <xf borderId="63" fillId="0" fontId="32" numFmtId="0" xfId="0" applyAlignment="1" applyBorder="1" applyFont="1">
      <alignment horizontal="center" readingOrder="0"/>
    </xf>
    <xf borderId="65" fillId="0" fontId="31" numFmtId="0" xfId="0" applyAlignment="1" applyBorder="1" applyFont="1">
      <alignment horizontal="center"/>
    </xf>
    <xf borderId="66" fillId="0" fontId="31" numFmtId="0" xfId="0" applyAlignment="1" applyBorder="1" applyFont="1">
      <alignment horizontal="center"/>
    </xf>
    <xf borderId="0" fillId="0" fontId="31" numFmtId="165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68" fillId="29" fontId="4" numFmtId="0" xfId="0" applyAlignment="1" applyBorder="1" applyFill="1" applyFont="1">
      <alignment horizontal="center" readingOrder="0"/>
    </xf>
    <xf borderId="69" fillId="0" fontId="9" numFmtId="0" xfId="0" applyBorder="1" applyFont="1"/>
    <xf borderId="70" fillId="0" fontId="9" numFmtId="0" xfId="0" applyBorder="1" applyFont="1"/>
    <xf borderId="69" fillId="29" fontId="4" numFmtId="0" xfId="0" applyAlignment="1" applyBorder="1" applyFont="1">
      <alignment horizontal="center" readingOrder="0"/>
    </xf>
    <xf borderId="71" fillId="0" fontId="9" numFmtId="0" xfId="0" applyBorder="1" applyFont="1"/>
    <xf borderId="0" fillId="0" fontId="4" numFmtId="0" xfId="0" applyAlignment="1" applyFont="1">
      <alignment horizontal="center" readingOrder="0"/>
    </xf>
    <xf borderId="72" fillId="0" fontId="1" numFmtId="0" xfId="0" applyBorder="1" applyFont="1"/>
    <xf borderId="73" fillId="0" fontId="1" numFmtId="0" xfId="0" applyBorder="1" applyFont="1"/>
    <xf borderId="73" fillId="0" fontId="1" numFmtId="0" xfId="0" applyAlignment="1" applyBorder="1" applyFont="1">
      <alignment horizontal="right" readingOrder="0"/>
    </xf>
    <xf borderId="74" fillId="0" fontId="1" numFmtId="0" xfId="0" applyAlignment="1" applyBorder="1" applyFont="1">
      <alignment horizontal="right" readingOrder="0"/>
    </xf>
    <xf borderId="75" fillId="0" fontId="39" numFmtId="0" xfId="0" applyAlignment="1" applyBorder="1" applyFont="1">
      <alignment horizontal="right" readingOrder="0" shrinkToFit="0" wrapText="1"/>
    </xf>
    <xf borderId="19" fillId="0" fontId="39" numFmtId="0" xfId="0" applyAlignment="1" applyBorder="1" applyFont="1">
      <alignment horizontal="center" readingOrder="0" shrinkToFit="0" wrapText="0"/>
    </xf>
    <xf borderId="19" fillId="0" fontId="39" numFmtId="0" xfId="0" applyAlignment="1" applyBorder="1" applyFont="1">
      <alignment horizontal="center" readingOrder="0" shrinkToFit="0" vertical="bottom" wrapText="0"/>
    </xf>
    <xf borderId="19" fillId="0" fontId="3" numFmtId="164" xfId="0" applyAlignment="1" applyBorder="1" applyFont="1" applyNumberFormat="1">
      <alignment horizontal="center" readingOrder="0" shrinkToFit="0" vertical="bottom" wrapText="0"/>
    </xf>
    <xf borderId="19" fillId="0" fontId="3" numFmtId="0" xfId="0" applyAlignment="1" applyBorder="1" applyFont="1">
      <alignment horizontal="center" readingOrder="0" shrinkToFit="0" vertical="bottom" wrapText="0"/>
    </xf>
    <xf borderId="19" fillId="0" fontId="3" numFmtId="165" xfId="0" applyAlignment="1" applyBorder="1" applyFont="1" applyNumberFormat="1">
      <alignment horizontal="center" readingOrder="0" shrinkToFit="0" vertical="bottom" wrapText="0"/>
    </xf>
    <xf borderId="19" fillId="0" fontId="3" numFmtId="1" xfId="0" applyAlignment="1" applyBorder="1" applyFont="1" applyNumberFormat="1">
      <alignment horizontal="center" readingOrder="0" shrinkToFit="0" vertical="bottom" wrapText="0"/>
    </xf>
    <xf borderId="76" fillId="0" fontId="3" numFmtId="0" xfId="0" applyAlignment="1" applyBorder="1" applyFont="1">
      <alignment horizontal="center" readingOrder="0" shrinkToFit="0" vertical="bottom" wrapText="0"/>
    </xf>
    <xf borderId="77" fillId="0" fontId="42" numFmtId="0" xfId="0" applyAlignment="1" applyBorder="1" applyFont="1">
      <alignment readingOrder="0" shrinkToFit="0" vertical="bottom" wrapText="0"/>
    </xf>
    <xf borderId="0" fillId="0" fontId="14" numFmtId="165" xfId="0" applyFont="1" applyNumberFormat="1"/>
    <xf borderId="78" fillId="0" fontId="14" numFmtId="0" xfId="0" applyBorder="1" applyFont="1"/>
    <xf borderId="79" fillId="0" fontId="1" numFmtId="0" xfId="0" applyBorder="1" applyFont="1"/>
    <xf borderId="80" fillId="30" fontId="3" numFmtId="0" xfId="0" applyAlignment="1" applyBorder="1" applyFill="1" applyFont="1">
      <alignment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81" fillId="0" fontId="6" numFmtId="0" xfId="0" applyAlignment="1" applyBorder="1" applyFont="1">
      <alignment horizontal="center" shrinkToFit="0" vertical="bottom" wrapText="0"/>
    </xf>
    <xf borderId="77" fillId="0" fontId="43" numFmtId="0" xfId="0" applyAlignment="1" applyBorder="1" applyFont="1">
      <alignment readingOrder="0" shrinkToFit="0" vertical="bottom" wrapText="0"/>
    </xf>
    <xf borderId="0" fillId="0" fontId="14" numFmtId="1" xfId="0" applyFont="1" applyNumberFormat="1"/>
    <xf quotePrefix="1" borderId="0" fillId="0" fontId="6" numFmtId="0" xfId="0" applyAlignment="1" applyFont="1">
      <alignment horizontal="right" readingOrder="0" shrinkToFit="0" vertical="bottom" wrapText="0"/>
    </xf>
    <xf borderId="0" fillId="0" fontId="6" numFmtId="165" xfId="0" applyAlignment="1" applyFont="1" applyNumberFormat="1">
      <alignment horizontal="right" readingOrder="0" shrinkToFit="0" vertical="bottom" wrapText="0"/>
    </xf>
    <xf borderId="81" fillId="0" fontId="6" numFmtId="0" xfId="0" applyAlignment="1" applyBorder="1" applyFont="1">
      <alignment horizontal="center" readingOrder="0" shrinkToFit="0" vertical="bottom" wrapText="0"/>
    </xf>
    <xf borderId="78" fillId="0" fontId="15" numFmtId="0" xfId="0" applyBorder="1" applyFont="1"/>
    <xf borderId="78" fillId="0" fontId="44" numFmtId="0" xfId="0" applyAlignment="1" applyBorder="1" applyFont="1">
      <alignment readingOrder="0"/>
    </xf>
    <xf borderId="0" fillId="0" fontId="45" numFmtId="1" xfId="0" applyAlignment="1" applyFont="1" applyNumberFormat="1">
      <alignment horizontal="center" readingOrder="0" shrinkToFit="0" vertical="center" wrapText="0"/>
    </xf>
    <xf borderId="78" fillId="0" fontId="14" numFmtId="165" xfId="0" applyBorder="1" applyFont="1" applyNumberFormat="1"/>
    <xf borderId="0" fillId="0" fontId="6" numFmtId="0" xfId="0" applyAlignment="1" applyFont="1">
      <alignment horizontal="right" readingOrder="0" shrinkToFit="0" vertical="bottom" wrapText="0"/>
    </xf>
    <xf borderId="0" fillId="0" fontId="14" numFmtId="165" xfId="0" applyFont="1" applyNumberFormat="1"/>
    <xf borderId="78" fillId="0" fontId="44" numFmtId="165" xfId="0" applyAlignment="1" applyBorder="1" applyFont="1" applyNumberFormat="1">
      <alignment readingOrder="0"/>
    </xf>
    <xf borderId="0" fillId="17" fontId="14" numFmtId="0" xfId="0" applyFont="1"/>
    <xf borderId="78" fillId="17" fontId="14" numFmtId="0" xfId="0" applyBorder="1" applyFont="1"/>
    <xf borderId="77" fillId="0" fontId="46" numFmtId="0" xfId="0" applyAlignment="1" applyBorder="1" applyFont="1">
      <alignment readingOrder="0" shrinkToFit="0" vertical="bottom" wrapText="0"/>
    </xf>
    <xf borderId="77" fillId="0" fontId="47" numFmtId="0" xfId="0" applyAlignment="1" applyBorder="1" applyFont="1">
      <alignment readingOrder="0" shrinkToFit="0" vertical="bottom" wrapText="0"/>
    </xf>
    <xf borderId="77" fillId="0" fontId="48" numFmtId="0" xfId="0" applyAlignment="1" applyBorder="1" applyFont="1">
      <alignment readingOrder="0" shrinkToFit="0" vertical="bottom" wrapText="0"/>
    </xf>
    <xf borderId="0" fillId="0" fontId="14" numFmtId="2" xfId="0" applyFont="1" applyNumberFormat="1"/>
    <xf quotePrefix="1" borderId="81" fillId="0" fontId="6" numFmtId="0" xfId="0" applyAlignment="1" applyBorder="1" applyFont="1">
      <alignment horizontal="center" readingOrder="0" shrinkToFit="0" vertical="bottom" wrapText="0"/>
    </xf>
    <xf borderId="82" fillId="0" fontId="46" numFmtId="0" xfId="0" applyAlignment="1" applyBorder="1" applyFont="1">
      <alignment readingOrder="0" shrinkToFit="0" vertical="bottom" wrapText="0"/>
    </xf>
    <xf borderId="83" fillId="0" fontId="9" numFmtId="0" xfId="0" applyBorder="1" applyFont="1"/>
    <xf borderId="83" fillId="0" fontId="14" numFmtId="165" xfId="0" applyBorder="1" applyFont="1" applyNumberFormat="1"/>
    <xf borderId="84" fillId="0" fontId="14" numFmtId="0" xfId="0" applyBorder="1" applyFont="1"/>
    <xf borderId="85" fillId="31" fontId="44" numFmtId="0" xfId="0" applyAlignment="1" applyBorder="1" applyFill="1" applyFont="1">
      <alignment horizontal="center" readingOrder="0"/>
    </xf>
    <xf borderId="86" fillId="0" fontId="9" numFmtId="0" xfId="0" applyBorder="1" applyFont="1"/>
    <xf borderId="87" fillId="0" fontId="9" numFmtId="0" xfId="0" applyBorder="1" applyFont="1"/>
    <xf borderId="72" fillId="0" fontId="14" numFmtId="0" xfId="0" applyBorder="1" applyFont="1"/>
    <xf borderId="73" fillId="0" fontId="14" numFmtId="0" xfId="0" applyBorder="1" applyFont="1"/>
    <xf borderId="73" fillId="0" fontId="44" numFmtId="0" xfId="0" applyAlignment="1" applyBorder="1" applyFont="1">
      <alignment readingOrder="0"/>
    </xf>
    <xf borderId="73" fillId="0" fontId="1" numFmtId="0" xfId="0" applyAlignment="1" applyBorder="1" applyFont="1">
      <alignment readingOrder="0"/>
    </xf>
    <xf borderId="74" fillId="0" fontId="44" numFmtId="0" xfId="0" applyAlignment="1" applyBorder="1" applyFont="1">
      <alignment readingOrder="0"/>
    </xf>
    <xf borderId="77" fillId="0" fontId="44" numFmtId="0" xfId="0" applyAlignment="1" applyBorder="1" applyFont="1">
      <alignment readingOrder="0"/>
    </xf>
    <xf quotePrefix="1" borderId="0" fillId="0" fontId="44" numFmtId="0" xfId="0" applyAlignment="1" applyFont="1">
      <alignment horizontal="center" readingOrder="0"/>
    </xf>
    <xf borderId="0" fillId="0" fontId="1" numFmtId="165" xfId="0" applyFont="1" applyNumberFormat="1"/>
    <xf borderId="0" fillId="0" fontId="44" numFmtId="0" xfId="0" applyAlignment="1" applyFont="1">
      <alignment horizontal="center" readingOrder="0"/>
    </xf>
    <xf borderId="0" fillId="0" fontId="15" numFmtId="165" xfId="0" applyFont="1" applyNumberFormat="1"/>
    <xf borderId="88" fillId="30" fontId="3" numFmtId="0" xfId="0" applyAlignment="1" applyBorder="1" applyFont="1">
      <alignment readingOrder="0" shrinkToFit="0" vertical="bottom" wrapText="0"/>
    </xf>
    <xf borderId="88" fillId="30" fontId="3" numFmtId="0" xfId="0" applyAlignment="1" applyBorder="1" applyFont="1">
      <alignment horizontal="right" readingOrder="0" shrinkToFit="0" vertical="bottom" wrapText="0"/>
    </xf>
    <xf borderId="78" fillId="0" fontId="14" numFmtId="168" xfId="0" applyBorder="1" applyFont="1" applyNumberFormat="1"/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82" fillId="0" fontId="44" numFmtId="0" xfId="0" applyAlignment="1" applyBorder="1" applyFont="1">
      <alignment readingOrder="0"/>
    </xf>
    <xf borderId="83" fillId="0" fontId="14" numFmtId="0" xfId="0" applyAlignment="1" applyBorder="1" applyFont="1">
      <alignment horizontal="center"/>
    </xf>
    <xf borderId="83" fillId="0" fontId="14" numFmtId="0" xfId="0" applyBorder="1" applyFont="1"/>
    <xf borderId="83" fillId="0" fontId="14" numFmtId="168" xfId="0" applyBorder="1" applyFont="1" applyNumberFormat="1"/>
    <xf borderId="0" fillId="0" fontId="44" numFmtId="0" xfId="0" applyAlignment="1" applyFont="1">
      <alignment readingOrder="0"/>
    </xf>
    <xf borderId="0" fillId="0" fontId="1" numFmtId="1" xfId="0" applyFont="1" applyNumberFormat="1"/>
    <xf borderId="89" fillId="0" fontId="6" numFmtId="0" xfId="0" applyAlignment="1" applyBorder="1" applyFont="1">
      <alignment horizontal="center" readingOrder="0" shrinkToFit="0" vertical="bottom" wrapText="0"/>
    </xf>
    <xf borderId="0" fillId="0" fontId="44" numFmtId="0" xfId="0" applyAlignment="1" applyFont="1">
      <alignment horizontal="right" readingOrder="0"/>
    </xf>
    <xf borderId="89" fillId="0" fontId="1" numFmtId="0" xfId="0" applyBorder="1" applyFont="1"/>
    <xf borderId="0" fillId="0" fontId="49" numFmtId="0" xfId="0" applyAlignment="1" applyFont="1">
      <alignment readingOrder="0"/>
    </xf>
    <xf borderId="0" fillId="0" fontId="17" numFmtId="0" xfId="0" applyFont="1"/>
    <xf borderId="0" fillId="0" fontId="19" numFmtId="0" xfId="0" applyFont="1"/>
    <xf borderId="0" fillId="0" fontId="50" numFmtId="0" xfId="0" applyAlignment="1" applyFont="1">
      <alignment readingOrder="0"/>
    </xf>
    <xf borderId="0" fillId="0" fontId="44" numFmtId="165" xfId="0" applyAlignment="1" applyFont="1" applyNumberFormat="1">
      <alignment readingOrder="0"/>
    </xf>
    <xf borderId="0" fillId="0" fontId="18" numFmtId="0" xfId="0" applyFont="1"/>
    <xf borderId="90" fillId="0" fontId="1" numFmtId="0" xfId="0" applyBorder="1" applyFont="1"/>
    <xf borderId="91" fillId="0" fontId="1" numFmtId="0" xfId="0" applyBorder="1" applyFont="1"/>
    <xf borderId="92" fillId="0" fontId="1" numFmtId="0" xfId="0" applyBorder="1" applyFont="1"/>
    <xf borderId="93" fillId="0" fontId="22" numFmtId="0" xfId="0" applyAlignment="1" applyBorder="1" applyFont="1">
      <alignment horizontal="left" shrinkToFit="0" vertical="top" wrapText="0"/>
    </xf>
    <xf borderId="94" fillId="0" fontId="9" numFmtId="0" xfId="0" applyBorder="1" applyFont="1"/>
    <xf borderId="95" fillId="32" fontId="41" numFmtId="0" xfId="0" applyAlignment="1" applyBorder="1" applyFill="1" applyFont="1">
      <alignment horizontal="center" readingOrder="0" shrinkToFit="0" vertical="center" wrapText="0"/>
    </xf>
    <xf borderId="96" fillId="32" fontId="27" numFmtId="0" xfId="0" applyAlignment="1" applyBorder="1" applyFont="1">
      <alignment horizontal="left" readingOrder="0" shrinkToFit="0" vertical="center" wrapText="0"/>
    </xf>
    <xf borderId="97" fillId="0" fontId="9" numFmtId="0" xfId="0" applyBorder="1" applyFont="1"/>
    <xf borderId="98" fillId="0" fontId="9" numFmtId="0" xfId="0" applyBorder="1" applyFont="1"/>
    <xf borderId="99" fillId="0" fontId="9" numFmtId="0" xfId="0" applyBorder="1" applyFont="1"/>
    <xf borderId="0" fillId="15" fontId="23" numFmtId="0" xfId="0" applyAlignment="1" applyFont="1">
      <alignment horizontal="center"/>
    </xf>
    <xf borderId="0" fillId="10" fontId="1" numFmtId="0" xfId="0" applyFont="1"/>
    <xf quotePrefix="1" borderId="96" fillId="32" fontId="27" numFmtId="0" xfId="0" applyAlignment="1" applyBorder="1" applyFont="1">
      <alignment horizontal="left" readingOrder="0" shrinkToFit="0" vertical="center" wrapText="0"/>
    </xf>
    <xf borderId="95" fillId="17" fontId="51" numFmtId="0" xfId="0" applyAlignment="1" applyBorder="1" applyFont="1">
      <alignment horizontal="center" readingOrder="0" shrinkToFit="0" vertical="center" wrapText="0"/>
    </xf>
    <xf borderId="95" fillId="6" fontId="22" numFmtId="170" xfId="0" applyAlignment="1" applyBorder="1" applyFont="1" applyNumberFormat="1">
      <alignment horizontal="center" readingOrder="0" shrinkToFit="0" vertical="center" wrapText="0"/>
    </xf>
    <xf borderId="95" fillId="6" fontId="22" numFmtId="0" xfId="0" applyAlignment="1" applyBorder="1" applyFont="1">
      <alignment horizontal="center" readingOrder="0" shrinkToFit="0" vertical="center" wrapText="0"/>
    </xf>
    <xf borderId="95" fillId="6" fontId="22" numFmtId="165" xfId="0" applyAlignment="1" applyBorder="1" applyFont="1" applyNumberFormat="1">
      <alignment horizontal="center" readingOrder="0" shrinkToFit="0" vertical="center" wrapText="0"/>
    </xf>
    <xf borderId="95" fillId="6" fontId="22" numFmtId="9" xfId="0" applyAlignment="1" applyBorder="1" applyFont="1" applyNumberFormat="1">
      <alignment horizontal="center" readingOrder="0" shrinkToFit="0" vertical="center" wrapText="0"/>
    </xf>
    <xf borderId="95" fillId="17" fontId="45" numFmtId="1" xfId="0" applyAlignment="1" applyBorder="1" applyFont="1" applyNumberFormat="1">
      <alignment horizontal="center" readingOrder="0" shrinkToFit="0" vertical="center" wrapText="0"/>
    </xf>
    <xf borderId="95" fillId="6" fontId="22" numFmtId="0" xfId="0" applyAlignment="1" applyBorder="1" applyFont="1">
      <alignment horizontal="center" shrinkToFit="0" wrapText="0"/>
    </xf>
    <xf borderId="95" fillId="6" fontId="22" numFmtId="0" xfId="0" applyAlignment="1" applyBorder="1" applyFont="1">
      <alignment horizontal="center" readingOrder="0" shrinkToFit="0" wrapText="0"/>
    </xf>
    <xf borderId="95" fillId="6" fontId="22" numFmtId="9" xfId="0" applyAlignment="1" applyBorder="1" applyFont="1" applyNumberFormat="1">
      <alignment horizontal="center" readingOrder="0" shrinkToFit="0" wrapText="0"/>
    </xf>
    <xf borderId="95" fillId="6" fontId="22" numFmtId="165" xfId="0" applyAlignment="1" applyBorder="1" applyFont="1" applyNumberFormat="1">
      <alignment horizontal="center" readingOrder="0" shrinkToFit="0" wrapText="0"/>
    </xf>
    <xf borderId="95" fillId="6" fontId="51" numFmtId="165" xfId="0" applyAlignment="1" applyBorder="1" applyFont="1" applyNumberFormat="1">
      <alignment horizontal="center" readingOrder="0" shrinkToFit="0" vertical="center" wrapText="0"/>
    </xf>
    <xf borderId="96" fillId="17" fontId="27" numFmtId="0" xfId="0" applyAlignment="1" applyBorder="1" applyFont="1">
      <alignment horizontal="center" readingOrder="0" shrinkToFit="0" vertical="center" wrapText="0"/>
    </xf>
    <xf borderId="97" fillId="33" fontId="9" numFmtId="0" xfId="0" applyBorder="1" applyFill="1" applyFont="1"/>
    <xf borderId="98" fillId="33" fontId="9" numFmtId="0" xfId="0" applyBorder="1" applyFont="1"/>
    <xf borderId="95" fillId="17" fontId="27" numFmtId="165" xfId="0" applyAlignment="1" applyBorder="1" applyFont="1" applyNumberFormat="1">
      <alignment horizontal="center" readingOrder="0" shrinkToFit="0" vertical="center" wrapText="0"/>
    </xf>
    <xf borderId="95" fillId="17" fontId="27" numFmtId="0" xfId="0" applyAlignment="1" applyBorder="1" applyFont="1">
      <alignment horizontal="center" shrinkToFit="0" vertical="center" wrapText="0"/>
    </xf>
    <xf borderId="95" fillId="17" fontId="27" numFmtId="49" xfId="0" applyAlignment="1" applyBorder="1" applyFont="1" applyNumberFormat="1">
      <alignment horizontal="center" readingOrder="0" shrinkToFit="0" vertical="center" wrapText="0"/>
    </xf>
    <xf borderId="99" fillId="0" fontId="22" numFmtId="0" xfId="0" applyAlignment="1" applyBorder="1" applyFont="1">
      <alignment shrinkToFit="0" wrapText="0"/>
    </xf>
    <xf borderId="100" fillId="0" fontId="22" numFmtId="0" xfId="0" applyAlignment="1" applyBorder="1" applyFont="1">
      <alignment shrinkToFit="0" wrapText="0"/>
    </xf>
    <xf borderId="0" fillId="6" fontId="22" numFmtId="0" xfId="0" applyAlignment="1" applyFont="1">
      <alignment shrinkToFit="0" wrapText="0"/>
    </xf>
    <xf borderId="100" fillId="0" fontId="9" numFmtId="0" xfId="0" applyBorder="1" applyFont="1"/>
    <xf borderId="101" fillId="17" fontId="27" numFmtId="0" xfId="0" applyAlignment="1" applyBorder="1" applyFont="1">
      <alignment horizontal="center" readingOrder="0" shrinkToFit="0" vertical="center" wrapText="0"/>
    </xf>
    <xf borderId="102" fillId="33" fontId="9" numFmtId="0" xfId="0" applyBorder="1" applyFont="1"/>
    <xf borderId="103" fillId="33" fontId="9" numFmtId="0" xfId="0" applyBorder="1" applyFont="1"/>
    <xf borderId="102" fillId="0" fontId="9" numFmtId="0" xfId="0" applyBorder="1" applyFont="1"/>
    <xf borderId="103" fillId="0" fontId="9" numFmtId="0" xfId="0" applyBorder="1" applyFont="1"/>
    <xf borderId="104" fillId="6" fontId="27" numFmtId="0" xfId="0" applyAlignment="1" applyBorder="1" applyFont="1">
      <alignment horizontal="center" readingOrder="0" shrinkToFit="0" vertical="center" wrapText="0"/>
    </xf>
    <xf borderId="105" fillId="6" fontId="9" numFmtId="0" xfId="0" applyBorder="1" applyFont="1"/>
    <xf borderId="106" fillId="6" fontId="27" numFmtId="165" xfId="0" applyAlignment="1" applyBorder="1" applyFont="1" applyNumberFormat="1">
      <alignment horizontal="center" readingOrder="0" shrinkToFit="0" vertical="center" wrapText="0"/>
    </xf>
    <xf borderId="105" fillId="0" fontId="9" numFmtId="0" xfId="0" applyBorder="1" applyFont="1"/>
    <xf borderId="106" fillId="34" fontId="22" numFmtId="165" xfId="0" applyAlignment="1" applyBorder="1" applyFill="1" applyFont="1" applyNumberFormat="1">
      <alignment horizontal="center" readingOrder="0" shrinkToFit="0" vertical="center" wrapText="0"/>
    </xf>
    <xf borderId="104" fillId="32" fontId="27" numFmtId="0" xfId="0" applyAlignment="1" applyBorder="1" applyFont="1">
      <alignment horizontal="center" readingOrder="0" shrinkToFit="0" vertical="center" wrapText="0"/>
    </xf>
    <xf borderId="105" fillId="32" fontId="9" numFmtId="0" xfId="0" applyBorder="1" applyFont="1"/>
    <xf borderId="106" fillId="25" fontId="22" numFmtId="165" xfId="0" applyAlignment="1" applyBorder="1" applyFont="1" applyNumberFormat="1">
      <alignment horizontal="center" readingOrder="0" shrinkToFit="0" vertical="center" wrapText="0"/>
    </xf>
    <xf borderId="96" fillId="32" fontId="27" numFmtId="0" xfId="0" applyAlignment="1" applyBorder="1" applyFont="1">
      <alignment horizontal="center" readingOrder="0" shrinkToFit="0" vertical="center" wrapText="0"/>
    </xf>
    <xf borderId="95" fillId="25" fontId="22" numFmtId="165" xfId="0" applyAlignment="1" applyBorder="1" applyFont="1" applyNumberFormat="1">
      <alignment horizontal="center" readingOrder="0" shrinkToFit="0" vertical="center" wrapText="0"/>
    </xf>
    <xf borderId="96" fillId="34" fontId="27" numFmtId="0" xfId="0" applyAlignment="1" applyBorder="1" applyFont="1">
      <alignment horizontal="right" readingOrder="0" shrinkToFit="0" vertical="center" wrapText="0"/>
    </xf>
    <xf borderId="95" fillId="34" fontId="22" numFmtId="165" xfId="0" applyAlignment="1" applyBorder="1" applyFont="1" applyNumberFormat="1">
      <alignment horizontal="center" readingOrder="0" shrinkToFit="0" vertical="center" wrapText="0"/>
    </xf>
    <xf borderId="96" fillId="34" fontId="22" numFmtId="0" xfId="0" applyAlignment="1" applyBorder="1" applyFont="1">
      <alignment horizontal="center" shrinkToFit="0" vertical="center" wrapText="0"/>
    </xf>
    <xf borderId="95" fillId="34" fontId="22" numFmtId="0" xfId="0" applyAlignment="1" applyBorder="1" applyFont="1">
      <alignment horizontal="center" shrinkToFit="0" vertical="center" wrapText="0"/>
    </xf>
    <xf borderId="0" fillId="0" fontId="22" numFmtId="0" xfId="0" applyAlignment="1" applyFont="1">
      <alignment horizontal="right" readingOrder="0" shrinkToFit="0" wrapText="0"/>
    </xf>
    <xf borderId="0" fillId="0" fontId="27" numFmtId="165" xfId="0" applyAlignment="1" applyFont="1" applyNumberFormat="1">
      <alignment readingOrder="0" shrinkToFit="0" wrapText="0"/>
    </xf>
    <xf borderId="99" fillId="17" fontId="27" numFmtId="0" xfId="0" applyAlignment="1" applyBorder="1" applyFont="1">
      <alignment horizontal="right" readingOrder="0" shrinkToFit="0" vertical="center" wrapText="0"/>
    </xf>
    <xf borderId="107" fillId="0" fontId="9" numFmtId="0" xfId="0" applyBorder="1" applyFont="1"/>
    <xf borderId="108" fillId="17" fontId="27" numFmtId="165" xfId="0" applyAlignment="1" applyBorder="1" applyFont="1" applyNumberFormat="1">
      <alignment horizontal="center" readingOrder="0" shrinkToFit="0" vertical="center" wrapText="0"/>
    </xf>
    <xf borderId="0" fillId="0" fontId="22" numFmtId="0" xfId="0" applyAlignment="1" applyFont="1">
      <alignment horizontal="right" shrinkToFit="0" wrapText="0"/>
    </xf>
    <xf borderId="0" fillId="0" fontId="27" numFmtId="165" xfId="0" applyAlignment="1" applyFont="1" applyNumberFormat="1">
      <alignment shrinkToFit="0" wrapText="0"/>
    </xf>
    <xf borderId="107" fillId="6" fontId="9" numFmtId="0" xfId="0" applyBorder="1" applyFont="1"/>
    <xf borderId="108" fillId="17" fontId="22" numFmtId="165" xfId="0" applyAlignment="1" applyBorder="1" applyFont="1" applyNumberFormat="1">
      <alignment horizontal="center" readingOrder="0" shrinkToFit="0" vertical="center" wrapText="0"/>
    </xf>
    <xf borderId="99" fillId="6" fontId="27" numFmtId="0" xfId="0" applyAlignment="1" applyBorder="1" applyFont="1">
      <alignment horizontal="right" readingOrder="0" shrinkToFit="0" vertical="center" wrapText="0"/>
    </xf>
    <xf borderId="100" fillId="33" fontId="9" numFmtId="0" xfId="0" applyBorder="1" applyFont="1"/>
    <xf borderId="109" fillId="17" fontId="27" numFmtId="0" xfId="0" applyAlignment="1" applyBorder="1" applyFont="1">
      <alignment horizontal="center" readingOrder="0" shrinkToFit="0" vertical="center" wrapText="0"/>
    </xf>
    <xf borderId="110" fillId="33" fontId="9" numFmtId="0" xfId="0" applyBorder="1" applyFont="1"/>
    <xf borderId="111" fillId="33" fontId="9" numFmtId="0" xfId="0" applyBorder="1" applyFont="1"/>
    <xf borderId="112" fillId="17" fontId="27" numFmtId="0" xfId="0" applyAlignment="1" applyBorder="1" applyFont="1">
      <alignment horizontal="center" readingOrder="0" shrinkToFit="0" vertical="center" wrapText="0"/>
    </xf>
    <xf borderId="113" fillId="33" fontId="9" numFmtId="0" xfId="0" applyBorder="1" applyFont="1"/>
    <xf borderId="114" fillId="33" fontId="9" numFmtId="0" xfId="0" applyBorder="1" applyFont="1"/>
    <xf borderId="113" fillId="6" fontId="22" numFmtId="165" xfId="0" applyAlignment="1" applyBorder="1" applyFont="1" applyNumberFormat="1">
      <alignment horizontal="right" readingOrder="0" shrinkToFit="0" vertical="center" wrapText="0"/>
    </xf>
    <xf borderId="115" fillId="6" fontId="9" numFmtId="0" xfId="0" applyBorder="1" applyFont="1"/>
    <xf borderId="115" fillId="6" fontId="27" numFmtId="165" xfId="0" applyAlignment="1" applyBorder="1" applyFont="1" applyNumberFormat="1">
      <alignment horizontal="center" readingOrder="0" shrinkToFit="0" vertical="center" wrapText="0"/>
    </xf>
    <xf borderId="116" fillId="32" fontId="22" numFmtId="0" xfId="0" applyAlignment="1" applyBorder="1" applyFont="1">
      <alignment horizontal="right" readingOrder="0" shrinkToFit="0" vertical="center" wrapText="0"/>
    </xf>
    <xf borderId="117" fillId="0" fontId="9" numFmtId="0" xfId="0" applyBorder="1" applyFont="1"/>
    <xf borderId="118" fillId="32" fontId="22" numFmtId="165" xfId="0" applyAlignment="1" applyBorder="1" applyFont="1" applyNumberFormat="1">
      <alignment horizontal="center" readingOrder="0" shrinkToFit="0" vertical="center" wrapText="0"/>
    </xf>
    <xf borderId="113" fillId="32" fontId="22" numFmtId="165" xfId="0" applyAlignment="1" applyBorder="1" applyFont="1" applyNumberFormat="1">
      <alignment horizontal="right" readingOrder="0" shrinkToFit="0" vertical="center" wrapText="0"/>
    </xf>
    <xf borderId="115" fillId="32" fontId="9" numFmtId="0" xfId="0" applyBorder="1" applyFont="1"/>
    <xf borderId="115" fillId="32" fontId="27" numFmtId="165" xfId="0" applyAlignment="1" applyBorder="1" applyFont="1" applyNumberFormat="1">
      <alignment horizontal="center" readingOrder="0" shrinkToFit="0" vertical="center" wrapText="0"/>
    </xf>
    <xf borderId="0" fillId="17" fontId="27" numFmtId="0" xfId="0" applyAlignment="1" applyFont="1">
      <alignment horizontal="center" readingOrder="0" shrinkToFit="0" textRotation="0" vertical="center" wrapText="1"/>
    </xf>
    <xf borderId="100" fillId="17" fontId="27" numFmtId="165" xfId="0" applyAlignment="1" applyBorder="1" applyFont="1" applyNumberFormat="1">
      <alignment horizontal="center" readingOrder="0" shrinkToFit="0" vertical="center" wrapText="0"/>
    </xf>
    <xf borderId="119" fillId="32" fontId="22" numFmtId="0" xfId="0" applyAlignment="1" applyBorder="1" applyFont="1">
      <alignment horizontal="right" shrinkToFit="0" wrapText="0"/>
    </xf>
    <xf borderId="114" fillId="0" fontId="9" numFmtId="0" xfId="0" applyBorder="1" applyFont="1"/>
    <xf borderId="120" fillId="32" fontId="22" numFmtId="165" xfId="0" applyAlignment="1" applyBorder="1" applyFont="1" applyNumberFormat="1">
      <alignment horizontal="center" readingOrder="0" shrinkToFit="0" vertical="center" wrapText="0"/>
    </xf>
    <xf borderId="119" fillId="6" fontId="22" numFmtId="0" xfId="0" applyAlignment="1" applyBorder="1" applyFont="1">
      <alignment horizontal="right" readingOrder="0" shrinkToFit="0" vertical="center" wrapText="0"/>
    </xf>
    <xf borderId="114" fillId="6" fontId="9" numFmtId="0" xfId="0" applyBorder="1" applyFont="1"/>
    <xf borderId="120" fillId="6" fontId="27" numFmtId="165" xfId="0" applyAlignment="1" applyBorder="1" applyFont="1" applyNumberFormat="1">
      <alignment horizontal="center" readingOrder="0" shrinkToFit="0" vertical="center" wrapText="0"/>
    </xf>
    <xf borderId="121" fillId="17" fontId="27" numFmtId="0" xfId="0" applyAlignment="1" applyBorder="1" applyFont="1">
      <alignment horizontal="right" readingOrder="0" shrinkToFit="0" vertical="center" wrapText="0"/>
    </xf>
    <xf borderId="122" fillId="33" fontId="9" numFmtId="0" xfId="0" applyBorder="1" applyFont="1"/>
    <xf borderId="123" fillId="17" fontId="27" numFmtId="165" xfId="0" applyAlignment="1" applyBorder="1" applyFont="1" applyNumberFormat="1">
      <alignment horizontal="center" readingOrder="0" shrinkToFit="0" vertical="center" wrapText="0"/>
    </xf>
    <xf borderId="104" fillId="0" fontId="23" numFmtId="0" xfId="0" applyBorder="1" applyFont="1"/>
    <xf borderId="124" fillId="0" fontId="9" numFmtId="0" xfId="0" applyBorder="1" applyFont="1"/>
    <xf borderId="0" fillId="10" fontId="23" numFmtId="0" xfId="0" applyAlignment="1" applyFont="1">
      <alignment horizontal="center"/>
    </xf>
    <xf borderId="0" fillId="3" fontId="1" numFmtId="0" xfId="0" applyFont="1"/>
    <xf borderId="95" fillId="17" fontId="45" numFmtId="170" xfId="0" applyAlignment="1" applyBorder="1" applyFont="1" applyNumberFormat="1">
      <alignment horizontal="center" readingOrder="0" shrinkToFit="0" vertical="center" wrapText="0"/>
    </xf>
    <xf borderId="95" fillId="17" fontId="45" numFmtId="0" xfId="0" applyAlignment="1" applyBorder="1" applyFont="1">
      <alignment horizontal="center" readingOrder="0" shrinkToFit="0" vertical="center" wrapText="0"/>
    </xf>
    <xf borderId="95" fillId="17" fontId="45" numFmtId="2" xfId="0" applyAlignment="1" applyBorder="1" applyFont="1" applyNumberFormat="1">
      <alignment horizontal="center" readingOrder="0" shrinkToFit="0" vertical="center" wrapText="0"/>
    </xf>
    <xf borderId="95" fillId="17" fontId="45" numFmtId="165" xfId="0" applyAlignment="1" applyBorder="1" applyFont="1" applyNumberFormat="1">
      <alignment horizontal="center" readingOrder="0" shrinkToFit="0" vertical="center" wrapText="0"/>
    </xf>
    <xf borderId="99" fillId="6" fontId="27" numFmtId="0" xfId="0" applyAlignment="1" applyBorder="1" applyFont="1">
      <alignment horizontal="center" readingOrder="0" shrinkToFit="0" vertical="center" wrapText="0"/>
    </xf>
    <xf borderId="0" fillId="6" fontId="27" numFmtId="0" xfId="0" applyAlignment="1" applyFont="1">
      <alignment horizontal="center" readingOrder="0" shrinkToFit="0" vertical="center" wrapText="0"/>
    </xf>
    <xf borderId="100" fillId="6" fontId="9" numFmtId="0" xfId="0" applyBorder="1" applyFont="1"/>
    <xf borderId="104" fillId="34" fontId="22" numFmtId="0" xfId="0" applyAlignment="1" applyBorder="1" applyFont="1">
      <alignment horizontal="right" readingOrder="0" shrinkToFit="0" vertical="center" wrapText="0"/>
    </xf>
    <xf borderId="96" fillId="34" fontId="22" numFmtId="0" xfId="0" applyAlignment="1" applyBorder="1" applyFont="1">
      <alignment horizontal="right" shrinkToFit="0" vertical="center" wrapText="0"/>
    </xf>
    <xf borderId="95" fillId="6" fontId="22" numFmtId="49" xfId="0" applyAlignment="1" applyBorder="1" applyFont="1" applyNumberFormat="1">
      <alignment horizontal="center" readingOrder="0" shrinkToFit="0" vertical="center" wrapText="0"/>
    </xf>
    <xf borderId="95" fillId="6" fontId="22" numFmtId="2" xfId="0" applyAlignment="1" applyBorder="1" applyFont="1" applyNumberFormat="1">
      <alignment horizontal="center" readingOrder="0" shrinkToFit="0" vertical="center" wrapText="0"/>
    </xf>
    <xf borderId="95" fillId="6" fontId="22" numFmtId="165" xfId="0" applyAlignment="1" applyBorder="1" applyFont="1" applyNumberFormat="1">
      <alignment horizontal="center" readingOrder="0" shrinkToFit="0" vertical="center" wrapText="0"/>
    </xf>
    <xf borderId="95" fillId="17" fontId="22" numFmtId="170" xfId="0" applyAlignment="1" applyBorder="1" applyFont="1" applyNumberFormat="1">
      <alignment horizontal="center" readingOrder="0" shrinkToFit="0" vertical="center" wrapText="0"/>
    </xf>
    <xf borderId="95" fillId="17" fontId="22" numFmtId="0" xfId="0" applyAlignment="1" applyBorder="1" applyFont="1">
      <alignment horizontal="center" readingOrder="0" shrinkToFit="0" vertical="center" wrapText="0"/>
    </xf>
    <xf borderId="95" fillId="17" fontId="22" numFmtId="165" xfId="0" applyAlignment="1" applyBorder="1" applyFont="1" applyNumberFormat="1">
      <alignment horizontal="center" readingOrder="0" shrinkToFit="0" vertical="center" wrapText="0"/>
    </xf>
    <xf borderId="95" fillId="17" fontId="22" numFmtId="1" xfId="0" applyAlignment="1" applyBorder="1" applyFont="1" applyNumberFormat="1">
      <alignment horizontal="center" readingOrder="0" shrinkToFit="0" vertical="center" wrapText="0"/>
    </xf>
    <xf borderId="95" fillId="17" fontId="22" numFmtId="165" xfId="0" applyAlignment="1" applyBorder="1" applyFont="1" applyNumberFormat="1">
      <alignment horizontal="center" readingOrder="0" shrinkToFit="0" vertical="center" wrapText="0"/>
    </xf>
    <xf borderId="95" fillId="17" fontId="27" numFmtId="1" xfId="0" applyAlignment="1" applyBorder="1" applyFont="1" applyNumberFormat="1">
      <alignment horizontal="center" readingOrder="0" shrinkToFit="0" vertical="center" wrapText="0"/>
    </xf>
    <xf borderId="100" fillId="6" fontId="22" numFmtId="0" xfId="0" applyAlignment="1" applyBorder="1" applyFont="1">
      <alignment shrinkToFit="0" wrapText="0"/>
    </xf>
    <xf borderId="0" fillId="15" fontId="23" numFmtId="0" xfId="0" applyAlignment="1" applyFont="1">
      <alignment horizontal="center" readingOrder="0"/>
    </xf>
    <xf borderId="95" fillId="6" fontId="22" numFmtId="1" xfId="0" applyAlignment="1" applyBorder="1" applyFont="1" applyNumberFormat="1">
      <alignment horizontal="center" shrinkToFit="0" wrapText="0"/>
    </xf>
    <xf borderId="95" fillId="6" fontId="22" numFmtId="170" xfId="0" applyAlignment="1" applyBorder="1" applyFont="1" applyNumberFormat="1">
      <alignment horizontal="center" readingOrder="0" shrinkToFit="0" vertical="center" wrapText="0"/>
    </xf>
    <xf borderId="95" fillId="6" fontId="22" numFmtId="0" xfId="0" applyAlignment="1" applyBorder="1" applyFont="1">
      <alignment horizontal="center" readingOrder="0" shrinkToFit="0" vertical="center" wrapText="0"/>
    </xf>
    <xf borderId="95" fillId="6" fontId="22" numFmtId="164" xfId="0" applyAlignment="1" applyBorder="1" applyFont="1" applyNumberFormat="1">
      <alignment horizontal="center" shrinkToFit="0" wrapText="0"/>
    </xf>
    <xf borderId="95" fillId="6" fontId="22" numFmtId="165" xfId="0" applyAlignment="1" applyBorder="1" applyFont="1" applyNumberFormat="1">
      <alignment horizontal="center" shrinkToFit="0" wrapText="0"/>
    </xf>
    <xf borderId="0" fillId="6" fontId="22" numFmtId="0" xfId="0" applyAlignment="1" applyFont="1">
      <alignment horizontal="right" readingOrder="0" shrinkToFit="0" wrapText="0"/>
    </xf>
    <xf borderId="0" fillId="6" fontId="27" numFmtId="165" xfId="0" applyAlignment="1" applyFont="1" applyNumberFormat="1">
      <alignment readingOrder="0" shrinkToFit="0" wrapText="0"/>
    </xf>
    <xf borderId="0" fillId="6" fontId="22" numFmtId="0" xfId="0" applyAlignment="1" applyFont="1">
      <alignment horizontal="right" shrinkToFit="0" wrapText="0"/>
    </xf>
    <xf borderId="0" fillId="6" fontId="27" numFmtId="165" xfId="0" applyAlignment="1" applyFont="1" applyNumberFormat="1">
      <alignment shrinkToFit="0" wrapText="0"/>
    </xf>
    <xf borderId="119" fillId="6" fontId="27" numFmtId="0" xfId="0" applyAlignment="1" applyBorder="1" applyFont="1">
      <alignment horizontal="center" readingOrder="0" shrinkToFit="0" vertical="center" wrapText="0"/>
    </xf>
    <xf borderId="120" fillId="25" fontId="27" numFmtId="165" xfId="0" applyAlignment="1" applyBorder="1" applyFont="1" applyNumberFormat="1">
      <alignment horizontal="center" readingOrder="0" shrinkToFit="0" vertical="center" wrapText="0"/>
    </xf>
    <xf borderId="0" fillId="32" fontId="27" numFmtId="0" xfId="0" applyAlignment="1" applyFont="1">
      <alignment horizontal="center" readingOrder="0" shrinkToFit="0" vertical="center" wrapText="0"/>
    </xf>
    <xf borderId="0" fillId="6" fontId="27" numFmtId="0" xfId="0" applyAlignment="1" applyFont="1">
      <alignment horizontal="center" readingOrder="0" shrinkToFit="0" vertical="center" wrapText="0"/>
    </xf>
    <xf borderId="100" fillId="6" fontId="27" numFmtId="0" xfId="0" applyAlignment="1" applyBorder="1" applyFont="1">
      <alignment horizontal="center" readingOrder="0" shrinkToFit="0" vertical="center" wrapText="0"/>
    </xf>
    <xf borderId="124" fillId="0" fontId="22" numFmtId="0" xfId="0" applyAlignment="1" applyBorder="1" applyFont="1">
      <alignment shrinkToFit="0" wrapText="0"/>
    </xf>
    <xf borderId="95" fillId="6" fontId="22" numFmtId="1" xfId="0" applyAlignment="1" applyBorder="1" applyFont="1" applyNumberFormat="1">
      <alignment horizontal="center" shrinkToFit="0" wrapText="0"/>
    </xf>
    <xf borderId="95" fillId="0" fontId="22" numFmtId="1" xfId="0" applyAlignment="1" applyBorder="1" applyFont="1" applyNumberFormat="1">
      <alignment horizontal="center" shrinkToFit="0" wrapText="0"/>
    </xf>
    <xf borderId="0" fillId="25" fontId="1" numFmtId="0" xfId="0" applyAlignment="1" applyFont="1">
      <alignment readingOrder="0"/>
    </xf>
    <xf borderId="98" fillId="32" fontId="9" numFmtId="0" xfId="0" applyBorder="1" applyFont="1"/>
    <xf borderId="95" fillId="32" fontId="22" numFmtId="165" xfId="0" applyAlignment="1" applyBorder="1" applyFont="1" applyNumberFormat="1">
      <alignment horizontal="center" readingOrder="0" shrinkToFit="0" vertical="center" wrapText="0"/>
    </xf>
    <xf borderId="106" fillId="25" fontId="27" numFmtId="165" xfId="0" applyAlignment="1" applyBorder="1" applyFont="1" applyNumberFormat="1">
      <alignment horizontal="center" readingOrder="0" shrinkToFit="0" vertical="center" wrapText="0"/>
    </xf>
    <xf borderId="0" fillId="10" fontId="23" numFmtId="0" xfId="0" applyAlignment="1" applyFont="1">
      <alignment horizontal="center" readingOrder="0"/>
    </xf>
    <xf borderId="104" fillId="34" fontId="27" numFmtId="0" xfId="0" applyAlignment="1" applyBorder="1" applyFont="1">
      <alignment horizontal="center" readingOrder="0" shrinkToFit="0" vertical="center" wrapText="0"/>
    </xf>
    <xf borderId="106" fillId="34" fontId="27" numFmtId="165" xfId="0" applyAlignment="1" applyBorder="1" applyFont="1" applyNumberFormat="1">
      <alignment horizontal="center" readingOrder="0" shrinkToFit="0" vertical="center" wrapText="0"/>
    </xf>
    <xf borderId="119" fillId="32" fontId="22" numFmtId="0" xfId="0" applyAlignment="1" applyBorder="1" applyFont="1">
      <alignment horizontal="right" readingOrder="0" shrinkToFit="0" vertical="center" wrapText="0"/>
    </xf>
    <xf borderId="114" fillId="32" fontId="9" numFmtId="0" xfId="0" applyBorder="1" applyFont="1"/>
    <xf borderId="120" fillId="32" fontId="27" numFmtId="165" xfId="0" applyAlignment="1" applyBorder="1" applyFont="1" applyNumberFormat="1">
      <alignment horizontal="center" readingOrder="0" shrinkToFit="0" vertical="center" wrapText="0"/>
    </xf>
    <xf borderId="95" fillId="0" fontId="45" numFmtId="170" xfId="0" applyAlignment="1" applyBorder="1" applyFont="1" applyNumberFormat="1">
      <alignment horizontal="center" readingOrder="0" shrinkToFit="0" vertical="center" wrapText="0"/>
    </xf>
    <xf borderId="95" fillId="0" fontId="45" numFmtId="0" xfId="0" applyAlignment="1" applyBorder="1" applyFont="1">
      <alignment horizontal="center" readingOrder="0" shrinkToFit="0" vertical="center" wrapText="0"/>
    </xf>
    <xf borderId="95" fillId="0" fontId="45" numFmtId="1" xfId="0" applyAlignment="1" applyBorder="1" applyFont="1" applyNumberFormat="1">
      <alignment horizontal="center" readingOrder="0" shrinkToFit="0" vertical="center" wrapText="0"/>
    </xf>
    <xf borderId="95" fillId="0" fontId="45" numFmtId="165" xfId="0" applyAlignment="1" applyBorder="1" applyFont="1" applyNumberFormat="1">
      <alignment horizontal="center" readingOrder="0" shrinkToFit="0" vertical="center" wrapText="0"/>
    </xf>
    <xf borderId="95" fillId="17" fontId="45" numFmtId="0" xfId="0" applyAlignment="1" applyBorder="1" applyFont="1">
      <alignment horizontal="center" readingOrder="0" shrinkToFit="0" vertical="center" wrapText="0"/>
    </xf>
    <xf borderId="96" fillId="34" fontId="27" numFmtId="0" xfId="0" applyAlignment="1" applyBorder="1" applyFont="1">
      <alignment horizontal="center" readingOrder="0" shrinkToFit="0" vertical="center" wrapText="0"/>
    </xf>
    <xf borderId="0" fillId="6" fontId="22" numFmtId="0" xfId="0" applyAlignment="1" applyFont="1">
      <alignment horizontal="center" readingOrder="0" shrinkToFit="0" vertical="center" wrapText="0"/>
    </xf>
    <xf borderId="119" fillId="32" fontId="22" numFmtId="0" xfId="0" applyAlignment="1" applyBorder="1" applyFont="1">
      <alignment horizontal="right" readingOrder="0" shrinkToFit="0" vertical="center" wrapText="0"/>
    </xf>
    <xf borderId="0" fillId="32" fontId="22" numFmtId="0" xfId="0" applyAlignment="1" applyFont="1">
      <alignment horizontal="center" readingOrder="0" shrinkToFit="0" vertical="center" wrapText="0"/>
    </xf>
    <xf borderId="95" fillId="34" fontId="27" numFmtId="165" xfId="0" applyAlignment="1" applyBorder="1" applyFont="1" applyNumberFormat="1">
      <alignment horizontal="center" readingOrder="0" shrinkToFit="0" vertical="center" wrapText="0"/>
    </xf>
    <xf borderId="100" fillId="6" fontId="22" numFmtId="0" xfId="0" applyAlignment="1" applyBorder="1" applyFont="1">
      <alignment horizontal="center" readingOrder="0" shrinkToFit="0" vertical="center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6" fontId="22" numFmtId="0" xfId="0" applyAlignment="1" applyFont="1">
      <alignment horizontal="left" readingOrder="0" shrinkToFit="0" vertical="center" wrapText="0"/>
    </xf>
    <xf borderId="0" fillId="32" fontId="22" numFmtId="0" xfId="0" applyAlignment="1" applyFont="1">
      <alignment horizontal="left" readingOrder="0" shrinkToFit="0" vertical="center" wrapText="0"/>
    </xf>
    <xf borderId="105" fillId="0" fontId="22" numFmtId="0" xfId="0" applyAlignment="1" applyBorder="1" applyFont="1">
      <alignment shrinkToFit="0" wrapText="0"/>
    </xf>
    <xf borderId="0" fillId="0" fontId="52" numFmtId="0" xfId="0" applyAlignment="1" applyFont="1">
      <alignment horizontal="center" shrinkToFit="0" wrapText="0"/>
    </xf>
    <xf borderId="0" fillId="0" fontId="52" numFmtId="0" xfId="0" applyAlignment="1" applyFont="1">
      <alignment horizontal="center" readingOrder="0" shrinkToFit="0" wrapText="0"/>
    </xf>
    <xf borderId="95" fillId="6" fontId="22" numFmtId="164" xfId="0" applyAlignment="1" applyBorder="1" applyFont="1" applyNumberFormat="1">
      <alignment horizontal="center" readingOrder="0" shrinkToFit="0" vertical="center" wrapText="0"/>
    </xf>
    <xf borderId="95" fillId="6" fontId="22" numFmtId="0" xfId="0" applyAlignment="1" applyBorder="1" applyFont="1">
      <alignment horizontal="center" shrinkToFit="0" wrapText="0"/>
    </xf>
    <xf borderId="95" fillId="32" fontId="27" numFmtId="165" xfId="0" applyAlignment="1" applyBorder="1" applyFont="1" applyNumberFormat="1">
      <alignment horizontal="center" readingOrder="0" shrinkToFit="0" vertical="center" wrapText="0"/>
    </xf>
    <xf borderId="0" fillId="32" fontId="22" numFmtId="0" xfId="0" applyAlignment="1" applyFont="1">
      <alignment horizontal="center" readingOrder="0" shrinkToFit="0" vertical="center" wrapText="0"/>
    </xf>
    <xf borderId="95" fillId="6" fontId="22" numFmtId="165" xfId="0" applyAlignment="1" applyBorder="1" applyFont="1" applyNumberFormat="1">
      <alignment horizontal="center" readingOrder="0" shrinkToFit="0" wrapText="0"/>
    </xf>
    <xf borderId="115" fillId="20" fontId="27" numFmtId="165" xfId="0" applyAlignment="1" applyBorder="1" applyFont="1" applyNumberFormat="1">
      <alignment horizontal="center" readingOrder="0" shrinkToFit="0" vertical="center" wrapText="0"/>
    </xf>
    <xf borderId="100" fillId="6" fontId="22" numFmtId="0" xfId="0" applyAlignment="1" applyBorder="1" applyFont="1">
      <alignment horizontal="left" readingOrder="0" shrinkToFit="0" vertical="center" wrapText="0"/>
    </xf>
    <xf borderId="0" fillId="32" fontId="22" numFmtId="0" xfId="0" applyAlignment="1" applyFont="1">
      <alignment horizontal="left" readingOrder="0" shrinkToFit="0" vertical="center" wrapText="0"/>
    </xf>
    <xf borderId="0" fillId="33" fontId="27" numFmtId="0" xfId="0" applyAlignment="1" applyFont="1">
      <alignment horizontal="center" readingOrder="0" shrinkToFit="0" vertical="center" wrapText="0"/>
    </xf>
    <xf borderId="95" fillId="17" fontId="27" numFmtId="0" xfId="0" applyAlignment="1" applyBorder="1" applyFont="1">
      <alignment horizontal="center" readingOrder="0" shrinkToFit="0" vertical="center" wrapText="0"/>
    </xf>
    <xf borderId="125" fillId="0" fontId="46" numFmtId="0" xfId="0" applyAlignment="1" applyBorder="1" applyFont="1">
      <alignment horizontal="right" readingOrder="0" shrinkToFit="0" vertical="bottom" wrapText="0"/>
    </xf>
    <xf borderId="126" fillId="0" fontId="24" numFmtId="0" xfId="0" applyAlignment="1" applyBorder="1" applyFont="1">
      <alignment readingOrder="0" shrinkToFit="0" vertical="bottom" wrapText="0"/>
    </xf>
    <xf borderId="127" fillId="0" fontId="1" numFmtId="0" xfId="0" applyBorder="1" applyFont="1"/>
    <xf borderId="79" fillId="0" fontId="46" numFmtId="0" xfId="0" applyAlignment="1" applyBorder="1" applyFon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quotePrefix="1" borderId="79" fillId="0" fontId="46" numFmtId="0" xfId="0" applyAlignment="1" applyBorder="1" applyFon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90" fillId="0" fontId="46" numFmtId="0" xfId="0" applyAlignment="1" applyBorder="1" applyFont="1">
      <alignment horizontal="right" readingOrder="0" shrinkToFit="0" vertical="bottom" wrapText="0"/>
    </xf>
    <xf borderId="91" fillId="0" fontId="24" numFmtId="0" xfId="0" applyAlignment="1" applyBorder="1" applyFont="1">
      <alignment horizontal="center" readingOrder="0" shrinkToFit="0" vertical="bottom" wrapText="0"/>
    </xf>
    <xf borderId="0" fillId="0" fontId="46" numFmtId="0" xfId="0" applyAlignment="1" applyFont="1">
      <alignment readingOrder="0" shrinkToFit="0" vertical="bottom" wrapText="0"/>
    </xf>
    <xf borderId="128" fillId="0" fontId="9" numFmtId="0" xfId="0" applyBorder="1" applyFont="1"/>
    <xf quotePrefix="1" borderId="0" fillId="0" fontId="13" numFmtId="0" xfId="0" applyAlignment="1" applyFont="1">
      <alignment horizontal="center" readingOrder="0" shrinkToFit="0" vertical="bottom" wrapText="0"/>
    </xf>
    <xf borderId="0" fillId="35" fontId="52" numFmtId="0" xfId="0" applyAlignment="1" applyFill="1" applyFont="1">
      <alignment horizontal="center" shrinkToFit="0" wrapText="0"/>
    </xf>
    <xf borderId="0" fillId="0" fontId="3" numFmtId="165" xfId="0" applyAlignment="1" applyFont="1" applyNumberForma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53" numFmtId="0" xfId="0" applyAlignment="1" applyFont="1">
      <alignment horizontal="center"/>
    </xf>
    <xf borderId="89" fillId="0" fontId="1" numFmtId="0" xfId="0" applyAlignment="1" applyBorder="1" applyFont="1">
      <alignment horizontal="center"/>
    </xf>
    <xf borderId="95" fillId="0" fontId="22" numFmtId="0" xfId="0" applyAlignment="1" applyBorder="1" applyFont="1">
      <alignment horizontal="center" readingOrder="0" shrinkToFit="0" vertical="center" wrapText="0"/>
    </xf>
    <xf borderId="106" fillId="6" fontId="22" numFmtId="165" xfId="0" applyAlignment="1" applyBorder="1" applyFont="1" applyNumberFormat="1">
      <alignment horizontal="center" readingOrder="0" shrinkToFit="0" vertical="center" wrapText="0"/>
    </xf>
    <xf borderId="96" fillId="6" fontId="27" numFmtId="0" xfId="0" applyAlignment="1" applyBorder="1" applyFont="1">
      <alignment horizontal="right" readingOrder="0" shrinkToFit="0" vertical="center" wrapText="0"/>
    </xf>
    <xf borderId="96" fillId="6" fontId="22" numFmtId="0" xfId="0" applyAlignment="1" applyBorder="1" applyFont="1">
      <alignment horizontal="center" shrinkToFit="0" vertical="center" wrapText="0"/>
    </xf>
    <xf borderId="95" fillId="6" fontId="22" numFmtId="0" xfId="0" applyAlignment="1" applyBorder="1" applyFont="1">
      <alignment horizontal="center" shrinkToFit="0" vertical="center" wrapText="0"/>
    </xf>
    <xf borderId="119" fillId="6" fontId="22" numFmtId="0" xfId="0" applyAlignment="1" applyBorder="1" applyFont="1">
      <alignment horizontal="right" shrinkToFit="0" wrapText="0"/>
    </xf>
    <xf borderId="120" fillId="6" fontId="22" numFmtId="165" xfId="0" applyAlignment="1" applyBorder="1" applyFont="1" applyNumberFormat="1">
      <alignment horizontal="center" readingOrder="0" shrinkToFit="0" vertical="center" wrapText="0"/>
    </xf>
    <xf borderId="0" fillId="15" fontId="1" numFmtId="0" xfId="0" applyFont="1"/>
    <xf borderId="95" fillId="0" fontId="22" numFmtId="164" xfId="0" applyAlignment="1" applyBorder="1" applyFont="1" applyNumberFormat="1">
      <alignment horizontal="center" shrinkToFit="0" wrapText="0"/>
    </xf>
    <xf borderId="95" fillId="0" fontId="22" numFmtId="0" xfId="0" applyAlignment="1" applyBorder="1" applyFont="1">
      <alignment horizontal="center" readingOrder="0" shrinkToFit="0" wrapText="0"/>
    </xf>
    <xf borderId="95" fillId="0" fontId="22" numFmtId="165" xfId="0" applyAlignment="1" applyBorder="1" applyFont="1" applyNumberFormat="1">
      <alignment horizontal="center" shrinkToFit="0" wrapText="0"/>
    </xf>
    <xf borderId="95" fillId="0" fontId="22" numFmtId="9" xfId="0" applyAlignment="1" applyBorder="1" applyFont="1" applyNumberFormat="1">
      <alignment horizontal="center" readingOrder="0" shrinkToFit="0" vertical="center" wrapText="0"/>
    </xf>
    <xf borderId="95" fillId="0" fontId="22" numFmtId="165" xfId="0" applyAlignment="1" applyBorder="1" applyFont="1" applyNumberFormat="1">
      <alignment horizontal="center" readingOrder="0" shrinkToFit="0" vertical="center" wrapText="0"/>
    </xf>
    <xf borderId="95" fillId="0" fontId="22" numFmtId="0" xfId="0" applyAlignment="1" applyBorder="1" applyFont="1">
      <alignment horizontal="center" shrinkToFit="0" wrapText="0"/>
    </xf>
    <xf borderId="95" fillId="0" fontId="22" numFmtId="9" xfId="0" applyAlignment="1" applyBorder="1" applyFont="1" applyNumberFormat="1">
      <alignment horizontal="center" readingOrder="0" shrinkToFit="0" wrapText="0"/>
    </xf>
    <xf borderId="95" fillId="0" fontId="51" numFmtId="165" xfId="0" applyAlignment="1" applyBorder="1" applyFont="1" applyNumberFormat="1">
      <alignment horizontal="center" readingOrder="0" shrinkToFit="0" vertical="center" wrapText="0"/>
    </xf>
    <xf borderId="106" fillId="0" fontId="22" numFmtId="165" xfId="0" applyAlignment="1" applyBorder="1" applyFont="1" applyNumberFormat="1">
      <alignment horizontal="center" readingOrder="0" shrinkToFit="0" vertical="center" wrapText="0"/>
    </xf>
    <xf borderId="95" fillId="6" fontId="22" numFmtId="165" xfId="0" applyAlignment="1" applyBorder="1" applyFont="1" applyNumberFormat="1">
      <alignment horizontal="center" readingOrder="0" shrinkToFit="0" vertical="center" wrapText="0"/>
    </xf>
    <xf borderId="95" fillId="6" fontId="22" numFmtId="0" xfId="0" applyAlignment="1" applyBorder="1" applyFont="1">
      <alignment horizontal="center" readingOrder="0" shrinkToFit="0" vertical="center" wrapText="0"/>
    </xf>
    <xf borderId="95" fillId="3" fontId="22" numFmtId="1" xfId="0" applyAlignment="1" applyBorder="1" applyFont="1" applyNumberFormat="1">
      <alignment horizontal="center" readingOrder="0" shrinkToFit="0" vertical="center" wrapText="0"/>
    </xf>
    <xf borderId="95" fillId="17" fontId="22" numFmtId="164" xfId="0" applyAlignment="1" applyBorder="1" applyFont="1" applyNumberFormat="1">
      <alignment horizontal="center" readingOrder="0" shrinkToFit="0" vertical="center" wrapText="0"/>
    </xf>
    <xf borderId="0" fillId="6" fontId="27" numFmtId="0" xfId="0" applyAlignment="1" applyFont="1">
      <alignment shrinkToFit="0" wrapText="0"/>
    </xf>
    <xf borderId="106" fillId="0" fontId="27" numFmtId="165" xfId="0" applyAlignment="1" applyBorder="1" applyFont="1" applyNumberFormat="1">
      <alignment horizontal="center" readingOrder="0" shrinkToFit="0" vertical="center" wrapText="0"/>
    </xf>
    <xf borderId="95" fillId="0" fontId="45" numFmtId="1" xfId="0" applyAlignment="1" applyBorder="1" applyFont="1" applyNumberFormat="1">
      <alignment horizontal="center" readingOrder="0" shrinkToFit="0" vertical="center" wrapText="0"/>
    </xf>
    <xf borderId="95" fillId="0" fontId="45" numFmtId="0" xfId="0" applyAlignment="1" applyBorder="1" applyFont="1">
      <alignment horizontal="center" readingOrder="0" shrinkToFit="0" vertical="center" wrapText="0"/>
    </xf>
    <xf borderId="95" fillId="0" fontId="45" numFmtId="0" xfId="0" applyAlignment="1" applyBorder="1" applyFont="1">
      <alignment horizontal="center" readingOrder="0" shrinkToFit="0" vertical="center" wrapText="0"/>
    </xf>
    <xf borderId="96" fillId="33" fontId="27" numFmtId="0" xfId="0" applyAlignment="1" applyBorder="1" applyFont="1">
      <alignment horizontal="right" readingOrder="0" shrinkToFit="0" vertical="center" wrapText="0"/>
    </xf>
    <xf borderId="95" fillId="33" fontId="22" numFmtId="165" xfId="0" applyAlignment="1" applyBorder="1" applyFont="1" applyNumberFormat="1">
      <alignment horizontal="center" readingOrder="0" shrinkToFit="0" vertical="center" wrapText="0"/>
    </xf>
    <xf borderId="96" fillId="33" fontId="27" numFmtId="0" xfId="0" applyAlignment="1" applyBorder="1" applyFont="1">
      <alignment horizontal="center" readingOrder="0" shrinkToFit="0" vertical="center" wrapText="0"/>
    </xf>
    <xf borderId="95" fillId="3" fontId="22" numFmtId="1" xfId="0" applyAlignment="1" applyBorder="1" applyFont="1" applyNumberFormat="1">
      <alignment horizontal="center" shrinkToFit="0" wrapText="0"/>
    </xf>
    <xf borderId="93" fillId="0" fontId="22" numFmtId="0" xfId="0" applyAlignment="1" applyBorder="1" applyFont="1">
      <alignment horizontal="left" readingOrder="0" shrinkToFit="0" vertical="top" wrapText="0"/>
    </xf>
    <xf borderId="115" fillId="34" fontId="27" numFmtId="165" xfId="0" applyAlignment="1" applyBorder="1" applyFont="1" applyNumberFormat="1">
      <alignment horizontal="center" readingOrder="0" shrinkToFit="0" vertical="center" wrapText="0"/>
    </xf>
    <xf borderId="0" fillId="36" fontId="27" numFmtId="0" xfId="0" applyAlignment="1" applyFill="1" applyFont="1">
      <alignment horizontal="center" readingOrder="0" shrinkToFit="0" vertical="center" wrapText="0"/>
    </xf>
    <xf borderId="95" fillId="0" fontId="22" numFmtId="165" xfId="0" applyAlignment="1" applyBorder="1" applyFont="1" applyNumberFormat="1">
      <alignment horizontal="center" readingOrder="0" shrinkToFit="0" wrapText="0"/>
    </xf>
    <xf borderId="120" fillId="27" fontId="27" numFmtId="165" xfId="0" applyAlignment="1" applyBorder="1" applyFont="1" applyNumberFormat="1">
      <alignment horizontal="center" readingOrder="0" shrinkToFit="0" vertical="center" wrapText="0"/>
    </xf>
    <xf borderId="100" fillId="27" fontId="22" numFmtId="0" xfId="0" applyAlignment="1" applyBorder="1" applyFont="1">
      <alignment horizontal="center" readingOrder="0" shrinkToFit="0" vertical="center" wrapText="0"/>
    </xf>
    <xf borderId="0" fillId="27" fontId="22" numFmtId="0" xfId="0" applyAlignment="1" applyFont="1">
      <alignment horizontal="center" readingOrder="0" shrinkToFit="0" vertical="center" wrapText="0"/>
    </xf>
    <xf borderId="91" fillId="0" fontId="46" numFmtId="0" xfId="0" applyAlignment="1" applyBorder="1" applyFont="1">
      <alignment horizontal="center" readingOrder="0" shrinkToFit="0" vertical="bottom" wrapText="0"/>
    </xf>
    <xf borderId="0" fillId="0" fontId="43" numFmtId="171" xfId="0" applyAlignment="1" applyFont="1" applyNumberFormat="1">
      <alignment horizontal="center" readingOrder="0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4" fillId="0" fontId="25" numFmtId="0" xfId="0" applyAlignment="1" applyBorder="1" applyFont="1">
      <alignment horizontal="left" shrinkToFit="0" wrapText="0"/>
    </xf>
    <xf borderId="36" fillId="3" fontId="30" numFmtId="165" xfId="0" applyAlignment="1" applyBorder="1" applyFont="1" applyNumberFormat="1">
      <alignment horizontal="center" shrinkToFit="0" wrapText="0"/>
    </xf>
    <xf borderId="0" fillId="35" fontId="54" numFmtId="0" xfId="0" applyAlignment="1" applyFont="1">
      <alignment horizontal="center" readingOrder="0" shrinkToFit="0" wrapText="0"/>
    </xf>
    <xf borderId="0" fillId="0" fontId="43" numFmtId="0" xfId="0" applyAlignment="1" applyFont="1">
      <alignment horizontal="center" readingOrder="0" shrinkToFit="0" vertical="bottom" wrapText="0"/>
    </xf>
    <xf borderId="0" fillId="0" fontId="43" numFmtId="165" xfId="0" applyAlignment="1" applyFont="1" applyNumberFormat="1">
      <alignment horizontal="center" readingOrder="0" shrinkToFit="0" vertical="bottom" wrapText="0"/>
    </xf>
    <xf borderId="0" fillId="35" fontId="52" numFmtId="0" xfId="0" applyAlignment="1" applyFont="1">
      <alignment horizontal="center" shrinkToFit="0" wrapText="0"/>
    </xf>
    <xf borderId="0" fillId="35" fontId="52" numFmtId="0" xfId="0" applyAlignment="1" applyFont="1">
      <alignment horizontal="center" readingOrder="0" shrinkToFit="0" wrapText="0"/>
    </xf>
    <xf borderId="0" fillId="0" fontId="46" numFmtId="0" xfId="0" applyAlignment="1" applyFont="1">
      <alignment horizontal="right"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28" fillId="17" fontId="17" numFmtId="0" xfId="0" applyBorder="1" applyFont="1"/>
    <xf borderId="9" fillId="17" fontId="14" numFmtId="0" xfId="0" applyBorder="1" applyFont="1"/>
    <xf borderId="29" fillId="17" fontId="14" numFmtId="0" xfId="0" applyBorder="1" applyFont="1"/>
    <xf borderId="8" fillId="17" fontId="14" numFmtId="0" xfId="0" applyBorder="1" applyFont="1"/>
    <xf borderId="3" fillId="17" fontId="14" numFmtId="0" xfId="0" applyBorder="1" applyFont="1"/>
    <xf borderId="8" fillId="0" fontId="15" numFmtId="0" xfId="0" applyBorder="1" applyFont="1"/>
    <xf borderId="3" fillId="0" fontId="15" numFmtId="0" xfId="0" applyBorder="1" applyFont="1"/>
    <xf borderId="8" fillId="0" fontId="14" numFmtId="0" xfId="0" applyBorder="1" applyFont="1"/>
    <xf borderId="3" fillId="0" fontId="14" numFmtId="0" xfId="0" applyBorder="1" applyFont="1"/>
    <xf borderId="3" fillId="0" fontId="14" numFmtId="168" xfId="0" applyBorder="1" applyFont="1" applyNumberFormat="1"/>
    <xf borderId="8" fillId="0" fontId="18" numFmtId="0" xfId="0" applyBorder="1" applyFont="1"/>
    <xf borderId="8" fillId="0" fontId="14" numFmtId="168" xfId="0" applyBorder="1" applyFont="1" applyNumberFormat="1"/>
    <xf borderId="8" fillId="5" fontId="17" numFmtId="0" xfId="0" applyBorder="1" applyFont="1"/>
    <xf borderId="0" fillId="5" fontId="14" numFmtId="0" xfId="0" applyFont="1"/>
    <xf borderId="3" fillId="5" fontId="14" numFmtId="0" xfId="0" applyBorder="1" applyFont="1"/>
    <xf borderId="8" fillId="5" fontId="14" numFmtId="0" xfId="0" applyBorder="1" applyFont="1"/>
    <xf borderId="8" fillId="0" fontId="19" numFmtId="0" xfId="0" applyBorder="1" applyFont="1"/>
    <xf borderId="0" fillId="0" fontId="5" numFmtId="0" xfId="0" applyAlignment="1" applyFont="1">
      <alignment vertical="bottom"/>
    </xf>
    <xf borderId="0" fillId="0" fontId="1" numFmtId="164" xfId="0" applyFont="1" applyNumberFormat="1"/>
    <xf borderId="0" fillId="0" fontId="2" numFmtId="0" xfId="0" applyAlignment="1" applyFont="1">
      <alignment horizontal="center" vertical="bottom"/>
    </xf>
    <xf borderId="0" fillId="0" fontId="14" numFmtId="0" xfId="0" applyAlignment="1" applyFont="1">
      <alignment horizontal="center"/>
    </xf>
    <xf borderId="8" fillId="17" fontId="17" numFmtId="0" xfId="0" applyBorder="1" applyFont="1"/>
    <xf borderId="0" fillId="0" fontId="15" numFmtId="0" xfId="0" applyAlignment="1" applyFont="1">
      <alignment horizontal="center"/>
    </xf>
    <xf borderId="0" fillId="0" fontId="14" numFmtId="168" xfId="0" applyAlignment="1" applyFont="1" applyNumberFormat="1">
      <alignment horizontal="center"/>
    </xf>
    <xf borderId="31" fillId="0" fontId="14" numFmtId="168" xfId="0" applyBorder="1" applyFont="1" applyNumberFormat="1"/>
    <xf borderId="1" fillId="0" fontId="14" numFmtId="168" xfId="0" applyBorder="1" applyFont="1" applyNumberFormat="1"/>
    <xf borderId="1" fillId="0" fontId="14" numFmtId="3" xfId="0" applyBorder="1" applyFont="1" applyNumberFormat="1"/>
    <xf borderId="1" fillId="0" fontId="14" numFmtId="0" xfId="0" applyBorder="1" applyFont="1"/>
    <xf borderId="7" fillId="0" fontId="14" numFmtId="0" xfId="0" applyBorder="1" applyFont="1"/>
    <xf borderId="0" fillId="0" fontId="45" numFmtId="0" xfId="0" applyAlignment="1" applyFont="1">
      <alignment horizontal="left" shrinkToFit="0" vertical="top" wrapText="0"/>
    </xf>
    <xf borderId="0" fillId="0" fontId="55" numFmtId="0" xfId="0" applyAlignment="1" applyFont="1">
      <alignment horizontal="left"/>
    </xf>
    <xf borderId="95" fillId="17" fontId="51" numFmtId="170" xfId="0" applyAlignment="1" applyBorder="1" applyFont="1" applyNumberFormat="1">
      <alignment horizontal="center" readingOrder="0" shrinkToFit="0" vertical="center" wrapText="0"/>
    </xf>
    <xf borderId="95" fillId="17" fontId="51" numFmtId="0" xfId="0" applyAlignment="1" applyBorder="1" applyFont="1">
      <alignment horizontal="center" readingOrder="0" shrinkToFit="0" vertical="center" wrapText="0"/>
    </xf>
    <xf borderId="95" fillId="17" fontId="51" numFmtId="165" xfId="0" applyAlignment="1" applyBorder="1" applyFont="1" applyNumberFormat="1">
      <alignment horizontal="center" readingOrder="0" shrinkToFit="0" vertical="center" wrapText="0"/>
    </xf>
    <xf borderId="95" fillId="17" fontId="51" numFmtId="9" xfId="0" applyAlignment="1" applyBorder="1" applyFont="1" applyNumberFormat="1">
      <alignment horizontal="center" readingOrder="0" shrinkToFit="0" vertical="center" wrapText="0"/>
    </xf>
    <xf borderId="100" fillId="17" fontId="27" numFmtId="165" xfId="0" applyAlignment="1" applyBorder="1" applyFont="1" applyNumberFormat="1">
      <alignment horizontal="center" readingOrder="0" shrinkToFit="0" wrapText="0"/>
    </xf>
    <xf borderId="0" fillId="31" fontId="23" numFmtId="0" xfId="0" applyAlignment="1" applyFont="1">
      <alignment horizontal="center"/>
    </xf>
    <xf borderId="0" fillId="37" fontId="22" numFmtId="0" xfId="0" applyAlignment="1" applyFill="1" applyFont="1">
      <alignment horizontal="center" shrinkToFit="0" vertical="top" wrapText="0"/>
    </xf>
    <xf borderId="0" fillId="33" fontId="23" numFmtId="0" xfId="0" applyAlignment="1" applyFont="1">
      <alignment horizontal="center"/>
    </xf>
    <xf borderId="0" fillId="37" fontId="23" numFmtId="0" xfId="0" applyAlignment="1" applyFont="1">
      <alignment horizontal="center"/>
    </xf>
    <xf borderId="99" fillId="33" fontId="22" numFmtId="0" xfId="0" applyAlignment="1" applyBorder="1" applyFont="1">
      <alignment shrinkToFit="0" wrapText="0"/>
    </xf>
    <xf borderId="107" fillId="33" fontId="9" numFmtId="0" xfId="0" applyBorder="1" applyFont="1"/>
    <xf borderId="129" fillId="0" fontId="3" numFmtId="0" xfId="0" applyAlignment="1" applyBorder="1" applyFont="1">
      <alignment horizontal="center" readingOrder="0" shrinkToFit="0" vertical="bottom" wrapText="0"/>
    </xf>
    <xf quotePrefix="1" borderId="89" fillId="0" fontId="6" numFmtId="0" xfId="0" applyAlignment="1" applyBorder="1" applyFont="1">
      <alignment horizontal="center" readingOrder="0" shrinkToFit="0" vertical="bottom" wrapText="0"/>
    </xf>
    <xf borderId="89" fillId="0" fontId="6" numFmtId="0" xfId="0" applyAlignment="1" applyBorder="1" applyFont="1">
      <alignment horizontal="center" shrinkToFit="0" vertical="bottom" wrapText="0"/>
    </xf>
    <xf borderId="89" fillId="0" fontId="1" numFmtId="0" xfId="0" applyAlignment="1" applyBorder="1" applyFont="1">
      <alignment readingOrder="0"/>
    </xf>
    <xf quotePrefix="1" borderId="89" fillId="0" fontId="1" numFmtId="0" xfId="0" applyAlignment="1" applyBorder="1" applyFont="1">
      <alignment readingOrder="0"/>
    </xf>
    <xf borderId="116" fillId="32" fontId="22" numFmtId="0" xfId="0" applyAlignment="1" applyBorder="1" applyFont="1">
      <alignment horizontal="right" shrinkToFit="0" wrapText="0"/>
    </xf>
    <xf borderId="0" fillId="6" fontId="1" numFmtId="0" xfId="0" applyFont="1"/>
    <xf borderId="0" fillId="6" fontId="22" numFmtId="0" xfId="0" applyAlignment="1" applyFont="1">
      <alignment horizontal="left" shrinkToFit="0" vertical="top" wrapText="0"/>
    </xf>
    <xf borderId="95" fillId="17" fontId="45" numFmtId="9" xfId="0" applyAlignment="1" applyBorder="1" applyFont="1" applyNumberFormat="1">
      <alignment horizontal="center" readingOrder="0" shrinkToFit="0" vertical="center" wrapText="0"/>
    </xf>
    <xf borderId="95" fillId="6" fontId="22" numFmtId="9" xfId="0" applyAlignment="1" applyBorder="1" applyFont="1" applyNumberFormat="1">
      <alignment horizontal="center" readingOrder="0" shrinkToFit="0" vertical="center" wrapText="0"/>
    </xf>
    <xf borderId="95" fillId="6" fontId="27" numFmtId="165" xfId="0" applyAlignment="1" applyBorder="1" applyFont="1" applyNumberFormat="1">
      <alignment horizontal="center" readingOrder="0" shrinkToFit="0" vertical="center" wrapText="0"/>
    </xf>
    <xf borderId="0" fillId="0" fontId="14" numFmtId="0" xfId="0" applyFont="1"/>
    <xf borderId="28" fillId="0" fontId="56" numFmtId="0" xfId="0" applyAlignment="1" applyBorder="1" applyFont="1">
      <alignment horizontal="center"/>
    </xf>
    <xf borderId="28" fillId="0" fontId="56" numFmtId="0" xfId="0" applyBorder="1" applyFont="1"/>
    <xf borderId="28" fillId="0" fontId="56" numFmtId="49" xfId="0" applyBorder="1" applyFont="1" applyNumberFormat="1"/>
    <xf borderId="36" fillId="0" fontId="56" numFmtId="0" xfId="0" applyAlignment="1" applyBorder="1" applyFont="1">
      <alignment horizontal="center"/>
    </xf>
    <xf borderId="4" fillId="0" fontId="56" numFmtId="0" xfId="0" applyAlignment="1" applyBorder="1" applyFont="1">
      <alignment horizontal="center"/>
    </xf>
    <xf borderId="36" fillId="0" fontId="56" numFmtId="14" xfId="0" applyAlignment="1" applyBorder="1" applyFont="1" applyNumberFormat="1">
      <alignment horizontal="center"/>
    </xf>
    <xf borderId="4" fillId="0" fontId="56" numFmtId="165" xfId="0" applyAlignment="1" applyBorder="1" applyFont="1" applyNumberFormat="1">
      <alignment horizontal="center"/>
    </xf>
    <xf borderId="4" fillId="0" fontId="56" numFmtId="9" xfId="0" applyAlignment="1" applyBorder="1" applyFont="1" applyNumberFormat="1">
      <alignment horizontal="center"/>
    </xf>
    <xf borderId="4" fillId="0" fontId="56" numFmtId="4" xfId="0" applyAlignment="1" applyBorder="1" applyFont="1" applyNumberFormat="1">
      <alignment horizontal="center"/>
    </xf>
    <xf borderId="36" fillId="0" fontId="14" numFmtId="14" xfId="0" applyBorder="1" applyFont="1" applyNumberFormat="1"/>
    <xf borderId="36" fillId="0" fontId="14" numFmtId="0" xfId="0" applyBorder="1" applyFont="1"/>
    <xf borderId="4" fillId="0" fontId="14" numFmtId="165" xfId="0" applyBorder="1" applyFont="1" applyNumberFormat="1"/>
    <xf borderId="4" fillId="0" fontId="14" numFmtId="0" xfId="0" applyBorder="1" applyFont="1"/>
    <xf borderId="4" fillId="0" fontId="14" numFmtId="9" xfId="0" applyBorder="1" applyFont="1" applyNumberFormat="1"/>
    <xf borderId="36" fillId="0" fontId="14" numFmtId="49" xfId="0" applyBorder="1" applyFont="1" applyNumberFormat="1"/>
    <xf borderId="4" fillId="0" fontId="14" numFmtId="4" xfId="0" applyBorder="1" applyFont="1" applyNumberFormat="1"/>
    <xf borderId="36" fillId="0" fontId="56" numFmtId="0" xfId="0" applyAlignment="1" applyBorder="1" applyFont="1">
      <alignment horizontal="right"/>
    </xf>
    <xf borderId="4" fillId="0" fontId="56" numFmtId="165" xfId="0" applyBorder="1" applyFont="1" applyNumberFormat="1"/>
    <xf borderId="4" fillId="0" fontId="14" numFmtId="2" xfId="0" applyBorder="1" applyFont="1" applyNumberFormat="1"/>
    <xf borderId="36" fillId="23" fontId="56" numFmtId="0" xfId="0" applyBorder="1" applyFont="1"/>
    <xf borderId="36" fillId="23" fontId="14" numFmtId="165" xfId="0" applyBorder="1" applyFont="1" applyNumberFormat="1"/>
    <xf borderId="36" fillId="23" fontId="56" numFmtId="0" xfId="0" applyAlignment="1" applyBorder="1" applyFont="1">
      <alignment horizontal="center"/>
    </xf>
    <xf borderId="36" fillId="23" fontId="56" numFmtId="165" xfId="0" applyAlignment="1" applyBorder="1" applyFont="1" applyNumberFormat="1">
      <alignment horizontal="center"/>
    </xf>
    <xf borderId="36" fillId="23" fontId="14" numFmtId="0" xfId="0" applyBorder="1" applyFont="1"/>
    <xf borderId="36" fillId="23" fontId="56" numFmtId="0" xfId="0" applyAlignment="1" applyBorder="1" applyFont="1">
      <alignment horizontal="right"/>
    </xf>
    <xf borderId="36" fillId="6" fontId="14" numFmtId="0" xfId="0" applyBorder="1" applyFont="1"/>
    <xf borderId="36" fillId="3" fontId="56" numFmtId="0" xfId="0" applyBorder="1" applyFont="1"/>
    <xf borderId="36" fillId="3" fontId="14" numFmtId="165" xfId="0" applyBorder="1" applyFont="1" applyNumberFormat="1"/>
    <xf borderId="36" fillId="3" fontId="14" numFmtId="0" xfId="0" applyBorder="1" applyFont="1"/>
    <xf borderId="28" fillId="24" fontId="56" numFmtId="0" xfId="0" applyAlignment="1" applyBorder="1" applyFont="1">
      <alignment horizontal="center" shrinkToFit="0" wrapText="1"/>
    </xf>
    <xf borderId="28" fillId="24" fontId="57" numFmtId="165" xfId="0" applyAlignment="1" applyBorder="1" applyFont="1" applyNumberFormat="1">
      <alignment horizontal="center"/>
    </xf>
    <xf borderId="36" fillId="3" fontId="56" numFmtId="0" xfId="0" applyAlignment="1" applyBorder="1" applyFont="1">
      <alignment horizontal="right"/>
    </xf>
    <xf borderId="36" fillId="3" fontId="56" numFmtId="165" xfId="0" applyAlignment="1" applyBorder="1" applyFont="1" applyNumberFormat="1">
      <alignment horizontal="center"/>
    </xf>
    <xf borderId="36" fillId="0" fontId="56" numFmtId="49" xfId="0" applyAlignment="1" applyBorder="1" applyFont="1" applyNumberFormat="1">
      <alignment horizontal="center"/>
    </xf>
    <xf borderId="36" fillId="3" fontId="58" numFmtId="0" xfId="0" applyAlignment="1" applyBorder="1" applyFont="1">
      <alignment horizontal="right"/>
    </xf>
    <xf borderId="37" fillId="0" fontId="14" numFmtId="0" xfId="0" applyBorder="1" applyFont="1"/>
    <xf borderId="28" fillId="3" fontId="58" numFmtId="0" xfId="0" applyAlignment="1" applyBorder="1" applyFont="1">
      <alignment horizontal="center" shrinkToFit="0" wrapText="1"/>
    </xf>
    <xf borderId="28" fillId="3" fontId="56" numFmtId="165" xfId="0" applyAlignment="1" applyBorder="1" applyFont="1" applyNumberFormat="1">
      <alignment horizontal="center"/>
    </xf>
    <xf borderId="4" fillId="0" fontId="56" numFmtId="1" xfId="0" applyAlignment="1" applyBorder="1" applyFont="1" applyNumberFormat="1">
      <alignment horizontal="center"/>
    </xf>
    <xf borderId="4" fillId="0" fontId="14" numFmtId="1" xfId="0" applyBorder="1" applyFont="1" applyNumberFormat="1"/>
    <xf borderId="4" fillId="0" fontId="56" numFmtId="3" xfId="0" applyAlignment="1" applyBorder="1" applyFont="1" applyNumberFormat="1">
      <alignment horizontal="center"/>
    </xf>
    <xf borderId="4" fillId="0" fontId="56" numFmtId="2" xfId="0" applyAlignment="1" applyBorder="1" applyFont="1" applyNumberFormat="1">
      <alignment horizontal="center"/>
    </xf>
    <xf borderId="4" fillId="0" fontId="14" numFmtId="166" xfId="0" applyBorder="1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34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Week 11.24-30-style">
      <tableStyleElement dxfId="5" type="headerRow"/>
      <tableStyleElement dxfId="2" type="firstRowStripe"/>
      <tableStyleElement dxfId="6" type="secondRowStripe"/>
    </tableStyle>
    <tableStyle count="3" pivot="0" name="Week 11.24-30-style 2">
      <tableStyleElement dxfId="5" type="headerRow"/>
      <tableStyleElement dxfId="2" type="firstRowStripe"/>
      <tableStyleElement dxfId="6" type="secondRowStripe"/>
    </tableStyle>
    <tableStyle count="2" pivot="0" name="Week 11.24-30-style 3">
      <tableStyleElement dxfId="2" type="firstRowStripe"/>
      <tableStyleElement dxfId="6" type="secondRowStripe"/>
    </tableStyle>
    <tableStyle count="3" pivot="0" name="Week 11.24-30-style 4">
      <tableStyleElement dxfId="5" type="headerRow"/>
      <tableStyleElement dxfId="2" type="firstRowStripe"/>
      <tableStyleElement dxfId="6" type="secondRowStripe"/>
    </tableStyle>
    <tableStyle count="3" pivot="0" name="Week 11.24-30-style 5">
      <tableStyleElement dxfId="5" type="headerRow"/>
      <tableStyleElement dxfId="2" type="firstRowStripe"/>
      <tableStyleElement dxfId="6" type="secondRowStripe"/>
    </tableStyle>
    <tableStyle count="3" pivot="0" name="Week 11.24-30-style 6">
      <tableStyleElement dxfId="5" type="headerRow"/>
      <tableStyleElement dxfId="2" type="firstRowStripe"/>
      <tableStyleElement dxfId="6" type="secondRowStripe"/>
    </tableStyle>
    <tableStyle count="3" pivot="0" name="Week 11.24-30-style 7">
      <tableStyleElement dxfId="5" type="headerRow"/>
      <tableStyleElement dxfId="2" type="firstRowStripe"/>
      <tableStyleElement dxfId="6" type="secondRowStripe"/>
    </tableStyle>
    <tableStyle count="3" pivot="0" name="Week 11.24-30-style 8">
      <tableStyleElement dxfId="5" type="headerRow"/>
      <tableStyleElement dxfId="2" type="firstRowStripe"/>
      <tableStyleElement dxfId="6" type="secondRowStripe"/>
    </tableStyle>
    <tableStyle count="3" pivot="0" name="Week 11.24-30-style 9">
      <tableStyleElement dxfId="5" type="headerRow"/>
      <tableStyleElement dxfId="2" type="firstRowStripe"/>
      <tableStyleElement dxfId="6" type="secondRowStripe"/>
    </tableStyle>
    <tableStyle count="3" pivot="0" name="Week 11.24-30-style 10">
      <tableStyleElement dxfId="5" type="headerRow"/>
      <tableStyleElement dxfId="2" type="firstRowStripe"/>
      <tableStyleElement dxfId="6" type="secondRowStripe"/>
    </tableStyle>
    <tableStyle count="2" pivot="0" name="Week 11.24-30-style 11">
      <tableStyleElement dxfId="2" type="firstRowStripe"/>
      <tableStyleElement dxfId="6" type="secondRowStripe"/>
    </tableStyle>
    <tableStyle count="3" pivot="0" name="Week 11.24-30-style 12">
      <tableStyleElement dxfId="5" type="headerRow"/>
      <tableStyleElement dxfId="2" type="firstRowStripe"/>
      <tableStyleElement dxfId="6" type="secondRowStripe"/>
    </tableStyle>
    <tableStyle count="3" pivot="0" name="Week 11.24-30-style 13">
      <tableStyleElement dxfId="5" type="headerRow"/>
      <tableStyleElement dxfId="2" type="firstRowStripe"/>
      <tableStyleElement dxfId="6" type="secondRowStripe"/>
    </tableStyle>
    <tableStyle count="3" pivot="0" name="Week 11.24-30-style 14">
      <tableStyleElement dxfId="5" type="headerRow"/>
      <tableStyleElement dxfId="2" type="firstRowStripe"/>
      <tableStyleElement dxfId="6" type="secondRowStripe"/>
    </tableStyle>
    <tableStyle count="3" pivot="0" name="Week 11.24-30-style 15">
      <tableStyleElement dxfId="5" type="headerRow"/>
      <tableStyleElement dxfId="2" type="firstRowStripe"/>
      <tableStyleElement dxfId="6" type="secondRowStripe"/>
    </tableStyle>
    <tableStyle count="3" pivot="0" name="Week 11.24-30-style 16">
      <tableStyleElement dxfId="5" type="headerRow"/>
      <tableStyleElement dxfId="2" type="firstRowStripe"/>
      <tableStyleElement dxfId="6" type="secondRowStripe"/>
    </tableStyle>
    <tableStyle count="3" pivot="0" name="Week 11.24-30-style 17">
      <tableStyleElement dxfId="5" type="headerRow"/>
      <tableStyleElement dxfId="2" type="firstRowStripe"/>
      <tableStyleElement dxfId="6" type="secondRowStripe"/>
    </tableStyle>
    <tableStyle count="3" pivot="0" name="Week 11.24-30-style 18">
      <tableStyleElement dxfId="5" type="headerRow"/>
      <tableStyleElement dxfId="2" type="firstRowStripe"/>
      <tableStyleElement dxfId="6" type="secondRowStripe"/>
    </tableStyle>
    <tableStyle count="3" pivot="0" name="Week 11.24-30-style 19">
      <tableStyleElement dxfId="5" type="headerRow"/>
      <tableStyleElement dxfId="2" type="firstRowStripe"/>
      <tableStyleElement dxfId="6" type="secondRowStripe"/>
    </tableStyle>
    <tableStyle count="3" pivot="0" name="Week 11.24-30-style 20">
      <tableStyleElement dxfId="5" type="headerRow"/>
      <tableStyleElement dxfId="2" type="firstRowStripe"/>
      <tableStyleElement dxfId="6" type="secondRowStripe"/>
    </tableStyle>
    <tableStyle count="3" pivot="0" name="Week 11.24-30-style 21">
      <tableStyleElement dxfId="5" type="headerRow"/>
      <tableStyleElement dxfId="2" type="firstRowStripe"/>
      <tableStyleElement dxfId="6" type="secondRowStripe"/>
    </tableStyle>
    <tableStyle count="3" pivot="0" name="Week 11.24-30-style 22">
      <tableStyleElement dxfId="5" type="headerRow"/>
      <tableStyleElement dxfId="2" type="firstRowStripe"/>
      <tableStyleElement dxfId="6" type="secondRowStripe"/>
    </tableStyle>
    <tableStyle count="3" pivot="0" name="Week 11.24-30-style 23">
      <tableStyleElement dxfId="5" type="headerRow"/>
      <tableStyleElement dxfId="2" type="firstRowStripe"/>
      <tableStyleElement dxfId="6" type="secondRowStripe"/>
    </tableStyle>
    <tableStyle count="2" pivot="0" name="Week 11.24-30-style 24">
      <tableStyleElement dxfId="6" type="firstRowStripe"/>
      <tableStyleElement dxfId="2" type="secondRowStripe"/>
    </tableStyle>
    <tableStyle count="3" pivot="0" name="Week 11.24-30-style 25">
      <tableStyleElement dxfId="5" type="headerRow"/>
      <tableStyleElement dxfId="2" type="firstRowStripe"/>
      <tableStyleElement dxfId="6" type="secondRowStripe"/>
    </tableStyle>
    <tableStyle count="3" pivot="0" name="Week 11.24-30-style 26">
      <tableStyleElement dxfId="5" type="headerRow"/>
      <tableStyleElement dxfId="2" type="firstRowStripe"/>
      <tableStyleElement dxfId="6" type="secondRowStripe"/>
    </tableStyle>
    <tableStyle count="3" pivot="0" name="Week 11.24-30-style 27">
      <tableStyleElement dxfId="5" type="headerRow"/>
      <tableStyleElement dxfId="2" type="firstRowStripe"/>
      <tableStyleElement dxfId="6" type="secondRowStripe"/>
    </tableStyle>
    <tableStyle count="3" pivot="0" name="Week 11.24-30-style 28">
      <tableStyleElement dxfId="5" type="headerRow"/>
      <tableStyleElement dxfId="2" type="firstRowStripe"/>
      <tableStyleElement dxfId="6" type="secondRowStripe"/>
    </tableStyle>
    <tableStyle count="3" pivot="0" name="Week 11.24-30-style 29">
      <tableStyleElement dxfId="5" type="headerRow"/>
      <tableStyleElement dxfId="2" type="firstRowStripe"/>
      <tableStyleElement dxfId="6" type="secondRowStripe"/>
    </tableStyle>
    <tableStyle count="3" pivot="0" name="Week 11.24-30-style 30">
      <tableStyleElement dxfId="5" type="headerRow"/>
      <tableStyleElement dxfId="2" type="firstRowStripe"/>
      <tableStyleElement dxfId="6" type="secondRowStripe"/>
    </tableStyle>
    <tableStyle count="3" pivot="0" name="Week 11.24-30-style 31">
      <tableStyleElement dxfId="5" type="headerRow"/>
      <tableStyleElement dxfId="2" type="firstRowStripe"/>
      <tableStyleElement dxfId="6" type="secondRowStripe"/>
    </tableStyle>
    <tableStyle count="3" pivot="0" name="Week 11.24-30-style 32">
      <tableStyleElement dxfId="5" type="headerRow"/>
      <tableStyleElement dxfId="2" type="firstRowStripe"/>
      <tableStyleElement dxfId="6" type="secondRowStripe"/>
    </tableStyle>
    <tableStyle count="3" pivot="0" name="Week 11.24-30-style 33">
      <tableStyleElement dxfId="5" type="headerRow"/>
      <tableStyleElement dxfId="2" type="firstRowStripe"/>
      <tableStyleElement dxfId="6" type="secondRowStripe"/>
    </tableStyle>
    <tableStyle count="3" pivot="0" name="Week 11.24-30-style 34">
      <tableStyleElement dxfId="5" type="headerRow"/>
      <tableStyleElement dxfId="2" type="firstRowStripe"/>
      <tableStyleElement dxfId="6" type="secondRowStripe"/>
    </tableStyle>
    <tableStyle count="3" pivot="0" name="Week 11.24-30-style 35">
      <tableStyleElement dxfId="5" type="headerRow"/>
      <tableStyleElement dxfId="2" type="firstRowStripe"/>
      <tableStyleElement dxfId="6" type="secondRowStripe"/>
    </tableStyle>
    <tableStyle count="3" pivot="0" name="Week 11.24-30-style 36">
      <tableStyleElement dxfId="5" type="headerRow"/>
      <tableStyleElement dxfId="2" type="firstRowStripe"/>
      <tableStyleElement dxfId="6" type="secondRowStripe"/>
    </tableStyle>
    <tableStyle count="3" pivot="0" name="Week 11.24-30-style 37">
      <tableStyleElement dxfId="5" type="headerRow"/>
      <tableStyleElement dxfId="2" type="firstRowStripe"/>
      <tableStyleElement dxfId="6" type="secondRowStripe"/>
    </tableStyle>
    <tableStyle count="2" pivot="0" name="Week 11.24-30-style 38">
      <tableStyleElement dxfId="2" type="firstRowStripe"/>
      <tableStyleElement dxfId="6" type="secondRowStripe"/>
    </tableStyle>
    <tableStyle count="3" pivot="0" name="Week 11.24-30-style 39">
      <tableStyleElement dxfId="5" type="headerRow"/>
      <tableStyleElement dxfId="2" type="firstRowStripe"/>
      <tableStyleElement dxfId="6" type="secondRowStripe"/>
    </tableStyle>
    <tableStyle count="3" pivot="0" name="Week 11.24-30-style 40">
      <tableStyleElement dxfId="5" type="headerRow"/>
      <tableStyleElement dxfId="2" type="firstRowStripe"/>
      <tableStyleElement dxfId="6" type="secondRowStripe"/>
    </tableStyle>
    <tableStyle count="3" pivot="0" name="Week 11.24-30-style 41">
      <tableStyleElement dxfId="5" type="headerRow"/>
      <tableStyleElement dxfId="2" type="firstRowStripe"/>
      <tableStyleElement dxfId="6" type="secondRowStripe"/>
    </tableStyle>
    <tableStyle count="3" pivot="0" name="Week 11.24-30-style 42">
      <tableStyleElement dxfId="5" type="headerRow"/>
      <tableStyleElement dxfId="2" type="firstRowStripe"/>
      <tableStyleElement dxfId="6" type="secondRowStripe"/>
    </tableStyle>
    <tableStyle count="3" pivot="0" name="Week 11.24-30-style 43">
      <tableStyleElement dxfId="5" type="headerRow"/>
      <tableStyleElement dxfId="2" type="firstRowStripe"/>
      <tableStyleElement dxfId="6" type="secondRowStripe"/>
    </tableStyle>
    <tableStyle count="3" pivot="0" name="Week 11.24-30-style 44">
      <tableStyleElement dxfId="5" type="headerRow"/>
      <tableStyleElement dxfId="2" type="firstRowStripe"/>
      <tableStyleElement dxfId="6" type="secondRowStripe"/>
    </tableStyle>
    <tableStyle count="3" pivot="0" name="Week 11.24-30-style 45">
      <tableStyleElement dxfId="5" type="headerRow"/>
      <tableStyleElement dxfId="2" type="firstRowStripe"/>
      <tableStyleElement dxfId="6" type="secondRowStripe"/>
    </tableStyle>
    <tableStyle count="3" pivot="0" name="Week 11.24-30-style 46">
      <tableStyleElement dxfId="5" type="headerRow"/>
      <tableStyleElement dxfId="2" type="firstRowStripe"/>
      <tableStyleElement dxfId="6" type="secondRowStripe"/>
    </tableStyle>
    <tableStyle count="3" pivot="0" name="Week 11.24-30-style 47">
      <tableStyleElement dxfId="5" type="headerRow"/>
      <tableStyleElement dxfId="2" type="firstRowStripe"/>
      <tableStyleElement dxfId="6" type="secondRowStripe"/>
    </tableStyle>
    <tableStyle count="3" pivot="0" name="Week 11.24-30-style 48">
      <tableStyleElement dxfId="5" type="headerRow"/>
      <tableStyleElement dxfId="2" type="firstRowStripe"/>
      <tableStyleElement dxfId="6" type="secondRowStripe"/>
    </tableStyle>
    <tableStyle count="3" pivot="0" name="Week 11.24-30-style 49">
      <tableStyleElement dxfId="5" type="headerRow"/>
      <tableStyleElement dxfId="2" type="firstRowStripe"/>
      <tableStyleElement dxfId="6" type="secondRowStripe"/>
    </tableStyle>
    <tableStyle count="3" pivot="0" name="Week 11.24-30-style 50">
      <tableStyleElement dxfId="5" type="headerRow"/>
      <tableStyleElement dxfId="2" type="firstRowStripe"/>
      <tableStyleElement dxfId="6" type="secondRowStripe"/>
    </tableStyle>
    <tableStyle count="3" pivot="0" name="Week 11.24-30-style 51">
      <tableStyleElement dxfId="5" type="headerRow"/>
      <tableStyleElement dxfId="2" type="firstRowStripe"/>
      <tableStyleElement dxfId="6" type="secondRowStripe"/>
    </tableStyle>
    <tableStyle count="3" pivot="0" name="Week 11.24-30-style 52">
      <tableStyleElement dxfId="5" type="headerRow"/>
      <tableStyleElement dxfId="2" type="firstRowStripe"/>
      <tableStyleElement dxfId="6" type="secondRowStripe"/>
    </tableStyle>
    <tableStyle count="3" pivot="0" name="Week 11.24-30-style 53">
      <tableStyleElement dxfId="5" type="headerRow"/>
      <tableStyleElement dxfId="2" type="firstRowStripe"/>
      <tableStyleElement dxfId="6" type="secondRowStripe"/>
    </tableStyle>
    <tableStyle count="3" pivot="0" name="Week 11.24-30-style 54">
      <tableStyleElement dxfId="5" type="headerRow"/>
      <tableStyleElement dxfId="2" type="firstRowStripe"/>
      <tableStyleElement dxfId="6" type="secondRowStripe"/>
    </tableStyle>
    <tableStyle count="3" pivot="0" name="Week 11.24-30-style 55">
      <tableStyleElement dxfId="5" type="headerRow"/>
      <tableStyleElement dxfId="2" type="firstRowStripe"/>
      <tableStyleElement dxfId="6" type="secondRowStripe"/>
    </tableStyle>
    <tableStyle count="3" pivot="0" name="Week 11.24-30-style 56">
      <tableStyleElement dxfId="5" type="headerRow"/>
      <tableStyleElement dxfId="2" type="firstRowStripe"/>
      <tableStyleElement dxfId="6" type="secondRowStripe"/>
    </tableStyle>
    <tableStyle count="3" pivot="0" name="Week 11.24-30-style 57">
      <tableStyleElement dxfId="5" type="headerRow"/>
      <tableStyleElement dxfId="2" type="firstRowStripe"/>
      <tableStyleElement dxfId="6" type="secondRowStripe"/>
    </tableStyle>
    <tableStyle count="3" pivot="0" name="Week 11.24-30-style 58">
      <tableStyleElement dxfId="5" type="headerRow"/>
      <tableStyleElement dxfId="2" type="firstRowStripe"/>
      <tableStyleElement dxfId="6" type="secondRowStripe"/>
    </tableStyle>
    <tableStyle count="3" pivot="0" name="Week 11.24-30-style 59">
      <tableStyleElement dxfId="5" type="headerRow"/>
      <tableStyleElement dxfId="2" type="firstRowStripe"/>
      <tableStyleElement dxfId="6" type="secondRowStripe"/>
    </tableStyle>
    <tableStyle count="3" pivot="0" name="Week 11.24-30-style 60">
      <tableStyleElement dxfId="5" type="headerRow"/>
      <tableStyleElement dxfId="2" type="firstRowStripe"/>
      <tableStyleElement dxfId="6" type="secondRowStripe"/>
    </tableStyle>
    <tableStyle count="3" pivot="0" name="Week 11.24-30-style 61">
      <tableStyleElement dxfId="5" type="headerRow"/>
      <tableStyleElement dxfId="2" type="firstRowStripe"/>
      <tableStyleElement dxfId="6" type="secondRowStripe"/>
    </tableStyle>
    <tableStyle count="3" pivot="0" name="Week 11.24-30-style 62">
      <tableStyleElement dxfId="5" type="headerRow"/>
      <tableStyleElement dxfId="2" type="firstRowStripe"/>
      <tableStyleElement dxfId="6" type="secondRowStripe"/>
    </tableStyle>
    <tableStyle count="3" pivot="0" name="Week 11.24-30-style 63">
      <tableStyleElement dxfId="5" type="headerRow"/>
      <tableStyleElement dxfId="2" type="firstRowStripe"/>
      <tableStyleElement dxfId="6" type="secondRowStripe"/>
    </tableStyle>
    <tableStyle count="3" pivot="0" name="Week 11.24-30-style 64">
      <tableStyleElement dxfId="5" type="headerRow"/>
      <tableStyleElement dxfId="2" type="firstRowStripe"/>
      <tableStyleElement dxfId="6" type="secondRowStripe"/>
    </tableStyle>
    <tableStyle count="3" pivot="0" name="Week 11.24-30-style 65">
      <tableStyleElement dxfId="5" type="headerRow"/>
      <tableStyleElement dxfId="2" type="firstRowStripe"/>
      <tableStyleElement dxfId="6" type="secondRowStripe"/>
    </tableStyle>
    <tableStyle count="3" pivot="0" name="Stmts Dec 1-7-style">
      <tableStyleElement dxfId="5" type="headerRow"/>
      <tableStyleElement dxfId="2" type="firstRowStripe"/>
      <tableStyleElement dxfId="6" type="secondRowStripe"/>
    </tableStyle>
    <tableStyle count="3" pivot="0" name="Stmts Dec 1-7-style 2">
      <tableStyleElement dxfId="5" type="headerRow"/>
      <tableStyleElement dxfId="2" type="firstRowStripe"/>
      <tableStyleElement dxfId="6" type="secondRowStripe"/>
    </tableStyle>
    <tableStyle count="2" pivot="0" name="Stmts Dec 1-7-style 3">
      <tableStyleElement dxfId="2" type="firstRowStripe"/>
      <tableStyleElement dxfId="6" type="secondRowStripe"/>
    </tableStyle>
    <tableStyle count="3" pivot="0" name="Stmts Dec 1-7-style 4">
      <tableStyleElement dxfId="5" type="headerRow"/>
      <tableStyleElement dxfId="2" type="firstRowStripe"/>
      <tableStyleElement dxfId="6" type="secondRowStripe"/>
    </tableStyle>
    <tableStyle count="3" pivot="0" name="Stmts Dec 1-7-style 5">
      <tableStyleElement dxfId="5" type="headerRow"/>
      <tableStyleElement dxfId="2" type="firstRowStripe"/>
      <tableStyleElement dxfId="6" type="secondRowStripe"/>
    </tableStyle>
    <tableStyle count="3" pivot="0" name="Stmts Dec 1-7-style 6">
      <tableStyleElement dxfId="5" type="headerRow"/>
      <tableStyleElement dxfId="2" type="firstRowStripe"/>
      <tableStyleElement dxfId="6" type="secondRowStripe"/>
    </tableStyle>
    <tableStyle count="3" pivot="0" name="Stmts Dec 1-7-style 7">
      <tableStyleElement dxfId="5" type="headerRow"/>
      <tableStyleElement dxfId="2" type="firstRowStripe"/>
      <tableStyleElement dxfId="6" type="secondRowStripe"/>
    </tableStyle>
    <tableStyle count="3" pivot="0" name="Stmts Dec 1-7-style 8">
      <tableStyleElement dxfId="5" type="headerRow"/>
      <tableStyleElement dxfId="2" type="firstRowStripe"/>
      <tableStyleElement dxfId="6" type="secondRowStripe"/>
    </tableStyle>
    <tableStyle count="3" pivot="0" name="Stmts Dec 1-7-style 9">
      <tableStyleElement dxfId="5" type="headerRow"/>
      <tableStyleElement dxfId="2" type="firstRowStripe"/>
      <tableStyleElement dxfId="6" type="secondRowStripe"/>
    </tableStyle>
    <tableStyle count="3" pivot="0" name="Stmts Dec 1-7-style 10">
      <tableStyleElement dxfId="5" type="headerRow"/>
      <tableStyleElement dxfId="2" type="firstRowStripe"/>
      <tableStyleElement dxfId="6" type="secondRowStripe"/>
    </tableStyle>
    <tableStyle count="2" pivot="0" name="Stmts Dec 1-7-style 11">
      <tableStyleElement dxfId="2" type="firstRowStripe"/>
      <tableStyleElement dxfId="6" type="secondRowStripe"/>
    </tableStyle>
    <tableStyle count="3" pivot="0" name="Stmts Dec 1-7-style 12">
      <tableStyleElement dxfId="5" type="headerRow"/>
      <tableStyleElement dxfId="2" type="firstRowStripe"/>
      <tableStyleElement dxfId="6" type="secondRowStripe"/>
    </tableStyle>
    <tableStyle count="3" pivot="0" name="Stmts Dec 1-7-style 13">
      <tableStyleElement dxfId="5" type="headerRow"/>
      <tableStyleElement dxfId="2" type="firstRowStripe"/>
      <tableStyleElement dxfId="6" type="secondRowStripe"/>
    </tableStyle>
    <tableStyle count="3" pivot="0" name="Stmts Dec 1-7-style 14">
      <tableStyleElement dxfId="5" type="headerRow"/>
      <tableStyleElement dxfId="2" type="firstRowStripe"/>
      <tableStyleElement dxfId="6" type="secondRowStripe"/>
    </tableStyle>
    <tableStyle count="3" pivot="0" name="Stmts Dec 1-7-style 15">
      <tableStyleElement dxfId="5" type="headerRow"/>
      <tableStyleElement dxfId="2" type="firstRowStripe"/>
      <tableStyleElement dxfId="6" type="secondRowStripe"/>
    </tableStyle>
    <tableStyle count="3" pivot="0" name="Stmts Dec 1-7-style 16">
      <tableStyleElement dxfId="5" type="headerRow"/>
      <tableStyleElement dxfId="2" type="firstRowStripe"/>
      <tableStyleElement dxfId="6" type="secondRowStripe"/>
    </tableStyle>
    <tableStyle count="3" pivot="0" name="Stmts Dec 1-7-style 17">
      <tableStyleElement dxfId="5" type="headerRow"/>
      <tableStyleElement dxfId="2" type="firstRowStripe"/>
      <tableStyleElement dxfId="6" type="secondRowStripe"/>
    </tableStyle>
    <tableStyle count="3" pivot="0" name="Stmts Dec 1-7-style 18">
      <tableStyleElement dxfId="5" type="headerRow"/>
      <tableStyleElement dxfId="2" type="firstRowStripe"/>
      <tableStyleElement dxfId="6" type="secondRowStripe"/>
    </tableStyle>
    <tableStyle count="3" pivot="0" name="Stmts Dec 1-7-style 19">
      <tableStyleElement dxfId="5" type="headerRow"/>
      <tableStyleElement dxfId="2" type="firstRowStripe"/>
      <tableStyleElement dxfId="6" type="secondRowStripe"/>
    </tableStyle>
    <tableStyle count="3" pivot="0" name="Stmts Dec 1-7-style 20">
      <tableStyleElement dxfId="5" type="headerRow"/>
      <tableStyleElement dxfId="2" type="firstRowStripe"/>
      <tableStyleElement dxfId="6" type="secondRowStripe"/>
    </tableStyle>
    <tableStyle count="3" pivot="0" name="Stmts Dec 1-7-style 21">
      <tableStyleElement dxfId="5" type="headerRow"/>
      <tableStyleElement dxfId="2" type="firstRowStripe"/>
      <tableStyleElement dxfId="6" type="secondRowStripe"/>
    </tableStyle>
    <tableStyle count="3" pivot="0" name="Stmts Dec 1-7-style 22">
      <tableStyleElement dxfId="5" type="headerRow"/>
      <tableStyleElement dxfId="2" type="firstRowStripe"/>
      <tableStyleElement dxfId="6" type="secondRowStripe"/>
    </tableStyle>
    <tableStyle count="3" pivot="0" name="Stmts Dec 1-7-style 23">
      <tableStyleElement dxfId="5" type="headerRow"/>
      <tableStyleElement dxfId="2" type="firstRowStripe"/>
      <tableStyleElement dxfId="6" type="secondRowStripe"/>
    </tableStyle>
    <tableStyle count="2" pivot="0" name="Stmts Dec 1-7-style 24">
      <tableStyleElement dxfId="6" type="firstRowStripe"/>
      <tableStyleElement dxfId="2" type="secondRowStripe"/>
    </tableStyle>
    <tableStyle count="3" pivot="0" name="Stmts Dec 1-7-style 25">
      <tableStyleElement dxfId="5" type="headerRow"/>
      <tableStyleElement dxfId="2" type="firstRowStripe"/>
      <tableStyleElement dxfId="6" type="secondRowStripe"/>
    </tableStyle>
    <tableStyle count="3" pivot="0" name="Stmts Dec 1-7-style 26">
      <tableStyleElement dxfId="5" type="headerRow"/>
      <tableStyleElement dxfId="2" type="firstRowStripe"/>
      <tableStyleElement dxfId="6" type="secondRowStripe"/>
    </tableStyle>
    <tableStyle count="3" pivot="0" name="Stmts Dec 1-7-style 27">
      <tableStyleElement dxfId="5" type="headerRow"/>
      <tableStyleElement dxfId="2" type="firstRowStripe"/>
      <tableStyleElement dxfId="6" type="secondRowStripe"/>
    </tableStyle>
    <tableStyle count="3" pivot="0" name="Stmts Dec 1-7-style 28">
      <tableStyleElement dxfId="5" type="headerRow"/>
      <tableStyleElement dxfId="2" type="firstRowStripe"/>
      <tableStyleElement dxfId="6" type="secondRowStripe"/>
    </tableStyle>
    <tableStyle count="3" pivot="0" name="Stmts Dec 1-7-style 29">
      <tableStyleElement dxfId="5" type="headerRow"/>
      <tableStyleElement dxfId="2" type="firstRowStripe"/>
      <tableStyleElement dxfId="6" type="secondRowStripe"/>
    </tableStyle>
    <tableStyle count="3" pivot="0" name="Stmts Dec 1-7-style 30">
      <tableStyleElement dxfId="5" type="headerRow"/>
      <tableStyleElement dxfId="2" type="firstRowStripe"/>
      <tableStyleElement dxfId="6" type="secondRowStripe"/>
    </tableStyle>
    <tableStyle count="3" pivot="0" name="Stmts Dec 1-7-style 31">
      <tableStyleElement dxfId="5" type="headerRow"/>
      <tableStyleElement dxfId="2" type="firstRowStripe"/>
      <tableStyleElement dxfId="6" type="secondRowStripe"/>
    </tableStyle>
    <tableStyle count="3" pivot="0" name="Stmts Dec 1-7-style 32">
      <tableStyleElement dxfId="5" type="headerRow"/>
      <tableStyleElement dxfId="2" type="firstRowStripe"/>
      <tableStyleElement dxfId="6" type="secondRowStripe"/>
    </tableStyle>
    <tableStyle count="3" pivot="0" name="Stmts Dec 1-7-style 33">
      <tableStyleElement dxfId="5" type="headerRow"/>
      <tableStyleElement dxfId="2" type="firstRowStripe"/>
      <tableStyleElement dxfId="6" type="secondRowStripe"/>
    </tableStyle>
    <tableStyle count="3" pivot="0" name="Stmts Dec 1-7-style 34">
      <tableStyleElement dxfId="5" type="headerRow"/>
      <tableStyleElement dxfId="2" type="firstRowStripe"/>
      <tableStyleElement dxfId="6" type="secondRowStripe"/>
    </tableStyle>
    <tableStyle count="3" pivot="0" name="Stmts Dec 1-7-style 35">
      <tableStyleElement dxfId="5" type="headerRow"/>
      <tableStyleElement dxfId="2" type="firstRowStripe"/>
      <tableStyleElement dxfId="6" type="secondRowStripe"/>
    </tableStyle>
    <tableStyle count="3" pivot="0" name="Stmts Dec 1-7-style 36">
      <tableStyleElement dxfId="5" type="headerRow"/>
      <tableStyleElement dxfId="2" type="firstRowStripe"/>
      <tableStyleElement dxfId="6" type="secondRowStripe"/>
    </tableStyle>
    <tableStyle count="3" pivot="0" name="Stmts Dec 1-7-style 37">
      <tableStyleElement dxfId="5" type="headerRow"/>
      <tableStyleElement dxfId="2" type="firstRowStripe"/>
      <tableStyleElement dxfId="6" type="secondRowStripe"/>
    </tableStyle>
    <tableStyle count="2" pivot="0" name="Stmts Dec 1-7-style 38">
      <tableStyleElement dxfId="2" type="firstRowStripe"/>
      <tableStyleElement dxfId="6" type="secondRowStripe"/>
    </tableStyle>
    <tableStyle count="3" pivot="0" name="Stmts Dec 1-7-style 39">
      <tableStyleElement dxfId="5" type="headerRow"/>
      <tableStyleElement dxfId="2" type="firstRowStripe"/>
      <tableStyleElement dxfId="6" type="secondRowStripe"/>
    </tableStyle>
    <tableStyle count="3" pivot="0" name="Stmts Dec 1-7-style 40">
      <tableStyleElement dxfId="5" type="headerRow"/>
      <tableStyleElement dxfId="2" type="firstRowStripe"/>
      <tableStyleElement dxfId="6" type="secondRowStripe"/>
    </tableStyle>
    <tableStyle count="3" pivot="0" name="Stmts Dec 1-7-style 41">
      <tableStyleElement dxfId="5" type="headerRow"/>
      <tableStyleElement dxfId="2" type="firstRowStripe"/>
      <tableStyleElement dxfId="6" type="secondRowStripe"/>
    </tableStyle>
    <tableStyle count="3" pivot="0" name="Stmts Dec 1-7-style 42">
      <tableStyleElement dxfId="5" type="headerRow"/>
      <tableStyleElement dxfId="2" type="firstRowStripe"/>
      <tableStyleElement dxfId="6" type="secondRowStripe"/>
    </tableStyle>
    <tableStyle count="3" pivot="0" name="Stmts Dec 1-7-style 43">
      <tableStyleElement dxfId="5" type="headerRow"/>
      <tableStyleElement dxfId="2" type="firstRowStripe"/>
      <tableStyleElement dxfId="6" type="secondRowStripe"/>
    </tableStyle>
    <tableStyle count="3" pivot="0" name="Stmts Dec 1-7-style 44">
      <tableStyleElement dxfId="5" type="headerRow"/>
      <tableStyleElement dxfId="2" type="firstRowStripe"/>
      <tableStyleElement dxfId="6" type="secondRowStripe"/>
    </tableStyle>
    <tableStyle count="3" pivot="0" name="Stmts Dec 1-7-style 45">
      <tableStyleElement dxfId="5" type="headerRow"/>
      <tableStyleElement dxfId="2" type="firstRowStripe"/>
      <tableStyleElement dxfId="6" type="secondRowStripe"/>
    </tableStyle>
    <tableStyle count="3" pivot="0" name="Stmts Dec 1-7-style 46">
      <tableStyleElement dxfId="5" type="headerRow"/>
      <tableStyleElement dxfId="2" type="firstRowStripe"/>
      <tableStyleElement dxfId="6" type="secondRowStripe"/>
    </tableStyle>
    <tableStyle count="3" pivot="0" name="Stmts Dec 1-7-style 47">
      <tableStyleElement dxfId="5" type="headerRow"/>
      <tableStyleElement dxfId="2" type="firstRowStripe"/>
      <tableStyleElement dxfId="6" type="secondRowStripe"/>
    </tableStyle>
    <tableStyle count="3" pivot="0" name="Stmts Dec 1-7-style 48">
      <tableStyleElement dxfId="5" type="headerRow"/>
      <tableStyleElement dxfId="2" type="firstRowStripe"/>
      <tableStyleElement dxfId="6" type="secondRowStripe"/>
    </tableStyle>
    <tableStyle count="3" pivot="0" name="Stmts Dec 1-7-style 49">
      <tableStyleElement dxfId="5" type="headerRow"/>
      <tableStyleElement dxfId="2" type="firstRowStripe"/>
      <tableStyleElement dxfId="6" type="secondRowStripe"/>
    </tableStyle>
    <tableStyle count="3" pivot="0" name="Stmts Dec 1-7-style 50">
      <tableStyleElement dxfId="5" type="headerRow"/>
      <tableStyleElement dxfId="2" type="firstRowStripe"/>
      <tableStyleElement dxfId="6" type="secondRowStripe"/>
    </tableStyle>
    <tableStyle count="3" pivot="0" name="Stmts Dec 1-7-style 51">
      <tableStyleElement dxfId="5" type="headerRow"/>
      <tableStyleElement dxfId="2" type="firstRowStripe"/>
      <tableStyleElement dxfId="6" type="secondRowStripe"/>
    </tableStyle>
    <tableStyle count="3" pivot="0" name="Stmts Dec 1-7-style 52">
      <tableStyleElement dxfId="5" type="headerRow"/>
      <tableStyleElement dxfId="2" type="firstRowStripe"/>
      <tableStyleElement dxfId="6" type="secondRowStripe"/>
    </tableStyle>
    <tableStyle count="3" pivot="0" name="Stmts Dec 1-7-style 53">
      <tableStyleElement dxfId="5" type="headerRow"/>
      <tableStyleElement dxfId="2" type="firstRowStripe"/>
      <tableStyleElement dxfId="6" type="secondRowStripe"/>
    </tableStyle>
    <tableStyle count="3" pivot="0" name="Stmts Dec 1-7-style 54">
      <tableStyleElement dxfId="5" type="headerRow"/>
      <tableStyleElement dxfId="2" type="firstRowStripe"/>
      <tableStyleElement dxfId="6" type="secondRowStripe"/>
    </tableStyle>
    <tableStyle count="3" pivot="0" name="Stmts Dec 1-7-style 55">
      <tableStyleElement dxfId="5" type="headerRow"/>
      <tableStyleElement dxfId="2" type="firstRowStripe"/>
      <tableStyleElement dxfId="6" type="secondRowStripe"/>
    </tableStyle>
    <tableStyle count="3" pivot="0" name="Stmts Dec 1-7-style 56">
      <tableStyleElement dxfId="5" type="headerRow"/>
      <tableStyleElement dxfId="2" type="firstRowStripe"/>
      <tableStyleElement dxfId="6" type="secondRowStripe"/>
    </tableStyle>
    <tableStyle count="3" pivot="0" name="Stmts Dec 1-7-style 57">
      <tableStyleElement dxfId="5" type="headerRow"/>
      <tableStyleElement dxfId="2" type="firstRowStripe"/>
      <tableStyleElement dxfId="6" type="secondRowStripe"/>
    </tableStyle>
    <tableStyle count="3" pivot="0" name="Stmts Dec 1-7-style 58">
      <tableStyleElement dxfId="5" type="headerRow"/>
      <tableStyleElement dxfId="2" type="firstRowStripe"/>
      <tableStyleElement dxfId="6" type="secondRowStripe"/>
    </tableStyle>
    <tableStyle count="3" pivot="0" name="Stmts Dec 1-7-style 59">
      <tableStyleElement dxfId="5" type="headerRow"/>
      <tableStyleElement dxfId="2" type="firstRowStripe"/>
      <tableStyleElement dxfId="6" type="secondRowStripe"/>
    </tableStyle>
    <tableStyle count="3" pivot="0" name="Stmts Dec 1-7-style 60">
      <tableStyleElement dxfId="5" type="headerRow"/>
      <tableStyleElement dxfId="2" type="firstRowStripe"/>
      <tableStyleElement dxfId="6" type="secondRowStripe"/>
    </tableStyle>
    <tableStyle count="3" pivot="0" name="Stmts Dec 1-7-style 61">
      <tableStyleElement dxfId="5" type="headerRow"/>
      <tableStyleElement dxfId="2" type="firstRowStripe"/>
      <tableStyleElement dxfId="6" type="secondRowStripe"/>
    </tableStyle>
    <tableStyle count="3" pivot="0" name="Stmts Dec 1-7-style 62">
      <tableStyleElement dxfId="5" type="headerRow"/>
      <tableStyleElement dxfId="2" type="firstRowStripe"/>
      <tableStyleElement dxfId="6" type="secondRowStripe"/>
    </tableStyle>
    <tableStyle count="3" pivot="0" name="Stmts Dec 1-7-style 63">
      <tableStyleElement dxfId="5" type="headerRow"/>
      <tableStyleElement dxfId="2" type="firstRowStripe"/>
      <tableStyleElement dxfId="6" type="secondRowStripe"/>
    </tableStyle>
    <tableStyle count="3" pivot="0" name="Stmts Dec 1-7-style 64">
      <tableStyleElement dxfId="5" type="headerRow"/>
      <tableStyleElement dxfId="2" type="firstRowStripe"/>
      <tableStyleElement dxfId="6" type="secondRowStripe"/>
    </tableStyle>
    <tableStyle count="3" pivot="0" name="Stmts Dec 1-7-style 65">
      <tableStyleElement dxfId="5" type="headerRow"/>
      <tableStyleElement dxfId="2" type="firstRowStripe"/>
      <tableStyleElement dxfId="6" type="secondRowStripe"/>
    </tableStyle>
    <tableStyle count="3" pivot="0" name="Week 12.01-12.07-style">
      <tableStyleElement dxfId="5" type="headerRow"/>
      <tableStyleElement dxfId="2" type="firstRowStripe"/>
      <tableStyleElement dxfId="6" type="secondRowStripe"/>
    </tableStyle>
    <tableStyle count="3" pivot="0" name="Week 12.01-12.07-style 2">
      <tableStyleElement dxfId="5" type="headerRow"/>
      <tableStyleElement dxfId="2" type="firstRowStripe"/>
      <tableStyleElement dxfId="6" type="secondRowStripe"/>
    </tableStyle>
    <tableStyle count="2" pivot="0" name="Week 12.01-12.07-style 3">
      <tableStyleElement dxfId="2" type="firstRowStripe"/>
      <tableStyleElement dxfId="6" type="secondRowStripe"/>
    </tableStyle>
    <tableStyle count="3" pivot="0" name="Week 12.01-12.07-style 4">
      <tableStyleElement dxfId="5" type="headerRow"/>
      <tableStyleElement dxfId="2" type="firstRowStripe"/>
      <tableStyleElement dxfId="6" type="secondRowStripe"/>
    </tableStyle>
    <tableStyle count="3" pivot="0" name="Week 12.01-12.07-style 5">
      <tableStyleElement dxfId="5" type="headerRow"/>
      <tableStyleElement dxfId="2" type="firstRowStripe"/>
      <tableStyleElement dxfId="6" type="secondRowStripe"/>
    </tableStyle>
    <tableStyle count="3" pivot="0" name="Week 12.01-12.07-style 6">
      <tableStyleElement dxfId="5" type="headerRow"/>
      <tableStyleElement dxfId="2" type="firstRowStripe"/>
      <tableStyleElement dxfId="6" type="secondRowStripe"/>
    </tableStyle>
    <tableStyle count="3" pivot="0" name="Week 12.01-12.07-style 7">
      <tableStyleElement dxfId="5" type="headerRow"/>
      <tableStyleElement dxfId="2" type="firstRowStripe"/>
      <tableStyleElement dxfId="6" type="secondRowStripe"/>
    </tableStyle>
    <tableStyle count="3" pivot="0" name="Week 12.01-12.07-style 8">
      <tableStyleElement dxfId="5" type="headerRow"/>
      <tableStyleElement dxfId="2" type="firstRowStripe"/>
      <tableStyleElement dxfId="6" type="secondRowStripe"/>
    </tableStyle>
    <tableStyle count="3" pivot="0" name="Week 12.01-12.07-style 9">
      <tableStyleElement dxfId="5" type="headerRow"/>
      <tableStyleElement dxfId="2" type="firstRowStripe"/>
      <tableStyleElement dxfId="6" type="secondRowStripe"/>
    </tableStyle>
    <tableStyle count="3" pivot="0" name="Week 12.01-12.07-style 10">
      <tableStyleElement dxfId="5" type="headerRow"/>
      <tableStyleElement dxfId="2" type="firstRowStripe"/>
      <tableStyleElement dxfId="6" type="secondRowStripe"/>
    </tableStyle>
    <tableStyle count="2" pivot="0" name="Week 12.01-12.07-style 11">
      <tableStyleElement dxfId="2" type="firstRowStripe"/>
      <tableStyleElement dxfId="6" type="secondRowStripe"/>
    </tableStyle>
    <tableStyle count="3" pivot="0" name="Week 12.01-12.07-style 12">
      <tableStyleElement dxfId="5" type="headerRow"/>
      <tableStyleElement dxfId="2" type="firstRowStripe"/>
      <tableStyleElement dxfId="6" type="secondRowStripe"/>
    </tableStyle>
    <tableStyle count="3" pivot="0" name="Week 12.01-12.07-style 13">
      <tableStyleElement dxfId="5" type="headerRow"/>
      <tableStyleElement dxfId="2" type="firstRowStripe"/>
      <tableStyleElement dxfId="6" type="secondRowStripe"/>
    </tableStyle>
    <tableStyle count="3" pivot="0" name="Week 12.01-12.07-style 14">
      <tableStyleElement dxfId="5" type="headerRow"/>
      <tableStyleElement dxfId="2" type="firstRowStripe"/>
      <tableStyleElement dxfId="6" type="secondRowStripe"/>
    </tableStyle>
    <tableStyle count="3" pivot="0" name="Week 12.01-12.07-style 15">
      <tableStyleElement dxfId="5" type="headerRow"/>
      <tableStyleElement dxfId="2" type="firstRowStripe"/>
      <tableStyleElement dxfId="6" type="secondRowStripe"/>
    </tableStyle>
    <tableStyle count="3" pivot="0" name="Week 12.01-12.07-style 16">
      <tableStyleElement dxfId="5" type="headerRow"/>
      <tableStyleElement dxfId="2" type="firstRowStripe"/>
      <tableStyleElement dxfId="6" type="secondRowStripe"/>
    </tableStyle>
    <tableStyle count="3" pivot="0" name="Week 12.01-12.07-style 17">
      <tableStyleElement dxfId="5" type="headerRow"/>
      <tableStyleElement dxfId="2" type="firstRowStripe"/>
      <tableStyleElement dxfId="6" type="secondRowStripe"/>
    </tableStyle>
    <tableStyle count="3" pivot="0" name="Week 12.01-12.07-style 18">
      <tableStyleElement dxfId="5" type="headerRow"/>
      <tableStyleElement dxfId="2" type="firstRowStripe"/>
      <tableStyleElement dxfId="6" type="secondRowStripe"/>
    </tableStyle>
    <tableStyle count="3" pivot="0" name="Week 12.01-12.07-style 19">
      <tableStyleElement dxfId="5" type="headerRow"/>
      <tableStyleElement dxfId="2" type="firstRowStripe"/>
      <tableStyleElement dxfId="6" type="secondRowStripe"/>
    </tableStyle>
    <tableStyle count="3" pivot="0" name="Week 12.01-12.07-style 20">
      <tableStyleElement dxfId="5" type="headerRow"/>
      <tableStyleElement dxfId="2" type="firstRowStripe"/>
      <tableStyleElement dxfId="6" type="secondRowStripe"/>
    </tableStyle>
    <tableStyle count="3" pivot="0" name="Week 12.01-12.07-style 21">
      <tableStyleElement dxfId="5" type="headerRow"/>
      <tableStyleElement dxfId="2" type="firstRowStripe"/>
      <tableStyleElement dxfId="6" type="secondRowStripe"/>
    </tableStyle>
    <tableStyle count="3" pivot="0" name="Week 12.01-12.07-style 22">
      <tableStyleElement dxfId="5" type="headerRow"/>
      <tableStyleElement dxfId="2" type="firstRowStripe"/>
      <tableStyleElement dxfId="6" type="secondRowStripe"/>
    </tableStyle>
    <tableStyle count="3" pivot="0" name="Week 12.01-12.07-style 23">
      <tableStyleElement dxfId="5" type="headerRow"/>
      <tableStyleElement dxfId="2" type="firstRowStripe"/>
      <tableStyleElement dxfId="6" type="secondRowStripe"/>
    </tableStyle>
    <tableStyle count="2" pivot="0" name="Week 12.01-12.07-style 24">
      <tableStyleElement dxfId="6" type="firstRowStripe"/>
      <tableStyleElement dxfId="2" type="secondRowStripe"/>
    </tableStyle>
    <tableStyle count="3" pivot="0" name="Week 12.01-12.07-style 25">
      <tableStyleElement dxfId="5" type="headerRow"/>
      <tableStyleElement dxfId="2" type="firstRowStripe"/>
      <tableStyleElement dxfId="6" type="secondRowStripe"/>
    </tableStyle>
    <tableStyle count="3" pivot="0" name="Week 12.01-12.07-style 26">
      <tableStyleElement dxfId="5" type="headerRow"/>
      <tableStyleElement dxfId="2" type="firstRowStripe"/>
      <tableStyleElement dxfId="6" type="secondRowStripe"/>
    </tableStyle>
    <tableStyle count="3" pivot="0" name="Week 12.01-12.07-style 27">
      <tableStyleElement dxfId="5" type="headerRow"/>
      <tableStyleElement dxfId="2" type="firstRowStripe"/>
      <tableStyleElement dxfId="6" type="secondRowStripe"/>
    </tableStyle>
    <tableStyle count="3" pivot="0" name="Week 12.01-12.07-style 28">
      <tableStyleElement dxfId="5" type="headerRow"/>
      <tableStyleElement dxfId="2" type="firstRowStripe"/>
      <tableStyleElement dxfId="6" type="secondRowStripe"/>
    </tableStyle>
    <tableStyle count="3" pivot="0" name="Week 12.01-12.07-style 29">
      <tableStyleElement dxfId="5" type="headerRow"/>
      <tableStyleElement dxfId="2" type="firstRowStripe"/>
      <tableStyleElement dxfId="6" type="secondRowStripe"/>
    </tableStyle>
    <tableStyle count="3" pivot="0" name="Week 12.01-12.07-style 30">
      <tableStyleElement dxfId="5" type="headerRow"/>
      <tableStyleElement dxfId="2" type="firstRowStripe"/>
      <tableStyleElement dxfId="6" type="secondRowStripe"/>
    </tableStyle>
    <tableStyle count="3" pivot="0" name="Week 12.01-12.07-style 31">
      <tableStyleElement dxfId="5" type="headerRow"/>
      <tableStyleElement dxfId="2" type="firstRowStripe"/>
      <tableStyleElement dxfId="6" type="secondRowStripe"/>
    </tableStyle>
    <tableStyle count="3" pivot="0" name="Week 12.01-12.07-style 32">
      <tableStyleElement dxfId="5" type="headerRow"/>
      <tableStyleElement dxfId="2" type="firstRowStripe"/>
      <tableStyleElement dxfId="6" type="secondRowStripe"/>
    </tableStyle>
    <tableStyle count="3" pivot="0" name="Week 12.01-12.07-style 33">
      <tableStyleElement dxfId="5" type="headerRow"/>
      <tableStyleElement dxfId="2" type="firstRowStripe"/>
      <tableStyleElement dxfId="6" type="secondRowStripe"/>
    </tableStyle>
    <tableStyle count="3" pivot="0" name="Week 12.01-12.07-style 34">
      <tableStyleElement dxfId="5" type="headerRow"/>
      <tableStyleElement dxfId="2" type="firstRowStripe"/>
      <tableStyleElement dxfId="6" type="secondRowStripe"/>
    </tableStyle>
    <tableStyle count="3" pivot="0" name="Week 12.01-12.07-style 35">
      <tableStyleElement dxfId="5" type="headerRow"/>
      <tableStyleElement dxfId="2" type="firstRowStripe"/>
      <tableStyleElement dxfId="6" type="secondRowStripe"/>
    </tableStyle>
    <tableStyle count="3" pivot="0" name="Week 12.01-12.07-style 36">
      <tableStyleElement dxfId="5" type="headerRow"/>
      <tableStyleElement dxfId="2" type="firstRowStripe"/>
      <tableStyleElement dxfId="6" type="secondRowStripe"/>
    </tableStyle>
    <tableStyle count="3" pivot="0" name="Week 12.01-12.07-style 37">
      <tableStyleElement dxfId="5" type="headerRow"/>
      <tableStyleElement dxfId="2" type="firstRowStripe"/>
      <tableStyleElement dxfId="6" type="secondRowStripe"/>
    </tableStyle>
    <tableStyle count="2" pivot="0" name="Week 12.01-12.07-style 38">
      <tableStyleElement dxfId="2" type="firstRowStripe"/>
      <tableStyleElement dxfId="6" type="secondRowStripe"/>
    </tableStyle>
    <tableStyle count="3" pivot="0" name="Week 12.01-12.07-style 39">
      <tableStyleElement dxfId="5" type="headerRow"/>
      <tableStyleElement dxfId="2" type="firstRowStripe"/>
      <tableStyleElement dxfId="6" type="secondRowStripe"/>
    </tableStyle>
    <tableStyle count="3" pivot="0" name="Week 12.01-12.07-style 40">
      <tableStyleElement dxfId="5" type="headerRow"/>
      <tableStyleElement dxfId="2" type="firstRowStripe"/>
      <tableStyleElement dxfId="6" type="secondRowStripe"/>
    </tableStyle>
    <tableStyle count="3" pivot="0" name="Week 12.01-12.07-style 41">
      <tableStyleElement dxfId="5" type="headerRow"/>
      <tableStyleElement dxfId="2" type="firstRowStripe"/>
      <tableStyleElement dxfId="6" type="secondRowStripe"/>
    </tableStyle>
    <tableStyle count="3" pivot="0" name="Week 12.01-12.07-style 42">
      <tableStyleElement dxfId="5" type="headerRow"/>
      <tableStyleElement dxfId="2" type="firstRowStripe"/>
      <tableStyleElement dxfId="6" type="secondRowStripe"/>
    </tableStyle>
    <tableStyle count="3" pivot="0" name="Week 12.01-12.07-style 43">
      <tableStyleElement dxfId="5" type="headerRow"/>
      <tableStyleElement dxfId="2" type="firstRowStripe"/>
      <tableStyleElement dxfId="6" type="secondRowStripe"/>
    </tableStyle>
    <tableStyle count="3" pivot="0" name="Week 12.01-12.07-style 44">
      <tableStyleElement dxfId="5" type="headerRow"/>
      <tableStyleElement dxfId="2" type="firstRowStripe"/>
      <tableStyleElement dxfId="6" type="secondRowStripe"/>
    </tableStyle>
    <tableStyle count="3" pivot="0" name="Week 12.01-12.07-style 45">
      <tableStyleElement dxfId="5" type="headerRow"/>
      <tableStyleElement dxfId="2" type="firstRowStripe"/>
      <tableStyleElement dxfId="6" type="secondRowStripe"/>
    </tableStyle>
    <tableStyle count="3" pivot="0" name="Week 12.01-12.07-style 46">
      <tableStyleElement dxfId="5" type="headerRow"/>
      <tableStyleElement dxfId="2" type="firstRowStripe"/>
      <tableStyleElement dxfId="6" type="secondRowStripe"/>
    </tableStyle>
    <tableStyle count="3" pivot="0" name="Week 12.01-12.07-style 47">
      <tableStyleElement dxfId="5" type="headerRow"/>
      <tableStyleElement dxfId="2" type="firstRowStripe"/>
      <tableStyleElement dxfId="6" type="secondRowStripe"/>
    </tableStyle>
    <tableStyle count="3" pivot="0" name="Week 12.01-12.07-style 48">
      <tableStyleElement dxfId="5" type="headerRow"/>
      <tableStyleElement dxfId="2" type="firstRowStripe"/>
      <tableStyleElement dxfId="6" type="secondRowStripe"/>
    </tableStyle>
    <tableStyle count="3" pivot="0" name="Week 12.01-12.07-style 49">
      <tableStyleElement dxfId="5" type="headerRow"/>
      <tableStyleElement dxfId="2" type="firstRowStripe"/>
      <tableStyleElement dxfId="6" type="secondRowStripe"/>
    </tableStyle>
    <tableStyle count="3" pivot="0" name="Week 12.01-12.07-style 50">
      <tableStyleElement dxfId="5" type="headerRow"/>
      <tableStyleElement dxfId="2" type="firstRowStripe"/>
      <tableStyleElement dxfId="6" type="secondRowStripe"/>
    </tableStyle>
    <tableStyle count="3" pivot="0" name="Week 12.01-12.07-style 51">
      <tableStyleElement dxfId="5" type="headerRow"/>
      <tableStyleElement dxfId="2" type="firstRowStripe"/>
      <tableStyleElement dxfId="6" type="secondRowStripe"/>
    </tableStyle>
    <tableStyle count="3" pivot="0" name="Week 12.01-12.07-style 52">
      <tableStyleElement dxfId="5" type="headerRow"/>
      <tableStyleElement dxfId="2" type="firstRowStripe"/>
      <tableStyleElement dxfId="6" type="secondRowStripe"/>
    </tableStyle>
    <tableStyle count="3" pivot="0" name="Week 12.01-12.07-style 53">
      <tableStyleElement dxfId="5" type="headerRow"/>
      <tableStyleElement dxfId="2" type="firstRowStripe"/>
      <tableStyleElement dxfId="6" type="secondRowStripe"/>
    </tableStyle>
    <tableStyle count="3" pivot="0" name="Week 12.01-12.07-style 54">
      <tableStyleElement dxfId="5" type="headerRow"/>
      <tableStyleElement dxfId="2" type="firstRowStripe"/>
      <tableStyleElement dxfId="6" type="secondRowStripe"/>
    </tableStyle>
    <tableStyle count="3" pivot="0" name="Week 12.01-12.07-style 55">
      <tableStyleElement dxfId="5" type="headerRow"/>
      <tableStyleElement dxfId="2" type="firstRowStripe"/>
      <tableStyleElement dxfId="6" type="secondRowStripe"/>
    </tableStyle>
    <tableStyle count="3" pivot="0" name="Week 12.01-12.07-style 56">
      <tableStyleElement dxfId="5" type="headerRow"/>
      <tableStyleElement dxfId="2" type="firstRowStripe"/>
      <tableStyleElement dxfId="6" type="secondRowStripe"/>
    </tableStyle>
    <tableStyle count="3" pivot="0" name="Week 12.01-12.07-style 57">
      <tableStyleElement dxfId="5" type="headerRow"/>
      <tableStyleElement dxfId="2" type="firstRowStripe"/>
      <tableStyleElement dxfId="6" type="secondRowStripe"/>
    </tableStyle>
    <tableStyle count="3" pivot="0" name="Week 12.01-12.07-style 58">
      <tableStyleElement dxfId="5" type="headerRow"/>
      <tableStyleElement dxfId="2" type="firstRowStripe"/>
      <tableStyleElement dxfId="6" type="secondRowStripe"/>
    </tableStyle>
    <tableStyle count="3" pivot="0" name="Week 12.01-12.07-style 59">
      <tableStyleElement dxfId="5" type="headerRow"/>
      <tableStyleElement dxfId="2" type="firstRowStripe"/>
      <tableStyleElement dxfId="6" type="secondRowStripe"/>
    </tableStyle>
    <tableStyle count="3" pivot="0" name="Week 12.01-12.07-style 60">
      <tableStyleElement dxfId="5" type="headerRow"/>
      <tableStyleElement dxfId="2" type="firstRowStripe"/>
      <tableStyleElement dxfId="6" type="secondRowStripe"/>
    </tableStyle>
    <tableStyle count="3" pivot="0" name="Week 12.01-12.07-style 61">
      <tableStyleElement dxfId="5" type="headerRow"/>
      <tableStyleElement dxfId="2" type="firstRowStripe"/>
      <tableStyleElement dxfId="6" type="secondRowStripe"/>
    </tableStyle>
    <tableStyle count="3" pivot="0" name="Week 12.01-12.07-style 62">
      <tableStyleElement dxfId="5" type="headerRow"/>
      <tableStyleElement dxfId="2" type="firstRowStripe"/>
      <tableStyleElement dxfId="6" type="secondRowStripe"/>
    </tableStyle>
    <tableStyle count="3" pivot="0" name="Week 12.01-12.07-style 63">
      <tableStyleElement dxfId="5" type="headerRow"/>
      <tableStyleElement dxfId="2" type="firstRowStripe"/>
      <tableStyleElement dxfId="6" type="secondRowStripe"/>
    </tableStyle>
    <tableStyle count="3" pivot="0" name="Week 12.01-12.07-style 64">
      <tableStyleElement dxfId="5" type="headerRow"/>
      <tableStyleElement dxfId="2" type="firstRowStripe"/>
      <tableStyleElement dxfId="6" type="secondRowStripe"/>
    </tableStyle>
    <tableStyle count="3" pivot="0" name="Week 12.01-12.07-style 65">
      <tableStyleElement dxfId="5" type="headerRow"/>
      <tableStyleElement dxfId="2" type="firstRowStripe"/>
      <tableStyleElement dxfId="6" type="secondRowStripe"/>
    </tableStyle>
    <tableStyle count="3" pivot="0" name="Week 12.01-12.07-style 66">
      <tableStyleElement dxfId="5" type="headerRow"/>
      <tableStyleElement dxfId="2" type="firstRowStripe"/>
      <tableStyleElement dxfId="6" type="secondRowStripe"/>
    </tableStyle>
    <tableStyle count="3" pivot="0" name="Week 12.01-12.07-style 67">
      <tableStyleElement dxfId="5" type="headerRow"/>
      <tableStyleElement dxfId="2" type="firstRowStripe"/>
      <tableStyleElement dxfId="6" type="secondRowStripe"/>
    </tableStyle>
    <tableStyle count="3" pivot="0" name="Week 12.01-12.07-style 68">
      <tableStyleElement dxfId="5" type="headerRow"/>
      <tableStyleElement dxfId="2" type="firstRowStripe"/>
      <tableStyleElement dxfId="6" type="secondRowStripe"/>
    </tableStyle>
    <tableStyle count="3" pivot="0" name="Week 12.01-12.07-style 69">
      <tableStyleElement dxfId="5" type="headerRow"/>
      <tableStyleElement dxfId="2" type="firstRowStripe"/>
      <tableStyleElement dxfId="6" type="secondRowStripe"/>
    </tableStyle>
    <tableStyle count="3" pivot="0" name="Week 12.01-12.07-style 70">
      <tableStyleElement dxfId="5" type="headerRow"/>
      <tableStyleElement dxfId="2" type="firstRowStripe"/>
      <tableStyleElement dxfId="6" type="secondRowStripe"/>
    </tableStyle>
    <tableStyle count="3" pivot="0" name="Week 12.01-12.07-style 71">
      <tableStyleElement dxfId="5" type="headerRow"/>
      <tableStyleElement dxfId="2" type="firstRowStripe"/>
      <tableStyleElement dxfId="6" type="secondRowStripe"/>
    </tableStyle>
    <tableStyle count="3" pivot="0" name="Week 12.01-12.07-style 72">
      <tableStyleElement dxfId="5" type="headerRow"/>
      <tableStyleElement dxfId="2" type="firstRowStripe"/>
      <tableStyleElement dxfId="6" type="secondRowStripe"/>
    </tableStyle>
    <tableStyle count="3" pivot="0" name="Week 12.01-12.07-style 73">
      <tableStyleElement dxfId="5" type="headerRow"/>
      <tableStyleElement dxfId="2" type="firstRowStripe"/>
      <tableStyleElement dxfId="6" type="secondRowStripe"/>
    </tableStyle>
    <tableStyle count="3" pivot="0" name="Week 12.01-12.07-style 74">
      <tableStyleElement dxfId="5" type="headerRow"/>
      <tableStyleElement dxfId="2" type="firstRowStripe"/>
      <tableStyleElement dxfId="6" type="secondRowStripe"/>
    </tableStyle>
    <tableStyle count="3" pivot="0" name="Week 12.01-12.07-style 75">
      <tableStyleElement dxfId="5" type="headerRow"/>
      <tableStyleElement dxfId="2" type="firstRowStripe"/>
      <tableStyleElement dxfId="6" type="secondRowStripe"/>
    </tableStyle>
    <tableStyle count="3" pivot="0" name="Week 12.01-12.07-style 76">
      <tableStyleElement dxfId="5" type="headerRow"/>
      <tableStyleElement dxfId="2" type="firstRowStripe"/>
      <tableStyleElement dxfId="6" type="secondRowStripe"/>
    </tableStyle>
    <tableStyle count="3" pivot="0" name="Week 12.01-12.07-style 77">
      <tableStyleElement dxfId="5" type="headerRow"/>
      <tableStyleElement dxfId="2" type="firstRowStripe"/>
      <tableStyleElement dxfId="6" type="secondRowStripe"/>
    </tableStyle>
    <tableStyle count="3" pivot="0" name="Statements -style">
      <tableStyleElement dxfId="5" type="headerRow"/>
      <tableStyleElement dxfId="2" type="firstRowStripe"/>
      <tableStyleElement dxfId="6" type="secondRowStripe"/>
    </tableStyle>
    <tableStyle count="3" pivot="0" name="Statements -style 2">
      <tableStyleElement dxfId="5" type="headerRow"/>
      <tableStyleElement dxfId="2" type="firstRowStripe"/>
      <tableStyleElement dxfId="6" type="secondRowStripe"/>
    </tableStyle>
    <tableStyle count="3" pivot="0" name="Statements -style 3">
      <tableStyleElement dxfId="5" type="headerRow"/>
      <tableStyleElement dxfId="2" type="firstRowStripe"/>
      <tableStyleElement dxfId="6" type="secondRowStripe"/>
    </tableStyle>
    <tableStyle count="3" pivot="0" name="Statements -style 4">
      <tableStyleElement dxfId="5" type="headerRow"/>
      <tableStyleElement dxfId="2" type="firstRowStripe"/>
      <tableStyleElement dxfId="6" type="secondRowStripe"/>
    </tableStyle>
    <tableStyle count="3" pivot="0" name="Statements -style 5">
      <tableStyleElement dxfId="5" type="headerRow"/>
      <tableStyleElement dxfId="2" type="firstRowStripe"/>
      <tableStyleElement dxfId="6" type="secondRowStripe"/>
    </tableStyle>
    <tableStyle count="3" pivot="0" name="Statements -style 6">
      <tableStyleElement dxfId="5" type="headerRow"/>
      <tableStyleElement dxfId="2" type="firstRowStripe"/>
      <tableStyleElement dxfId="6" type="secondRowStripe"/>
    </tableStyle>
    <tableStyle count="3" pivot="0" name="Statements -style 7">
      <tableStyleElement dxfId="5" type="headerRow"/>
      <tableStyleElement dxfId="2" type="firstRowStripe"/>
      <tableStyleElement dxfId="6" type="secondRowStripe"/>
    </tableStyle>
    <tableStyle count="3" pivot="0" name="Statements -style 8">
      <tableStyleElement dxfId="5" type="headerRow"/>
      <tableStyleElement dxfId="2" type="firstRowStripe"/>
      <tableStyleElement dxfId="6" type="secondRowStripe"/>
    </tableStyle>
    <tableStyle count="3" pivot="0" name="Statements -style 9">
      <tableStyleElement dxfId="5" type="headerRow"/>
      <tableStyleElement dxfId="2" type="firstRowStripe"/>
      <tableStyleElement dxfId="6" type="secondRowStripe"/>
    </tableStyle>
    <tableStyle count="3" pivot="0" name="Statements -style 10">
      <tableStyleElement dxfId="5" type="headerRow"/>
      <tableStyleElement dxfId="2" type="firstRowStripe"/>
      <tableStyleElement dxfId="6" type="secondRowStripe"/>
    </tableStyle>
    <tableStyle count="3" pivot="0" name="Statements -style 11">
      <tableStyleElement dxfId="5" type="headerRow"/>
      <tableStyleElement dxfId="2" type="firstRowStripe"/>
      <tableStyleElement dxfId="6" type="secondRowStripe"/>
    </tableStyle>
    <tableStyle count="3" pivot="0" name="Statements -style 12">
      <tableStyleElement dxfId="5" type="headerRow"/>
      <tableStyleElement dxfId="2" type="firstRowStripe"/>
      <tableStyleElement dxfId="6" type="secondRowStripe"/>
    </tableStyle>
    <tableStyle count="3" pivot="0" name="Statements -style 13">
      <tableStyleElement dxfId="5" type="headerRow"/>
      <tableStyleElement dxfId="2" type="firstRowStripe"/>
      <tableStyleElement dxfId="6" type="secondRowStripe"/>
    </tableStyle>
    <tableStyle count="3" pivot="0" name="Statements -style 14">
      <tableStyleElement dxfId="5" type="headerRow"/>
      <tableStyleElement dxfId="2" type="firstRowStripe"/>
      <tableStyleElement dxfId="6" type="secondRowStripe"/>
    </tableStyle>
    <tableStyle count="3" pivot="0" name="Statements -style 15">
      <tableStyleElement dxfId="5" type="headerRow"/>
      <tableStyleElement dxfId="2" type="firstRowStripe"/>
      <tableStyleElement dxfId="6" type="secondRowStripe"/>
    </tableStyle>
    <tableStyle count="3" pivot="0" name="Statements -style 16">
      <tableStyleElement dxfId="5" type="headerRow"/>
      <tableStyleElement dxfId="2" type="firstRowStripe"/>
      <tableStyleElement dxfId="6" type="secondRowStripe"/>
    </tableStyle>
    <tableStyle count="3" pivot="0" name="Statements -style 17">
      <tableStyleElement dxfId="5" type="headerRow"/>
      <tableStyleElement dxfId="2" type="firstRowStripe"/>
      <tableStyleElement dxfId="6" type="secondRowStripe"/>
    </tableStyle>
    <tableStyle count="3" pivot="0" name="Statements -style 18">
      <tableStyleElement dxfId="5" type="headerRow"/>
      <tableStyleElement dxfId="2" type="firstRowStripe"/>
      <tableStyleElement dxfId="6" type="secondRowStripe"/>
    </tableStyle>
    <tableStyle count="3" pivot="0" name="Statements -style 19">
      <tableStyleElement dxfId="5" type="headerRow"/>
      <tableStyleElement dxfId="2" type="firstRowStripe"/>
      <tableStyleElement dxfId="6" type="secondRowStripe"/>
    </tableStyle>
    <tableStyle count="3" pivot="0" name="Statements -style 20">
      <tableStyleElement dxfId="5" type="headerRow"/>
      <tableStyleElement dxfId="2" type="firstRowStripe"/>
      <tableStyleElement dxfId="6" type="secondRowStripe"/>
    </tableStyle>
    <tableStyle count="3" pivot="0" name="Statements -style 21">
      <tableStyleElement dxfId="5" type="headerRow"/>
      <tableStyleElement dxfId="2" type="firstRowStripe"/>
      <tableStyleElement dxfId="6" type="secondRowStripe"/>
    </tableStyle>
    <tableStyle count="3" pivot="0" name="Statements -style 22">
      <tableStyleElement dxfId="5" type="headerRow"/>
      <tableStyleElement dxfId="2" type="firstRowStripe"/>
      <tableStyleElement dxfId="6" type="secondRowStripe"/>
    </tableStyle>
    <tableStyle count="3" pivot="0" name="Statements -style 23">
      <tableStyleElement dxfId="5" type="headerRow"/>
      <tableStyleElement dxfId="2" type="firstRowStripe"/>
      <tableStyleElement dxfId="6" type="secondRowStripe"/>
    </tableStyle>
    <tableStyle count="3" pivot="0" name="Statements -style 24">
      <tableStyleElement dxfId="5" type="headerRow"/>
      <tableStyleElement dxfId="2" type="firstRowStripe"/>
      <tableStyleElement dxfId="6" type="secondRowStripe"/>
    </tableStyle>
    <tableStyle count="3" pivot="0" name="Statements -style 25">
      <tableStyleElement dxfId="5" type="headerRow"/>
      <tableStyleElement dxfId="2" type="firstRowStripe"/>
      <tableStyleElement dxfId="6" type="secondRowStripe"/>
    </tableStyle>
    <tableStyle count="3" pivot="0" name="Statements -style 26">
      <tableStyleElement dxfId="5" type="headerRow"/>
      <tableStyleElement dxfId="2" type="firstRowStripe"/>
      <tableStyleElement dxfId="6" type="secondRowStripe"/>
    </tableStyle>
    <tableStyle count="3" pivot="0" name="Statements -style 27">
      <tableStyleElement dxfId="5" type="headerRow"/>
      <tableStyleElement dxfId="2" type="firstRowStripe"/>
      <tableStyleElement dxfId="6" type="secondRowStripe"/>
    </tableStyle>
    <tableStyle count="3" pivot="0" name="Statements -style 28">
      <tableStyleElement dxfId="5" type="headerRow"/>
      <tableStyleElement dxfId="2" type="firstRowStripe"/>
      <tableStyleElement dxfId="6" type="secondRowStripe"/>
    </tableStyle>
    <tableStyle count="3" pivot="0" name="Statements -style 29">
      <tableStyleElement dxfId="5" type="headerRow"/>
      <tableStyleElement dxfId="2" type="firstRowStripe"/>
      <tableStyleElement dxfId="6" type="secondRowStripe"/>
    </tableStyle>
    <tableStyle count="3" pivot="0" name="Statements -style 30">
      <tableStyleElement dxfId="5" type="headerRow"/>
      <tableStyleElement dxfId="2" type="firstRowStripe"/>
      <tableStyleElement dxfId="6" type="secondRowStripe"/>
    </tableStyle>
    <tableStyle count="3" pivot="0" name="Statements -style 31">
      <tableStyleElement dxfId="5" type="headerRow"/>
      <tableStyleElement dxfId="2" type="firstRowStripe"/>
      <tableStyleElement dxfId="6" type="secondRowStripe"/>
    </tableStyle>
    <tableStyle count="3" pivot="0" name="Statements -style 32">
      <tableStyleElement dxfId="5" type="headerRow"/>
      <tableStyleElement dxfId="2" type="firstRowStripe"/>
      <tableStyleElement dxfId="6" type="secondRowStripe"/>
    </tableStyle>
    <tableStyle count="3" pivot="0" name="Statements -style 33">
      <tableStyleElement dxfId="5" type="headerRow"/>
      <tableStyleElement dxfId="2" type="firstRowStripe"/>
      <tableStyleElement dxfId="6" type="secondRowStripe"/>
    </tableStyle>
    <tableStyle count="3" pivot="0" name="Statements -style 34">
      <tableStyleElement dxfId="5" type="headerRow"/>
      <tableStyleElement dxfId="2" type="firstRowStripe"/>
      <tableStyleElement dxfId="6" type="secondRowStripe"/>
    </tableStyle>
    <tableStyle count="3" pivot="0" name="Statements -style 35">
      <tableStyleElement dxfId="5" type="headerRow"/>
      <tableStyleElement dxfId="2" type="firstRowStripe"/>
      <tableStyleElement dxfId="6" type="secondRowStripe"/>
    </tableStyle>
    <tableStyle count="3" pivot="0" name="Statements -style 36">
      <tableStyleElement dxfId="5" type="headerRow"/>
      <tableStyleElement dxfId="2" type="firstRowStripe"/>
      <tableStyleElement dxfId="6" type="secondRowStripe"/>
    </tableStyle>
    <tableStyle count="3" pivot="0" name="Statements -style 37">
      <tableStyleElement dxfId="5" type="headerRow"/>
      <tableStyleElement dxfId="2" type="firstRowStripe"/>
      <tableStyleElement dxfId="6" type="secondRowStripe"/>
    </tableStyle>
    <tableStyle count="3" pivot="0" name="Statements -style 38">
      <tableStyleElement dxfId="5" type="headerRow"/>
      <tableStyleElement dxfId="2" type="firstRowStripe"/>
      <tableStyleElement dxfId="6" type="secondRowStripe"/>
    </tableStyle>
    <tableStyle count="3" pivot="0" name="Statements -style 39">
      <tableStyleElement dxfId="5" type="headerRow"/>
      <tableStyleElement dxfId="2" type="firstRowStripe"/>
      <tableStyleElement dxfId="6" type="secondRowStripe"/>
    </tableStyle>
    <tableStyle count="3" pivot="0" name="Statements -style 40">
      <tableStyleElement dxfId="5" type="headerRow"/>
      <tableStyleElement dxfId="2" type="firstRowStripe"/>
      <tableStyleElement dxfId="6" type="secondRowStripe"/>
    </tableStyle>
    <tableStyle count="3" pivot="0" name="Statements -style 41">
      <tableStyleElement dxfId="5" type="headerRow"/>
      <tableStyleElement dxfId="2" type="firstRowStripe"/>
      <tableStyleElement dxfId="6" type="secondRowStripe"/>
    </tableStyle>
    <tableStyle count="3" pivot="0" name="Statements -style 42">
      <tableStyleElement dxfId="5" type="headerRow"/>
      <tableStyleElement dxfId="2" type="firstRowStripe"/>
      <tableStyleElement dxfId="6" type="secondRowStripe"/>
    </tableStyle>
    <tableStyle count="3" pivot="0" name="Statements -style 43">
      <tableStyleElement dxfId="5" type="headerRow"/>
      <tableStyleElement dxfId="2" type="firstRowStripe"/>
      <tableStyleElement dxfId="6" type="secondRowStripe"/>
    </tableStyle>
    <tableStyle count="3" pivot="0" name="Statements -style 44">
      <tableStyleElement dxfId="5" type="headerRow"/>
      <tableStyleElement dxfId="2" type="firstRowStripe"/>
      <tableStyleElement dxfId="6" type="secondRowStripe"/>
    </tableStyle>
    <tableStyle count="3" pivot="0" name="Statements -style 45">
      <tableStyleElement dxfId="5" type="headerRow"/>
      <tableStyleElement dxfId="2" type="firstRowStripe"/>
      <tableStyleElement dxfId="6" type="secondRowStripe"/>
    </tableStyle>
    <tableStyle count="3" pivot="0" name="Statements -style 46">
      <tableStyleElement dxfId="5" type="headerRow"/>
      <tableStyleElement dxfId="2" type="firstRowStripe"/>
      <tableStyleElement dxfId="6" type="secondRowStripe"/>
    </tableStyle>
    <tableStyle count="3" pivot="0" name="Statements -style 47">
      <tableStyleElement dxfId="5" type="headerRow"/>
      <tableStyleElement dxfId="2" type="firstRowStripe"/>
      <tableStyleElement dxfId="6" type="secondRowStripe"/>
    </tableStyle>
    <tableStyle count="3" pivot="0" name="Statements -style 48">
      <tableStyleElement dxfId="5" type="headerRow"/>
      <tableStyleElement dxfId="2" type="firstRowStripe"/>
      <tableStyleElement dxfId="6" type="secondRowStripe"/>
    </tableStyle>
    <tableStyle count="3" pivot="0" name="Statements -style 49">
      <tableStyleElement dxfId="5" type="headerRow"/>
      <tableStyleElement dxfId="2" type="firstRowStripe"/>
      <tableStyleElement dxfId="6" type="secondRowStripe"/>
    </tableStyle>
    <tableStyle count="3" pivot="0" name="Statements -style 50">
      <tableStyleElement dxfId="5" type="headerRow"/>
      <tableStyleElement dxfId="2" type="firstRowStripe"/>
      <tableStyleElement dxfId="6" type="secondRowStripe"/>
    </tableStyle>
    <tableStyle count="3" pivot="0" name="Statements -style 51">
      <tableStyleElement dxfId="5" type="headerRow"/>
      <tableStyleElement dxfId="2" type="firstRowStripe"/>
      <tableStyleElement dxfId="6" type="secondRowStripe"/>
    </tableStyle>
    <tableStyle count="3" pivot="0" name="Statements -style 52">
      <tableStyleElement dxfId="5" type="headerRow"/>
      <tableStyleElement dxfId="2" type="firstRowStripe"/>
      <tableStyleElement dxfId="6" type="secondRowStripe"/>
    </tableStyle>
    <tableStyle count="3" pivot="0" name="Statements -style 53">
      <tableStyleElement dxfId="5" type="headerRow"/>
      <tableStyleElement dxfId="2" type="firstRowStripe"/>
      <tableStyleElement dxfId="6" type="secondRowStripe"/>
    </tableStyle>
    <tableStyle count="3" pivot="0" name="Statements -style 54">
      <tableStyleElement dxfId="5" type="headerRow"/>
      <tableStyleElement dxfId="2" type="firstRowStripe"/>
      <tableStyleElement dxfId="6" type="secondRowStripe"/>
    </tableStyle>
    <tableStyle count="3" pivot="0" name="Statements -style 55">
      <tableStyleElement dxfId="5" type="headerRow"/>
      <tableStyleElement dxfId="2" type="firstRowStripe"/>
      <tableStyleElement dxfId="6" type="secondRowStripe"/>
    </tableStyle>
    <tableStyle count="3" pivot="0" name="Statements -style 56">
      <tableStyleElement dxfId="5" type="headerRow"/>
      <tableStyleElement dxfId="2" type="firstRowStripe"/>
      <tableStyleElement dxfId="6" type="secondRowStripe"/>
    </tableStyle>
    <tableStyle count="3" pivot="0" name="Sheet9-style">
      <tableStyleElement dxfId="5" type="headerRow"/>
      <tableStyleElement dxfId="2" type="firstRowStripe"/>
      <tableStyleElement dxfId="6" type="secondRowStripe"/>
    </tableStyle>
    <tableStyle count="3" pivot="0" name="Sheet9-style 2">
      <tableStyleElement dxfId="5" type="headerRow"/>
      <tableStyleElement dxfId="2" type="firstRowStripe"/>
      <tableStyleElement dxfId="6" type="secondRowStripe"/>
    </tableStyle>
    <tableStyle count="3" pivot="0" name="Sheet9-style 3">
      <tableStyleElement dxfId="5" type="headerRow"/>
      <tableStyleElement dxfId="2" type="firstRowStripe"/>
      <tableStyleElement dxfId="6" type="secondRowStripe"/>
    </tableStyle>
    <tableStyle count="3" pivot="0" name="Sheet9-style 4">
      <tableStyleElement dxfId="5" type="headerRow"/>
      <tableStyleElement dxfId="2" type="firstRowStripe"/>
      <tableStyleElement dxfId="6" type="secondRowStripe"/>
    </tableStyle>
    <tableStyle count="3" pivot="0" name="Sheet9-style 5">
      <tableStyleElement dxfId="5" type="headerRow"/>
      <tableStyleElement dxfId="2" type="firstRowStripe"/>
      <tableStyleElement dxfId="6" type="secondRowStripe"/>
    </tableStyle>
    <tableStyle count="3" pivot="0" name="Sheet9-style 6">
      <tableStyleElement dxfId="5" type="headerRow"/>
      <tableStyleElement dxfId="2" type="firstRowStripe"/>
      <tableStyleElement dxfId="6" type="secondRowStripe"/>
    </tableStyle>
    <tableStyle count="3" pivot="0" name="Sheet9-style 7">
      <tableStyleElement dxfId="5" type="headerRow"/>
      <tableStyleElement dxfId="2" type="firstRowStripe"/>
      <tableStyleElement dxfId="6" type="secondRowStripe"/>
    </tableStyle>
    <tableStyle count="3" pivot="0" name="Sheet9-style 8">
      <tableStyleElement dxfId="5" type="headerRow"/>
      <tableStyleElement dxfId="2" type="firstRowStripe"/>
      <tableStyleElement dxfId="6" type="secondRowStripe"/>
    </tableStyle>
    <tableStyle count="3" pivot="0" name="Sheet9-style 9">
      <tableStyleElement dxfId="5" type="headerRow"/>
      <tableStyleElement dxfId="2" type="firstRowStripe"/>
      <tableStyleElement dxfId="6" type="secondRowStripe"/>
    </tableStyle>
    <tableStyle count="3" pivot="0" name="Sheet9-style 10">
      <tableStyleElement dxfId="5" type="headerRow"/>
      <tableStyleElement dxfId="2" type="firstRowStripe"/>
      <tableStyleElement dxfId="6" type="secondRowStripe"/>
    </tableStyle>
    <tableStyle count="3" pivot="0" name="Sheet9-style 11">
      <tableStyleElement dxfId="5" type="headerRow"/>
      <tableStyleElement dxfId="2" type="firstRowStripe"/>
      <tableStyleElement dxfId="6" type="secondRowStripe"/>
    </tableStyle>
    <tableStyle count="3" pivot="0" name="Sheet9-style 12">
      <tableStyleElement dxfId="5" type="headerRow"/>
      <tableStyleElement dxfId="2" type="firstRowStripe"/>
      <tableStyleElement dxfId="6" type="secondRowStripe"/>
    </tableStyle>
    <tableStyle count="3" pivot="0" name="Sheet9-style 13">
      <tableStyleElement dxfId="5" type="headerRow"/>
      <tableStyleElement dxfId="2" type="firstRowStripe"/>
      <tableStyleElement dxfId="6" type="secondRowStripe"/>
    </tableStyle>
    <tableStyle count="3" pivot="0" name="Sheet9-style 14">
      <tableStyleElement dxfId="5" type="headerRow"/>
      <tableStyleElement dxfId="2" type="firstRowStripe"/>
      <tableStyleElement dxfId="6" type="secondRowStripe"/>
    </tableStyle>
    <tableStyle count="3" pivot="0" name="Sheet9-style 15">
      <tableStyleElement dxfId="5" type="headerRow"/>
      <tableStyleElement dxfId="2" type="firstRowStripe"/>
      <tableStyleElement dxfId="6" type="secondRowStripe"/>
    </tableStyle>
    <tableStyle count="3" pivot="0" name="Sheet9-style 16">
      <tableStyleElement dxfId="5" type="headerRow"/>
      <tableStyleElement dxfId="2" type="firstRowStripe"/>
      <tableStyleElement dxfId="6" type="secondRowStripe"/>
    </tableStyle>
    <tableStyle count="3" pivot="0" name="Sheet9-style 17">
      <tableStyleElement dxfId="5" type="headerRow"/>
      <tableStyleElement dxfId="2" type="firstRowStripe"/>
      <tableStyleElement dxfId="6" type="secondRowStripe"/>
    </tableStyle>
    <tableStyle count="3" pivot="0" name="Sheet9-style 18">
      <tableStyleElement dxfId="5" type="headerRow"/>
      <tableStyleElement dxfId="2" type="firstRowStripe"/>
      <tableStyleElement dxfId="6" type="secondRowStripe"/>
    </tableStyle>
    <tableStyle count="3" pivot="0" name="Sheet9-style 19">
      <tableStyleElement dxfId="5" type="headerRow"/>
      <tableStyleElement dxfId="2" type="firstRowStripe"/>
      <tableStyleElement dxfId="6" type="secondRowStripe"/>
    </tableStyle>
    <tableStyle count="3" pivot="0" name="Sheet9-style 20">
      <tableStyleElement dxfId="5" type="headerRow"/>
      <tableStyleElement dxfId="2" type="firstRowStripe"/>
      <tableStyleElement dxfId="6" type="secondRowStripe"/>
    </tableStyle>
    <tableStyle count="3" pivot="0" name="Sheet9-style 21">
      <tableStyleElement dxfId="5" type="headerRow"/>
      <tableStyleElement dxfId="2" type="firstRowStripe"/>
      <tableStyleElement dxfId="6" type="secondRowStripe"/>
    </tableStyle>
    <tableStyle count="3" pivot="0" name="Sheet9-style 22">
      <tableStyleElement dxfId="5" type="headerRow"/>
      <tableStyleElement dxfId="2" type="firstRowStripe"/>
      <tableStyleElement dxfId="6" type="secondRowStripe"/>
    </tableStyle>
    <tableStyle count="3" pivot="0" name="Sheet9-style 23">
      <tableStyleElement dxfId="5" type="headerRow"/>
      <tableStyleElement dxfId="2" type="firstRowStripe"/>
      <tableStyleElement dxfId="6" type="secondRowStripe"/>
    </tableStyle>
    <tableStyle count="3" pivot="0" name="Sheet9-style 24">
      <tableStyleElement dxfId="5" type="headerRow"/>
      <tableStyleElement dxfId="2" type="firstRowStripe"/>
      <tableStyleElement dxfId="6" type="secondRowStripe"/>
    </tableStyle>
    <tableStyle count="3" pivot="0" name="Sheet9-style 25">
      <tableStyleElement dxfId="5" type="headerRow"/>
      <tableStyleElement dxfId="2" type="firstRowStripe"/>
      <tableStyleElement dxfId="6" type="secondRowStripe"/>
    </tableStyle>
    <tableStyle count="3" pivot="0" name="Sheet9-style 26">
      <tableStyleElement dxfId="5" type="headerRow"/>
      <tableStyleElement dxfId="2" type="firstRowStripe"/>
      <tableStyleElement dxfId="6" type="secondRowStripe"/>
    </tableStyle>
    <tableStyle count="3" pivot="0" name="Sheet9-style 27">
      <tableStyleElement dxfId="5" type="headerRow"/>
      <tableStyleElement dxfId="2" type="firstRowStripe"/>
      <tableStyleElement dxfId="6" type="secondRowStripe"/>
    </tableStyle>
    <tableStyle count="3" pivot="0" name="Sheet9-style 28">
      <tableStyleElement dxfId="5" type="headerRow"/>
      <tableStyleElement dxfId="2" type="firstRowStripe"/>
      <tableStyleElement dxfId="6" type="secondRowStripe"/>
    </tableStyle>
    <tableStyle count="3" pivot="0" name="Sheet9-style 29">
      <tableStyleElement dxfId="5" type="headerRow"/>
      <tableStyleElement dxfId="2" type="firstRowStripe"/>
      <tableStyleElement dxfId="6" type="secondRowStripe"/>
    </tableStyle>
    <tableStyle count="3" pivot="0" name="Sheet9-style 30">
      <tableStyleElement dxfId="5" type="headerRow"/>
      <tableStyleElement dxfId="2" type="firstRowStripe"/>
      <tableStyleElement dxfId="6" type="secondRowStripe"/>
    </tableStyle>
    <tableStyle count="3" pivot="0" name="Sheet9-style 31">
      <tableStyleElement dxfId="5" type="headerRow"/>
      <tableStyleElement dxfId="2" type="firstRowStripe"/>
      <tableStyleElement dxfId="6" type="secondRowStripe"/>
    </tableStyle>
    <tableStyle count="3" pivot="0" name="Sheet9-style 32">
      <tableStyleElement dxfId="5" type="headerRow"/>
      <tableStyleElement dxfId="2" type="firstRowStripe"/>
      <tableStyleElement dxfId="6" type="secondRowStripe"/>
    </tableStyle>
    <tableStyle count="3" pivot="0" name="Sheet9-style 33">
      <tableStyleElement dxfId="5" type="headerRow"/>
      <tableStyleElement dxfId="2" type="firstRowStripe"/>
      <tableStyleElement dxfId="6" type="secondRowStripe"/>
    </tableStyle>
    <tableStyle count="3" pivot="0" name="Sheet9-style 34">
      <tableStyleElement dxfId="5" type="headerRow"/>
      <tableStyleElement dxfId="2" type="firstRowStripe"/>
      <tableStyleElement dxfId="6" type="secondRowStripe"/>
    </tableStyle>
    <tableStyle count="3" pivot="0" name="Sheet9-style 35">
      <tableStyleElement dxfId="5" type="headerRow"/>
      <tableStyleElement dxfId="2" type="firstRowStripe"/>
      <tableStyleElement dxfId="6" type="secondRowStripe"/>
    </tableStyle>
    <tableStyle count="3" pivot="0" name="Sheet9-style 36">
      <tableStyleElement dxfId="5" type="headerRow"/>
      <tableStyleElement dxfId="2" type="firstRowStripe"/>
      <tableStyleElement dxfId="6" type="secondRowStripe"/>
    </tableStyle>
    <tableStyle count="3" pivot="0" name="Sheet9-style 37">
      <tableStyleElement dxfId="5" type="headerRow"/>
      <tableStyleElement dxfId="2" type="firstRowStripe"/>
      <tableStyleElement dxfId="6" type="secondRowStripe"/>
    </tableStyle>
    <tableStyle count="3" pivot="0" name="Sheet9-style 38">
      <tableStyleElement dxfId="5" type="headerRow"/>
      <tableStyleElement dxfId="2" type="firstRowStripe"/>
      <tableStyleElement dxfId="6" type="secondRowStripe"/>
    </tableStyle>
    <tableStyle count="3" pivot="0" name="Sheet9-style 39">
      <tableStyleElement dxfId="5" type="headerRow"/>
      <tableStyleElement dxfId="2" type="firstRowStripe"/>
      <tableStyleElement dxfId="6" type="secondRowStripe"/>
    </tableStyle>
    <tableStyle count="3" pivot="0" name="Sheet9-style 40">
      <tableStyleElement dxfId="5" type="headerRow"/>
      <tableStyleElement dxfId="2" type="firstRowStripe"/>
      <tableStyleElement dxfId="6" type="secondRowStripe"/>
    </tableStyle>
    <tableStyle count="3" pivot="0" name="Sheet9-style 41">
      <tableStyleElement dxfId="5" type="headerRow"/>
      <tableStyleElement dxfId="2" type="firstRowStripe"/>
      <tableStyleElement dxfId="6" type="secondRowStripe"/>
    </tableStyle>
    <tableStyle count="3" pivot="0" name="Sheet9-style 42">
      <tableStyleElement dxfId="5" type="headerRow"/>
      <tableStyleElement dxfId="2" type="firstRowStripe"/>
      <tableStyleElement dxfId="6" type="secondRowStripe"/>
    </tableStyle>
    <tableStyle count="3" pivot="0" name="Sheet9-style 43">
      <tableStyleElement dxfId="5" type="headerRow"/>
      <tableStyleElement dxfId="2" type="firstRowStripe"/>
      <tableStyleElement dxfId="6" type="secondRowStripe"/>
    </tableStyle>
    <tableStyle count="3" pivot="0" name="Sheet9-style 44">
      <tableStyleElement dxfId="5" type="headerRow"/>
      <tableStyleElement dxfId="2" type="firstRowStripe"/>
      <tableStyleElement dxfId="6" type="secondRowStripe"/>
    </tableStyle>
    <tableStyle count="3" pivot="0" name="Sheet9-style 45">
      <tableStyleElement dxfId="5" type="headerRow"/>
      <tableStyleElement dxfId="2" type="firstRowStripe"/>
      <tableStyleElement dxfId="6" type="secondRowStripe"/>
    </tableStyle>
    <tableStyle count="3" pivot="0" name="Sheet9-style 46">
      <tableStyleElement dxfId="5" type="headerRow"/>
      <tableStyleElement dxfId="2" type="firstRowStripe"/>
      <tableStyleElement dxfId="6" type="secondRowStripe"/>
    </tableStyle>
    <tableStyle count="3" pivot="0" name="Sheet9-style 47">
      <tableStyleElement dxfId="5" type="headerRow"/>
      <tableStyleElement dxfId="2" type="firstRowStripe"/>
      <tableStyleElement dxfId="6" type="secondRowStripe"/>
    </tableStyle>
    <tableStyle count="3" pivot="0" name="Sheet9-style 48">
      <tableStyleElement dxfId="5" type="headerRow"/>
      <tableStyleElement dxfId="2" type="firstRowStripe"/>
      <tableStyleElement dxfId="6" type="secondRowStripe"/>
    </tableStyle>
    <tableStyle count="3" pivot="0" name="Sheet9-style 49">
      <tableStyleElement dxfId="5" type="headerRow"/>
      <tableStyleElement dxfId="2" type="firstRowStripe"/>
      <tableStyleElement dxfId="6" type="secondRowStripe"/>
    </tableStyle>
    <tableStyle count="3" pivot="0" name="Sheet9-style 50">
      <tableStyleElement dxfId="5" type="headerRow"/>
      <tableStyleElement dxfId="2" type="firstRowStripe"/>
      <tableStyleElement dxfId="6" type="secondRowStripe"/>
    </tableStyle>
    <tableStyle count="3" pivot="0" name="Sheet9-style 51">
      <tableStyleElement dxfId="5" type="headerRow"/>
      <tableStyleElement dxfId="2" type="firstRowStripe"/>
      <tableStyleElement dxfId="6" type="secondRowStripe"/>
    </tableStyle>
    <tableStyle count="3" pivot="0" name="Sheet9-style 52">
      <tableStyleElement dxfId="5" type="headerRow"/>
      <tableStyleElement dxfId="2" type="firstRowStripe"/>
      <tableStyleElement dxfId="6" type="secondRowStripe"/>
    </tableStyle>
    <tableStyle count="3" pivot="0" name="Sheet9-style 53">
      <tableStyleElement dxfId="5" type="headerRow"/>
      <tableStyleElement dxfId="2" type="firstRowStripe"/>
      <tableStyleElement dxfId="6" type="secondRowStripe"/>
    </tableStyle>
    <tableStyle count="3" pivot="0" name="Sheet9-style 54">
      <tableStyleElement dxfId="5" type="headerRow"/>
      <tableStyleElement dxfId="2" type="firstRowStripe"/>
      <tableStyleElement dxfId="6" type="secondRowStripe"/>
    </tableStyle>
    <tableStyle count="3" pivot="0" name="Sheet9-style 55">
      <tableStyleElement dxfId="5" type="headerRow"/>
      <tableStyleElement dxfId="2" type="firstRowStripe"/>
      <tableStyleElement dxfId="6" type="secondRowStripe"/>
    </tableStyle>
    <tableStyle count="3" pivot="0" name="Sheet9-style 56">
      <tableStyleElement dxfId="5" type="headerRow"/>
      <tableStyleElement dxfId="2" type="firstRowStripe"/>
      <tableStyleElement dxfId="6" type="secondRowStripe"/>
    </tableStyle>
    <tableStyle count="3" pivot="0" name="Sheet9-style 57">
      <tableStyleElement dxfId="5" type="headerRow"/>
      <tableStyleElement dxfId="2" type="firstRowStripe"/>
      <tableStyleElement dxfId="6" type="secondRowStripe"/>
    </tableStyle>
    <tableStyle count="3" pivot="0" name="Sheet9-style 58">
      <tableStyleElement dxfId="5" type="headerRow"/>
      <tableStyleElement dxfId="2" type="firstRowStripe"/>
      <tableStyleElement dxfId="6" type="secondRowStripe"/>
    </tableStyle>
    <tableStyle count="3" pivot="0" name="Sheet9-style 59">
      <tableStyleElement dxfId="5" type="headerRow"/>
      <tableStyleElement dxfId="2" type="firstRowStripe"/>
      <tableStyleElement dxfId="6" type="secondRowStripe"/>
    </tableStyle>
    <tableStyle count="3" pivot="0" name="Sheet9-style 60">
      <tableStyleElement dxfId="5" type="headerRow"/>
      <tableStyleElement dxfId="2" type="firstRowStripe"/>
      <tableStyleElement dxfId="6" type="secondRowStripe"/>
    </tableStyle>
    <tableStyle count="3" pivot="0" name="Sheet9-style 61">
      <tableStyleElement dxfId="5" type="headerRow"/>
      <tableStyleElement dxfId="2" type="firstRowStripe"/>
      <tableStyleElement dxfId="6" type="secondRowStripe"/>
    </tableStyle>
    <tableStyle count="3" pivot="0" name="Sheet9-style 62">
      <tableStyleElement dxfId="5" type="headerRow"/>
      <tableStyleElement dxfId="2" type="firstRowStripe"/>
      <tableStyleElement dxfId="6" type="secondRowStripe"/>
    </tableStyle>
    <tableStyle count="3" pivot="0" name="Sheet9-style 63">
      <tableStyleElement dxfId="5" type="headerRow"/>
      <tableStyleElement dxfId="2" type="firstRowStripe"/>
      <tableStyleElement dxfId="6" type="secondRowStripe"/>
    </tableStyle>
    <tableStyle count="3" pivot="0" name="Sheet9-style 64">
      <tableStyleElement dxfId="5" type="headerRow"/>
      <tableStyleElement dxfId="2" type="firstRowStripe"/>
      <tableStyleElement dxfId="6" type="secondRowStripe"/>
    </tableStyle>
    <tableStyle count="3" pivot="0" name="Sheet9-style 65">
      <tableStyleElement dxfId="5" type="headerRow"/>
      <tableStyleElement dxfId="2" type="firstRowStripe"/>
      <tableStyleElement dxfId="6" type="secondRowStripe"/>
    </tableStyle>
    <tableStyle count="3" pivot="0" name="Sheet9-style 66">
      <tableStyleElement dxfId="5" type="headerRow"/>
      <tableStyleElement dxfId="2" type="firstRowStripe"/>
      <tableStyleElement dxfId="6" type="secondRowStripe"/>
    </tableStyle>
    <tableStyle count="3" pivot="0" name="Sheet9-style 67">
      <tableStyleElement dxfId="5" type="headerRow"/>
      <tableStyleElement dxfId="2" type="firstRowStripe"/>
      <tableStyleElement dxfId="6" type="secondRowStripe"/>
    </tableStyle>
    <tableStyle count="3" pivot="0" name="Sheet9-style 68">
      <tableStyleElement dxfId="5" type="headerRow"/>
      <tableStyleElement dxfId="2" type="firstRowStripe"/>
      <tableStyleElement dxfId="6" type="secondRowStripe"/>
    </tableStyle>
    <tableStyle count="3" pivot="0" name="Sheet9-style 69">
      <tableStyleElement dxfId="5" type="headerRow"/>
      <tableStyleElement dxfId="2" type="firstRowStripe"/>
      <tableStyleElement dxfId="6" type="secondRowStripe"/>
    </tableStyle>
    <tableStyle count="3" pivot="0" name="Sheet9-style 70">
      <tableStyleElement dxfId="5" type="headerRow"/>
      <tableStyleElement dxfId="2" type="firstRowStripe"/>
      <tableStyleElement dxfId="6" type="secondRowStripe"/>
    </tableStyle>
    <tableStyle count="3" pivot="0" name="Sheet9-style 71">
      <tableStyleElement dxfId="5" type="headerRow"/>
      <tableStyleElement dxfId="2" type="firstRowStripe"/>
      <tableStyleElement dxfId="6" type="secondRowStripe"/>
    </tableStyle>
    <tableStyle count="3" pivot="0" name="Sheet9-style 72">
      <tableStyleElement dxfId="5" type="headerRow"/>
      <tableStyleElement dxfId="2" type="firstRowStripe"/>
      <tableStyleElement dxfId="6" type="secondRowStripe"/>
    </tableStyle>
    <tableStyle count="3" pivot="0" name="Sheet9-style 73">
      <tableStyleElement dxfId="5" type="headerRow"/>
      <tableStyleElement dxfId="2" type="firstRowStripe"/>
      <tableStyleElement dxfId="6" type="secondRowStripe"/>
    </tableStyle>
    <tableStyle count="3" pivot="0" name="Sheet9-style 74">
      <tableStyleElement dxfId="5" type="headerRow"/>
      <tableStyleElement dxfId="2" type="firstRowStripe"/>
      <tableStyleElement dxfId="6" type="secondRowStripe"/>
    </tableStyle>
    <tableStyle count="3" pivot="0" name="Sheet9-style 75">
      <tableStyleElement dxfId="5" type="headerRow"/>
      <tableStyleElement dxfId="2" type="firstRowStripe"/>
      <tableStyleElement dxfId="6" type="secondRowStripe"/>
    </tableStyle>
    <tableStyle count="3" pivot="0" name="Sheet9-style 76">
      <tableStyleElement dxfId="5" type="headerRow"/>
      <tableStyleElement dxfId="2" type="firstRowStripe"/>
      <tableStyleElement dxfId="6" type="secondRowStripe"/>
    </tableStyle>
    <tableStyle count="3" pivot="0" name="Sheet9-style 77">
      <tableStyleElement dxfId="5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8" Type="http://schemas.openxmlformats.org/officeDocument/2006/relationships/worksheet" Target="worksheets/sheet1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152400</xdr:colOff>
      <xdr:row>2</xdr:row>
      <xdr:rowOff>57150</xdr:rowOff>
    </xdr:from>
    <xdr:ext cx="2419350" cy="866775"/>
    <xdr:pic>
      <xdr:nvPicPr>
        <xdr:cNvPr id="0" name="image2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36</xdr:row>
      <xdr:rowOff>38100</xdr:rowOff>
    </xdr:from>
    <xdr:ext cx="2419350" cy="8667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68</xdr:row>
      <xdr:rowOff>95250</xdr:rowOff>
    </xdr:from>
    <xdr:ext cx="2419350" cy="866775"/>
    <xdr:pic>
      <xdr:nvPicPr>
        <xdr:cNvPr id="0" name="image1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853</xdr:row>
      <xdr:rowOff>76200</xdr:rowOff>
    </xdr:from>
    <xdr:ext cx="2419350" cy="866775"/>
    <xdr:pic>
      <xdr:nvPicPr>
        <xdr:cNvPr id="0" name="image2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822</xdr:row>
      <xdr:rowOff>57150</xdr:rowOff>
    </xdr:from>
    <xdr:ext cx="2419350" cy="866775"/>
    <xdr:pic>
      <xdr:nvPicPr>
        <xdr:cNvPr id="0" name="image2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791</xdr:row>
      <xdr:rowOff>114300</xdr:rowOff>
    </xdr:from>
    <xdr:ext cx="2419350" cy="866775"/>
    <xdr:pic>
      <xdr:nvPicPr>
        <xdr:cNvPr id="0" name="image20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757</xdr:row>
      <xdr:rowOff>66675</xdr:rowOff>
    </xdr:from>
    <xdr:ext cx="2419350" cy="8667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726</xdr:row>
      <xdr:rowOff>123825</xdr:rowOff>
    </xdr:from>
    <xdr:ext cx="2419350" cy="8667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693</xdr:row>
      <xdr:rowOff>19050</xdr:rowOff>
    </xdr:from>
    <xdr:ext cx="2419350" cy="866775"/>
    <xdr:pic>
      <xdr:nvPicPr>
        <xdr:cNvPr id="0" name="image1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661</xdr:row>
      <xdr:rowOff>28575</xdr:rowOff>
    </xdr:from>
    <xdr:ext cx="2419350" cy="866775"/>
    <xdr:pic>
      <xdr:nvPicPr>
        <xdr:cNvPr id="0" name="image1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627</xdr:row>
      <xdr:rowOff>28575</xdr:rowOff>
    </xdr:from>
    <xdr:ext cx="2419350" cy="866775"/>
    <xdr:pic>
      <xdr:nvPicPr>
        <xdr:cNvPr id="0" name="image19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593</xdr:row>
      <xdr:rowOff>66675</xdr:rowOff>
    </xdr:from>
    <xdr:ext cx="2419350" cy="8667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561</xdr:row>
      <xdr:rowOff>57150</xdr:rowOff>
    </xdr:from>
    <xdr:ext cx="2419350" cy="866775"/>
    <xdr:pic>
      <xdr:nvPicPr>
        <xdr:cNvPr id="0" name="image1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529</xdr:row>
      <xdr:rowOff>123825</xdr:rowOff>
    </xdr:from>
    <xdr:ext cx="2419350" cy="866775"/>
    <xdr:pic>
      <xdr:nvPicPr>
        <xdr:cNvPr id="0" name="image2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466</xdr:row>
      <xdr:rowOff>57150</xdr:rowOff>
    </xdr:from>
    <xdr:ext cx="2419350" cy="8667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435</xdr:row>
      <xdr:rowOff>57150</xdr:rowOff>
    </xdr:from>
    <xdr:ext cx="2419350" cy="866775"/>
    <xdr:pic>
      <xdr:nvPicPr>
        <xdr:cNvPr id="0" name="image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402</xdr:row>
      <xdr:rowOff>28575</xdr:rowOff>
    </xdr:from>
    <xdr:ext cx="2419350" cy="866775"/>
    <xdr:pic>
      <xdr:nvPicPr>
        <xdr:cNvPr id="0" name="image1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369</xdr:row>
      <xdr:rowOff>66675</xdr:rowOff>
    </xdr:from>
    <xdr:ext cx="2419350" cy="866775"/>
    <xdr:pic>
      <xdr:nvPicPr>
        <xdr:cNvPr id="0" name="image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335</xdr:row>
      <xdr:rowOff>28575</xdr:rowOff>
    </xdr:from>
    <xdr:ext cx="2419350" cy="866775"/>
    <xdr:pic>
      <xdr:nvPicPr>
        <xdr:cNvPr id="0" name="image10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299</xdr:row>
      <xdr:rowOff>190500</xdr:rowOff>
    </xdr:from>
    <xdr:ext cx="2419350" cy="866775"/>
    <xdr:pic>
      <xdr:nvPicPr>
        <xdr:cNvPr id="0" name="image1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265</xdr:row>
      <xdr:rowOff>190500</xdr:rowOff>
    </xdr:from>
    <xdr:ext cx="2419350" cy="866775"/>
    <xdr:pic>
      <xdr:nvPicPr>
        <xdr:cNvPr id="0" name="image9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231</xdr:row>
      <xdr:rowOff>190500</xdr:rowOff>
    </xdr:from>
    <xdr:ext cx="2419350" cy="866775"/>
    <xdr:pic>
      <xdr:nvPicPr>
        <xdr:cNvPr id="0" name="image2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197</xdr:row>
      <xdr:rowOff>190500</xdr:rowOff>
    </xdr:from>
    <xdr:ext cx="2419350" cy="866775"/>
    <xdr:pic>
      <xdr:nvPicPr>
        <xdr:cNvPr id="0" name="image1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166</xdr:row>
      <xdr:rowOff>38100</xdr:rowOff>
    </xdr:from>
    <xdr:ext cx="2419350" cy="866775"/>
    <xdr:pic>
      <xdr:nvPicPr>
        <xdr:cNvPr id="0" name="image1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133</xdr:row>
      <xdr:rowOff>38100</xdr:rowOff>
    </xdr:from>
    <xdr:ext cx="2419350" cy="8667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100</xdr:row>
      <xdr:rowOff>85725</xdr:rowOff>
    </xdr:from>
    <xdr:ext cx="2419350" cy="866775"/>
    <xdr:pic>
      <xdr:nvPicPr>
        <xdr:cNvPr id="0" name="image2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457200</xdr:colOff>
      <xdr:row>2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</xdr:colOff>
      <xdr:row>33</xdr:row>
      <xdr:rowOff>76200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33</xdr:row>
      <xdr:rowOff>76200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</xdr:colOff>
      <xdr:row>64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64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96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96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127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127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158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158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189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189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220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219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251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251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282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282</xdr:row>
      <xdr:rowOff>9525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313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313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343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344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375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374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406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406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437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437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467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468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499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499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529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530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561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561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591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592</xdr:row>
      <xdr:rowOff>9525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623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623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653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654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684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</xdr:colOff>
      <xdr:row>684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715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715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746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746</xdr:row>
      <xdr:rowOff>9525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776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777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808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</xdr:colOff>
      <xdr:row>808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839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</xdr:colOff>
      <xdr:row>839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870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870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900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932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171450</xdr:colOff>
      <xdr:row>2</xdr:row>
      <xdr:rowOff>76200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901</xdr:row>
      <xdr:rowOff>76200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561975</xdr:colOff>
      <xdr:row>125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9525</xdr:colOff>
      <xdr:row>125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762000</xdr:colOff>
      <xdr:row>156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9525</xdr:colOff>
      <xdr:row>156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647700</xdr:colOff>
      <xdr:row>156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514350</xdr:colOff>
      <xdr:row>187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933450</xdr:colOff>
      <xdr:row>187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218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933450</xdr:colOff>
      <xdr:row>218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419100</xdr:colOff>
      <xdr:row>249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249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466725</xdr:colOff>
      <xdr:row>280</xdr:row>
      <xdr:rowOff>85725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280</xdr:row>
      <xdr:rowOff>85725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419100</xdr:colOff>
      <xdr:row>311</xdr:row>
      <xdr:rowOff>104775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311</xdr:row>
      <xdr:rowOff>104775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762000</xdr:colOff>
      <xdr:row>342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342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466725</xdr:colOff>
      <xdr:row>373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373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419100</xdr:colOff>
      <xdr:row>404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404</xdr:row>
      <xdr:rowOff>114300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466725</xdr:colOff>
      <xdr:row>435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435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466</xdr:row>
      <xdr:rowOff>85725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466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496</xdr:row>
      <xdr:rowOff>180975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496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527</xdr:row>
      <xdr:rowOff>200025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527</xdr:row>
      <xdr:rowOff>171450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559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559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590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590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621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571500</xdr:colOff>
      <xdr:row>621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652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571500</xdr:colOff>
      <xdr:row>651</xdr:row>
      <xdr:rowOff>161925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683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682</xdr:row>
      <xdr:rowOff>180975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714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476250</xdr:colOff>
      <xdr:row>713</xdr:row>
      <xdr:rowOff>200025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745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745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776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776</xdr:row>
      <xdr:rowOff>47625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807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807</xdr:row>
      <xdr:rowOff>38100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838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838</xdr:row>
      <xdr:rowOff>28575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869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869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900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771525</xdr:colOff>
      <xdr:row>900</xdr:row>
      <xdr:rowOff>57150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971550</xdr:colOff>
      <xdr:row>931</xdr:row>
      <xdr:rowOff>19050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638175</xdr:colOff>
      <xdr:row>930</xdr:row>
      <xdr:rowOff>190500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561975</xdr:colOff>
      <xdr:row>124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124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155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155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561975</xdr:colOff>
      <xdr:row>155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186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186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217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217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248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248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279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279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310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310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341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341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372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372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403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403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434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434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465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465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496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496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527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527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558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558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589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589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620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620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651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651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682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682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713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713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744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744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775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806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806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837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837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868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868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899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899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930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930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961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961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992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992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1023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1023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1054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1054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1085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1085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1116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1116</xdr:row>
      <xdr:rowOff>66675</xdr:rowOff>
    </xdr:from>
    <xdr:ext cx="1695450" cy="4572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485775</xdr:colOff>
      <xdr:row>126</xdr:row>
      <xdr:rowOff>142875</xdr:rowOff>
    </xdr:from>
    <xdr:ext cx="2419350" cy="6477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209550</xdr:colOff>
      <xdr:row>126</xdr:row>
      <xdr:rowOff>123825</xdr:rowOff>
    </xdr:from>
    <xdr:ext cx="2419350" cy="647700"/>
    <xdr:pic>
      <xdr:nvPicPr>
        <xdr:cNvPr id="0" name="image2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B1" displayName="Form_Responses" name="Form_Responses" id="1">
  <tableColumns count="2">
    <tableColumn name="Column1" id="1"/>
    <tableColumn name="Column2" id="2"/>
  </tableColumns>
  <tableStyleInfo name="Form Responses 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29:G129" displayName="Table_1" name="Table_1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I129:O130" displayName="Table_2" name="Table_2" id="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2" showColumnStripes="0" showFirstColumn="1" showLastColumn="1" showRowStripes="1"/>
</table>
</file>

<file path=xl/tables/table4.xml><?xml version="1.0" encoding="utf-8"?>
<table xmlns="http://schemas.openxmlformats.org/spreadsheetml/2006/main" headerRowCount="0" ref="D144:E144" displayName="Table_3" name="Table_3" id="4">
  <tableColumns count="2">
    <tableColumn name="Column1" id="1"/>
    <tableColumn name="Column2" id="2"/>
  </tableColumns>
  <tableStyleInfo name="Week 11.24-30-style 3" showColumnStripes="0" showFirstColumn="1" showLastColumn="1" showRowStripes="1"/>
</table>
</file>

<file path=xl/tables/table5.xml><?xml version="1.0" encoding="utf-8"?>
<table xmlns="http://schemas.openxmlformats.org/spreadsheetml/2006/main" headerRowCount="0" ref="A160:G160" displayName="Table_4" name="Table_4" id="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ref="I160:O161" displayName="Table_5" name="Table_5" id="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" showColumnStripes="0" showFirstColumn="1" showLastColumn="1" showRowStripes="1"/>
</table>
</file>

<file path=xl/tables/table7.xml><?xml version="1.0" encoding="utf-8"?>
<table xmlns="http://schemas.openxmlformats.org/spreadsheetml/2006/main" ref="Q160:W161" displayName="Table_6" name="Table_6" id="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6" showColumnStripes="0" showFirstColumn="1" showLastColumn="1" showRowStripes="1"/>
</table>
</file>

<file path=xl/tables/table8.xml><?xml version="1.0" encoding="utf-8"?>
<table xmlns="http://schemas.openxmlformats.org/spreadsheetml/2006/main" headerRowCount="0" ref="A191:G191" displayName="Table_7" name="Table_7" id="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ref="I191:O192" displayName="Table_8" name="Table_8" id="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8" showColumnStripes="0" showFirstColumn="1" showLastColumn="1" showRowStripes="1"/>
</table>
</file>

<file path=xl/tables/table10.xml><?xml version="1.0" encoding="utf-8"?>
<table xmlns="http://schemas.openxmlformats.org/spreadsheetml/2006/main" headerRowCount="0" ref="A222:G222" displayName="Table_9" name="Table_9" id="1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ref="I222:O223" displayName="Table_10" name="Table_10" id="1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10" showColumnStripes="0" showFirstColumn="1" showLastColumn="1" showRowStripes="1"/>
</table>
</file>

<file path=xl/tables/table12.xml><?xml version="1.0" encoding="utf-8"?>
<table xmlns="http://schemas.openxmlformats.org/spreadsheetml/2006/main" headerRowCount="0" ref="D237:E237" displayName="Table_11" name="Table_11" id="12">
  <tableColumns count="2">
    <tableColumn name="Column1" id="1"/>
    <tableColumn name="Column2" id="2"/>
  </tableColumns>
  <tableStyleInfo name="Week 11.24-30-style 11" showColumnStripes="0" showFirstColumn="1" showLastColumn="1" showRowStripes="1"/>
</table>
</file>

<file path=xl/tables/table13.xml><?xml version="1.0" encoding="utf-8"?>
<table xmlns="http://schemas.openxmlformats.org/spreadsheetml/2006/main" headerRowCount="0" ref="A253:G253" displayName="Table_12" name="Table_12" id="1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1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.xml><?xml version="1.0" encoding="utf-8"?>
<table xmlns="http://schemas.openxmlformats.org/spreadsheetml/2006/main" ref="I253:O255" displayName="Table_13" name="Table_13" id="1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13" showColumnStripes="0" showFirstColumn="1" showLastColumn="1" showRowStripes="1"/>
</table>
</file>

<file path=xl/tables/table15.xml><?xml version="1.0" encoding="utf-8"?>
<table xmlns="http://schemas.openxmlformats.org/spreadsheetml/2006/main" headerRowCount="0" ref="D268:E268" displayName="Table_14" name="Table_14" id="15">
  <tableColumns count="2">
    <tableColumn name="Column1" id="1"/>
    <tableColumn name="Column2" id="2"/>
  </tableColumns>
  <tableStyleInfo name="Week 11.24-30-style 1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.xml><?xml version="1.0" encoding="utf-8"?>
<table xmlns="http://schemas.openxmlformats.org/spreadsheetml/2006/main" headerRowCount="0" ref="A284:G284" displayName="Table_15" name="Table_15" id="1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1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.xml><?xml version="1.0" encoding="utf-8"?>
<table xmlns="http://schemas.openxmlformats.org/spreadsheetml/2006/main" ref="I284:O287" displayName="Table_16" name="Table_16" id="1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16" showColumnStripes="0" showFirstColumn="1" showLastColumn="1" showRowStripes="1"/>
</table>
</file>

<file path=xl/tables/table18.xml><?xml version="1.0" encoding="utf-8"?>
<table xmlns="http://schemas.openxmlformats.org/spreadsheetml/2006/main" headerRowCount="0" ref="D297:E297" displayName="Table_17" name="Table_17" id="18">
  <tableColumns count="2">
    <tableColumn name="Column1" id="1"/>
    <tableColumn name="Column2" id="2"/>
  </tableColumns>
  <tableStyleInfo name="Week 11.24-30-style 1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.xml><?xml version="1.0" encoding="utf-8"?>
<table xmlns="http://schemas.openxmlformats.org/spreadsheetml/2006/main" headerRowCount="0" ref="D299:E299" displayName="Table_18" name="Table_18" id="19">
  <tableColumns count="2">
    <tableColumn name="Column1" id="1"/>
    <tableColumn name="Column2" id="2"/>
  </tableColumns>
  <tableStyleInfo name="Week 11.24-30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.xml><?xml version="1.0" encoding="utf-8"?>
<table xmlns="http://schemas.openxmlformats.org/spreadsheetml/2006/main" headerRowCount="0" ref="A315:G315" displayName="Table_19" name="Table_19" id="2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1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.xml><?xml version="1.0" encoding="utf-8"?>
<table xmlns="http://schemas.openxmlformats.org/spreadsheetml/2006/main" ref="I315:O317" displayName="Table_20" name="Table_20" id="2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20" showColumnStripes="0" showFirstColumn="1" showLastColumn="1" showRowStripes="1"/>
</table>
</file>

<file path=xl/tables/table22.xml><?xml version="1.0" encoding="utf-8"?>
<table xmlns="http://schemas.openxmlformats.org/spreadsheetml/2006/main" headerRowCount="0" ref="D330:E330" displayName="Table_21" name="Table_21" id="22">
  <tableColumns count="2">
    <tableColumn name="Column1" id="1"/>
    <tableColumn name="Column2" id="2"/>
  </tableColumns>
  <tableStyleInfo name="Week 11.24-30-style 2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.xml><?xml version="1.0" encoding="utf-8"?>
<table xmlns="http://schemas.openxmlformats.org/spreadsheetml/2006/main" headerRowCount="0" ref="A346:G346" displayName="Table_22" name="Table_22" id="2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2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.xml><?xml version="1.0" encoding="utf-8"?>
<table xmlns="http://schemas.openxmlformats.org/spreadsheetml/2006/main" ref="I346:O348" displayName="Table_23" name="Table_23" id="2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23" showColumnStripes="0" showFirstColumn="1" showLastColumn="1" showRowStripes="1"/>
</table>
</file>

<file path=xl/tables/table25.xml><?xml version="1.0" encoding="utf-8"?>
<table xmlns="http://schemas.openxmlformats.org/spreadsheetml/2006/main" headerRowCount="0" ref="N349:O349" displayName="Table_24" name="Table_24" id="25">
  <tableColumns count="2">
    <tableColumn name="Column1" id="1"/>
    <tableColumn name="Column2" id="2"/>
  </tableColumns>
  <tableStyleInfo name="Week 11.24-30-style 24" showColumnStripes="0" showFirstColumn="1" showLastColumn="1" showRowStripes="1"/>
</table>
</file>

<file path=xl/tables/table26.xml><?xml version="1.0" encoding="utf-8"?>
<table xmlns="http://schemas.openxmlformats.org/spreadsheetml/2006/main" headerRowCount="0" ref="D361:E361" displayName="Table_25" name="Table_25" id="26">
  <tableColumns count="2">
    <tableColumn name="Column1" id="1"/>
    <tableColumn name="Column2" id="2"/>
  </tableColumns>
  <tableStyleInfo name="Week 11.24-30-style 2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.xml><?xml version="1.0" encoding="utf-8"?>
<table xmlns="http://schemas.openxmlformats.org/spreadsheetml/2006/main" headerRowCount="0" ref="A377:G377" displayName="Table_26" name="Table_26" id="2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2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.xml><?xml version="1.0" encoding="utf-8"?>
<table xmlns="http://schemas.openxmlformats.org/spreadsheetml/2006/main" ref="I377:O379" displayName="Table_27" name="Table_27" id="2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27" showColumnStripes="0" showFirstColumn="1" showLastColumn="1" showRowStripes="1"/>
</table>
</file>

<file path=xl/tables/table29.xml><?xml version="1.0" encoding="utf-8"?>
<table xmlns="http://schemas.openxmlformats.org/spreadsheetml/2006/main" headerRowCount="0" ref="A408:G408" displayName="Table_28" name="Table_28" id="2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2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.xml><?xml version="1.0" encoding="utf-8"?>
<table xmlns="http://schemas.openxmlformats.org/spreadsheetml/2006/main" ref="I408:O409" displayName="Table_29" name="Table_29" id="3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29" showColumnStripes="0" showFirstColumn="1" showLastColumn="1" showRowStripes="1"/>
</table>
</file>

<file path=xl/tables/table31.xml><?xml version="1.0" encoding="utf-8"?>
<table xmlns="http://schemas.openxmlformats.org/spreadsheetml/2006/main" headerRowCount="0" ref="A439:G439" displayName="Table_30" name="Table_30" id="3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3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.xml><?xml version="1.0" encoding="utf-8"?>
<table xmlns="http://schemas.openxmlformats.org/spreadsheetml/2006/main" ref="I439:O440" displayName="Table_31" name="Table_31" id="3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31" showColumnStripes="0" showFirstColumn="1" showLastColumn="1" showRowStripes="1"/>
</table>
</file>

<file path=xl/tables/table33.xml><?xml version="1.0" encoding="utf-8"?>
<table xmlns="http://schemas.openxmlformats.org/spreadsheetml/2006/main" headerRowCount="0" ref="A470:G470" displayName="Table_32" name="Table_32" id="3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3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4.xml><?xml version="1.0" encoding="utf-8"?>
<table xmlns="http://schemas.openxmlformats.org/spreadsheetml/2006/main" ref="I470:O473" displayName="Table_33" name="Table_33" id="3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33" showColumnStripes="0" showFirstColumn="1" showLastColumn="1" showRowStripes="1"/>
</table>
</file>

<file path=xl/tables/table35.xml><?xml version="1.0" encoding="utf-8"?>
<table xmlns="http://schemas.openxmlformats.org/spreadsheetml/2006/main" headerRowCount="0" ref="A501:G501" displayName="Table_34" name="Table_34" id="3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3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6.xml><?xml version="1.0" encoding="utf-8"?>
<table xmlns="http://schemas.openxmlformats.org/spreadsheetml/2006/main" ref="I501:O503" displayName="Table_35" name="Table_35" id="3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35" showColumnStripes="0" showFirstColumn="1" showLastColumn="1" showRowStripes="1"/>
</table>
</file>

<file path=xl/tables/table37.xml><?xml version="1.0" encoding="utf-8"?>
<table xmlns="http://schemas.openxmlformats.org/spreadsheetml/2006/main" headerRowCount="0" ref="A532:G532" displayName="Table_36" name="Table_36" id="3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3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8.xml><?xml version="1.0" encoding="utf-8"?>
<table xmlns="http://schemas.openxmlformats.org/spreadsheetml/2006/main" ref="I532:O536" displayName="Table_37" name="Table_37" id="3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37" showColumnStripes="0" showFirstColumn="1" showLastColumn="1" showRowStripes="1"/>
</table>
</file>

<file path=xl/tables/table39.xml><?xml version="1.0" encoding="utf-8"?>
<table xmlns="http://schemas.openxmlformats.org/spreadsheetml/2006/main" headerRowCount="0" ref="N537:O537" displayName="Table_38" name="Table_38" id="39">
  <tableColumns count="2">
    <tableColumn name="Column1" id="1"/>
    <tableColumn name="Column2" id="2"/>
  </tableColumns>
  <tableStyleInfo name="Week 11.24-30-style 38" showColumnStripes="0" showFirstColumn="1" showLastColumn="1" showRowStripes="1"/>
</table>
</file>

<file path=xl/tables/table40.xml><?xml version="1.0" encoding="utf-8"?>
<table xmlns="http://schemas.openxmlformats.org/spreadsheetml/2006/main" headerRowCount="0" ref="A563:G563" displayName="Table_39" name="Table_39" id="4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3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1.xml><?xml version="1.0" encoding="utf-8"?>
<table xmlns="http://schemas.openxmlformats.org/spreadsheetml/2006/main" ref="I563:O565" displayName="Table_40" name="Table_40" id="4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40" showColumnStripes="0" showFirstColumn="1" showLastColumn="1" showRowStripes="1"/>
</table>
</file>

<file path=xl/tables/table42.xml><?xml version="1.0" encoding="utf-8"?>
<table xmlns="http://schemas.openxmlformats.org/spreadsheetml/2006/main" headerRowCount="0" ref="D578:E578" displayName="Table_41" name="Table_41" id="42">
  <tableColumns count="2">
    <tableColumn name="Column1" id="1"/>
    <tableColumn name="Column2" id="2"/>
  </tableColumns>
  <tableStyleInfo name="Week 11.24-30-style 4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3.xml><?xml version="1.0" encoding="utf-8"?>
<table xmlns="http://schemas.openxmlformats.org/spreadsheetml/2006/main" headerRowCount="0" ref="A594:G594" displayName="Table_42" name="Table_42" id="4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4.xml><?xml version="1.0" encoding="utf-8"?>
<table xmlns="http://schemas.openxmlformats.org/spreadsheetml/2006/main" ref="I594:O595" displayName="Table_43" name="Table_43" id="4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43" showColumnStripes="0" showFirstColumn="1" showLastColumn="1" showRowStripes="1"/>
</table>
</file>

<file path=xl/tables/table45.xml><?xml version="1.0" encoding="utf-8"?>
<table xmlns="http://schemas.openxmlformats.org/spreadsheetml/2006/main" headerRowCount="0" ref="A625:G625" displayName="Table_44" name="Table_44" id="4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6.xml><?xml version="1.0" encoding="utf-8"?>
<table xmlns="http://schemas.openxmlformats.org/spreadsheetml/2006/main" ref="I625:O626" displayName="Table_45" name="Table_45" id="4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45" showColumnStripes="0" showFirstColumn="1" showLastColumn="1" showRowStripes="1"/>
</table>
</file>

<file path=xl/tables/table47.xml><?xml version="1.0" encoding="utf-8"?>
<table xmlns="http://schemas.openxmlformats.org/spreadsheetml/2006/main" headerRowCount="0" ref="A656:G656" displayName="Table_46" name="Table_46" id="4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8.xml><?xml version="1.0" encoding="utf-8"?>
<table xmlns="http://schemas.openxmlformats.org/spreadsheetml/2006/main" headerRowCount="0" ref="I656:O659" displayName="Table_47" name="Table_47" id="4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9.xml><?xml version="1.0" encoding="utf-8"?>
<table xmlns="http://schemas.openxmlformats.org/spreadsheetml/2006/main" headerRowCount="0" ref="A687:G687" displayName="Table_48" name="Table_48" id="4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4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0.xml><?xml version="1.0" encoding="utf-8"?>
<table xmlns="http://schemas.openxmlformats.org/spreadsheetml/2006/main" ref="I687:O690" displayName="Table_49" name="Table_49" id="5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49" showColumnStripes="0" showFirstColumn="1" showLastColumn="1" showRowStripes="1"/>
</table>
</file>

<file path=xl/tables/table51.xml><?xml version="1.0" encoding="utf-8"?>
<table xmlns="http://schemas.openxmlformats.org/spreadsheetml/2006/main" headerRowCount="0" ref="A718:G718" displayName="Table_50" name="Table_50" id="5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5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2.xml><?xml version="1.0" encoding="utf-8"?>
<table xmlns="http://schemas.openxmlformats.org/spreadsheetml/2006/main" ref="I718:O723" displayName="Table_51" name="Table_51" id="5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1" showColumnStripes="0" showFirstColumn="1" showLastColumn="1" showRowStripes="1"/>
</table>
</file>

<file path=xl/tables/table53.xml><?xml version="1.0" encoding="utf-8"?>
<table xmlns="http://schemas.openxmlformats.org/spreadsheetml/2006/main" headerRowCount="0" ref="A749:G749" displayName="Table_52" name="Table_52" id="5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5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4.xml><?xml version="1.0" encoding="utf-8"?>
<table xmlns="http://schemas.openxmlformats.org/spreadsheetml/2006/main" ref="I749:O752" displayName="Table_53" name="Table_53" id="5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3" showColumnStripes="0" showFirstColumn="1" showLastColumn="1" showRowStripes="1"/>
</table>
</file>

<file path=xl/tables/table55.xml><?xml version="1.0" encoding="utf-8"?>
<table xmlns="http://schemas.openxmlformats.org/spreadsheetml/2006/main" headerRowCount="0" ref="A780:G780" displayName="Table_54" name="Table_54" id="5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5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6.xml><?xml version="1.0" encoding="utf-8"?>
<table xmlns="http://schemas.openxmlformats.org/spreadsheetml/2006/main" ref="I780:O783" displayName="Table_55" name="Table_55" id="5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5" showColumnStripes="0" showFirstColumn="1" showLastColumn="1" showRowStripes="1"/>
</table>
</file>

<file path=xl/tables/table57.xml><?xml version="1.0" encoding="utf-8"?>
<table xmlns="http://schemas.openxmlformats.org/spreadsheetml/2006/main" headerRowCount="0" ref="A811:G811" displayName="Table_56" name="Table_56" id="5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5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8.xml><?xml version="1.0" encoding="utf-8"?>
<table xmlns="http://schemas.openxmlformats.org/spreadsheetml/2006/main" ref="I811:O814" displayName="Table_57" name="Table_57" id="5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7" showColumnStripes="0" showFirstColumn="1" showLastColumn="1" showRowStripes="1"/>
</table>
</file>

<file path=xl/tables/table59.xml><?xml version="1.0" encoding="utf-8"?>
<table xmlns="http://schemas.openxmlformats.org/spreadsheetml/2006/main" headerRowCount="0" ref="A842:G842" displayName="Table_58" name="Table_58" id="5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5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0.xml><?xml version="1.0" encoding="utf-8"?>
<table xmlns="http://schemas.openxmlformats.org/spreadsheetml/2006/main" ref="I842:O845" displayName="Table_59" name="Table_59" id="6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59" showColumnStripes="0" showFirstColumn="1" showLastColumn="1" showRowStripes="1"/>
</table>
</file>

<file path=xl/tables/table61.xml><?xml version="1.0" encoding="utf-8"?>
<table xmlns="http://schemas.openxmlformats.org/spreadsheetml/2006/main" headerRowCount="0" ref="A873:G873" displayName="Table_60" name="Table_60" id="6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6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2.xml><?xml version="1.0" encoding="utf-8"?>
<table xmlns="http://schemas.openxmlformats.org/spreadsheetml/2006/main" ref="I873:O876" displayName="Table_61" name="Table_61" id="6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61" showColumnStripes="0" showFirstColumn="1" showLastColumn="1" showRowStripes="1"/>
</table>
</file>

<file path=xl/tables/table63.xml><?xml version="1.0" encoding="utf-8"?>
<table xmlns="http://schemas.openxmlformats.org/spreadsheetml/2006/main" headerRowCount="0" ref="A904:G904" displayName="Table_62" name="Table_62" id="6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6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4.xml><?xml version="1.0" encoding="utf-8"?>
<table xmlns="http://schemas.openxmlformats.org/spreadsheetml/2006/main" ref="I904:O907" displayName="Table_63" name="Table_63" id="6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63" showColumnStripes="0" showFirstColumn="1" showLastColumn="1" showRowStripes="1"/>
</table>
</file>

<file path=xl/tables/table65.xml><?xml version="1.0" encoding="utf-8"?>
<table xmlns="http://schemas.openxmlformats.org/spreadsheetml/2006/main" headerRowCount="0" ref="A935:G935" displayName="Table_64" name="Table_64" id="6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1.24-30-style 6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6.xml><?xml version="1.0" encoding="utf-8"?>
<table xmlns="http://schemas.openxmlformats.org/spreadsheetml/2006/main" ref="I935:O938" displayName="Table_65" name="Table_65" id="6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1.24-30-style 65" showColumnStripes="0" showFirstColumn="1" showLastColumn="1" showRowStripes="1"/>
</table>
</file>

<file path=xl/tables/table67.xml><?xml version="1.0" encoding="utf-8"?>
<table xmlns="http://schemas.openxmlformats.org/spreadsheetml/2006/main" headerRowCount="0" ref="A129:G129" displayName="Table_66" name="Table_66" id="6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8.xml><?xml version="1.0" encoding="utf-8"?>
<table xmlns="http://schemas.openxmlformats.org/spreadsheetml/2006/main" ref="I129:O130" displayName="Table_67" name="Table_67" id="6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2" showColumnStripes="0" showFirstColumn="1" showLastColumn="1" showRowStripes="1"/>
</table>
</file>

<file path=xl/tables/table69.xml><?xml version="1.0" encoding="utf-8"?>
<table xmlns="http://schemas.openxmlformats.org/spreadsheetml/2006/main" headerRowCount="0" ref="D144:E144" displayName="Table_68" name="Table_68" id="69">
  <tableColumns count="2">
    <tableColumn name="Column1" id="1"/>
    <tableColumn name="Column2" id="2"/>
  </tableColumns>
  <tableStyleInfo name="Stmts Dec 1-7-style 3" showColumnStripes="0" showFirstColumn="1" showLastColumn="1" showRowStripes="1"/>
</table>
</file>

<file path=xl/tables/table70.xml><?xml version="1.0" encoding="utf-8"?>
<table xmlns="http://schemas.openxmlformats.org/spreadsheetml/2006/main" headerRowCount="0" ref="A160:G160" displayName="Table_69" name="Table_69" id="7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1.xml><?xml version="1.0" encoding="utf-8"?>
<table xmlns="http://schemas.openxmlformats.org/spreadsheetml/2006/main" ref="I160:O161" displayName="Table_70" name="Table_70" id="7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" showColumnStripes="0" showFirstColumn="1" showLastColumn="1" showRowStripes="1"/>
</table>
</file>

<file path=xl/tables/table72.xml><?xml version="1.0" encoding="utf-8"?>
<table xmlns="http://schemas.openxmlformats.org/spreadsheetml/2006/main" ref="Q160:W161" displayName="Table_71" name="Table_71" id="7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6" showColumnStripes="0" showFirstColumn="1" showLastColumn="1" showRowStripes="1"/>
</table>
</file>

<file path=xl/tables/table73.xml><?xml version="1.0" encoding="utf-8"?>
<table xmlns="http://schemas.openxmlformats.org/spreadsheetml/2006/main" headerRowCount="0" ref="A191:G191" displayName="Table_72" name="Table_72" id="7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4.xml><?xml version="1.0" encoding="utf-8"?>
<table xmlns="http://schemas.openxmlformats.org/spreadsheetml/2006/main" ref="I191:O192" displayName="Table_73" name="Table_73" id="7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8" showColumnStripes="0" showFirstColumn="1" showLastColumn="1" showRowStripes="1"/>
</table>
</file>

<file path=xl/tables/table75.xml><?xml version="1.0" encoding="utf-8"?>
<table xmlns="http://schemas.openxmlformats.org/spreadsheetml/2006/main" headerRowCount="0" ref="A222:G222" displayName="Table_74" name="Table_74" id="7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6.xml><?xml version="1.0" encoding="utf-8"?>
<table xmlns="http://schemas.openxmlformats.org/spreadsheetml/2006/main" ref="I222:O223" displayName="Table_75" name="Table_75" id="7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10" showColumnStripes="0" showFirstColumn="1" showLastColumn="1" showRowStripes="1"/>
</table>
</file>

<file path=xl/tables/table77.xml><?xml version="1.0" encoding="utf-8"?>
<table xmlns="http://schemas.openxmlformats.org/spreadsheetml/2006/main" headerRowCount="0" ref="D237:E237" displayName="Table_76" name="Table_76" id="77">
  <tableColumns count="2">
    <tableColumn name="Column1" id="1"/>
    <tableColumn name="Column2" id="2"/>
  </tableColumns>
  <tableStyleInfo name="Stmts Dec 1-7-style 11" showColumnStripes="0" showFirstColumn="1" showLastColumn="1" showRowStripes="1"/>
</table>
</file>

<file path=xl/tables/table78.xml><?xml version="1.0" encoding="utf-8"?>
<table xmlns="http://schemas.openxmlformats.org/spreadsheetml/2006/main" headerRowCount="0" ref="A253:G253" displayName="Table_77" name="Table_77" id="7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1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9.xml><?xml version="1.0" encoding="utf-8"?>
<table xmlns="http://schemas.openxmlformats.org/spreadsheetml/2006/main" ref="I253:O255" displayName="Table_78" name="Table_78" id="7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13" showColumnStripes="0" showFirstColumn="1" showLastColumn="1" showRowStripes="1"/>
</table>
</file>

<file path=xl/tables/table80.xml><?xml version="1.0" encoding="utf-8"?>
<table xmlns="http://schemas.openxmlformats.org/spreadsheetml/2006/main" headerRowCount="0" ref="D268:E268" displayName="Table_79" name="Table_79" id="80">
  <tableColumns count="2">
    <tableColumn name="Column1" id="1"/>
    <tableColumn name="Column2" id="2"/>
  </tableColumns>
  <tableStyleInfo name="Stmts Dec 1-7-style 1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1.xml><?xml version="1.0" encoding="utf-8"?>
<table xmlns="http://schemas.openxmlformats.org/spreadsheetml/2006/main" headerRowCount="0" ref="A284:G284" displayName="Table_80" name="Table_80" id="8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1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2.xml><?xml version="1.0" encoding="utf-8"?>
<table xmlns="http://schemas.openxmlformats.org/spreadsheetml/2006/main" ref="I284:O287" displayName="Table_81" name="Table_81" id="8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16" showColumnStripes="0" showFirstColumn="1" showLastColumn="1" showRowStripes="1"/>
</table>
</file>

<file path=xl/tables/table83.xml><?xml version="1.0" encoding="utf-8"?>
<table xmlns="http://schemas.openxmlformats.org/spreadsheetml/2006/main" headerRowCount="0" ref="D297:E297" displayName="Table_82" name="Table_82" id="83">
  <tableColumns count="2">
    <tableColumn name="Column1" id="1"/>
    <tableColumn name="Column2" id="2"/>
  </tableColumns>
  <tableStyleInfo name="Stmts Dec 1-7-style 1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4.xml><?xml version="1.0" encoding="utf-8"?>
<table xmlns="http://schemas.openxmlformats.org/spreadsheetml/2006/main" headerRowCount="0" ref="D299:E299" displayName="Table_83" name="Table_83" id="84">
  <tableColumns count="2">
    <tableColumn name="Column1" id="1"/>
    <tableColumn name="Column2" id="2"/>
  </tableColumns>
  <tableStyleInfo name="Stmts Dec 1-7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5.xml><?xml version="1.0" encoding="utf-8"?>
<table xmlns="http://schemas.openxmlformats.org/spreadsheetml/2006/main" headerRowCount="0" ref="A315:G315" displayName="Table_84" name="Table_84" id="8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1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6.xml><?xml version="1.0" encoding="utf-8"?>
<table xmlns="http://schemas.openxmlformats.org/spreadsheetml/2006/main" ref="I315:O317" displayName="Table_85" name="Table_85" id="8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20" showColumnStripes="0" showFirstColumn="1" showLastColumn="1" showRowStripes="1"/>
</table>
</file>

<file path=xl/tables/table87.xml><?xml version="1.0" encoding="utf-8"?>
<table xmlns="http://schemas.openxmlformats.org/spreadsheetml/2006/main" headerRowCount="0" ref="D330:E330" displayName="Table_86" name="Table_86" id="87">
  <tableColumns count="2">
    <tableColumn name="Column1" id="1"/>
    <tableColumn name="Column2" id="2"/>
  </tableColumns>
  <tableStyleInfo name="Stmts Dec 1-7-style 2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8.xml><?xml version="1.0" encoding="utf-8"?>
<table xmlns="http://schemas.openxmlformats.org/spreadsheetml/2006/main" headerRowCount="0" ref="A346:G346" displayName="Table_87" name="Table_87" id="8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2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9.xml><?xml version="1.0" encoding="utf-8"?>
<table xmlns="http://schemas.openxmlformats.org/spreadsheetml/2006/main" ref="I346:O348" displayName="Table_88" name="Table_88" id="8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23" showColumnStripes="0" showFirstColumn="1" showLastColumn="1" showRowStripes="1"/>
</table>
</file>

<file path=xl/tables/table90.xml><?xml version="1.0" encoding="utf-8"?>
<table xmlns="http://schemas.openxmlformats.org/spreadsheetml/2006/main" headerRowCount="0" ref="N349:O349" displayName="Table_89" name="Table_89" id="90">
  <tableColumns count="2">
    <tableColumn name="Column1" id="1"/>
    <tableColumn name="Column2" id="2"/>
  </tableColumns>
  <tableStyleInfo name="Stmts Dec 1-7-style 24" showColumnStripes="0" showFirstColumn="1" showLastColumn="1" showRowStripes="1"/>
</table>
</file>

<file path=xl/tables/table91.xml><?xml version="1.0" encoding="utf-8"?>
<table xmlns="http://schemas.openxmlformats.org/spreadsheetml/2006/main" headerRowCount="0" ref="D361:E361" displayName="Table_90" name="Table_90" id="91">
  <tableColumns count="2">
    <tableColumn name="Column1" id="1"/>
    <tableColumn name="Column2" id="2"/>
  </tableColumns>
  <tableStyleInfo name="Stmts Dec 1-7-style 2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2.xml><?xml version="1.0" encoding="utf-8"?>
<table xmlns="http://schemas.openxmlformats.org/spreadsheetml/2006/main" headerRowCount="0" ref="A377:G377" displayName="Table_91" name="Table_91" id="9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2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3.xml><?xml version="1.0" encoding="utf-8"?>
<table xmlns="http://schemas.openxmlformats.org/spreadsheetml/2006/main" ref="I377:O379" displayName="Table_92" name="Table_92" id="9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27" showColumnStripes="0" showFirstColumn="1" showLastColumn="1" showRowStripes="1"/>
</table>
</file>

<file path=xl/tables/table94.xml><?xml version="1.0" encoding="utf-8"?>
<table xmlns="http://schemas.openxmlformats.org/spreadsheetml/2006/main" headerRowCount="0" ref="A408:G408" displayName="Table_93" name="Table_93" id="9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2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5.xml><?xml version="1.0" encoding="utf-8"?>
<table xmlns="http://schemas.openxmlformats.org/spreadsheetml/2006/main" ref="I408:O409" displayName="Table_94" name="Table_94" id="9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29" showColumnStripes="0" showFirstColumn="1" showLastColumn="1" showRowStripes="1"/>
</table>
</file>

<file path=xl/tables/table96.xml><?xml version="1.0" encoding="utf-8"?>
<table xmlns="http://schemas.openxmlformats.org/spreadsheetml/2006/main" headerRowCount="0" ref="A439:G439" displayName="Table_95" name="Table_95" id="9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3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7.xml><?xml version="1.0" encoding="utf-8"?>
<table xmlns="http://schemas.openxmlformats.org/spreadsheetml/2006/main" ref="I439:O440" displayName="Table_96" name="Table_96" id="9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31" showColumnStripes="0" showFirstColumn="1" showLastColumn="1" showRowStripes="1"/>
</table>
</file>

<file path=xl/tables/table98.xml><?xml version="1.0" encoding="utf-8"?>
<table xmlns="http://schemas.openxmlformats.org/spreadsheetml/2006/main" headerRowCount="0" ref="A470:G470" displayName="Table_97" name="Table_97" id="9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3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9.xml><?xml version="1.0" encoding="utf-8"?>
<table xmlns="http://schemas.openxmlformats.org/spreadsheetml/2006/main" ref="I470:O473" displayName="Table_98" name="Table_98" id="9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33" showColumnStripes="0" showFirstColumn="1" showLastColumn="1" showRowStripes="1"/>
</table>
</file>

<file path=xl/tables/table100.xml><?xml version="1.0" encoding="utf-8"?>
<table xmlns="http://schemas.openxmlformats.org/spreadsheetml/2006/main" headerRowCount="0" ref="A501:G501" displayName="Table_99" name="Table_99" id="10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3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1.xml><?xml version="1.0" encoding="utf-8"?>
<table xmlns="http://schemas.openxmlformats.org/spreadsheetml/2006/main" ref="I501:O503" displayName="Table_100" name="Table_100" id="10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35" showColumnStripes="0" showFirstColumn="1" showLastColumn="1" showRowStripes="1"/>
</table>
</file>

<file path=xl/tables/table102.xml><?xml version="1.0" encoding="utf-8"?>
<table xmlns="http://schemas.openxmlformats.org/spreadsheetml/2006/main" headerRowCount="0" ref="A532:G532" displayName="Table_101" name="Table_101" id="10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3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3.xml><?xml version="1.0" encoding="utf-8"?>
<table xmlns="http://schemas.openxmlformats.org/spreadsheetml/2006/main" ref="I532:O536" displayName="Table_102" name="Table_102" id="10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37" showColumnStripes="0" showFirstColumn="1" showLastColumn="1" showRowStripes="1"/>
</table>
</file>

<file path=xl/tables/table104.xml><?xml version="1.0" encoding="utf-8"?>
<table xmlns="http://schemas.openxmlformats.org/spreadsheetml/2006/main" headerRowCount="0" ref="N537:O537" displayName="Table_103" name="Table_103" id="104">
  <tableColumns count="2">
    <tableColumn name="Column1" id="1"/>
    <tableColumn name="Column2" id="2"/>
  </tableColumns>
  <tableStyleInfo name="Stmts Dec 1-7-style 38" showColumnStripes="0" showFirstColumn="1" showLastColumn="1" showRowStripes="1"/>
</table>
</file>

<file path=xl/tables/table105.xml><?xml version="1.0" encoding="utf-8"?>
<table xmlns="http://schemas.openxmlformats.org/spreadsheetml/2006/main" headerRowCount="0" ref="A563:G563" displayName="Table_104" name="Table_104" id="10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3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6.xml><?xml version="1.0" encoding="utf-8"?>
<table xmlns="http://schemas.openxmlformats.org/spreadsheetml/2006/main" ref="I563:O565" displayName="Table_105" name="Table_105" id="10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40" showColumnStripes="0" showFirstColumn="1" showLastColumn="1" showRowStripes="1"/>
</table>
</file>

<file path=xl/tables/table107.xml><?xml version="1.0" encoding="utf-8"?>
<table xmlns="http://schemas.openxmlformats.org/spreadsheetml/2006/main" headerRowCount="0" ref="D578:E578" displayName="Table_106" name="Table_106" id="107">
  <tableColumns count="2">
    <tableColumn name="Column1" id="1"/>
    <tableColumn name="Column2" id="2"/>
  </tableColumns>
  <tableStyleInfo name="Stmts Dec 1-7-style 4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8.xml><?xml version="1.0" encoding="utf-8"?>
<table xmlns="http://schemas.openxmlformats.org/spreadsheetml/2006/main" headerRowCount="0" ref="A594:G594" displayName="Table_107" name="Table_107" id="10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9.xml><?xml version="1.0" encoding="utf-8"?>
<table xmlns="http://schemas.openxmlformats.org/spreadsheetml/2006/main" ref="I594:O595" displayName="Table_108" name="Table_108" id="10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43" showColumnStripes="0" showFirstColumn="1" showLastColumn="1" showRowStripes="1"/>
</table>
</file>

<file path=xl/tables/table110.xml><?xml version="1.0" encoding="utf-8"?>
<table xmlns="http://schemas.openxmlformats.org/spreadsheetml/2006/main" headerRowCount="0" ref="A625:G625" displayName="Table_109" name="Table_109" id="11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1.xml><?xml version="1.0" encoding="utf-8"?>
<table xmlns="http://schemas.openxmlformats.org/spreadsheetml/2006/main" ref="I625:O626" displayName="Table_110" name="Table_110" id="11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45" showColumnStripes="0" showFirstColumn="1" showLastColumn="1" showRowStripes="1"/>
</table>
</file>

<file path=xl/tables/table112.xml><?xml version="1.0" encoding="utf-8"?>
<table xmlns="http://schemas.openxmlformats.org/spreadsheetml/2006/main" headerRowCount="0" ref="A656:G656" displayName="Table_111" name="Table_111" id="11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3.xml><?xml version="1.0" encoding="utf-8"?>
<table xmlns="http://schemas.openxmlformats.org/spreadsheetml/2006/main" headerRowCount="0" ref="I656:O659" displayName="Table_112" name="Table_112" id="11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4.xml><?xml version="1.0" encoding="utf-8"?>
<table xmlns="http://schemas.openxmlformats.org/spreadsheetml/2006/main" headerRowCount="0" ref="A687:G687" displayName="Table_113" name="Table_113" id="11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4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5.xml><?xml version="1.0" encoding="utf-8"?>
<table xmlns="http://schemas.openxmlformats.org/spreadsheetml/2006/main" ref="I687:O690" displayName="Table_114" name="Table_114" id="11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49" showColumnStripes="0" showFirstColumn="1" showLastColumn="1" showRowStripes="1"/>
</table>
</file>

<file path=xl/tables/table116.xml><?xml version="1.0" encoding="utf-8"?>
<table xmlns="http://schemas.openxmlformats.org/spreadsheetml/2006/main" headerRowCount="0" ref="A718:G718" displayName="Table_115" name="Table_115" id="11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5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7.xml><?xml version="1.0" encoding="utf-8"?>
<table xmlns="http://schemas.openxmlformats.org/spreadsheetml/2006/main" ref="I718:O723" displayName="Table_116" name="Table_116" id="11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1" showColumnStripes="0" showFirstColumn="1" showLastColumn="1" showRowStripes="1"/>
</table>
</file>

<file path=xl/tables/table118.xml><?xml version="1.0" encoding="utf-8"?>
<table xmlns="http://schemas.openxmlformats.org/spreadsheetml/2006/main" headerRowCount="0" ref="A749:G749" displayName="Table_117" name="Table_117" id="11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5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9.xml><?xml version="1.0" encoding="utf-8"?>
<table xmlns="http://schemas.openxmlformats.org/spreadsheetml/2006/main" ref="I749:O752" displayName="Table_118" name="Table_118" id="11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3" showColumnStripes="0" showFirstColumn="1" showLastColumn="1" showRowStripes="1"/>
</table>
</file>

<file path=xl/tables/table120.xml><?xml version="1.0" encoding="utf-8"?>
<table xmlns="http://schemas.openxmlformats.org/spreadsheetml/2006/main" headerRowCount="0" ref="A780:G780" displayName="Table_119" name="Table_119" id="12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5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1.xml><?xml version="1.0" encoding="utf-8"?>
<table xmlns="http://schemas.openxmlformats.org/spreadsheetml/2006/main" ref="I780:O783" displayName="Table_120" name="Table_120" id="12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5" showColumnStripes="0" showFirstColumn="1" showLastColumn="1" showRowStripes="1"/>
</table>
</file>

<file path=xl/tables/table122.xml><?xml version="1.0" encoding="utf-8"?>
<table xmlns="http://schemas.openxmlformats.org/spreadsheetml/2006/main" headerRowCount="0" ref="A811:G811" displayName="Table_121" name="Table_121" id="12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5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3.xml><?xml version="1.0" encoding="utf-8"?>
<table xmlns="http://schemas.openxmlformats.org/spreadsheetml/2006/main" ref="I811:O814" displayName="Table_122" name="Table_122" id="12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7" showColumnStripes="0" showFirstColumn="1" showLastColumn="1" showRowStripes="1"/>
</table>
</file>

<file path=xl/tables/table124.xml><?xml version="1.0" encoding="utf-8"?>
<table xmlns="http://schemas.openxmlformats.org/spreadsheetml/2006/main" headerRowCount="0" ref="A842:G842" displayName="Table_123" name="Table_123" id="12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5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5.xml><?xml version="1.0" encoding="utf-8"?>
<table xmlns="http://schemas.openxmlformats.org/spreadsheetml/2006/main" ref="I842:O845" displayName="Table_124" name="Table_124" id="12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59" showColumnStripes="0" showFirstColumn="1" showLastColumn="1" showRowStripes="1"/>
</table>
</file>

<file path=xl/tables/table126.xml><?xml version="1.0" encoding="utf-8"?>
<table xmlns="http://schemas.openxmlformats.org/spreadsheetml/2006/main" headerRowCount="0" ref="A873:G873" displayName="Table_125" name="Table_125" id="12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6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7.xml><?xml version="1.0" encoding="utf-8"?>
<table xmlns="http://schemas.openxmlformats.org/spreadsheetml/2006/main" ref="I873:O876" displayName="Table_126" name="Table_126" id="12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61" showColumnStripes="0" showFirstColumn="1" showLastColumn="1" showRowStripes="1"/>
</table>
</file>

<file path=xl/tables/table128.xml><?xml version="1.0" encoding="utf-8"?>
<table xmlns="http://schemas.openxmlformats.org/spreadsheetml/2006/main" headerRowCount="0" ref="A904:G904" displayName="Table_127" name="Table_127" id="12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6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9.xml><?xml version="1.0" encoding="utf-8"?>
<table xmlns="http://schemas.openxmlformats.org/spreadsheetml/2006/main" ref="I904:O907" displayName="Table_128" name="Table_128" id="12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63" showColumnStripes="0" showFirstColumn="1" showLastColumn="1" showRowStripes="1"/>
</table>
</file>

<file path=xl/tables/table130.xml><?xml version="1.0" encoding="utf-8"?>
<table xmlns="http://schemas.openxmlformats.org/spreadsheetml/2006/main" headerRowCount="0" ref="A935:G935" displayName="Table_129" name="Table_129" id="13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mts Dec 1-7-style 6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1.xml><?xml version="1.0" encoding="utf-8"?>
<table xmlns="http://schemas.openxmlformats.org/spreadsheetml/2006/main" ref="I935:O938" displayName="Table_130" name="Table_130" id="13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mts Dec 1-7-style 65" showColumnStripes="0" showFirstColumn="1" showLastColumn="1" showRowStripes="1"/>
</table>
</file>

<file path=xl/tables/table132.xml><?xml version="1.0" encoding="utf-8"?>
<table xmlns="http://schemas.openxmlformats.org/spreadsheetml/2006/main" headerRowCount="0" ref="A128:G128" displayName="Table_131" name="Table_131" id="13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3.xml><?xml version="1.0" encoding="utf-8"?>
<table xmlns="http://schemas.openxmlformats.org/spreadsheetml/2006/main" ref="I128:O129" displayName="Table_132" name="Table_132" id="13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2" showColumnStripes="0" showFirstColumn="1" showLastColumn="1" showRowStripes="1"/>
</table>
</file>

<file path=xl/tables/table134.xml><?xml version="1.0" encoding="utf-8"?>
<table xmlns="http://schemas.openxmlformats.org/spreadsheetml/2006/main" headerRowCount="0" ref="D143:E143" displayName="Table_133" name="Table_133" id="134">
  <tableColumns count="2">
    <tableColumn name="Column1" id="1"/>
    <tableColumn name="Column2" id="2"/>
  </tableColumns>
  <tableStyleInfo name="Week 12.01-12.07-style 3" showColumnStripes="0" showFirstColumn="1" showLastColumn="1" showRowStripes="1"/>
</table>
</file>

<file path=xl/tables/table135.xml><?xml version="1.0" encoding="utf-8"?>
<table xmlns="http://schemas.openxmlformats.org/spreadsheetml/2006/main" headerRowCount="0" ref="A159:G159" displayName="Table_134" name="Table_134" id="13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6.xml><?xml version="1.0" encoding="utf-8"?>
<table xmlns="http://schemas.openxmlformats.org/spreadsheetml/2006/main" ref="I159:O160" displayName="Table_135" name="Table_135" id="13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" showColumnStripes="0" showFirstColumn="1" showLastColumn="1" showRowStripes="1"/>
</table>
</file>

<file path=xl/tables/table137.xml><?xml version="1.0" encoding="utf-8"?>
<table xmlns="http://schemas.openxmlformats.org/spreadsheetml/2006/main" ref="Q159:W160" displayName="Table_136" name="Table_136" id="13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" showColumnStripes="0" showFirstColumn="1" showLastColumn="1" showRowStripes="1"/>
</table>
</file>

<file path=xl/tables/table138.xml><?xml version="1.0" encoding="utf-8"?>
<table xmlns="http://schemas.openxmlformats.org/spreadsheetml/2006/main" headerRowCount="0" ref="A190:G190" displayName="Table_137" name="Table_137" id="13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9.xml><?xml version="1.0" encoding="utf-8"?>
<table xmlns="http://schemas.openxmlformats.org/spreadsheetml/2006/main" ref="I190:O193" displayName="Table_138" name="Table_138" id="13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8" showColumnStripes="0" showFirstColumn="1" showLastColumn="1" showRowStripes="1"/>
</table>
</file>

<file path=xl/tables/table140.xml><?xml version="1.0" encoding="utf-8"?>
<table xmlns="http://schemas.openxmlformats.org/spreadsheetml/2006/main" headerRowCount="0" ref="A221:G221" displayName="Table_139" name="Table_139" id="14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1.xml><?xml version="1.0" encoding="utf-8"?>
<table xmlns="http://schemas.openxmlformats.org/spreadsheetml/2006/main" ref="I221:O224" displayName="Table_140" name="Table_140" id="14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10" showColumnStripes="0" showFirstColumn="1" showLastColumn="1" showRowStripes="1"/>
</table>
</file>

<file path=xl/tables/table142.xml><?xml version="1.0" encoding="utf-8"?>
<table xmlns="http://schemas.openxmlformats.org/spreadsheetml/2006/main" headerRowCount="0" ref="D236:E236" displayName="Table_141" name="Table_141" id="142">
  <tableColumns count="2">
    <tableColumn name="Column1" id="1"/>
    <tableColumn name="Column2" id="2"/>
  </tableColumns>
  <tableStyleInfo name="Week 12.01-12.07-style 11" showColumnStripes="0" showFirstColumn="1" showLastColumn="1" showRowStripes="1"/>
</table>
</file>

<file path=xl/tables/table143.xml><?xml version="1.0" encoding="utf-8"?>
<table xmlns="http://schemas.openxmlformats.org/spreadsheetml/2006/main" headerRowCount="0" ref="A252:G252" displayName="Table_142" name="Table_142" id="14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1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4.xml><?xml version="1.0" encoding="utf-8"?>
<table xmlns="http://schemas.openxmlformats.org/spreadsheetml/2006/main" ref="I252:O254" displayName="Table_143" name="Table_143" id="14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13" showColumnStripes="0" showFirstColumn="1" showLastColumn="1" showRowStripes="1"/>
</table>
</file>

<file path=xl/tables/table145.xml><?xml version="1.0" encoding="utf-8"?>
<table xmlns="http://schemas.openxmlformats.org/spreadsheetml/2006/main" headerRowCount="0" ref="D267:E267" displayName="Table_144" name="Table_144" id="145">
  <tableColumns count="2">
    <tableColumn name="Column1" id="1"/>
    <tableColumn name="Column2" id="2"/>
  </tableColumns>
  <tableStyleInfo name="Week 12.01-12.07-style 1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6.xml><?xml version="1.0" encoding="utf-8"?>
<table xmlns="http://schemas.openxmlformats.org/spreadsheetml/2006/main" headerRowCount="0" ref="A283:G283" displayName="Table_145" name="Table_145" id="14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1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7.xml><?xml version="1.0" encoding="utf-8"?>
<table xmlns="http://schemas.openxmlformats.org/spreadsheetml/2006/main" ref="I283:O286" displayName="Table_146" name="Table_146" id="14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16" showColumnStripes="0" showFirstColumn="1" showLastColumn="1" showRowStripes="1"/>
</table>
</file>

<file path=xl/tables/table148.xml><?xml version="1.0" encoding="utf-8"?>
<table xmlns="http://schemas.openxmlformats.org/spreadsheetml/2006/main" headerRowCount="0" ref="D296:E296" displayName="Table_147" name="Table_147" id="148">
  <tableColumns count="2">
    <tableColumn name="Column1" id="1"/>
    <tableColumn name="Column2" id="2"/>
  </tableColumns>
  <tableStyleInfo name="Week 12.01-12.07-style 1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9.xml><?xml version="1.0" encoding="utf-8"?>
<table xmlns="http://schemas.openxmlformats.org/spreadsheetml/2006/main" headerRowCount="0" ref="D298:E298" displayName="Table_148" name="Table_148" id="149">
  <tableColumns count="2">
    <tableColumn name="Column1" id="1"/>
    <tableColumn name="Column2" id="2"/>
  </tableColumns>
  <tableStyleInfo name="Week 12.01-12.07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0.xml><?xml version="1.0" encoding="utf-8"?>
<table xmlns="http://schemas.openxmlformats.org/spreadsheetml/2006/main" headerRowCount="0" ref="A314:G314" displayName="Table_149" name="Table_149" id="15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1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1.xml><?xml version="1.0" encoding="utf-8"?>
<table xmlns="http://schemas.openxmlformats.org/spreadsheetml/2006/main" ref="I314:O318" displayName="Table_150" name="Table_150" id="15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20" showColumnStripes="0" showFirstColumn="1" showLastColumn="1" showRowStripes="1"/>
</table>
</file>

<file path=xl/tables/table152.xml><?xml version="1.0" encoding="utf-8"?>
<table xmlns="http://schemas.openxmlformats.org/spreadsheetml/2006/main" headerRowCount="0" ref="D329:E329" displayName="Table_151" name="Table_151" id="152">
  <tableColumns count="2">
    <tableColumn name="Column1" id="1"/>
    <tableColumn name="Column2" id="2"/>
  </tableColumns>
  <tableStyleInfo name="Week 12.01-12.07-style 2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3.xml><?xml version="1.0" encoding="utf-8"?>
<table xmlns="http://schemas.openxmlformats.org/spreadsheetml/2006/main" headerRowCount="0" ref="A345:G345" displayName="Table_152" name="Table_152" id="15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2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4.xml><?xml version="1.0" encoding="utf-8"?>
<table xmlns="http://schemas.openxmlformats.org/spreadsheetml/2006/main" ref="I345:O347" displayName="Table_153" name="Table_153" id="15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23" showColumnStripes="0" showFirstColumn="1" showLastColumn="1" showRowStripes="1"/>
</table>
</file>

<file path=xl/tables/table155.xml><?xml version="1.0" encoding="utf-8"?>
<table xmlns="http://schemas.openxmlformats.org/spreadsheetml/2006/main" headerRowCount="0" ref="N348:O348" displayName="Table_154" name="Table_154" id="155">
  <tableColumns count="2">
    <tableColumn name="Column1" id="1"/>
    <tableColumn name="Column2" id="2"/>
  </tableColumns>
  <tableStyleInfo name="Week 12.01-12.07-style 24" showColumnStripes="0" showFirstColumn="1" showLastColumn="1" showRowStripes="1"/>
</table>
</file>

<file path=xl/tables/table156.xml><?xml version="1.0" encoding="utf-8"?>
<table xmlns="http://schemas.openxmlformats.org/spreadsheetml/2006/main" headerRowCount="0" ref="D360:E360" displayName="Table_155" name="Table_155" id="156">
  <tableColumns count="2">
    <tableColumn name="Column1" id="1"/>
    <tableColumn name="Column2" id="2"/>
  </tableColumns>
  <tableStyleInfo name="Week 12.01-12.07-style 2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7.xml><?xml version="1.0" encoding="utf-8"?>
<table xmlns="http://schemas.openxmlformats.org/spreadsheetml/2006/main" headerRowCount="0" ref="A376:G376" displayName="Table_156" name="Table_156" id="15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2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8.xml><?xml version="1.0" encoding="utf-8"?>
<table xmlns="http://schemas.openxmlformats.org/spreadsheetml/2006/main" ref="I376:O378" displayName="Table_157" name="Table_157" id="15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27" showColumnStripes="0" showFirstColumn="1" showLastColumn="1" showRowStripes="1"/>
</table>
</file>

<file path=xl/tables/table159.xml><?xml version="1.0" encoding="utf-8"?>
<table xmlns="http://schemas.openxmlformats.org/spreadsheetml/2006/main" headerRowCount="0" ref="A407:G407" displayName="Table_158" name="Table_158" id="15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2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0.xml><?xml version="1.0" encoding="utf-8"?>
<table xmlns="http://schemas.openxmlformats.org/spreadsheetml/2006/main" ref="I407:O409" displayName="Table_159" name="Table_159" id="16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29" showColumnStripes="0" showFirstColumn="1" showLastColumn="1" showRowStripes="1"/>
</table>
</file>

<file path=xl/tables/table161.xml><?xml version="1.0" encoding="utf-8"?>
<table xmlns="http://schemas.openxmlformats.org/spreadsheetml/2006/main" headerRowCount="0" ref="A438:G438" displayName="Table_160" name="Table_160" id="16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3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2.xml><?xml version="1.0" encoding="utf-8"?>
<table xmlns="http://schemas.openxmlformats.org/spreadsheetml/2006/main" ref="I438:O442" displayName="Table_161" name="Table_161" id="16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31" showColumnStripes="0" showFirstColumn="1" showLastColumn="1" showRowStripes="1"/>
</table>
</file>

<file path=xl/tables/table163.xml><?xml version="1.0" encoding="utf-8"?>
<table xmlns="http://schemas.openxmlformats.org/spreadsheetml/2006/main" headerRowCount="0" ref="A469:G469" displayName="Table_162" name="Table_162" id="16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3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4.xml><?xml version="1.0" encoding="utf-8"?>
<table xmlns="http://schemas.openxmlformats.org/spreadsheetml/2006/main" ref="I469:O472" displayName="Table_163" name="Table_163" id="16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33" showColumnStripes="0" showFirstColumn="1" showLastColumn="1" showRowStripes="1"/>
</table>
</file>

<file path=xl/tables/table165.xml><?xml version="1.0" encoding="utf-8"?>
<table xmlns="http://schemas.openxmlformats.org/spreadsheetml/2006/main" headerRowCount="0" ref="A500:G500" displayName="Table_164" name="Table_164" id="16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3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6.xml><?xml version="1.0" encoding="utf-8"?>
<table xmlns="http://schemas.openxmlformats.org/spreadsheetml/2006/main" ref="I500:O502" displayName="Table_165" name="Table_165" id="16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35" showColumnStripes="0" showFirstColumn="1" showLastColumn="1" showRowStripes="1"/>
</table>
</file>

<file path=xl/tables/table167.xml><?xml version="1.0" encoding="utf-8"?>
<table xmlns="http://schemas.openxmlformats.org/spreadsheetml/2006/main" headerRowCount="0" ref="A531:G531" displayName="Table_166" name="Table_166" id="16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3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8.xml><?xml version="1.0" encoding="utf-8"?>
<table xmlns="http://schemas.openxmlformats.org/spreadsheetml/2006/main" ref="I531:O535" displayName="Table_167" name="Table_167" id="16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37" showColumnStripes="0" showFirstColumn="1" showLastColumn="1" showRowStripes="1"/>
</table>
</file>

<file path=xl/tables/table169.xml><?xml version="1.0" encoding="utf-8"?>
<table xmlns="http://schemas.openxmlformats.org/spreadsheetml/2006/main" headerRowCount="0" ref="N536:O536" displayName="Table_168" name="Table_168" id="169">
  <tableColumns count="2">
    <tableColumn name="Column1" id="1"/>
    <tableColumn name="Column2" id="2"/>
  </tableColumns>
  <tableStyleInfo name="Week 12.01-12.07-style 38" showColumnStripes="0" showFirstColumn="1" showLastColumn="1" showRowStripes="1"/>
</table>
</file>

<file path=xl/tables/table170.xml><?xml version="1.0" encoding="utf-8"?>
<table xmlns="http://schemas.openxmlformats.org/spreadsheetml/2006/main" headerRowCount="0" ref="A562:G562" displayName="Table_169" name="Table_169" id="17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3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1.xml><?xml version="1.0" encoding="utf-8"?>
<table xmlns="http://schemas.openxmlformats.org/spreadsheetml/2006/main" ref="I562:O564" displayName="Table_170" name="Table_170" id="17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40" showColumnStripes="0" showFirstColumn="1" showLastColumn="1" showRowStripes="1"/>
</table>
</file>

<file path=xl/tables/table172.xml><?xml version="1.0" encoding="utf-8"?>
<table xmlns="http://schemas.openxmlformats.org/spreadsheetml/2006/main" headerRowCount="0" ref="D577:E577" displayName="Table_171" name="Table_171" id="172">
  <tableColumns count="2">
    <tableColumn name="Column1" id="1"/>
    <tableColumn name="Column2" id="2"/>
  </tableColumns>
  <tableStyleInfo name="Week 12.01-12.07-style 4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3.xml><?xml version="1.0" encoding="utf-8"?>
<table xmlns="http://schemas.openxmlformats.org/spreadsheetml/2006/main" headerRowCount="0" ref="A593:G593" displayName="Table_172" name="Table_172" id="17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4.xml><?xml version="1.0" encoding="utf-8"?>
<table xmlns="http://schemas.openxmlformats.org/spreadsheetml/2006/main" ref="I593:O594" displayName="Table_173" name="Table_173" id="17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43" showColumnStripes="0" showFirstColumn="1" showLastColumn="1" showRowStripes="1"/>
</table>
</file>

<file path=xl/tables/table175.xml><?xml version="1.0" encoding="utf-8"?>
<table xmlns="http://schemas.openxmlformats.org/spreadsheetml/2006/main" headerRowCount="0" ref="A624:G624" displayName="Table_174" name="Table_174" id="17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6.xml><?xml version="1.0" encoding="utf-8"?>
<table xmlns="http://schemas.openxmlformats.org/spreadsheetml/2006/main" ref="I624:O625" displayName="Table_175" name="Table_175" id="17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45" showColumnStripes="0" showFirstColumn="1" showLastColumn="1" showRowStripes="1"/>
</table>
</file>

<file path=xl/tables/table177.xml><?xml version="1.0" encoding="utf-8"?>
<table xmlns="http://schemas.openxmlformats.org/spreadsheetml/2006/main" headerRowCount="0" ref="A655:G655" displayName="Table_176" name="Table_176" id="17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8.xml><?xml version="1.0" encoding="utf-8"?>
<table xmlns="http://schemas.openxmlformats.org/spreadsheetml/2006/main" headerRowCount="0" ref="I655:O658" displayName="Table_177" name="Table_177" id="17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9.xml><?xml version="1.0" encoding="utf-8"?>
<table xmlns="http://schemas.openxmlformats.org/spreadsheetml/2006/main" headerRowCount="0" ref="A686:G686" displayName="Table_178" name="Table_178" id="17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4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0.xml><?xml version="1.0" encoding="utf-8"?>
<table xmlns="http://schemas.openxmlformats.org/spreadsheetml/2006/main" ref="I686:O689" displayName="Table_179" name="Table_179" id="18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49" showColumnStripes="0" showFirstColumn="1" showLastColumn="1" showRowStripes="1"/>
</table>
</file>

<file path=xl/tables/table181.xml><?xml version="1.0" encoding="utf-8"?>
<table xmlns="http://schemas.openxmlformats.org/spreadsheetml/2006/main" headerRowCount="0" ref="A717:G717" displayName="Table_180" name="Table_180" id="18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5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2.xml><?xml version="1.0" encoding="utf-8"?>
<table xmlns="http://schemas.openxmlformats.org/spreadsheetml/2006/main" ref="I717:O722" displayName="Table_181" name="Table_181" id="18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1" showColumnStripes="0" showFirstColumn="1" showLastColumn="1" showRowStripes="1"/>
</table>
</file>

<file path=xl/tables/table183.xml><?xml version="1.0" encoding="utf-8"?>
<table xmlns="http://schemas.openxmlformats.org/spreadsheetml/2006/main" headerRowCount="0" ref="A748:G748" displayName="Table_182" name="Table_182" id="18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5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4.xml><?xml version="1.0" encoding="utf-8"?>
<table xmlns="http://schemas.openxmlformats.org/spreadsheetml/2006/main" ref="I748:O751" displayName="Table_183" name="Table_183" id="18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3" showColumnStripes="0" showFirstColumn="1" showLastColumn="1" showRowStripes="1"/>
</table>
</file>

<file path=xl/tables/table185.xml><?xml version="1.0" encoding="utf-8"?>
<table xmlns="http://schemas.openxmlformats.org/spreadsheetml/2006/main" headerRowCount="0" ref="A779:G779" displayName="Table_184" name="Table_184" id="18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5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6.xml><?xml version="1.0" encoding="utf-8"?>
<table xmlns="http://schemas.openxmlformats.org/spreadsheetml/2006/main" ref="I779:O782" displayName="Table_185" name="Table_185" id="18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5" showColumnStripes="0" showFirstColumn="1" showLastColumn="1" showRowStripes="1"/>
</table>
</file>

<file path=xl/tables/table187.xml><?xml version="1.0" encoding="utf-8"?>
<table xmlns="http://schemas.openxmlformats.org/spreadsheetml/2006/main" headerRowCount="0" ref="A810:G810" displayName="Table_186" name="Table_186" id="18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5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8.xml><?xml version="1.0" encoding="utf-8"?>
<table xmlns="http://schemas.openxmlformats.org/spreadsheetml/2006/main" ref="I810:O813" displayName="Table_187" name="Table_187" id="18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7" showColumnStripes="0" showFirstColumn="1" showLastColumn="1" showRowStripes="1"/>
</table>
</file>

<file path=xl/tables/table189.xml><?xml version="1.0" encoding="utf-8"?>
<table xmlns="http://schemas.openxmlformats.org/spreadsheetml/2006/main" headerRowCount="0" ref="A841:G841" displayName="Table_188" name="Table_188" id="18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5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0.xml><?xml version="1.0" encoding="utf-8"?>
<table xmlns="http://schemas.openxmlformats.org/spreadsheetml/2006/main" ref="I841:O844" displayName="Table_189" name="Table_189" id="19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59" showColumnStripes="0" showFirstColumn="1" showLastColumn="1" showRowStripes="1"/>
</table>
</file>

<file path=xl/tables/table191.xml><?xml version="1.0" encoding="utf-8"?>
<table xmlns="http://schemas.openxmlformats.org/spreadsheetml/2006/main" headerRowCount="0" ref="A872:G872" displayName="Table_190" name="Table_190" id="19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6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2.xml><?xml version="1.0" encoding="utf-8"?>
<table xmlns="http://schemas.openxmlformats.org/spreadsheetml/2006/main" ref="I872:O875" displayName="Table_191" name="Table_191" id="19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1" showColumnStripes="0" showFirstColumn="1" showLastColumn="1" showRowStripes="1"/>
</table>
</file>

<file path=xl/tables/table193.xml><?xml version="1.0" encoding="utf-8"?>
<table xmlns="http://schemas.openxmlformats.org/spreadsheetml/2006/main" headerRowCount="0" ref="A903:G903" displayName="Table_192" name="Table_192" id="19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6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4.xml><?xml version="1.0" encoding="utf-8"?>
<table xmlns="http://schemas.openxmlformats.org/spreadsheetml/2006/main" ref="I903:O906" displayName="Table_193" name="Table_193" id="19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3" showColumnStripes="0" showFirstColumn="1" showLastColumn="1" showRowStripes="1"/>
</table>
</file>

<file path=xl/tables/table195.xml><?xml version="1.0" encoding="utf-8"?>
<table xmlns="http://schemas.openxmlformats.org/spreadsheetml/2006/main" headerRowCount="0" ref="A934:G934" displayName="Table_194" name="Table_194" id="19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6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6.xml><?xml version="1.0" encoding="utf-8"?>
<table xmlns="http://schemas.openxmlformats.org/spreadsheetml/2006/main" ref="I934:O937" displayName="Table_195" name="Table_195" id="19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5" showColumnStripes="0" showFirstColumn="1" showLastColumn="1" showRowStripes="1"/>
</table>
</file>

<file path=xl/tables/table197.xml><?xml version="1.0" encoding="utf-8"?>
<table xmlns="http://schemas.openxmlformats.org/spreadsheetml/2006/main" headerRowCount="0" ref="A965:G965" displayName="Table_196" name="Table_196" id="19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6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8.xml><?xml version="1.0" encoding="utf-8"?>
<table xmlns="http://schemas.openxmlformats.org/spreadsheetml/2006/main" ref="I965:O968" displayName="Table_197" name="Table_197" id="19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7" showColumnStripes="0" showFirstColumn="1" showLastColumn="1" showRowStripes="1"/>
</table>
</file>

<file path=xl/tables/table199.xml><?xml version="1.0" encoding="utf-8"?>
<table xmlns="http://schemas.openxmlformats.org/spreadsheetml/2006/main" headerRowCount="0" ref="A996:G996" displayName="Table_198" name="Table_198" id="19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6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0.xml><?xml version="1.0" encoding="utf-8"?>
<table xmlns="http://schemas.openxmlformats.org/spreadsheetml/2006/main" ref="I996:O999" displayName="Table_199" name="Table_199" id="20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69" showColumnStripes="0" showFirstColumn="1" showLastColumn="1" showRowStripes="1"/>
</table>
</file>

<file path=xl/tables/table201.xml><?xml version="1.0" encoding="utf-8"?>
<table xmlns="http://schemas.openxmlformats.org/spreadsheetml/2006/main" headerRowCount="0" ref="A1027:G1027" displayName="Table_200" name="Table_200" id="20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7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2.xml><?xml version="1.0" encoding="utf-8"?>
<table xmlns="http://schemas.openxmlformats.org/spreadsheetml/2006/main" ref="I1027:O1030" displayName="Table_201" name="Table_201" id="202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71" showColumnStripes="0" showFirstColumn="1" showLastColumn="1" showRowStripes="1"/>
</table>
</file>

<file path=xl/tables/table203.xml><?xml version="1.0" encoding="utf-8"?>
<table xmlns="http://schemas.openxmlformats.org/spreadsheetml/2006/main" headerRowCount="0" ref="A1058:G1058" displayName="Table_202" name="Table_202" id="20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7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4.xml><?xml version="1.0" encoding="utf-8"?>
<table xmlns="http://schemas.openxmlformats.org/spreadsheetml/2006/main" ref="I1058:O1061" displayName="Table_203" name="Table_203" id="204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73" showColumnStripes="0" showFirstColumn="1" showLastColumn="1" showRowStripes="1"/>
</table>
</file>

<file path=xl/tables/table205.xml><?xml version="1.0" encoding="utf-8"?>
<table xmlns="http://schemas.openxmlformats.org/spreadsheetml/2006/main" headerRowCount="0" ref="A1089:G1089" displayName="Table_204" name="Table_204" id="20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7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6.xml><?xml version="1.0" encoding="utf-8"?>
<table xmlns="http://schemas.openxmlformats.org/spreadsheetml/2006/main" ref="I1089:O1092" displayName="Table_205" name="Table_205" id="20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75" showColumnStripes="0" showFirstColumn="1" showLastColumn="1" showRowStripes="1"/>
</table>
</file>

<file path=xl/tables/table207.xml><?xml version="1.0" encoding="utf-8"?>
<table xmlns="http://schemas.openxmlformats.org/spreadsheetml/2006/main" headerRowCount="0" ref="A1120:G1120" displayName="Table_206" name="Table_206" id="20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eek 12.01-12.07-style 7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8.xml><?xml version="1.0" encoding="utf-8"?>
<table xmlns="http://schemas.openxmlformats.org/spreadsheetml/2006/main" ref="I1120:O1123" displayName="Table_207" name="Table_207" id="20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Week 12.01-12.07-style 77" showColumnStripes="0" showFirstColumn="1" showLastColumn="1" showRowStripes="1"/>
</table>
</file>

<file path=xl/tables/table209.xml><?xml version="1.0" encoding="utf-8"?>
<table xmlns="http://schemas.openxmlformats.org/spreadsheetml/2006/main" headerRowCount="0" ref="B130:H130" displayName="Table_208" name="Table_208" id="20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0.xml><?xml version="1.0" encoding="utf-8"?>
<table xmlns="http://schemas.openxmlformats.org/spreadsheetml/2006/main" ref="J130:P131" displayName="Table_209" name="Table_209" id="210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atements -style 2" showColumnStripes="0" showFirstColumn="1" showLastColumn="1" showRowStripes="1"/>
</table>
</file>

<file path=xl/tables/table211.xml><?xml version="1.0" encoding="utf-8"?>
<table xmlns="http://schemas.openxmlformats.org/spreadsheetml/2006/main" headerRowCount="0" ref="B160:H160" displayName="Table_210" name="Table_210" id="21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2.xml><?xml version="1.0" encoding="utf-8"?>
<table xmlns="http://schemas.openxmlformats.org/spreadsheetml/2006/main" headerRowCount="0" ref="J160:P160" displayName="Table_211" name="Table_211" id="21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3.xml><?xml version="1.0" encoding="utf-8"?>
<table xmlns="http://schemas.openxmlformats.org/spreadsheetml/2006/main" headerRowCount="0" ref="B190:P190" displayName="Table_212" name="Table_212" id="21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4.xml><?xml version="1.0" encoding="utf-8"?>
<table xmlns="http://schemas.openxmlformats.org/spreadsheetml/2006/main" headerRowCount="0" ref="B220:P220" displayName="Table_213" name="Table_213" id="21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5.xml><?xml version="1.0" encoding="utf-8"?>
<table xmlns="http://schemas.openxmlformats.org/spreadsheetml/2006/main" headerRowCount="0" ref="B250:H250" displayName="Table_214" name="Table_214" id="21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6.xml><?xml version="1.0" encoding="utf-8"?>
<table xmlns="http://schemas.openxmlformats.org/spreadsheetml/2006/main" headerRowCount="0" ref="J250:P250" displayName="Table_215" name="Table_215" id="21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7.xml><?xml version="1.0" encoding="utf-8"?>
<table xmlns="http://schemas.openxmlformats.org/spreadsheetml/2006/main" headerRowCount="0" ref="B251:P251" displayName="Table_216" name="Table_216" id="21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8.xml><?xml version="1.0" encoding="utf-8"?>
<table xmlns="http://schemas.openxmlformats.org/spreadsheetml/2006/main" headerRowCount="0" ref="B280:P280" displayName="Table_217" name="Table_217" id="21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1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9.xml><?xml version="1.0" encoding="utf-8"?>
<table xmlns="http://schemas.openxmlformats.org/spreadsheetml/2006/main" headerRowCount="0" ref="B310:P310" displayName="Table_218" name="Table_218" id="21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1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0.xml><?xml version="1.0" encoding="utf-8"?>
<table xmlns="http://schemas.openxmlformats.org/spreadsheetml/2006/main" headerRowCount="0" ref="B340:H340" displayName="Table_219" name="Table_219" id="22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1.xml><?xml version="1.0" encoding="utf-8"?>
<table xmlns="http://schemas.openxmlformats.org/spreadsheetml/2006/main" headerRowCount="0" ref="J340:P340" displayName="Table_220" name="Table_220" id="22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2.xml><?xml version="1.0" encoding="utf-8"?>
<table xmlns="http://schemas.openxmlformats.org/spreadsheetml/2006/main" headerRowCount="0" ref="B370:H370" displayName="Table_221" name="Table_221" id="22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3.xml><?xml version="1.0" encoding="utf-8"?>
<table xmlns="http://schemas.openxmlformats.org/spreadsheetml/2006/main" headerRowCount="0" ref="J370:P370" displayName="Table_222" name="Table_222" id="22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4.xml><?xml version="1.0" encoding="utf-8"?>
<table xmlns="http://schemas.openxmlformats.org/spreadsheetml/2006/main" headerRowCount="0" ref="B400:H400" displayName="Table_223" name="Table_223" id="22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5.xml><?xml version="1.0" encoding="utf-8"?>
<table xmlns="http://schemas.openxmlformats.org/spreadsheetml/2006/main" headerRowCount="0" ref="J400:P400" displayName="Table_224" name="Table_224" id="22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6.xml><?xml version="1.0" encoding="utf-8"?>
<table xmlns="http://schemas.openxmlformats.org/spreadsheetml/2006/main" headerRowCount="0" ref="B401:P401" displayName="Table_225" name="Table_225" id="22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7.xml><?xml version="1.0" encoding="utf-8"?>
<table xmlns="http://schemas.openxmlformats.org/spreadsheetml/2006/main" headerRowCount="0" ref="B430:H430" displayName="Table_226" name="Table_226" id="22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1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8.xml><?xml version="1.0" encoding="utf-8"?>
<table xmlns="http://schemas.openxmlformats.org/spreadsheetml/2006/main" headerRowCount="0" ref="J430:P430" displayName="Table_227" name="Table_227" id="22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9.xml><?xml version="1.0" encoding="utf-8"?>
<table xmlns="http://schemas.openxmlformats.org/spreadsheetml/2006/main" headerRowCount="0" ref="B460:H460" displayName="Table_228" name="Table_228" id="22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0.xml><?xml version="1.0" encoding="utf-8"?>
<table xmlns="http://schemas.openxmlformats.org/spreadsheetml/2006/main" headerRowCount="0" ref="J460:P460" displayName="Table_229" name="Table_229" id="23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1.xml><?xml version="1.0" encoding="utf-8"?>
<table xmlns="http://schemas.openxmlformats.org/spreadsheetml/2006/main" headerRowCount="0" ref="B490:H490" displayName="Table_230" name="Table_230" id="23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2.xml><?xml version="1.0" encoding="utf-8"?>
<table xmlns="http://schemas.openxmlformats.org/spreadsheetml/2006/main" headerRowCount="0" ref="J490:P490" displayName="Table_231" name="Table_231" id="23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3.xml><?xml version="1.0" encoding="utf-8"?>
<table xmlns="http://schemas.openxmlformats.org/spreadsheetml/2006/main" headerRowCount="0" ref="B520:H520" displayName="Table_232" name="Table_232" id="23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4.xml><?xml version="1.0" encoding="utf-8"?>
<table xmlns="http://schemas.openxmlformats.org/spreadsheetml/2006/main" headerRowCount="0" ref="J520:P520" displayName="Table_233" name="Table_233" id="23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5.xml><?xml version="1.0" encoding="utf-8"?>
<table xmlns="http://schemas.openxmlformats.org/spreadsheetml/2006/main" headerRowCount="0" ref="B550:H550" displayName="Table_234" name="Table_234" id="23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6.xml><?xml version="1.0" encoding="utf-8"?>
<table xmlns="http://schemas.openxmlformats.org/spreadsheetml/2006/main" headerRowCount="0" ref="J550:P550" displayName="Table_235" name="Table_235" id="23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2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7.xml><?xml version="1.0" encoding="utf-8"?>
<table xmlns="http://schemas.openxmlformats.org/spreadsheetml/2006/main" headerRowCount="0" ref="B551:P551" displayName="Table_236" name="Table_236" id="23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2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8.xml><?xml version="1.0" encoding="utf-8"?>
<table xmlns="http://schemas.openxmlformats.org/spreadsheetml/2006/main" headerRowCount="0" ref="B580:H580" displayName="Table_237" name="Table_237" id="23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9.xml><?xml version="1.0" encoding="utf-8"?>
<table xmlns="http://schemas.openxmlformats.org/spreadsheetml/2006/main" ref="J580:P581" displayName="Table_238" name="Table_238" id="23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atements -style 31" showColumnStripes="0" showFirstColumn="1" showLastColumn="1" showRowStripes="1"/>
</table>
</file>

<file path=xl/tables/table240.xml><?xml version="1.0" encoding="utf-8"?>
<table xmlns="http://schemas.openxmlformats.org/spreadsheetml/2006/main" headerRowCount="0" ref="B610:H610" displayName="Table_239" name="Table_239" id="24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1.xml><?xml version="1.0" encoding="utf-8"?>
<table xmlns="http://schemas.openxmlformats.org/spreadsheetml/2006/main" headerRowCount="0" ref="J610:P610" displayName="Table_240" name="Table_240" id="24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2.xml><?xml version="1.0" encoding="utf-8"?>
<table xmlns="http://schemas.openxmlformats.org/spreadsheetml/2006/main" headerRowCount="0" ref="B640:P640" displayName="Table_241" name="Table_241" id="24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3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3.xml><?xml version="1.0" encoding="utf-8"?>
<table xmlns="http://schemas.openxmlformats.org/spreadsheetml/2006/main" headerRowCount="0" ref="B670:P670" displayName="Table_242" name="Table_242" id="24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3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4.xml><?xml version="1.0" encoding="utf-8"?>
<table xmlns="http://schemas.openxmlformats.org/spreadsheetml/2006/main" headerRowCount="0" ref="B700:H700" displayName="Table_243" name="Table_243" id="24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5.xml><?xml version="1.0" encoding="utf-8"?>
<table xmlns="http://schemas.openxmlformats.org/spreadsheetml/2006/main" headerRowCount="0" ref="J700:P700" displayName="Table_244" name="Table_244" id="24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6.xml><?xml version="1.0" encoding="utf-8"?>
<table xmlns="http://schemas.openxmlformats.org/spreadsheetml/2006/main" headerRowCount="0" ref="B701:P701" displayName="Table_245" name="Table_245" id="24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3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7.xml><?xml version="1.0" encoding="utf-8"?>
<table xmlns="http://schemas.openxmlformats.org/spreadsheetml/2006/main" headerRowCount="0" ref="B730:H730" displayName="Table_246" name="Table_246" id="24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3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48.xml><?xml version="1.0" encoding="utf-8"?>
<table xmlns="http://schemas.openxmlformats.org/spreadsheetml/2006/main" ref="J730:P731" displayName="Table_247" name="Table_247" id="24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atements -style 40" showColumnStripes="0" showFirstColumn="1" showLastColumn="1" showRowStripes="1"/>
</table>
</file>

<file path=xl/tables/table249.xml><?xml version="1.0" encoding="utf-8"?>
<table xmlns="http://schemas.openxmlformats.org/spreadsheetml/2006/main" headerRowCount="0" ref="B760:H760" displayName="Table_248" name="Table_248" id="24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0.xml><?xml version="1.0" encoding="utf-8"?>
<table xmlns="http://schemas.openxmlformats.org/spreadsheetml/2006/main" headerRowCount="0" ref="J760:P760" displayName="Table_249" name="Table_249" id="25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1.xml><?xml version="1.0" encoding="utf-8"?>
<table xmlns="http://schemas.openxmlformats.org/spreadsheetml/2006/main" headerRowCount="0" ref="B790:P790" displayName="Table_250" name="Table_250" id="25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4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2.xml><?xml version="1.0" encoding="utf-8"?>
<table xmlns="http://schemas.openxmlformats.org/spreadsheetml/2006/main" headerRowCount="0" ref="B820:P820" displayName="Table_251" name="Table_251" id="25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4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3.xml><?xml version="1.0" encoding="utf-8"?>
<table xmlns="http://schemas.openxmlformats.org/spreadsheetml/2006/main" headerRowCount="0" ref="B850:H850" displayName="Table_252" name="Table_252" id="25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4.xml><?xml version="1.0" encoding="utf-8"?>
<table xmlns="http://schemas.openxmlformats.org/spreadsheetml/2006/main" headerRowCount="0" ref="J850:P850" displayName="Table_253" name="Table_253" id="25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5.xml><?xml version="1.0" encoding="utf-8"?>
<table xmlns="http://schemas.openxmlformats.org/spreadsheetml/2006/main" headerRowCount="0" ref="B851:P851" displayName="Table_254" name="Table_254" id="25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4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6.xml><?xml version="1.0" encoding="utf-8"?>
<table xmlns="http://schemas.openxmlformats.org/spreadsheetml/2006/main" headerRowCount="0" ref="B880:H880" displayName="Table_255" name="Table_255" id="25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4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7.xml><?xml version="1.0" encoding="utf-8"?>
<table xmlns="http://schemas.openxmlformats.org/spreadsheetml/2006/main" ref="J880:P881" displayName="Table_256" name="Table_256" id="25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tatements -style 49" showColumnStripes="0" showFirstColumn="1" showLastColumn="1" showRowStripes="1"/>
</table>
</file>

<file path=xl/tables/table258.xml><?xml version="1.0" encoding="utf-8"?>
<table xmlns="http://schemas.openxmlformats.org/spreadsheetml/2006/main" headerRowCount="0" ref="B910:H910" displayName="Table_257" name="Table_257" id="25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5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59.xml><?xml version="1.0" encoding="utf-8"?>
<table xmlns="http://schemas.openxmlformats.org/spreadsheetml/2006/main" headerRowCount="0" ref="J910:P910" displayName="Table_258" name="Table_258" id="25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5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0.xml><?xml version="1.0" encoding="utf-8"?>
<table xmlns="http://schemas.openxmlformats.org/spreadsheetml/2006/main" headerRowCount="0" ref="B940:P940" displayName="Table_259" name="Table_259" id="26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5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1.xml><?xml version="1.0" encoding="utf-8"?>
<table xmlns="http://schemas.openxmlformats.org/spreadsheetml/2006/main" headerRowCount="0" ref="B970:P970" displayName="Table_260" name="Table_260" id="26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5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2.xml><?xml version="1.0" encoding="utf-8"?>
<table xmlns="http://schemas.openxmlformats.org/spreadsheetml/2006/main" headerRowCount="0" ref="B1000:H1000" displayName="Table_261" name="Table_261" id="26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5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3.xml><?xml version="1.0" encoding="utf-8"?>
<table xmlns="http://schemas.openxmlformats.org/spreadsheetml/2006/main" headerRowCount="0" ref="J1000:P1000" displayName="Table_262" name="Table_262" id="26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tatements -style 5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4.xml><?xml version="1.0" encoding="utf-8"?>
<table xmlns="http://schemas.openxmlformats.org/spreadsheetml/2006/main" headerRowCount="0" ref="B1001:P1001" displayName="Table_263" name="Table_263" id="26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tatements -style 5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5.xml><?xml version="1.0" encoding="utf-8"?>
<table xmlns="http://schemas.openxmlformats.org/spreadsheetml/2006/main" headerRowCount="0" ref="A129:G129" displayName="Table_264" name="Table_264" id="26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6.xml><?xml version="1.0" encoding="utf-8"?>
<table xmlns="http://schemas.openxmlformats.org/spreadsheetml/2006/main" ref="I129:O130" displayName="Table_265" name="Table_265" id="266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" showColumnStripes="0" showFirstColumn="1" showLastColumn="1" showRowStripes="1"/>
</table>
</file>

<file path=xl/tables/table267.xml><?xml version="1.0" encoding="utf-8"?>
<table xmlns="http://schemas.openxmlformats.org/spreadsheetml/2006/main" headerRowCount="0" ref="A160:G160" displayName="Table_266" name="Table_266" id="26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68.xml><?xml version="1.0" encoding="utf-8"?>
<table xmlns="http://schemas.openxmlformats.org/spreadsheetml/2006/main" ref="I160:O161" displayName="Table_267" name="Table_267" id="26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" showColumnStripes="0" showFirstColumn="1" showLastColumn="1" showRowStripes="1"/>
</table>
</file>

<file path=xl/tables/table269.xml><?xml version="1.0" encoding="utf-8"?>
<table xmlns="http://schemas.openxmlformats.org/spreadsheetml/2006/main" headerRowCount="0" ref="Q160:W161" displayName="Table_268" name="Table_268" id="269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0.xml><?xml version="1.0" encoding="utf-8"?>
<table xmlns="http://schemas.openxmlformats.org/spreadsheetml/2006/main" headerRowCount="0" ref="Q167:W167" displayName="Table_269" name="Table_269" id="27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1.xml><?xml version="1.0" encoding="utf-8"?>
<table xmlns="http://schemas.openxmlformats.org/spreadsheetml/2006/main" headerRowCount="0" ref="Q169:W169" displayName="Table_270" name="Table_270" id="27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2.xml><?xml version="1.0" encoding="utf-8"?>
<table xmlns="http://schemas.openxmlformats.org/spreadsheetml/2006/main" headerRowCount="0" ref="Q172:W172" displayName="Table_271" name="Table_271" id="27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3.xml><?xml version="1.0" encoding="utf-8"?>
<table xmlns="http://schemas.openxmlformats.org/spreadsheetml/2006/main" headerRowCount="0" ref="Q174:W175" displayName="Table_272" name="Table_272" id="27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4.xml><?xml version="1.0" encoding="utf-8"?>
<table xmlns="http://schemas.openxmlformats.org/spreadsheetml/2006/main" headerRowCount="0" ref="Q176:W176" displayName="Table_273" name="Table_273" id="27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5.xml><?xml version="1.0" encoding="utf-8"?>
<table xmlns="http://schemas.openxmlformats.org/spreadsheetml/2006/main" headerRowCount="0" ref="Q177:W177" displayName="Table_274" name="Table_274" id="27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1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6.xml><?xml version="1.0" encoding="utf-8"?>
<table xmlns="http://schemas.openxmlformats.org/spreadsheetml/2006/main" headerRowCount="0" ref="Q184:W184" displayName="Table_275" name="Table_275" id="27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7.xml><?xml version="1.0" encoding="utf-8"?>
<table xmlns="http://schemas.openxmlformats.org/spreadsheetml/2006/main" headerRowCount="0" ref="A191:G191" displayName="Table_276" name="Table_276" id="27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78.xml><?xml version="1.0" encoding="utf-8"?>
<table xmlns="http://schemas.openxmlformats.org/spreadsheetml/2006/main" ref="I191:O192" displayName="Table_277" name="Table_277" id="278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14" showColumnStripes="0" showFirstColumn="1" showLastColumn="1" showRowStripes="1"/>
</table>
</file>

<file path=xl/tables/table279.xml><?xml version="1.0" encoding="utf-8"?>
<table xmlns="http://schemas.openxmlformats.org/spreadsheetml/2006/main" ref="Q191:W192" displayName="Table_278" name="Table_278" id="27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15" showColumnStripes="0" showFirstColumn="1" showLastColumn="1" showRowStripes="1"/>
</table>
</file>

<file path=xl/tables/table280.xml><?xml version="1.0" encoding="utf-8"?>
<table xmlns="http://schemas.openxmlformats.org/spreadsheetml/2006/main" headerRowCount="0" ref="A222:G222" displayName="Table_279" name="Table_279" id="28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1.xml><?xml version="1.0" encoding="utf-8"?>
<table xmlns="http://schemas.openxmlformats.org/spreadsheetml/2006/main" ref="I222:O223" displayName="Table_280" name="Table_280" id="28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17" showColumnStripes="0" showFirstColumn="1" showLastColumn="1" showRowStripes="1"/>
</table>
</file>

<file path=xl/tables/table282.xml><?xml version="1.0" encoding="utf-8"?>
<table xmlns="http://schemas.openxmlformats.org/spreadsheetml/2006/main" headerRowCount="0" ref="A253:G253" displayName="Table_281" name="Table_281" id="28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3.xml><?xml version="1.0" encoding="utf-8"?>
<table xmlns="http://schemas.openxmlformats.org/spreadsheetml/2006/main" ref="I253:O255" displayName="Table_282" name="Table_282" id="28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19" showColumnStripes="0" showFirstColumn="1" showLastColumn="1" showRowStripes="1"/>
</table>
</file>

<file path=xl/tables/table284.xml><?xml version="1.0" encoding="utf-8"?>
<table xmlns="http://schemas.openxmlformats.org/spreadsheetml/2006/main" headerRowCount="0" ref="A284:G284" displayName="Table_283" name="Table_283" id="28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2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5.xml><?xml version="1.0" encoding="utf-8"?>
<table xmlns="http://schemas.openxmlformats.org/spreadsheetml/2006/main" ref="I284:O287" displayName="Table_284" name="Table_284" id="28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1" showColumnStripes="0" showFirstColumn="1" showLastColumn="1" showRowStripes="1"/>
</table>
</file>

<file path=xl/tables/table286.xml><?xml version="1.0" encoding="utf-8"?>
<table xmlns="http://schemas.openxmlformats.org/spreadsheetml/2006/main" headerRowCount="0" ref="A315:G315" displayName="Table_285" name="Table_285" id="28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2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7.xml><?xml version="1.0" encoding="utf-8"?>
<table xmlns="http://schemas.openxmlformats.org/spreadsheetml/2006/main" ref="I315:O317" displayName="Table_286" name="Table_286" id="28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3" showColumnStripes="0" showFirstColumn="1" showLastColumn="1" showRowStripes="1"/>
</table>
</file>

<file path=xl/tables/table288.xml><?xml version="1.0" encoding="utf-8"?>
<table xmlns="http://schemas.openxmlformats.org/spreadsheetml/2006/main" headerRowCount="0" ref="A346:G346" displayName="Table_287" name="Table_287" id="28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2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89.xml><?xml version="1.0" encoding="utf-8"?>
<table xmlns="http://schemas.openxmlformats.org/spreadsheetml/2006/main" ref="I346:O348" displayName="Table_288" name="Table_288" id="28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5" showColumnStripes="0" showFirstColumn="1" showLastColumn="1" showRowStripes="1"/>
</table>
</file>

<file path=xl/tables/table290.xml><?xml version="1.0" encoding="utf-8"?>
<table xmlns="http://schemas.openxmlformats.org/spreadsheetml/2006/main" headerRowCount="0" ref="A377:G377" displayName="Table_289" name="Table_289" id="29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2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91.xml><?xml version="1.0" encoding="utf-8"?>
<table xmlns="http://schemas.openxmlformats.org/spreadsheetml/2006/main" ref="I377:O379" displayName="Table_290" name="Table_290" id="29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7" showColumnStripes="0" showFirstColumn="1" showLastColumn="1" showRowStripes="1"/>
</table>
</file>

<file path=xl/tables/table292.xml><?xml version="1.0" encoding="utf-8"?>
<table xmlns="http://schemas.openxmlformats.org/spreadsheetml/2006/main" headerRowCount="0" ref="A408:G408" displayName="Table_291" name="Table_291" id="29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2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93.xml><?xml version="1.0" encoding="utf-8"?>
<table xmlns="http://schemas.openxmlformats.org/spreadsheetml/2006/main" ref="I408:O409" displayName="Table_292" name="Table_292" id="29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29" showColumnStripes="0" showFirstColumn="1" showLastColumn="1" showRowStripes="1"/>
</table>
</file>

<file path=xl/tables/table294.xml><?xml version="1.0" encoding="utf-8"?>
<table xmlns="http://schemas.openxmlformats.org/spreadsheetml/2006/main" headerRowCount="0" ref="A439:G439" displayName="Table_293" name="Table_293" id="29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95.xml><?xml version="1.0" encoding="utf-8"?>
<table xmlns="http://schemas.openxmlformats.org/spreadsheetml/2006/main" ref="I439:O440" displayName="Table_294" name="Table_294" id="29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31" showColumnStripes="0" showFirstColumn="1" showLastColumn="1" showRowStripes="1"/>
</table>
</file>

<file path=xl/tables/table296.xml><?xml version="1.0" encoding="utf-8"?>
<table xmlns="http://schemas.openxmlformats.org/spreadsheetml/2006/main" headerRowCount="0" ref="A470:G470" displayName="Table_295" name="Table_295" id="29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97.xml><?xml version="1.0" encoding="utf-8"?>
<table xmlns="http://schemas.openxmlformats.org/spreadsheetml/2006/main" ref="I470:O472" displayName="Table_296" name="Table_296" id="29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33" showColumnStripes="0" showFirstColumn="1" showLastColumn="1" showRowStripes="1"/>
</table>
</file>

<file path=xl/tables/table298.xml><?xml version="1.0" encoding="utf-8"?>
<table xmlns="http://schemas.openxmlformats.org/spreadsheetml/2006/main" headerRowCount="0" ref="A501:G501" displayName="Table_297" name="Table_297" id="29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99.xml><?xml version="1.0" encoding="utf-8"?>
<table xmlns="http://schemas.openxmlformats.org/spreadsheetml/2006/main" ref="I501:O503" displayName="Table_298" name="Table_298" id="29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35" showColumnStripes="0" showFirstColumn="1" showLastColumn="1" showRowStripes="1"/>
</table>
</file>

<file path=xl/tables/table300.xml><?xml version="1.0" encoding="utf-8"?>
<table xmlns="http://schemas.openxmlformats.org/spreadsheetml/2006/main" headerRowCount="0" ref="A532:G532" displayName="Table_299" name="Table_299" id="30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1.xml><?xml version="1.0" encoding="utf-8"?>
<table xmlns="http://schemas.openxmlformats.org/spreadsheetml/2006/main" ref="I532:O536" displayName="Table_300" name="Table_300" id="30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37" showColumnStripes="0" showFirstColumn="1" showLastColumn="1" showRowStripes="1"/>
</table>
</file>

<file path=xl/tables/table302.xml><?xml version="1.0" encoding="utf-8"?>
<table xmlns="http://schemas.openxmlformats.org/spreadsheetml/2006/main" headerRowCount="0" ref="A563:G563" displayName="Table_301" name="Table_301" id="30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3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3.xml><?xml version="1.0" encoding="utf-8"?>
<table xmlns="http://schemas.openxmlformats.org/spreadsheetml/2006/main" ref="I563:O565" displayName="Table_302" name="Table_302" id="30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39" showColumnStripes="0" showFirstColumn="1" showLastColumn="1" showRowStripes="1"/>
</table>
</file>

<file path=xl/tables/table304.xml><?xml version="1.0" encoding="utf-8"?>
<table xmlns="http://schemas.openxmlformats.org/spreadsheetml/2006/main" headerRowCount="0" ref="A594:G594" displayName="Table_303" name="Table_303" id="30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4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5.xml><?xml version="1.0" encoding="utf-8"?>
<table xmlns="http://schemas.openxmlformats.org/spreadsheetml/2006/main" ref="I594:O595" displayName="Table_304" name="Table_304" id="30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1" showColumnStripes="0" showFirstColumn="1" showLastColumn="1" showRowStripes="1"/>
</table>
</file>

<file path=xl/tables/table306.xml><?xml version="1.0" encoding="utf-8"?>
<table xmlns="http://schemas.openxmlformats.org/spreadsheetml/2006/main" headerRowCount="0" ref="A625:G625" displayName="Table_305" name="Table_305" id="30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4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7.xml><?xml version="1.0" encoding="utf-8"?>
<table xmlns="http://schemas.openxmlformats.org/spreadsheetml/2006/main" ref="I625:O626" displayName="Table_306" name="Table_306" id="30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3" showColumnStripes="0" showFirstColumn="1" showLastColumn="1" showRowStripes="1"/>
</table>
</file>

<file path=xl/tables/table308.xml><?xml version="1.0" encoding="utf-8"?>
<table xmlns="http://schemas.openxmlformats.org/spreadsheetml/2006/main" headerRowCount="0" ref="A656:G656" displayName="Table_307" name="Table_307" id="30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4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09.xml><?xml version="1.0" encoding="utf-8"?>
<table xmlns="http://schemas.openxmlformats.org/spreadsheetml/2006/main" ref="I656:O659" displayName="Table_308" name="Table_308" id="30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5" showColumnStripes="0" showFirstColumn="1" showLastColumn="1" showRowStripes="1"/>
</table>
</file>

<file path=xl/tables/table310.xml><?xml version="1.0" encoding="utf-8"?>
<table xmlns="http://schemas.openxmlformats.org/spreadsheetml/2006/main" headerRowCount="0" ref="A687:G687" displayName="Table_309" name="Table_309" id="31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4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11.xml><?xml version="1.0" encoding="utf-8"?>
<table xmlns="http://schemas.openxmlformats.org/spreadsheetml/2006/main" ref="I687:O690" displayName="Table_310" name="Table_310" id="31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7" showColumnStripes="0" showFirstColumn="1" showLastColumn="1" showRowStripes="1"/>
</table>
</file>

<file path=xl/tables/table312.xml><?xml version="1.0" encoding="utf-8"?>
<table xmlns="http://schemas.openxmlformats.org/spreadsheetml/2006/main" headerRowCount="0" ref="A718:G718" displayName="Table_311" name="Table_311" id="31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4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13.xml><?xml version="1.0" encoding="utf-8"?>
<table xmlns="http://schemas.openxmlformats.org/spreadsheetml/2006/main" ref="I718:O721" displayName="Table_312" name="Table_312" id="31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49" showColumnStripes="0" showFirstColumn="1" showLastColumn="1" showRowStripes="1"/>
</table>
</file>

<file path=xl/tables/table314.xml><?xml version="1.0" encoding="utf-8"?>
<table xmlns="http://schemas.openxmlformats.org/spreadsheetml/2006/main" headerRowCount="0" ref="A749:G749" displayName="Table_313" name="Table_313" id="31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15.xml><?xml version="1.0" encoding="utf-8"?>
<table xmlns="http://schemas.openxmlformats.org/spreadsheetml/2006/main" ref="I749:O752" displayName="Table_314" name="Table_314" id="31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51" showColumnStripes="0" showFirstColumn="1" showLastColumn="1" showRowStripes="1"/>
</table>
</file>

<file path=xl/tables/table316.xml><?xml version="1.0" encoding="utf-8"?>
<table xmlns="http://schemas.openxmlformats.org/spreadsheetml/2006/main" headerRowCount="0" ref="A780:G780" displayName="Table_315" name="Table_315" id="31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17.xml><?xml version="1.0" encoding="utf-8"?>
<table xmlns="http://schemas.openxmlformats.org/spreadsheetml/2006/main" ref="I780:O783" displayName="Table_316" name="Table_316" id="31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53" showColumnStripes="0" showFirstColumn="1" showLastColumn="1" showRowStripes="1"/>
</table>
</file>

<file path=xl/tables/table318.xml><?xml version="1.0" encoding="utf-8"?>
<table xmlns="http://schemas.openxmlformats.org/spreadsheetml/2006/main" headerRowCount="0" ref="A811:G811" displayName="Table_317" name="Table_317" id="31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19.xml><?xml version="1.0" encoding="utf-8"?>
<table xmlns="http://schemas.openxmlformats.org/spreadsheetml/2006/main" ref="I811:O814" displayName="Table_318" name="Table_318" id="31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55" showColumnStripes="0" showFirstColumn="1" showLastColumn="1" showRowStripes="1"/>
</table>
</file>

<file path=xl/tables/table320.xml><?xml version="1.0" encoding="utf-8"?>
<table xmlns="http://schemas.openxmlformats.org/spreadsheetml/2006/main" headerRowCount="0" ref="A842:G842" displayName="Table_319" name="Table_319" id="32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1.xml><?xml version="1.0" encoding="utf-8"?>
<table xmlns="http://schemas.openxmlformats.org/spreadsheetml/2006/main" ref="I842:O845" displayName="Table_320" name="Table_320" id="32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57" showColumnStripes="0" showFirstColumn="1" showLastColumn="1" showRowStripes="1"/>
</table>
</file>

<file path=xl/tables/table322.xml><?xml version="1.0" encoding="utf-8"?>
<table xmlns="http://schemas.openxmlformats.org/spreadsheetml/2006/main" headerRowCount="0" ref="A873:G873" displayName="Table_321" name="Table_321" id="32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5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3.xml><?xml version="1.0" encoding="utf-8"?>
<table xmlns="http://schemas.openxmlformats.org/spreadsheetml/2006/main" ref="I873:O876" displayName="Table_322" name="Table_322" id="32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59" showColumnStripes="0" showFirstColumn="1" showLastColumn="1" showRowStripes="1"/>
</table>
</file>

<file path=xl/tables/table324.xml><?xml version="1.0" encoding="utf-8"?>
<table xmlns="http://schemas.openxmlformats.org/spreadsheetml/2006/main" headerRowCount="0" ref="A904:G904" displayName="Table_323" name="Table_323" id="32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5.xml><?xml version="1.0" encoding="utf-8"?>
<table xmlns="http://schemas.openxmlformats.org/spreadsheetml/2006/main" ref="I904:O907" displayName="Table_324" name="Table_324" id="32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61" showColumnStripes="0" showFirstColumn="1" showLastColumn="1" showRowStripes="1"/>
</table>
</file>

<file path=xl/tables/table326.xml><?xml version="1.0" encoding="utf-8"?>
<table xmlns="http://schemas.openxmlformats.org/spreadsheetml/2006/main" headerRowCount="0" ref="A935:G935" displayName="Table_325" name="Table_325" id="32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7.xml><?xml version="1.0" encoding="utf-8"?>
<table xmlns="http://schemas.openxmlformats.org/spreadsheetml/2006/main" ref="I935:O938" displayName="Table_326" name="Table_326" id="32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63" showColumnStripes="0" showFirstColumn="1" showLastColumn="1" showRowStripes="1"/>
</table>
</file>

<file path=xl/tables/table328.xml><?xml version="1.0" encoding="utf-8"?>
<table xmlns="http://schemas.openxmlformats.org/spreadsheetml/2006/main" headerRowCount="0" ref="A966:G966" displayName="Table_327" name="Table_327" id="32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29.xml><?xml version="1.0" encoding="utf-8"?>
<table xmlns="http://schemas.openxmlformats.org/spreadsheetml/2006/main" ref="I966:O969" displayName="Table_328" name="Table_328" id="32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65" showColumnStripes="0" showFirstColumn="1" showLastColumn="1" showRowStripes="1"/>
</table>
</file>

<file path=xl/tables/table330.xml><?xml version="1.0" encoding="utf-8"?>
<table xmlns="http://schemas.openxmlformats.org/spreadsheetml/2006/main" headerRowCount="0" ref="A997:G997" displayName="Table_329" name="Table_329" id="33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31.xml><?xml version="1.0" encoding="utf-8"?>
<table xmlns="http://schemas.openxmlformats.org/spreadsheetml/2006/main" ref="I997:O1000" displayName="Table_330" name="Table_330" id="33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67" showColumnStripes="0" showFirstColumn="1" showLastColumn="1" showRowStripes="1"/>
</table>
</file>

<file path=xl/tables/table332.xml><?xml version="1.0" encoding="utf-8"?>
<table xmlns="http://schemas.openxmlformats.org/spreadsheetml/2006/main" headerRowCount="0" ref="A1028:G1028" displayName="Table_331" name="Table_331" id="33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6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33.xml><?xml version="1.0" encoding="utf-8"?>
<table xmlns="http://schemas.openxmlformats.org/spreadsheetml/2006/main" ref="I1028:O1031" displayName="Table_332" name="Table_332" id="333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69" showColumnStripes="0" showFirstColumn="1" showLastColumn="1" showRowStripes="1"/>
</table>
</file>

<file path=xl/tables/table334.xml><?xml version="1.0" encoding="utf-8"?>
<table xmlns="http://schemas.openxmlformats.org/spreadsheetml/2006/main" headerRowCount="0" ref="A1059:G1059" displayName="Table_333" name="Table_333" id="33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70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35.xml><?xml version="1.0" encoding="utf-8"?>
<table xmlns="http://schemas.openxmlformats.org/spreadsheetml/2006/main" ref="I1059:O1062" displayName="Table_334" name="Table_334" id="335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71" showColumnStripes="0" showFirstColumn="1" showLastColumn="1" showRowStripes="1"/>
</table>
</file>

<file path=xl/tables/table336.xml><?xml version="1.0" encoding="utf-8"?>
<table xmlns="http://schemas.openxmlformats.org/spreadsheetml/2006/main" headerRowCount="0" ref="A1090:G1090" displayName="Table_335" name="Table_335" id="33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7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37.xml><?xml version="1.0" encoding="utf-8"?>
<table xmlns="http://schemas.openxmlformats.org/spreadsheetml/2006/main" ref="I1090:O1093" displayName="Table_336" name="Table_336" id="337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73" showColumnStripes="0" showFirstColumn="1" showLastColumn="1" showRowStripes="1"/>
</table>
</file>

<file path=xl/tables/table338.xml><?xml version="1.0" encoding="utf-8"?>
<table xmlns="http://schemas.openxmlformats.org/spreadsheetml/2006/main" headerRowCount="0" ref="A1121:G1121" displayName="Table_337" name="Table_337" id="338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7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39.xml><?xml version="1.0" encoding="utf-8"?>
<table xmlns="http://schemas.openxmlformats.org/spreadsheetml/2006/main" ref="I1121:O1124" displayName="Table_338" name="Table_338" id="339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75" showColumnStripes="0" showFirstColumn="1" showLastColumn="1" showRowStripes="1"/>
</table>
</file>

<file path=xl/tables/table340.xml><?xml version="1.0" encoding="utf-8"?>
<table xmlns="http://schemas.openxmlformats.org/spreadsheetml/2006/main" headerRowCount="0" ref="A1152:G1152" displayName="Table_339" name="Table_339" id="340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9-style 7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41.xml><?xml version="1.0" encoding="utf-8"?>
<table xmlns="http://schemas.openxmlformats.org/spreadsheetml/2006/main" ref="I1152:O1155" displayName="Table_340" name="Table_340" id="341">
  <tableColumns count="7">
    <tableColumn name="Pick Up Date" id="1"/>
    <tableColumn name="Load Number" id="2"/>
    <tableColumn name="Pickup location" id="3"/>
    <tableColumn name="Delivery location" id="4"/>
    <tableColumn name="MIles" id="5"/>
    <tableColumn name="$ per Mile" id="6"/>
    <tableColumn name="Gross Pay" id="7"/>
  </tableColumns>
  <tableStyleInfo name="Sheet9-style 77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EFEFEF"/>
      </a:lt1>
      <a:dk2>
        <a:srgbClr val="000000"/>
      </a:dk2>
      <a:lt2>
        <a:srgbClr val="EFEFEF"/>
      </a:lt2>
      <a:accent1>
        <a:srgbClr val="EFEFEF"/>
      </a:accent1>
      <a:accent2>
        <a:srgbClr val="FF0000"/>
      </a:accent2>
      <a:accent3>
        <a:srgbClr val="E79A3C"/>
      </a:accent3>
      <a:accent4>
        <a:srgbClr val="666666"/>
      </a:accent4>
      <a:accent5>
        <a:srgbClr val="999999"/>
      </a:accent5>
      <a:accent6>
        <a:srgbClr val="999999"/>
      </a:accent6>
      <a:hlink>
        <a:srgbClr val="CCCCCC"/>
      </a:hlink>
      <a:folHlink>
        <a:srgbClr val="CCCC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84" Type="http://schemas.openxmlformats.org/officeDocument/2006/relationships/table" Target="../tables/table17.xml"/><Relationship Id="rId83" Type="http://schemas.openxmlformats.org/officeDocument/2006/relationships/table" Target="../tables/table16.xml"/><Relationship Id="rId86" Type="http://schemas.openxmlformats.org/officeDocument/2006/relationships/table" Target="../tables/table19.xml"/><Relationship Id="rId85" Type="http://schemas.openxmlformats.org/officeDocument/2006/relationships/table" Target="../tables/table18.xml"/><Relationship Id="rId88" Type="http://schemas.openxmlformats.org/officeDocument/2006/relationships/table" Target="../tables/table21.xml"/><Relationship Id="rId87" Type="http://schemas.openxmlformats.org/officeDocument/2006/relationships/table" Target="../tables/table20.xml"/><Relationship Id="rId89" Type="http://schemas.openxmlformats.org/officeDocument/2006/relationships/table" Target="../tables/table22.xml"/><Relationship Id="rId80" Type="http://schemas.openxmlformats.org/officeDocument/2006/relationships/table" Target="../tables/table13.xml"/><Relationship Id="rId82" Type="http://schemas.openxmlformats.org/officeDocument/2006/relationships/table" Target="../tables/table15.xml"/><Relationship Id="rId81" Type="http://schemas.openxmlformats.org/officeDocument/2006/relationships/table" Target="../tables/table14.xml"/><Relationship Id="rId1" Type="http://schemas.openxmlformats.org/officeDocument/2006/relationships/comments" Target="../comments1.xml"/><Relationship Id="rId107" Type="http://schemas.openxmlformats.org/officeDocument/2006/relationships/table" Target="../tables/table40.xml"/><Relationship Id="rId2" Type="http://schemas.openxmlformats.org/officeDocument/2006/relationships/drawing" Target="../drawings/drawing8.xml"/><Relationship Id="rId106" Type="http://schemas.openxmlformats.org/officeDocument/2006/relationships/table" Target="../tables/table39.xml"/><Relationship Id="rId3" Type="http://schemas.openxmlformats.org/officeDocument/2006/relationships/vmlDrawing" Target="../drawings/vmlDrawing1.vml"/><Relationship Id="rId105" Type="http://schemas.openxmlformats.org/officeDocument/2006/relationships/table" Target="../tables/table38.xml"/><Relationship Id="rId104" Type="http://schemas.openxmlformats.org/officeDocument/2006/relationships/table" Target="../tables/table37.xml"/><Relationship Id="rId109" Type="http://schemas.openxmlformats.org/officeDocument/2006/relationships/table" Target="../tables/table42.xml"/><Relationship Id="rId108" Type="http://schemas.openxmlformats.org/officeDocument/2006/relationships/table" Target="../tables/table41.xml"/><Relationship Id="rId103" Type="http://schemas.openxmlformats.org/officeDocument/2006/relationships/table" Target="../tables/table36.xml"/><Relationship Id="rId102" Type="http://schemas.openxmlformats.org/officeDocument/2006/relationships/table" Target="../tables/table35.xml"/><Relationship Id="rId101" Type="http://schemas.openxmlformats.org/officeDocument/2006/relationships/table" Target="../tables/table34.xml"/><Relationship Id="rId100" Type="http://schemas.openxmlformats.org/officeDocument/2006/relationships/table" Target="../tables/table33.xml"/><Relationship Id="rId73" Type="http://schemas.openxmlformats.org/officeDocument/2006/relationships/table" Target="../tables/table6.xml"/><Relationship Id="rId72" Type="http://schemas.openxmlformats.org/officeDocument/2006/relationships/table" Target="../tables/table5.xml"/><Relationship Id="rId75" Type="http://schemas.openxmlformats.org/officeDocument/2006/relationships/table" Target="../tables/table8.xml"/><Relationship Id="rId74" Type="http://schemas.openxmlformats.org/officeDocument/2006/relationships/table" Target="../tables/table7.xml"/><Relationship Id="rId77" Type="http://schemas.openxmlformats.org/officeDocument/2006/relationships/table" Target="../tables/table10.xml"/><Relationship Id="rId76" Type="http://schemas.openxmlformats.org/officeDocument/2006/relationships/table" Target="../tables/table9.xml"/><Relationship Id="rId79" Type="http://schemas.openxmlformats.org/officeDocument/2006/relationships/table" Target="../tables/table12.xml"/><Relationship Id="rId78" Type="http://schemas.openxmlformats.org/officeDocument/2006/relationships/table" Target="../tables/table11.xml"/><Relationship Id="rId71" Type="http://schemas.openxmlformats.org/officeDocument/2006/relationships/table" Target="../tables/table4.xml"/><Relationship Id="rId70" Type="http://schemas.openxmlformats.org/officeDocument/2006/relationships/table" Target="../tables/table3.xml"/><Relationship Id="rId132" Type="http://schemas.openxmlformats.org/officeDocument/2006/relationships/table" Target="../tables/table65.xml"/><Relationship Id="rId131" Type="http://schemas.openxmlformats.org/officeDocument/2006/relationships/table" Target="../tables/table64.xml"/><Relationship Id="rId130" Type="http://schemas.openxmlformats.org/officeDocument/2006/relationships/table" Target="../tables/table63.xml"/><Relationship Id="rId133" Type="http://schemas.openxmlformats.org/officeDocument/2006/relationships/table" Target="../tables/table66.xml"/><Relationship Id="rId129" Type="http://schemas.openxmlformats.org/officeDocument/2006/relationships/table" Target="../tables/table62.xml"/><Relationship Id="rId128" Type="http://schemas.openxmlformats.org/officeDocument/2006/relationships/table" Target="../tables/table61.xml"/><Relationship Id="rId127" Type="http://schemas.openxmlformats.org/officeDocument/2006/relationships/table" Target="../tables/table60.xml"/><Relationship Id="rId126" Type="http://schemas.openxmlformats.org/officeDocument/2006/relationships/table" Target="../tables/table59.xml"/><Relationship Id="rId121" Type="http://schemas.openxmlformats.org/officeDocument/2006/relationships/table" Target="../tables/table54.xml"/><Relationship Id="rId69" Type="http://schemas.openxmlformats.org/officeDocument/2006/relationships/table" Target="../tables/table2.xml"/><Relationship Id="rId120" Type="http://schemas.openxmlformats.org/officeDocument/2006/relationships/table" Target="../tables/table53.xml"/><Relationship Id="rId125" Type="http://schemas.openxmlformats.org/officeDocument/2006/relationships/table" Target="../tables/table58.xml"/><Relationship Id="rId124" Type="http://schemas.openxmlformats.org/officeDocument/2006/relationships/table" Target="../tables/table57.xml"/><Relationship Id="rId123" Type="http://schemas.openxmlformats.org/officeDocument/2006/relationships/table" Target="../tables/table56.xml"/><Relationship Id="rId122" Type="http://schemas.openxmlformats.org/officeDocument/2006/relationships/table" Target="../tables/table55.xml"/><Relationship Id="rId95" Type="http://schemas.openxmlformats.org/officeDocument/2006/relationships/table" Target="../tables/table28.xml"/><Relationship Id="rId94" Type="http://schemas.openxmlformats.org/officeDocument/2006/relationships/table" Target="../tables/table27.xml"/><Relationship Id="rId97" Type="http://schemas.openxmlformats.org/officeDocument/2006/relationships/table" Target="../tables/table30.xml"/><Relationship Id="rId96" Type="http://schemas.openxmlformats.org/officeDocument/2006/relationships/table" Target="../tables/table29.xml"/><Relationship Id="rId99" Type="http://schemas.openxmlformats.org/officeDocument/2006/relationships/table" Target="../tables/table32.xml"/><Relationship Id="rId98" Type="http://schemas.openxmlformats.org/officeDocument/2006/relationships/table" Target="../tables/table31.xml"/><Relationship Id="rId91" Type="http://schemas.openxmlformats.org/officeDocument/2006/relationships/table" Target="../tables/table24.xml"/><Relationship Id="rId90" Type="http://schemas.openxmlformats.org/officeDocument/2006/relationships/table" Target="../tables/table23.xml"/><Relationship Id="rId93" Type="http://schemas.openxmlformats.org/officeDocument/2006/relationships/table" Target="../tables/table26.xml"/><Relationship Id="rId92" Type="http://schemas.openxmlformats.org/officeDocument/2006/relationships/table" Target="../tables/table25.xml"/><Relationship Id="rId118" Type="http://schemas.openxmlformats.org/officeDocument/2006/relationships/table" Target="../tables/table51.xml"/><Relationship Id="rId117" Type="http://schemas.openxmlformats.org/officeDocument/2006/relationships/table" Target="../tables/table50.xml"/><Relationship Id="rId116" Type="http://schemas.openxmlformats.org/officeDocument/2006/relationships/table" Target="../tables/table49.xml"/><Relationship Id="rId115" Type="http://schemas.openxmlformats.org/officeDocument/2006/relationships/table" Target="../tables/table48.xml"/><Relationship Id="rId119" Type="http://schemas.openxmlformats.org/officeDocument/2006/relationships/table" Target="../tables/table52.xml"/><Relationship Id="rId110" Type="http://schemas.openxmlformats.org/officeDocument/2006/relationships/table" Target="../tables/table43.xml"/><Relationship Id="rId114" Type="http://schemas.openxmlformats.org/officeDocument/2006/relationships/table" Target="../tables/table47.xml"/><Relationship Id="rId113" Type="http://schemas.openxmlformats.org/officeDocument/2006/relationships/table" Target="../tables/table46.xml"/><Relationship Id="rId112" Type="http://schemas.openxmlformats.org/officeDocument/2006/relationships/table" Target="../tables/table45.xml"/><Relationship Id="rId111" Type="http://schemas.openxmlformats.org/officeDocument/2006/relationships/table" Target="../tables/table44.xml"/></Relationships>
</file>

<file path=xl/worksheets/_rels/sheet9.xml.rels><?xml version="1.0" encoding="UTF-8" standalone="yes"?><Relationships xmlns="http://schemas.openxmlformats.org/package/2006/relationships"><Relationship Id="rId84" Type="http://schemas.openxmlformats.org/officeDocument/2006/relationships/table" Target="../tables/table84.xml"/><Relationship Id="rId83" Type="http://schemas.openxmlformats.org/officeDocument/2006/relationships/table" Target="../tables/table83.xml"/><Relationship Id="rId86" Type="http://schemas.openxmlformats.org/officeDocument/2006/relationships/table" Target="../tables/table86.xml"/><Relationship Id="rId85" Type="http://schemas.openxmlformats.org/officeDocument/2006/relationships/table" Target="../tables/table85.xml"/><Relationship Id="rId88" Type="http://schemas.openxmlformats.org/officeDocument/2006/relationships/table" Target="../tables/table88.xml"/><Relationship Id="rId87" Type="http://schemas.openxmlformats.org/officeDocument/2006/relationships/table" Target="../tables/table87.xml"/><Relationship Id="rId89" Type="http://schemas.openxmlformats.org/officeDocument/2006/relationships/table" Target="../tables/table89.xml"/><Relationship Id="rId80" Type="http://schemas.openxmlformats.org/officeDocument/2006/relationships/table" Target="../tables/table80.xml"/><Relationship Id="rId82" Type="http://schemas.openxmlformats.org/officeDocument/2006/relationships/table" Target="../tables/table82.xml"/><Relationship Id="rId81" Type="http://schemas.openxmlformats.org/officeDocument/2006/relationships/table" Target="../tables/table81.xml"/><Relationship Id="rId1" Type="http://schemas.openxmlformats.org/officeDocument/2006/relationships/drawing" Target="../drawings/drawing9.xml"/><Relationship Id="rId107" Type="http://schemas.openxmlformats.org/officeDocument/2006/relationships/table" Target="../tables/table107.xml"/><Relationship Id="rId106" Type="http://schemas.openxmlformats.org/officeDocument/2006/relationships/table" Target="../tables/table106.xml"/><Relationship Id="rId105" Type="http://schemas.openxmlformats.org/officeDocument/2006/relationships/table" Target="../tables/table105.xml"/><Relationship Id="rId104" Type="http://schemas.openxmlformats.org/officeDocument/2006/relationships/table" Target="../tables/table104.xml"/><Relationship Id="rId109" Type="http://schemas.openxmlformats.org/officeDocument/2006/relationships/table" Target="../tables/table109.xml"/><Relationship Id="rId108" Type="http://schemas.openxmlformats.org/officeDocument/2006/relationships/table" Target="../tables/table108.xml"/><Relationship Id="rId103" Type="http://schemas.openxmlformats.org/officeDocument/2006/relationships/table" Target="../tables/table103.xml"/><Relationship Id="rId102" Type="http://schemas.openxmlformats.org/officeDocument/2006/relationships/table" Target="../tables/table102.xml"/><Relationship Id="rId101" Type="http://schemas.openxmlformats.org/officeDocument/2006/relationships/table" Target="../tables/table101.xml"/><Relationship Id="rId100" Type="http://schemas.openxmlformats.org/officeDocument/2006/relationships/table" Target="../tables/table100.xml"/><Relationship Id="rId73" Type="http://schemas.openxmlformats.org/officeDocument/2006/relationships/table" Target="../tables/table73.xml"/><Relationship Id="rId72" Type="http://schemas.openxmlformats.org/officeDocument/2006/relationships/table" Target="../tables/table72.xml"/><Relationship Id="rId75" Type="http://schemas.openxmlformats.org/officeDocument/2006/relationships/table" Target="../tables/table75.xml"/><Relationship Id="rId74" Type="http://schemas.openxmlformats.org/officeDocument/2006/relationships/table" Target="../tables/table74.xml"/><Relationship Id="rId77" Type="http://schemas.openxmlformats.org/officeDocument/2006/relationships/table" Target="../tables/table77.xml"/><Relationship Id="rId76" Type="http://schemas.openxmlformats.org/officeDocument/2006/relationships/table" Target="../tables/table76.xml"/><Relationship Id="rId79" Type="http://schemas.openxmlformats.org/officeDocument/2006/relationships/table" Target="../tables/table79.xml"/><Relationship Id="rId78" Type="http://schemas.openxmlformats.org/officeDocument/2006/relationships/table" Target="../tables/table78.xml"/><Relationship Id="rId71" Type="http://schemas.openxmlformats.org/officeDocument/2006/relationships/table" Target="../tables/table71.xml"/><Relationship Id="rId70" Type="http://schemas.openxmlformats.org/officeDocument/2006/relationships/table" Target="../tables/table70.xml"/><Relationship Id="rId131" Type="http://schemas.openxmlformats.org/officeDocument/2006/relationships/table" Target="../tables/table131.xml"/><Relationship Id="rId130" Type="http://schemas.openxmlformats.org/officeDocument/2006/relationships/table" Target="../tables/table130.xml"/><Relationship Id="rId68" Type="http://schemas.openxmlformats.org/officeDocument/2006/relationships/table" Target="../tables/table68.xml"/><Relationship Id="rId67" Type="http://schemas.openxmlformats.org/officeDocument/2006/relationships/table" Target="../tables/table67.xml"/><Relationship Id="rId129" Type="http://schemas.openxmlformats.org/officeDocument/2006/relationships/table" Target="../tables/table129.xml"/><Relationship Id="rId128" Type="http://schemas.openxmlformats.org/officeDocument/2006/relationships/table" Target="../tables/table128.xml"/><Relationship Id="rId127" Type="http://schemas.openxmlformats.org/officeDocument/2006/relationships/table" Target="../tables/table127.xml"/><Relationship Id="rId126" Type="http://schemas.openxmlformats.org/officeDocument/2006/relationships/table" Target="../tables/table126.xml"/><Relationship Id="rId121" Type="http://schemas.openxmlformats.org/officeDocument/2006/relationships/table" Target="../tables/table121.xml"/><Relationship Id="rId69" Type="http://schemas.openxmlformats.org/officeDocument/2006/relationships/table" Target="../tables/table69.xml"/><Relationship Id="rId120" Type="http://schemas.openxmlformats.org/officeDocument/2006/relationships/table" Target="../tables/table120.xml"/><Relationship Id="rId125" Type="http://schemas.openxmlformats.org/officeDocument/2006/relationships/table" Target="../tables/table125.xml"/><Relationship Id="rId124" Type="http://schemas.openxmlformats.org/officeDocument/2006/relationships/table" Target="../tables/table124.xml"/><Relationship Id="rId123" Type="http://schemas.openxmlformats.org/officeDocument/2006/relationships/table" Target="../tables/table123.xml"/><Relationship Id="rId122" Type="http://schemas.openxmlformats.org/officeDocument/2006/relationships/table" Target="../tables/table122.xml"/><Relationship Id="rId95" Type="http://schemas.openxmlformats.org/officeDocument/2006/relationships/table" Target="../tables/table95.xml"/><Relationship Id="rId94" Type="http://schemas.openxmlformats.org/officeDocument/2006/relationships/table" Target="../tables/table94.xml"/><Relationship Id="rId97" Type="http://schemas.openxmlformats.org/officeDocument/2006/relationships/table" Target="../tables/table97.xml"/><Relationship Id="rId96" Type="http://schemas.openxmlformats.org/officeDocument/2006/relationships/table" Target="../tables/table96.xml"/><Relationship Id="rId99" Type="http://schemas.openxmlformats.org/officeDocument/2006/relationships/table" Target="../tables/table99.xml"/><Relationship Id="rId98" Type="http://schemas.openxmlformats.org/officeDocument/2006/relationships/table" Target="../tables/table98.xml"/><Relationship Id="rId91" Type="http://schemas.openxmlformats.org/officeDocument/2006/relationships/table" Target="../tables/table91.xml"/><Relationship Id="rId90" Type="http://schemas.openxmlformats.org/officeDocument/2006/relationships/table" Target="../tables/table90.xml"/><Relationship Id="rId93" Type="http://schemas.openxmlformats.org/officeDocument/2006/relationships/table" Target="../tables/table93.xml"/><Relationship Id="rId92" Type="http://schemas.openxmlformats.org/officeDocument/2006/relationships/table" Target="../tables/table92.xml"/><Relationship Id="rId118" Type="http://schemas.openxmlformats.org/officeDocument/2006/relationships/table" Target="../tables/table118.xml"/><Relationship Id="rId117" Type="http://schemas.openxmlformats.org/officeDocument/2006/relationships/table" Target="../tables/table117.xml"/><Relationship Id="rId116" Type="http://schemas.openxmlformats.org/officeDocument/2006/relationships/table" Target="../tables/table116.xml"/><Relationship Id="rId115" Type="http://schemas.openxmlformats.org/officeDocument/2006/relationships/table" Target="../tables/table115.xml"/><Relationship Id="rId119" Type="http://schemas.openxmlformats.org/officeDocument/2006/relationships/table" Target="../tables/table119.xml"/><Relationship Id="rId110" Type="http://schemas.openxmlformats.org/officeDocument/2006/relationships/table" Target="../tables/table110.xml"/><Relationship Id="rId114" Type="http://schemas.openxmlformats.org/officeDocument/2006/relationships/table" Target="../tables/table114.xml"/><Relationship Id="rId113" Type="http://schemas.openxmlformats.org/officeDocument/2006/relationships/table" Target="../tables/table113.xml"/><Relationship Id="rId112" Type="http://schemas.openxmlformats.org/officeDocument/2006/relationships/table" Target="../tables/table112.xml"/><Relationship Id="rId111" Type="http://schemas.openxmlformats.org/officeDocument/2006/relationships/table" Target="../tables/table111.xml"/></Relationships>
</file>

<file path=xl/worksheets/_rels/sheet10.xml.rels><?xml version="1.0" encoding="UTF-8" standalone="yes"?><Relationships xmlns="http://schemas.openxmlformats.org/package/2006/relationships"><Relationship Id="rId84" Type="http://schemas.openxmlformats.org/officeDocument/2006/relationships/table" Target="../tables/table135.xml"/><Relationship Id="rId83" Type="http://schemas.openxmlformats.org/officeDocument/2006/relationships/table" Target="../tables/table134.xml"/><Relationship Id="rId86" Type="http://schemas.openxmlformats.org/officeDocument/2006/relationships/table" Target="../tables/table137.xml"/><Relationship Id="rId85" Type="http://schemas.openxmlformats.org/officeDocument/2006/relationships/table" Target="../tables/table136.xml"/><Relationship Id="rId88" Type="http://schemas.openxmlformats.org/officeDocument/2006/relationships/table" Target="../tables/table139.xml"/><Relationship Id="rId150" Type="http://schemas.openxmlformats.org/officeDocument/2006/relationships/table" Target="../tables/table201.xml"/><Relationship Id="rId87" Type="http://schemas.openxmlformats.org/officeDocument/2006/relationships/table" Target="../tables/table138.xml"/><Relationship Id="rId89" Type="http://schemas.openxmlformats.org/officeDocument/2006/relationships/table" Target="../tables/table140.xml"/><Relationship Id="rId82" Type="http://schemas.openxmlformats.org/officeDocument/2006/relationships/table" Target="../tables/table133.xml"/><Relationship Id="rId81" Type="http://schemas.openxmlformats.org/officeDocument/2006/relationships/table" Target="../tables/table132.xml"/><Relationship Id="rId1" Type="http://schemas.openxmlformats.org/officeDocument/2006/relationships/comments" Target="../comments2.xml"/><Relationship Id="rId107" Type="http://schemas.openxmlformats.org/officeDocument/2006/relationships/table" Target="../tables/table158.xml"/><Relationship Id="rId2" Type="http://schemas.openxmlformats.org/officeDocument/2006/relationships/drawing" Target="../drawings/drawing10.xml"/><Relationship Id="rId106" Type="http://schemas.openxmlformats.org/officeDocument/2006/relationships/table" Target="../tables/table157.xml"/><Relationship Id="rId3" Type="http://schemas.openxmlformats.org/officeDocument/2006/relationships/vmlDrawing" Target="../drawings/vmlDrawing2.vml"/><Relationship Id="rId105" Type="http://schemas.openxmlformats.org/officeDocument/2006/relationships/table" Target="../tables/table156.xml"/><Relationship Id="rId149" Type="http://schemas.openxmlformats.org/officeDocument/2006/relationships/table" Target="../tables/table200.xml"/><Relationship Id="rId104" Type="http://schemas.openxmlformats.org/officeDocument/2006/relationships/table" Target="../tables/table155.xml"/><Relationship Id="rId148" Type="http://schemas.openxmlformats.org/officeDocument/2006/relationships/table" Target="../tables/table199.xml"/><Relationship Id="rId109" Type="http://schemas.openxmlformats.org/officeDocument/2006/relationships/table" Target="../tables/table160.xml"/><Relationship Id="rId108" Type="http://schemas.openxmlformats.org/officeDocument/2006/relationships/table" Target="../tables/table159.xml"/><Relationship Id="rId143" Type="http://schemas.openxmlformats.org/officeDocument/2006/relationships/table" Target="../tables/table194.xml"/><Relationship Id="rId142" Type="http://schemas.openxmlformats.org/officeDocument/2006/relationships/table" Target="../tables/table193.xml"/><Relationship Id="rId141" Type="http://schemas.openxmlformats.org/officeDocument/2006/relationships/table" Target="../tables/table192.xml"/><Relationship Id="rId140" Type="http://schemas.openxmlformats.org/officeDocument/2006/relationships/table" Target="../tables/table191.xml"/><Relationship Id="rId103" Type="http://schemas.openxmlformats.org/officeDocument/2006/relationships/table" Target="../tables/table154.xml"/><Relationship Id="rId147" Type="http://schemas.openxmlformats.org/officeDocument/2006/relationships/table" Target="../tables/table198.xml"/><Relationship Id="rId102" Type="http://schemas.openxmlformats.org/officeDocument/2006/relationships/table" Target="../tables/table153.xml"/><Relationship Id="rId146" Type="http://schemas.openxmlformats.org/officeDocument/2006/relationships/table" Target="../tables/table197.xml"/><Relationship Id="rId101" Type="http://schemas.openxmlformats.org/officeDocument/2006/relationships/table" Target="../tables/table152.xml"/><Relationship Id="rId145" Type="http://schemas.openxmlformats.org/officeDocument/2006/relationships/table" Target="../tables/table196.xml"/><Relationship Id="rId100" Type="http://schemas.openxmlformats.org/officeDocument/2006/relationships/table" Target="../tables/table151.xml"/><Relationship Id="rId144" Type="http://schemas.openxmlformats.org/officeDocument/2006/relationships/table" Target="../tables/table195.xml"/><Relationship Id="rId139" Type="http://schemas.openxmlformats.org/officeDocument/2006/relationships/table" Target="../tables/table190.xml"/><Relationship Id="rId138" Type="http://schemas.openxmlformats.org/officeDocument/2006/relationships/table" Target="../tables/table189.xml"/><Relationship Id="rId137" Type="http://schemas.openxmlformats.org/officeDocument/2006/relationships/table" Target="../tables/table188.xml"/><Relationship Id="rId132" Type="http://schemas.openxmlformats.org/officeDocument/2006/relationships/table" Target="../tables/table183.xml"/><Relationship Id="rId131" Type="http://schemas.openxmlformats.org/officeDocument/2006/relationships/table" Target="../tables/table182.xml"/><Relationship Id="rId130" Type="http://schemas.openxmlformats.org/officeDocument/2006/relationships/table" Target="../tables/table181.xml"/><Relationship Id="rId136" Type="http://schemas.openxmlformats.org/officeDocument/2006/relationships/table" Target="../tables/table187.xml"/><Relationship Id="rId135" Type="http://schemas.openxmlformats.org/officeDocument/2006/relationships/table" Target="../tables/table186.xml"/><Relationship Id="rId134" Type="http://schemas.openxmlformats.org/officeDocument/2006/relationships/table" Target="../tables/table185.xml"/><Relationship Id="rId133" Type="http://schemas.openxmlformats.org/officeDocument/2006/relationships/table" Target="../tables/table184.xml"/><Relationship Id="rId129" Type="http://schemas.openxmlformats.org/officeDocument/2006/relationships/table" Target="../tables/table180.xml"/><Relationship Id="rId128" Type="http://schemas.openxmlformats.org/officeDocument/2006/relationships/table" Target="../tables/table179.xml"/><Relationship Id="rId127" Type="http://schemas.openxmlformats.org/officeDocument/2006/relationships/table" Target="../tables/table178.xml"/><Relationship Id="rId126" Type="http://schemas.openxmlformats.org/officeDocument/2006/relationships/table" Target="../tables/table177.xml"/><Relationship Id="rId121" Type="http://schemas.openxmlformats.org/officeDocument/2006/relationships/table" Target="../tables/table172.xml"/><Relationship Id="rId120" Type="http://schemas.openxmlformats.org/officeDocument/2006/relationships/table" Target="../tables/table171.xml"/><Relationship Id="rId125" Type="http://schemas.openxmlformats.org/officeDocument/2006/relationships/table" Target="../tables/table176.xml"/><Relationship Id="rId124" Type="http://schemas.openxmlformats.org/officeDocument/2006/relationships/table" Target="../tables/table175.xml"/><Relationship Id="rId123" Type="http://schemas.openxmlformats.org/officeDocument/2006/relationships/table" Target="../tables/table174.xml"/><Relationship Id="rId122" Type="http://schemas.openxmlformats.org/officeDocument/2006/relationships/table" Target="../tables/table173.xml"/><Relationship Id="rId95" Type="http://schemas.openxmlformats.org/officeDocument/2006/relationships/table" Target="../tables/table146.xml"/><Relationship Id="rId94" Type="http://schemas.openxmlformats.org/officeDocument/2006/relationships/table" Target="../tables/table145.xml"/><Relationship Id="rId97" Type="http://schemas.openxmlformats.org/officeDocument/2006/relationships/table" Target="../tables/table148.xml"/><Relationship Id="rId96" Type="http://schemas.openxmlformats.org/officeDocument/2006/relationships/table" Target="../tables/table147.xml"/><Relationship Id="rId99" Type="http://schemas.openxmlformats.org/officeDocument/2006/relationships/table" Target="../tables/table150.xml"/><Relationship Id="rId98" Type="http://schemas.openxmlformats.org/officeDocument/2006/relationships/table" Target="../tables/table149.xml"/><Relationship Id="rId91" Type="http://schemas.openxmlformats.org/officeDocument/2006/relationships/table" Target="../tables/table142.xml"/><Relationship Id="rId90" Type="http://schemas.openxmlformats.org/officeDocument/2006/relationships/table" Target="../tables/table141.xml"/><Relationship Id="rId93" Type="http://schemas.openxmlformats.org/officeDocument/2006/relationships/table" Target="../tables/table144.xml"/><Relationship Id="rId92" Type="http://schemas.openxmlformats.org/officeDocument/2006/relationships/table" Target="../tables/table143.xml"/><Relationship Id="rId118" Type="http://schemas.openxmlformats.org/officeDocument/2006/relationships/table" Target="../tables/table169.xml"/><Relationship Id="rId117" Type="http://schemas.openxmlformats.org/officeDocument/2006/relationships/table" Target="../tables/table168.xml"/><Relationship Id="rId116" Type="http://schemas.openxmlformats.org/officeDocument/2006/relationships/table" Target="../tables/table167.xml"/><Relationship Id="rId115" Type="http://schemas.openxmlformats.org/officeDocument/2006/relationships/table" Target="../tables/table166.xml"/><Relationship Id="rId119" Type="http://schemas.openxmlformats.org/officeDocument/2006/relationships/table" Target="../tables/table170.xml"/><Relationship Id="rId110" Type="http://schemas.openxmlformats.org/officeDocument/2006/relationships/table" Target="../tables/table161.xml"/><Relationship Id="rId154" Type="http://schemas.openxmlformats.org/officeDocument/2006/relationships/table" Target="../tables/table205.xml"/><Relationship Id="rId153" Type="http://schemas.openxmlformats.org/officeDocument/2006/relationships/table" Target="../tables/table204.xml"/><Relationship Id="rId152" Type="http://schemas.openxmlformats.org/officeDocument/2006/relationships/table" Target="../tables/table203.xml"/><Relationship Id="rId151" Type="http://schemas.openxmlformats.org/officeDocument/2006/relationships/table" Target="../tables/table202.xml"/><Relationship Id="rId114" Type="http://schemas.openxmlformats.org/officeDocument/2006/relationships/table" Target="../tables/table165.xml"/><Relationship Id="rId113" Type="http://schemas.openxmlformats.org/officeDocument/2006/relationships/table" Target="../tables/table164.xml"/><Relationship Id="rId157" Type="http://schemas.openxmlformats.org/officeDocument/2006/relationships/table" Target="../tables/table208.xml"/><Relationship Id="rId112" Type="http://schemas.openxmlformats.org/officeDocument/2006/relationships/table" Target="../tables/table163.xml"/><Relationship Id="rId156" Type="http://schemas.openxmlformats.org/officeDocument/2006/relationships/table" Target="../tables/table207.xml"/><Relationship Id="rId111" Type="http://schemas.openxmlformats.org/officeDocument/2006/relationships/table" Target="../tables/table162.xml"/><Relationship Id="rId155" Type="http://schemas.openxmlformats.org/officeDocument/2006/relationships/table" Target="../tables/table20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84" Type="http://schemas.openxmlformats.org/officeDocument/2006/relationships/table" Target="../tables/table235.xml"/><Relationship Id="rId83" Type="http://schemas.openxmlformats.org/officeDocument/2006/relationships/table" Target="../tables/table234.xml"/><Relationship Id="rId86" Type="http://schemas.openxmlformats.org/officeDocument/2006/relationships/table" Target="../tables/table237.xml"/><Relationship Id="rId85" Type="http://schemas.openxmlformats.org/officeDocument/2006/relationships/table" Target="../tables/table236.xml"/><Relationship Id="rId88" Type="http://schemas.openxmlformats.org/officeDocument/2006/relationships/table" Target="../tables/table239.xml"/><Relationship Id="rId87" Type="http://schemas.openxmlformats.org/officeDocument/2006/relationships/table" Target="../tables/table238.xml"/><Relationship Id="rId89" Type="http://schemas.openxmlformats.org/officeDocument/2006/relationships/table" Target="../tables/table240.xml"/><Relationship Id="rId80" Type="http://schemas.openxmlformats.org/officeDocument/2006/relationships/table" Target="../tables/table231.xml"/><Relationship Id="rId82" Type="http://schemas.openxmlformats.org/officeDocument/2006/relationships/table" Target="../tables/table233.xml"/><Relationship Id="rId81" Type="http://schemas.openxmlformats.org/officeDocument/2006/relationships/table" Target="../tables/table232.xml"/><Relationship Id="rId1" Type="http://schemas.openxmlformats.org/officeDocument/2006/relationships/drawing" Target="../drawings/drawing13.xml"/><Relationship Id="rId107" Type="http://schemas.openxmlformats.org/officeDocument/2006/relationships/table" Target="../tables/table258.xml"/><Relationship Id="rId106" Type="http://schemas.openxmlformats.org/officeDocument/2006/relationships/table" Target="../tables/table257.xml"/><Relationship Id="rId105" Type="http://schemas.openxmlformats.org/officeDocument/2006/relationships/table" Target="../tables/table256.xml"/><Relationship Id="rId104" Type="http://schemas.openxmlformats.org/officeDocument/2006/relationships/table" Target="../tables/table255.xml"/><Relationship Id="rId109" Type="http://schemas.openxmlformats.org/officeDocument/2006/relationships/table" Target="../tables/table260.xml"/><Relationship Id="rId108" Type="http://schemas.openxmlformats.org/officeDocument/2006/relationships/table" Target="../tables/table259.xml"/><Relationship Id="rId103" Type="http://schemas.openxmlformats.org/officeDocument/2006/relationships/table" Target="../tables/table254.xml"/><Relationship Id="rId102" Type="http://schemas.openxmlformats.org/officeDocument/2006/relationships/table" Target="../tables/table253.xml"/><Relationship Id="rId101" Type="http://schemas.openxmlformats.org/officeDocument/2006/relationships/table" Target="../tables/table252.xml"/><Relationship Id="rId100" Type="http://schemas.openxmlformats.org/officeDocument/2006/relationships/table" Target="../tables/table251.xml"/><Relationship Id="rId73" Type="http://schemas.openxmlformats.org/officeDocument/2006/relationships/table" Target="../tables/table224.xml"/><Relationship Id="rId72" Type="http://schemas.openxmlformats.org/officeDocument/2006/relationships/table" Target="../tables/table223.xml"/><Relationship Id="rId75" Type="http://schemas.openxmlformats.org/officeDocument/2006/relationships/table" Target="../tables/table226.xml"/><Relationship Id="rId74" Type="http://schemas.openxmlformats.org/officeDocument/2006/relationships/table" Target="../tables/table225.xml"/><Relationship Id="rId77" Type="http://schemas.openxmlformats.org/officeDocument/2006/relationships/table" Target="../tables/table228.xml"/><Relationship Id="rId76" Type="http://schemas.openxmlformats.org/officeDocument/2006/relationships/table" Target="../tables/table227.xml"/><Relationship Id="rId79" Type="http://schemas.openxmlformats.org/officeDocument/2006/relationships/table" Target="../tables/table230.xml"/><Relationship Id="rId78" Type="http://schemas.openxmlformats.org/officeDocument/2006/relationships/table" Target="../tables/table229.xml"/><Relationship Id="rId71" Type="http://schemas.openxmlformats.org/officeDocument/2006/relationships/table" Target="../tables/table222.xml"/><Relationship Id="rId70" Type="http://schemas.openxmlformats.org/officeDocument/2006/relationships/table" Target="../tables/table221.xml"/><Relationship Id="rId62" Type="http://schemas.openxmlformats.org/officeDocument/2006/relationships/table" Target="../tables/table213.xml"/><Relationship Id="rId61" Type="http://schemas.openxmlformats.org/officeDocument/2006/relationships/table" Target="../tables/table212.xml"/><Relationship Id="rId64" Type="http://schemas.openxmlformats.org/officeDocument/2006/relationships/table" Target="../tables/table215.xml"/><Relationship Id="rId63" Type="http://schemas.openxmlformats.org/officeDocument/2006/relationships/table" Target="../tables/table214.xml"/><Relationship Id="rId66" Type="http://schemas.openxmlformats.org/officeDocument/2006/relationships/table" Target="../tables/table217.xml"/><Relationship Id="rId65" Type="http://schemas.openxmlformats.org/officeDocument/2006/relationships/table" Target="../tables/table216.xml"/><Relationship Id="rId68" Type="http://schemas.openxmlformats.org/officeDocument/2006/relationships/table" Target="../tables/table219.xml"/><Relationship Id="rId67" Type="http://schemas.openxmlformats.org/officeDocument/2006/relationships/table" Target="../tables/table218.xml"/><Relationship Id="rId60" Type="http://schemas.openxmlformats.org/officeDocument/2006/relationships/table" Target="../tables/table211.xml"/><Relationship Id="rId69" Type="http://schemas.openxmlformats.org/officeDocument/2006/relationships/table" Target="../tables/table220.xml"/><Relationship Id="rId95" Type="http://schemas.openxmlformats.org/officeDocument/2006/relationships/table" Target="../tables/table246.xml"/><Relationship Id="rId94" Type="http://schemas.openxmlformats.org/officeDocument/2006/relationships/table" Target="../tables/table245.xml"/><Relationship Id="rId97" Type="http://schemas.openxmlformats.org/officeDocument/2006/relationships/table" Target="../tables/table248.xml"/><Relationship Id="rId96" Type="http://schemas.openxmlformats.org/officeDocument/2006/relationships/table" Target="../tables/table247.xml"/><Relationship Id="rId99" Type="http://schemas.openxmlformats.org/officeDocument/2006/relationships/table" Target="../tables/table250.xml"/><Relationship Id="rId98" Type="http://schemas.openxmlformats.org/officeDocument/2006/relationships/table" Target="../tables/table249.xml"/><Relationship Id="rId91" Type="http://schemas.openxmlformats.org/officeDocument/2006/relationships/table" Target="../tables/table242.xml"/><Relationship Id="rId90" Type="http://schemas.openxmlformats.org/officeDocument/2006/relationships/table" Target="../tables/table241.xml"/><Relationship Id="rId93" Type="http://schemas.openxmlformats.org/officeDocument/2006/relationships/table" Target="../tables/table244.xml"/><Relationship Id="rId92" Type="http://schemas.openxmlformats.org/officeDocument/2006/relationships/table" Target="../tables/table243.xml"/><Relationship Id="rId59" Type="http://schemas.openxmlformats.org/officeDocument/2006/relationships/table" Target="../tables/table210.xml"/><Relationship Id="rId110" Type="http://schemas.openxmlformats.org/officeDocument/2006/relationships/table" Target="../tables/table261.xml"/><Relationship Id="rId58" Type="http://schemas.openxmlformats.org/officeDocument/2006/relationships/table" Target="../tables/table209.xml"/><Relationship Id="rId113" Type="http://schemas.openxmlformats.org/officeDocument/2006/relationships/table" Target="../tables/table264.xml"/><Relationship Id="rId112" Type="http://schemas.openxmlformats.org/officeDocument/2006/relationships/table" Target="../tables/table263.xml"/><Relationship Id="rId111" Type="http://schemas.openxmlformats.org/officeDocument/2006/relationships/table" Target="../tables/table262.xml"/></Relationships>
</file>

<file path=xl/worksheets/_rels/sheet14.xml.rels><?xml version="1.0" encoding="UTF-8" standalone="yes"?><Relationships xmlns="http://schemas.openxmlformats.org/package/2006/relationships"><Relationship Id="rId84" Type="http://schemas.openxmlformats.org/officeDocument/2006/relationships/table" Target="../tables/table270.xml"/><Relationship Id="rId83" Type="http://schemas.openxmlformats.org/officeDocument/2006/relationships/table" Target="../tables/table269.xml"/><Relationship Id="rId86" Type="http://schemas.openxmlformats.org/officeDocument/2006/relationships/table" Target="../tables/table272.xml"/><Relationship Id="rId85" Type="http://schemas.openxmlformats.org/officeDocument/2006/relationships/table" Target="../tables/table271.xml"/><Relationship Id="rId88" Type="http://schemas.openxmlformats.org/officeDocument/2006/relationships/table" Target="../tables/table274.xml"/><Relationship Id="rId150" Type="http://schemas.openxmlformats.org/officeDocument/2006/relationships/table" Target="../tables/table336.xml"/><Relationship Id="rId87" Type="http://schemas.openxmlformats.org/officeDocument/2006/relationships/table" Target="../tables/table273.xml"/><Relationship Id="rId89" Type="http://schemas.openxmlformats.org/officeDocument/2006/relationships/table" Target="../tables/table275.xml"/><Relationship Id="rId80" Type="http://schemas.openxmlformats.org/officeDocument/2006/relationships/table" Target="../tables/table266.xml"/><Relationship Id="rId82" Type="http://schemas.openxmlformats.org/officeDocument/2006/relationships/table" Target="../tables/table268.xml"/><Relationship Id="rId81" Type="http://schemas.openxmlformats.org/officeDocument/2006/relationships/table" Target="../tables/table267.xml"/><Relationship Id="rId1" Type="http://schemas.openxmlformats.org/officeDocument/2006/relationships/drawing" Target="../drawings/drawing14.xml"/><Relationship Id="rId107" Type="http://schemas.openxmlformats.org/officeDocument/2006/relationships/table" Target="../tables/table293.xml"/><Relationship Id="rId106" Type="http://schemas.openxmlformats.org/officeDocument/2006/relationships/table" Target="../tables/table292.xml"/><Relationship Id="rId105" Type="http://schemas.openxmlformats.org/officeDocument/2006/relationships/table" Target="../tables/table291.xml"/><Relationship Id="rId149" Type="http://schemas.openxmlformats.org/officeDocument/2006/relationships/table" Target="../tables/table335.xml"/><Relationship Id="rId104" Type="http://schemas.openxmlformats.org/officeDocument/2006/relationships/table" Target="../tables/table290.xml"/><Relationship Id="rId148" Type="http://schemas.openxmlformats.org/officeDocument/2006/relationships/table" Target="../tables/table334.xml"/><Relationship Id="rId109" Type="http://schemas.openxmlformats.org/officeDocument/2006/relationships/table" Target="../tables/table295.xml"/><Relationship Id="rId108" Type="http://schemas.openxmlformats.org/officeDocument/2006/relationships/table" Target="../tables/table294.xml"/><Relationship Id="rId143" Type="http://schemas.openxmlformats.org/officeDocument/2006/relationships/table" Target="../tables/table329.xml"/><Relationship Id="rId142" Type="http://schemas.openxmlformats.org/officeDocument/2006/relationships/table" Target="../tables/table328.xml"/><Relationship Id="rId141" Type="http://schemas.openxmlformats.org/officeDocument/2006/relationships/table" Target="../tables/table327.xml"/><Relationship Id="rId140" Type="http://schemas.openxmlformats.org/officeDocument/2006/relationships/table" Target="../tables/table326.xml"/><Relationship Id="rId103" Type="http://schemas.openxmlformats.org/officeDocument/2006/relationships/table" Target="../tables/table289.xml"/><Relationship Id="rId147" Type="http://schemas.openxmlformats.org/officeDocument/2006/relationships/table" Target="../tables/table333.xml"/><Relationship Id="rId102" Type="http://schemas.openxmlformats.org/officeDocument/2006/relationships/table" Target="../tables/table288.xml"/><Relationship Id="rId146" Type="http://schemas.openxmlformats.org/officeDocument/2006/relationships/table" Target="../tables/table332.xml"/><Relationship Id="rId101" Type="http://schemas.openxmlformats.org/officeDocument/2006/relationships/table" Target="../tables/table287.xml"/><Relationship Id="rId145" Type="http://schemas.openxmlformats.org/officeDocument/2006/relationships/table" Target="../tables/table331.xml"/><Relationship Id="rId100" Type="http://schemas.openxmlformats.org/officeDocument/2006/relationships/table" Target="../tables/table286.xml"/><Relationship Id="rId144" Type="http://schemas.openxmlformats.org/officeDocument/2006/relationships/table" Target="../tables/table330.xml"/><Relationship Id="rId79" Type="http://schemas.openxmlformats.org/officeDocument/2006/relationships/table" Target="../tables/table265.xml"/><Relationship Id="rId139" Type="http://schemas.openxmlformats.org/officeDocument/2006/relationships/table" Target="../tables/table325.xml"/><Relationship Id="rId138" Type="http://schemas.openxmlformats.org/officeDocument/2006/relationships/table" Target="../tables/table324.xml"/><Relationship Id="rId137" Type="http://schemas.openxmlformats.org/officeDocument/2006/relationships/table" Target="../tables/table323.xml"/><Relationship Id="rId132" Type="http://schemas.openxmlformats.org/officeDocument/2006/relationships/table" Target="../tables/table318.xml"/><Relationship Id="rId131" Type="http://schemas.openxmlformats.org/officeDocument/2006/relationships/table" Target="../tables/table317.xml"/><Relationship Id="rId130" Type="http://schemas.openxmlformats.org/officeDocument/2006/relationships/table" Target="../tables/table316.xml"/><Relationship Id="rId136" Type="http://schemas.openxmlformats.org/officeDocument/2006/relationships/table" Target="../tables/table322.xml"/><Relationship Id="rId135" Type="http://schemas.openxmlformats.org/officeDocument/2006/relationships/table" Target="../tables/table321.xml"/><Relationship Id="rId134" Type="http://schemas.openxmlformats.org/officeDocument/2006/relationships/table" Target="../tables/table320.xml"/><Relationship Id="rId133" Type="http://schemas.openxmlformats.org/officeDocument/2006/relationships/table" Target="../tables/table319.xml"/><Relationship Id="rId129" Type="http://schemas.openxmlformats.org/officeDocument/2006/relationships/table" Target="../tables/table315.xml"/><Relationship Id="rId128" Type="http://schemas.openxmlformats.org/officeDocument/2006/relationships/table" Target="../tables/table314.xml"/><Relationship Id="rId127" Type="http://schemas.openxmlformats.org/officeDocument/2006/relationships/table" Target="../tables/table313.xml"/><Relationship Id="rId126" Type="http://schemas.openxmlformats.org/officeDocument/2006/relationships/table" Target="../tables/table312.xml"/><Relationship Id="rId121" Type="http://schemas.openxmlformats.org/officeDocument/2006/relationships/table" Target="../tables/table307.xml"/><Relationship Id="rId120" Type="http://schemas.openxmlformats.org/officeDocument/2006/relationships/table" Target="../tables/table306.xml"/><Relationship Id="rId125" Type="http://schemas.openxmlformats.org/officeDocument/2006/relationships/table" Target="../tables/table311.xml"/><Relationship Id="rId124" Type="http://schemas.openxmlformats.org/officeDocument/2006/relationships/table" Target="../tables/table310.xml"/><Relationship Id="rId123" Type="http://schemas.openxmlformats.org/officeDocument/2006/relationships/table" Target="../tables/table309.xml"/><Relationship Id="rId122" Type="http://schemas.openxmlformats.org/officeDocument/2006/relationships/table" Target="../tables/table308.xml"/><Relationship Id="rId95" Type="http://schemas.openxmlformats.org/officeDocument/2006/relationships/table" Target="../tables/table281.xml"/><Relationship Id="rId94" Type="http://schemas.openxmlformats.org/officeDocument/2006/relationships/table" Target="../tables/table280.xml"/><Relationship Id="rId97" Type="http://schemas.openxmlformats.org/officeDocument/2006/relationships/table" Target="../tables/table283.xml"/><Relationship Id="rId96" Type="http://schemas.openxmlformats.org/officeDocument/2006/relationships/table" Target="../tables/table282.xml"/><Relationship Id="rId99" Type="http://schemas.openxmlformats.org/officeDocument/2006/relationships/table" Target="../tables/table285.xml"/><Relationship Id="rId98" Type="http://schemas.openxmlformats.org/officeDocument/2006/relationships/table" Target="../tables/table284.xml"/><Relationship Id="rId91" Type="http://schemas.openxmlformats.org/officeDocument/2006/relationships/table" Target="../tables/table277.xml"/><Relationship Id="rId90" Type="http://schemas.openxmlformats.org/officeDocument/2006/relationships/table" Target="../tables/table276.xml"/><Relationship Id="rId93" Type="http://schemas.openxmlformats.org/officeDocument/2006/relationships/table" Target="../tables/table279.xml"/><Relationship Id="rId92" Type="http://schemas.openxmlformats.org/officeDocument/2006/relationships/table" Target="../tables/table278.xml"/><Relationship Id="rId118" Type="http://schemas.openxmlformats.org/officeDocument/2006/relationships/table" Target="../tables/table304.xml"/><Relationship Id="rId117" Type="http://schemas.openxmlformats.org/officeDocument/2006/relationships/table" Target="../tables/table303.xml"/><Relationship Id="rId116" Type="http://schemas.openxmlformats.org/officeDocument/2006/relationships/table" Target="../tables/table302.xml"/><Relationship Id="rId115" Type="http://schemas.openxmlformats.org/officeDocument/2006/relationships/table" Target="../tables/table301.xml"/><Relationship Id="rId119" Type="http://schemas.openxmlformats.org/officeDocument/2006/relationships/table" Target="../tables/table305.xml"/><Relationship Id="rId110" Type="http://schemas.openxmlformats.org/officeDocument/2006/relationships/table" Target="../tables/table296.xml"/><Relationship Id="rId154" Type="http://schemas.openxmlformats.org/officeDocument/2006/relationships/table" Target="../tables/table340.xml"/><Relationship Id="rId153" Type="http://schemas.openxmlformats.org/officeDocument/2006/relationships/table" Target="../tables/table339.xml"/><Relationship Id="rId152" Type="http://schemas.openxmlformats.org/officeDocument/2006/relationships/table" Target="../tables/table338.xml"/><Relationship Id="rId151" Type="http://schemas.openxmlformats.org/officeDocument/2006/relationships/table" Target="../tables/table337.xml"/><Relationship Id="rId114" Type="http://schemas.openxmlformats.org/officeDocument/2006/relationships/table" Target="../tables/table300.xml"/><Relationship Id="rId113" Type="http://schemas.openxmlformats.org/officeDocument/2006/relationships/table" Target="../tables/table299.xml"/><Relationship Id="rId112" Type="http://schemas.openxmlformats.org/officeDocument/2006/relationships/table" Target="../tables/table298.xml"/><Relationship Id="rId111" Type="http://schemas.openxmlformats.org/officeDocument/2006/relationships/table" Target="../tables/table297.xml"/><Relationship Id="rId155" Type="http://schemas.openxmlformats.org/officeDocument/2006/relationships/table" Target="../tables/table34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0.1" defaultRowHeight="15.0"/>
  <cols>
    <col customWidth="1" min="1" max="8" width="15.1"/>
  </cols>
  <sheetData>
    <row r="1" ht="22.5" customHeight="1">
      <c r="A1" s="1" t="s">
        <v>0</v>
      </c>
      <c r="B1" s="2" t="s">
        <v>1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1" max="1" width="18.5"/>
    <col customWidth="1" min="2" max="2" width="27.5"/>
    <col customWidth="1" min="4" max="4" width="15.7"/>
    <col customWidth="1" min="5" max="5" width="24.4"/>
    <col customWidth="1" min="6" max="6" width="20.9"/>
    <col customWidth="1" min="10" max="10" width="20.9"/>
    <col customWidth="1" min="11" max="11" width="11.9"/>
  </cols>
  <sheetData>
    <row r="1">
      <c r="A1" s="3" t="s">
        <v>2</v>
      </c>
      <c r="B1" s="4" t="s">
        <v>3</v>
      </c>
      <c r="C1" s="5" t="s">
        <v>4</v>
      </c>
      <c r="D1" s="4" t="s">
        <v>5</v>
      </c>
      <c r="E1" s="4" t="s">
        <v>6</v>
      </c>
      <c r="F1" s="4" t="s">
        <v>7</v>
      </c>
      <c r="G1" s="6" t="s">
        <v>8</v>
      </c>
      <c r="H1" s="7" t="s">
        <v>9</v>
      </c>
      <c r="I1" s="4" t="s">
        <v>10</v>
      </c>
      <c r="J1" s="4" t="s">
        <v>11</v>
      </c>
      <c r="K1" s="4" t="s">
        <v>12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>
      <c r="A2" s="9" t="s">
        <v>13</v>
      </c>
      <c r="B2" s="10" t="s">
        <v>14</v>
      </c>
      <c r="C2" s="11">
        <v>45980.0</v>
      </c>
      <c r="D2" s="10" t="s">
        <v>15</v>
      </c>
      <c r="E2" s="10" t="s">
        <v>16</v>
      </c>
      <c r="F2" s="10" t="s">
        <v>17</v>
      </c>
      <c r="G2" s="12">
        <v>4600.0</v>
      </c>
      <c r="H2" s="13">
        <v>2501.0</v>
      </c>
      <c r="I2" s="10" t="s">
        <v>18</v>
      </c>
      <c r="J2" s="10" t="s">
        <v>19</v>
      </c>
      <c r="K2" s="10">
        <v>427.0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>
      <c r="A3" s="9" t="s">
        <v>13</v>
      </c>
      <c r="B3" s="10" t="s">
        <v>20</v>
      </c>
      <c r="C3" s="11">
        <v>45982.0</v>
      </c>
      <c r="D3" s="10">
        <v>2.0647819E7</v>
      </c>
      <c r="E3" s="10" t="s">
        <v>21</v>
      </c>
      <c r="F3" s="10" t="s">
        <v>22</v>
      </c>
      <c r="G3" s="12">
        <v>4199.0</v>
      </c>
      <c r="H3" s="13">
        <v>2416.0</v>
      </c>
      <c r="I3" s="10" t="s">
        <v>23</v>
      </c>
      <c r="J3" s="10" t="s">
        <v>19</v>
      </c>
      <c r="K3" s="10">
        <v>427.0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>
      <c r="A4" s="9" t="s">
        <v>13</v>
      </c>
      <c r="B4" s="10" t="s">
        <v>24</v>
      </c>
      <c r="C4" s="11">
        <v>45980.0</v>
      </c>
      <c r="D4" s="10">
        <v>7982712.0</v>
      </c>
      <c r="E4" s="10" t="s">
        <v>25</v>
      </c>
      <c r="F4" s="10" t="s">
        <v>26</v>
      </c>
      <c r="G4" s="12">
        <v>800.0</v>
      </c>
      <c r="H4" s="13">
        <v>433.0</v>
      </c>
      <c r="I4" s="10" t="s">
        <v>27</v>
      </c>
      <c r="J4" s="10" t="s">
        <v>28</v>
      </c>
      <c r="K4" s="10">
        <v>515.0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>
      <c r="A5" s="9" t="s">
        <v>13</v>
      </c>
      <c r="B5" s="10" t="s">
        <v>29</v>
      </c>
      <c r="C5" s="11">
        <v>45981.0</v>
      </c>
      <c r="D5" s="10">
        <v>2091995.0</v>
      </c>
      <c r="E5" s="10" t="s">
        <v>30</v>
      </c>
      <c r="F5" s="10" t="s">
        <v>31</v>
      </c>
      <c r="G5" s="12">
        <v>1300.0</v>
      </c>
      <c r="H5" s="15">
        <v>709.0</v>
      </c>
      <c r="I5" s="10" t="s">
        <v>32</v>
      </c>
      <c r="J5" s="10" t="s">
        <v>28</v>
      </c>
      <c r="K5" s="10">
        <v>515.0</v>
      </c>
      <c r="L5" s="16">
        <v>602.0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>
      <c r="A6" s="9" t="s">
        <v>13</v>
      </c>
      <c r="B6" s="10" t="s">
        <v>33</v>
      </c>
      <c r="C6" s="11">
        <v>45978.0</v>
      </c>
      <c r="D6" s="10">
        <v>2.0256418E7</v>
      </c>
      <c r="E6" s="10" t="s">
        <v>34</v>
      </c>
      <c r="F6" s="10" t="s">
        <v>35</v>
      </c>
      <c r="G6" s="12">
        <v>1100.0</v>
      </c>
      <c r="H6" s="13">
        <v>1025.0</v>
      </c>
      <c r="I6" s="10" t="s">
        <v>36</v>
      </c>
      <c r="J6" s="10" t="s">
        <v>37</v>
      </c>
      <c r="K6" s="10">
        <v>659.0</v>
      </c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>
      <c r="A7" s="9" t="s">
        <v>13</v>
      </c>
      <c r="B7" s="10" t="s">
        <v>38</v>
      </c>
      <c r="C7" s="11">
        <v>45980.0</v>
      </c>
      <c r="D7" s="10">
        <v>269578.0</v>
      </c>
      <c r="E7" s="10" t="s">
        <v>39</v>
      </c>
      <c r="F7" s="10" t="s">
        <v>40</v>
      </c>
      <c r="G7" s="12">
        <v>1300.0</v>
      </c>
      <c r="H7" s="13">
        <v>718.0</v>
      </c>
      <c r="I7" s="10" t="s">
        <v>41</v>
      </c>
      <c r="J7" s="10" t="s">
        <v>37</v>
      </c>
      <c r="K7" s="10">
        <v>659.0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>
      <c r="A8" s="9" t="s">
        <v>13</v>
      </c>
      <c r="B8" s="10" t="s">
        <v>42</v>
      </c>
      <c r="C8" s="11">
        <v>45981.0</v>
      </c>
      <c r="D8" s="10">
        <v>9389500.0</v>
      </c>
      <c r="E8" s="10" t="s">
        <v>43</v>
      </c>
      <c r="F8" s="10" t="s">
        <v>44</v>
      </c>
      <c r="G8" s="12">
        <v>870.0</v>
      </c>
      <c r="H8" s="13">
        <v>468.0</v>
      </c>
      <c r="I8" s="10" t="s">
        <v>45</v>
      </c>
      <c r="J8" s="10" t="s">
        <v>37</v>
      </c>
      <c r="K8" s="10">
        <v>659.0</v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>
      <c r="A9" s="9" t="s">
        <v>13</v>
      </c>
      <c r="B9" s="10" t="s">
        <v>46</v>
      </c>
      <c r="C9" s="11">
        <v>45982.0</v>
      </c>
      <c r="D9" s="10">
        <v>6.01124379E10</v>
      </c>
      <c r="E9" s="10" t="s">
        <v>47</v>
      </c>
      <c r="F9" s="10" t="s">
        <v>48</v>
      </c>
      <c r="G9" s="12">
        <v>5050.0</v>
      </c>
      <c r="H9" s="13">
        <v>2598.0</v>
      </c>
      <c r="I9" s="10" t="s">
        <v>49</v>
      </c>
      <c r="J9" s="10" t="s">
        <v>37</v>
      </c>
      <c r="K9" s="10">
        <v>659.0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>
      <c r="A10" s="9" t="s">
        <v>13</v>
      </c>
      <c r="B10" s="14" t="s">
        <v>50</v>
      </c>
      <c r="C10" s="17">
        <v>45982.0</v>
      </c>
      <c r="D10" s="18">
        <v>1054.0</v>
      </c>
      <c r="E10" s="19" t="s">
        <v>51</v>
      </c>
      <c r="F10" s="16" t="s">
        <v>51</v>
      </c>
      <c r="G10" s="20">
        <v>3800.0</v>
      </c>
      <c r="H10" s="21">
        <v>1879.0</v>
      </c>
      <c r="I10" s="16" t="s">
        <v>52</v>
      </c>
      <c r="J10" s="16" t="s">
        <v>53</v>
      </c>
      <c r="K10" s="16">
        <v>913.0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>
      <c r="A11" s="9" t="s">
        <v>13</v>
      </c>
      <c r="B11" s="10" t="s">
        <v>54</v>
      </c>
      <c r="C11" s="11">
        <v>45980.0</v>
      </c>
      <c r="D11" s="10">
        <v>1.5421907E7</v>
      </c>
      <c r="E11" s="10" t="s">
        <v>55</v>
      </c>
      <c r="F11" s="10" t="s">
        <v>56</v>
      </c>
      <c r="G11" s="12">
        <v>3000.0</v>
      </c>
      <c r="H11" s="13">
        <v>1625.0</v>
      </c>
      <c r="I11" s="10" t="s">
        <v>57</v>
      </c>
      <c r="J11" s="10" t="s">
        <v>58</v>
      </c>
      <c r="K11" s="10">
        <v>997.0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>
      <c r="A12" s="9" t="s">
        <v>13</v>
      </c>
      <c r="B12" s="10" t="s">
        <v>59</v>
      </c>
      <c r="C12" s="11">
        <v>45982.0</v>
      </c>
      <c r="D12" s="10">
        <v>5546288.0</v>
      </c>
      <c r="E12" s="10" t="s">
        <v>60</v>
      </c>
      <c r="F12" s="10" t="s">
        <v>61</v>
      </c>
      <c r="G12" s="12">
        <v>4200.0</v>
      </c>
      <c r="H12" s="13">
        <v>2251.0</v>
      </c>
      <c r="I12" s="10" t="s">
        <v>62</v>
      </c>
      <c r="J12" s="10" t="s">
        <v>58</v>
      </c>
      <c r="K12" s="10">
        <v>997.0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>
      <c r="A13" s="9" t="s">
        <v>13</v>
      </c>
      <c r="B13" s="10" t="s">
        <v>63</v>
      </c>
      <c r="C13" s="11">
        <v>45978.0</v>
      </c>
      <c r="D13" s="10">
        <v>1238994.0</v>
      </c>
      <c r="E13" s="10" t="s">
        <v>64</v>
      </c>
      <c r="F13" s="10" t="s">
        <v>65</v>
      </c>
      <c r="G13" s="12">
        <v>1420.0</v>
      </c>
      <c r="H13" s="13">
        <v>705.0</v>
      </c>
      <c r="I13" s="10" t="s">
        <v>66</v>
      </c>
      <c r="J13" s="10" t="s">
        <v>67</v>
      </c>
      <c r="K13" s="10">
        <v>1002.0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>
      <c r="A14" s="9" t="s">
        <v>13</v>
      </c>
      <c r="B14" s="10" t="s">
        <v>24</v>
      </c>
      <c r="C14" s="11">
        <v>45979.0</v>
      </c>
      <c r="D14" s="10">
        <v>8002007.0</v>
      </c>
      <c r="E14" s="10" t="s">
        <v>68</v>
      </c>
      <c r="F14" s="10" t="s">
        <v>69</v>
      </c>
      <c r="G14" s="12">
        <v>2700.0</v>
      </c>
      <c r="H14" s="13">
        <v>1467.0</v>
      </c>
      <c r="I14" s="10" t="s">
        <v>70</v>
      </c>
      <c r="J14" s="10" t="s">
        <v>67</v>
      </c>
      <c r="K14" s="10">
        <v>1002.0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>
      <c r="A15" s="9" t="s">
        <v>13</v>
      </c>
      <c r="B15" s="10" t="s">
        <v>71</v>
      </c>
      <c r="C15" s="11">
        <v>45982.0</v>
      </c>
      <c r="D15" s="10">
        <v>57602.0</v>
      </c>
      <c r="E15" s="10" t="s">
        <v>72</v>
      </c>
      <c r="F15" s="10" t="s">
        <v>73</v>
      </c>
      <c r="G15" s="12">
        <v>2773.0</v>
      </c>
      <c r="H15" s="13">
        <v>1354.0</v>
      </c>
      <c r="I15" s="10" t="s">
        <v>74</v>
      </c>
      <c r="J15" s="10" t="s">
        <v>67</v>
      </c>
      <c r="K15" s="10">
        <v>1002.0</v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>
      <c r="A16" s="9" t="s">
        <v>13</v>
      </c>
      <c r="B16" s="10" t="s">
        <v>75</v>
      </c>
      <c r="C16" s="11">
        <v>45979.0</v>
      </c>
      <c r="D16" s="10">
        <v>1.1619708E7</v>
      </c>
      <c r="E16" s="10" t="s">
        <v>76</v>
      </c>
      <c r="F16" s="10" t="s">
        <v>77</v>
      </c>
      <c r="G16" s="12">
        <v>500.0</v>
      </c>
      <c r="H16" s="13">
        <v>427.0</v>
      </c>
      <c r="I16" s="10" t="s">
        <v>78</v>
      </c>
      <c r="J16" s="10" t="s">
        <v>79</v>
      </c>
      <c r="K16" s="10">
        <v>2316.0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>
      <c r="A17" s="9" t="s">
        <v>13</v>
      </c>
      <c r="B17" s="10" t="s">
        <v>80</v>
      </c>
      <c r="C17" s="11">
        <v>45980.0</v>
      </c>
      <c r="D17" s="10">
        <v>1534459.0</v>
      </c>
      <c r="E17" s="10" t="s">
        <v>81</v>
      </c>
      <c r="F17" s="10" t="s">
        <v>82</v>
      </c>
      <c r="G17" s="12">
        <v>1000.0</v>
      </c>
      <c r="H17" s="13">
        <v>500.0</v>
      </c>
      <c r="I17" s="10" t="s">
        <v>83</v>
      </c>
      <c r="J17" s="10" t="s">
        <v>79</v>
      </c>
      <c r="K17" s="10">
        <v>2316.0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>
      <c r="A18" s="9" t="s">
        <v>13</v>
      </c>
      <c r="B18" s="10" t="s">
        <v>20</v>
      </c>
      <c r="C18" s="11">
        <v>45981.0</v>
      </c>
      <c r="D18" s="10">
        <v>2.0659778E7</v>
      </c>
      <c r="E18" s="10" t="s">
        <v>84</v>
      </c>
      <c r="F18" s="10" t="s">
        <v>85</v>
      </c>
      <c r="G18" s="12">
        <v>1887.0</v>
      </c>
      <c r="H18" s="13">
        <v>915.0</v>
      </c>
      <c r="I18" s="10" t="s">
        <v>86</v>
      </c>
      <c r="J18" s="10" t="s">
        <v>79</v>
      </c>
      <c r="K18" s="10">
        <v>2316.0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>
      <c r="A19" s="9" t="s">
        <v>13</v>
      </c>
      <c r="B19" s="10" t="s">
        <v>87</v>
      </c>
      <c r="C19" s="11">
        <v>45982.0</v>
      </c>
      <c r="D19" s="10">
        <v>754981.0</v>
      </c>
      <c r="E19" s="10" t="s">
        <v>88</v>
      </c>
      <c r="F19" s="10" t="s">
        <v>89</v>
      </c>
      <c r="G19" s="12">
        <v>3400.0</v>
      </c>
      <c r="H19" s="13">
        <v>1799.0</v>
      </c>
      <c r="I19" s="10" t="s">
        <v>90</v>
      </c>
      <c r="J19" s="10" t="s">
        <v>79</v>
      </c>
      <c r="K19" s="10">
        <v>2316.0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>
      <c r="A20" s="9" t="s">
        <v>13</v>
      </c>
      <c r="B20" s="10" t="s">
        <v>91</v>
      </c>
      <c r="C20" s="11">
        <v>45979.0</v>
      </c>
      <c r="D20" s="10">
        <v>628546.0</v>
      </c>
      <c r="E20" s="10" t="s">
        <v>92</v>
      </c>
      <c r="F20" s="10" t="s">
        <v>93</v>
      </c>
      <c r="G20" s="12">
        <v>2300.0</v>
      </c>
      <c r="H20" s="13">
        <v>937.0</v>
      </c>
      <c r="I20" s="10" t="s">
        <v>94</v>
      </c>
      <c r="J20" s="10" t="s">
        <v>95</v>
      </c>
      <c r="K20" s="10">
        <v>2516.0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>
      <c r="A21" s="9" t="s">
        <v>13</v>
      </c>
      <c r="B21" s="10" t="s">
        <v>96</v>
      </c>
      <c r="C21" s="11">
        <v>45982.0</v>
      </c>
      <c r="D21" s="10">
        <v>1240875.0</v>
      </c>
      <c r="E21" s="10" t="s">
        <v>17</v>
      </c>
      <c r="F21" s="10" t="s">
        <v>97</v>
      </c>
      <c r="G21" s="12">
        <v>3900.0</v>
      </c>
      <c r="H21" s="13">
        <v>2259.0</v>
      </c>
      <c r="I21" s="10" t="s">
        <v>98</v>
      </c>
      <c r="J21" s="10" t="s">
        <v>95</v>
      </c>
      <c r="K21" s="10">
        <v>2516.0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>
      <c r="A22" s="9" t="s">
        <v>13</v>
      </c>
      <c r="B22" s="10" t="s">
        <v>99</v>
      </c>
      <c r="C22" s="11">
        <v>45978.0</v>
      </c>
      <c r="D22" s="10">
        <v>2870321.0</v>
      </c>
      <c r="E22" s="10" t="s">
        <v>100</v>
      </c>
      <c r="F22" s="10" t="s">
        <v>101</v>
      </c>
      <c r="G22" s="12">
        <v>1200.0</v>
      </c>
      <c r="H22" s="13">
        <v>534.0</v>
      </c>
      <c r="I22" s="10" t="s">
        <v>102</v>
      </c>
      <c r="J22" s="10" t="s">
        <v>103</v>
      </c>
      <c r="K22" s="10">
        <v>2675.0</v>
      </c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>
      <c r="A23" s="9" t="s">
        <v>13</v>
      </c>
      <c r="B23" s="10" t="s">
        <v>104</v>
      </c>
      <c r="C23" s="11">
        <v>45979.0</v>
      </c>
      <c r="D23" s="10">
        <v>5.35189665E8</v>
      </c>
      <c r="E23" s="10" t="s">
        <v>101</v>
      </c>
      <c r="F23" s="10" t="s">
        <v>105</v>
      </c>
      <c r="G23" s="12">
        <v>2775.0</v>
      </c>
      <c r="H23" s="13">
        <v>1636.0</v>
      </c>
      <c r="I23" s="10" t="s">
        <v>106</v>
      </c>
      <c r="J23" s="10" t="s">
        <v>103</v>
      </c>
      <c r="K23" s="10">
        <v>2675.0</v>
      </c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>
      <c r="A24" s="9" t="s">
        <v>13</v>
      </c>
      <c r="B24" s="10" t="s">
        <v>104</v>
      </c>
      <c r="C24" s="11">
        <v>45982.0</v>
      </c>
      <c r="D24" s="10">
        <v>5.35391448E8</v>
      </c>
      <c r="E24" s="10" t="s">
        <v>107</v>
      </c>
      <c r="F24" s="22" t="s">
        <v>108</v>
      </c>
      <c r="G24" s="12">
        <v>6300.0</v>
      </c>
      <c r="H24" s="13">
        <v>2829.0</v>
      </c>
      <c r="I24" s="10" t="s">
        <v>109</v>
      </c>
      <c r="J24" s="10" t="s">
        <v>103</v>
      </c>
      <c r="K24" s="10">
        <v>2675.0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>
      <c r="A25" s="9" t="s">
        <v>13</v>
      </c>
      <c r="B25" s="10" t="s">
        <v>110</v>
      </c>
      <c r="C25" s="11">
        <v>45982.0</v>
      </c>
      <c r="D25" s="10" t="s">
        <v>111</v>
      </c>
      <c r="E25" s="10" t="s">
        <v>112</v>
      </c>
      <c r="F25" s="10" t="s">
        <v>113</v>
      </c>
      <c r="G25" s="12">
        <v>6200.0</v>
      </c>
      <c r="H25" s="13">
        <v>2715.0</v>
      </c>
      <c r="I25" s="10" t="s">
        <v>114</v>
      </c>
      <c r="J25" s="10" t="s">
        <v>115</v>
      </c>
      <c r="K25" s="10">
        <v>2693.0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>
      <c r="A26" s="9" t="s">
        <v>13</v>
      </c>
      <c r="B26" s="10" t="s">
        <v>20</v>
      </c>
      <c r="C26" s="11">
        <v>45978.0</v>
      </c>
      <c r="D26" s="10">
        <v>2.0589363E7</v>
      </c>
      <c r="E26" s="10" t="s">
        <v>116</v>
      </c>
      <c r="F26" s="10" t="s">
        <v>117</v>
      </c>
      <c r="G26" s="12">
        <v>800.0</v>
      </c>
      <c r="H26" s="13">
        <v>400.0</v>
      </c>
      <c r="I26" s="10" t="s">
        <v>118</v>
      </c>
      <c r="J26" s="10" t="s">
        <v>119</v>
      </c>
      <c r="K26" s="10">
        <v>2774.0</v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>
      <c r="A27" s="9" t="s">
        <v>13</v>
      </c>
      <c r="B27" s="10" t="s">
        <v>120</v>
      </c>
      <c r="C27" s="11">
        <v>45979.0</v>
      </c>
      <c r="D27" s="10">
        <v>51417.0</v>
      </c>
      <c r="E27" s="10" t="s">
        <v>121</v>
      </c>
      <c r="F27" s="10" t="s">
        <v>122</v>
      </c>
      <c r="G27" s="12">
        <v>2900.0</v>
      </c>
      <c r="H27" s="13">
        <v>1721.0</v>
      </c>
      <c r="I27" s="10" t="s">
        <v>123</v>
      </c>
      <c r="J27" s="10" t="s">
        <v>119</v>
      </c>
      <c r="K27" s="10">
        <v>2774.0</v>
      </c>
      <c r="L27" s="23">
        <v>-200.0</v>
      </c>
      <c r="M27" s="24" t="s">
        <v>124</v>
      </c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>
      <c r="A28" s="9" t="s">
        <v>13</v>
      </c>
      <c r="B28" s="14" t="s">
        <v>125</v>
      </c>
      <c r="C28" s="17">
        <v>45984.0</v>
      </c>
      <c r="D28" s="18">
        <v>286330.0</v>
      </c>
      <c r="E28" s="19" t="s">
        <v>126</v>
      </c>
      <c r="F28" s="16" t="s">
        <v>126</v>
      </c>
      <c r="G28" s="20">
        <v>1500.0</v>
      </c>
      <c r="H28" s="21">
        <v>775.0</v>
      </c>
      <c r="I28" s="16" t="s">
        <v>127</v>
      </c>
      <c r="J28" s="16" t="s">
        <v>119</v>
      </c>
      <c r="K28" s="16">
        <v>2774.0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>
      <c r="A29" s="9" t="s">
        <v>13</v>
      </c>
      <c r="B29" s="10" t="s">
        <v>128</v>
      </c>
      <c r="C29" s="11">
        <v>45978.0</v>
      </c>
      <c r="D29" s="10">
        <v>2776823.0</v>
      </c>
      <c r="E29" s="10" t="s">
        <v>129</v>
      </c>
      <c r="F29" s="10" t="s">
        <v>130</v>
      </c>
      <c r="G29" s="12">
        <v>2200.0</v>
      </c>
      <c r="H29" s="13">
        <v>1139.0</v>
      </c>
      <c r="I29" s="10" t="s">
        <v>131</v>
      </c>
      <c r="J29" s="10" t="s">
        <v>132</v>
      </c>
      <c r="K29" s="10">
        <v>2890.0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>
      <c r="A30" s="9" t="s">
        <v>13</v>
      </c>
      <c r="B30" s="10" t="s">
        <v>20</v>
      </c>
      <c r="C30" s="11">
        <v>45980.0</v>
      </c>
      <c r="D30" s="10">
        <v>2.0542938E7</v>
      </c>
      <c r="E30" s="10" t="s">
        <v>133</v>
      </c>
      <c r="F30" s="10" t="s">
        <v>134</v>
      </c>
      <c r="G30" s="12">
        <v>1800.0</v>
      </c>
      <c r="H30" s="13">
        <v>783.0</v>
      </c>
      <c r="I30" s="10" t="s">
        <v>135</v>
      </c>
      <c r="J30" s="10" t="s">
        <v>132</v>
      </c>
      <c r="K30" s="10">
        <v>2890.0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>
      <c r="A31" s="9" t="s">
        <v>13</v>
      </c>
      <c r="B31" s="10" t="s">
        <v>125</v>
      </c>
      <c r="C31" s="11">
        <v>45981.0</v>
      </c>
      <c r="D31" s="10">
        <v>288863.0</v>
      </c>
      <c r="E31" s="10" t="s">
        <v>136</v>
      </c>
      <c r="F31" s="10" t="s">
        <v>137</v>
      </c>
      <c r="G31" s="12">
        <v>5500.0</v>
      </c>
      <c r="H31" s="13">
        <v>2688.0</v>
      </c>
      <c r="I31" s="10" t="s">
        <v>138</v>
      </c>
      <c r="J31" s="10" t="s">
        <v>132</v>
      </c>
      <c r="K31" s="10">
        <v>2890.0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>
      <c r="A32" s="9" t="s">
        <v>13</v>
      </c>
      <c r="B32" s="10" t="s">
        <v>139</v>
      </c>
      <c r="C32" s="11">
        <v>45978.0</v>
      </c>
      <c r="D32" s="10">
        <v>13975.0</v>
      </c>
      <c r="E32" s="10" t="s">
        <v>140</v>
      </c>
      <c r="F32" s="10" t="s">
        <v>141</v>
      </c>
      <c r="G32" s="12">
        <v>1000.0</v>
      </c>
      <c r="H32" s="13">
        <v>441.0</v>
      </c>
      <c r="I32" s="10" t="s">
        <v>142</v>
      </c>
      <c r="J32" s="10" t="s">
        <v>143</v>
      </c>
      <c r="K32" s="10">
        <v>2932.0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>
      <c r="A33" s="9" t="s">
        <v>13</v>
      </c>
      <c r="B33" s="10" t="s">
        <v>59</v>
      </c>
      <c r="C33" s="11">
        <v>45979.0</v>
      </c>
      <c r="D33" s="10">
        <v>5544032.0</v>
      </c>
      <c r="E33" s="10" t="s">
        <v>144</v>
      </c>
      <c r="F33" s="10" t="s">
        <v>145</v>
      </c>
      <c r="G33" s="12">
        <v>3300.0</v>
      </c>
      <c r="H33" s="13">
        <v>1599.0</v>
      </c>
      <c r="I33" s="10" t="s">
        <v>146</v>
      </c>
      <c r="J33" s="10" t="s">
        <v>143</v>
      </c>
      <c r="K33" s="10">
        <v>2932.0</v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>
      <c r="A34" s="9" t="s">
        <v>13</v>
      </c>
      <c r="B34" s="10" t="s">
        <v>24</v>
      </c>
      <c r="C34" s="11">
        <v>45981.0</v>
      </c>
      <c r="D34" s="10">
        <v>7957014.0</v>
      </c>
      <c r="E34" s="10" t="s">
        <v>147</v>
      </c>
      <c r="F34" s="10" t="s">
        <v>148</v>
      </c>
      <c r="G34" s="12">
        <v>5000.0</v>
      </c>
      <c r="H34" s="13">
        <v>2328.0</v>
      </c>
      <c r="I34" s="10" t="s">
        <v>149</v>
      </c>
      <c r="J34" s="10" t="s">
        <v>143</v>
      </c>
      <c r="K34" s="10">
        <v>2932.0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>
      <c r="A35" s="9" t="s">
        <v>13</v>
      </c>
      <c r="B35" s="10" t="s">
        <v>46</v>
      </c>
      <c r="C35" s="11">
        <v>45978.0</v>
      </c>
      <c r="D35" s="10">
        <v>6.0112376461E10</v>
      </c>
      <c r="E35" s="10" t="s">
        <v>150</v>
      </c>
      <c r="F35" s="10" t="s">
        <v>151</v>
      </c>
      <c r="G35" s="12">
        <v>2200.0</v>
      </c>
      <c r="H35" s="13">
        <v>1150.0</v>
      </c>
      <c r="I35" s="10" t="s">
        <v>152</v>
      </c>
      <c r="J35" s="10" t="s">
        <v>153</v>
      </c>
      <c r="K35" s="10">
        <v>3301.0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>
      <c r="A36" s="9" t="s">
        <v>13</v>
      </c>
      <c r="B36" s="10" t="s">
        <v>20</v>
      </c>
      <c r="C36" s="11">
        <v>45980.0</v>
      </c>
      <c r="D36" s="10">
        <v>2.0650629E7</v>
      </c>
      <c r="E36" s="10" t="s">
        <v>154</v>
      </c>
      <c r="F36" s="10" t="s">
        <v>155</v>
      </c>
      <c r="G36" s="12">
        <v>2000.0</v>
      </c>
      <c r="H36" s="13">
        <v>1081.0</v>
      </c>
      <c r="I36" s="10" t="s">
        <v>156</v>
      </c>
      <c r="J36" s="10" t="s">
        <v>153</v>
      </c>
      <c r="K36" s="10">
        <v>3301.0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>
      <c r="A37" s="9" t="s">
        <v>13</v>
      </c>
      <c r="B37" s="10" t="s">
        <v>20</v>
      </c>
      <c r="C37" s="11">
        <v>45981.0</v>
      </c>
      <c r="D37" s="10">
        <v>2.0648932E7</v>
      </c>
      <c r="E37" s="10" t="s">
        <v>157</v>
      </c>
      <c r="F37" s="10" t="s">
        <v>158</v>
      </c>
      <c r="G37" s="12">
        <v>5793.0</v>
      </c>
      <c r="H37" s="13">
        <v>2807.0</v>
      </c>
      <c r="I37" s="10" t="s">
        <v>159</v>
      </c>
      <c r="J37" s="10" t="s">
        <v>153</v>
      </c>
      <c r="K37" s="10">
        <v>3301.0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>
      <c r="A38" s="9" t="s">
        <v>13</v>
      </c>
      <c r="B38" s="10" t="s">
        <v>99</v>
      </c>
      <c r="C38" s="11">
        <v>45978.0</v>
      </c>
      <c r="D38" s="10">
        <v>2872750.0</v>
      </c>
      <c r="E38" s="10" t="s">
        <v>160</v>
      </c>
      <c r="F38" s="10" t="s">
        <v>151</v>
      </c>
      <c r="G38" s="12">
        <v>3800.0</v>
      </c>
      <c r="H38" s="13">
        <v>1918.0</v>
      </c>
      <c r="I38" s="10" t="s">
        <v>161</v>
      </c>
      <c r="J38" s="10" t="s">
        <v>162</v>
      </c>
      <c r="K38" s="10">
        <v>3403.0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>
      <c r="A39" s="9" t="s">
        <v>13</v>
      </c>
      <c r="B39" s="10" t="s">
        <v>163</v>
      </c>
      <c r="C39" s="11">
        <v>45981.0</v>
      </c>
      <c r="D39" s="10">
        <v>639382.0</v>
      </c>
      <c r="E39" s="10" t="s">
        <v>164</v>
      </c>
      <c r="F39" s="10" t="s">
        <v>165</v>
      </c>
      <c r="G39" s="12">
        <v>800.0</v>
      </c>
      <c r="H39" s="13">
        <v>703.0</v>
      </c>
      <c r="I39" s="10" t="s">
        <v>166</v>
      </c>
      <c r="J39" s="10" t="s">
        <v>162</v>
      </c>
      <c r="K39" s="10">
        <v>3403.0</v>
      </c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>
      <c r="A40" s="9" t="s">
        <v>13</v>
      </c>
      <c r="B40" s="10" t="s">
        <v>167</v>
      </c>
      <c r="C40" s="11">
        <v>45982.0</v>
      </c>
      <c r="D40" s="10">
        <v>90215.0</v>
      </c>
      <c r="E40" s="10" t="s">
        <v>168</v>
      </c>
      <c r="F40" s="10" t="s">
        <v>169</v>
      </c>
      <c r="G40" s="12">
        <v>6125.0</v>
      </c>
      <c r="H40" s="13">
        <v>2899.0</v>
      </c>
      <c r="I40" s="10" t="s">
        <v>170</v>
      </c>
      <c r="J40" s="10" t="s">
        <v>162</v>
      </c>
      <c r="K40" s="10">
        <v>3403.0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>
      <c r="A41" s="9" t="s">
        <v>13</v>
      </c>
      <c r="B41" s="10" t="s">
        <v>171</v>
      </c>
      <c r="C41" s="11">
        <v>45980.0</v>
      </c>
      <c r="D41" s="10">
        <v>2238280.0</v>
      </c>
      <c r="E41" s="10" t="s">
        <v>172</v>
      </c>
      <c r="F41" s="10" t="s">
        <v>173</v>
      </c>
      <c r="G41" s="12">
        <v>1000.0</v>
      </c>
      <c r="H41" s="13">
        <v>387.0</v>
      </c>
      <c r="I41" s="10" t="s">
        <v>174</v>
      </c>
      <c r="J41" s="10" t="s">
        <v>175</v>
      </c>
      <c r="K41" s="10">
        <v>3819.0</v>
      </c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>
      <c r="A42" s="9" t="s">
        <v>13</v>
      </c>
      <c r="B42" s="10" t="s">
        <v>176</v>
      </c>
      <c r="C42" s="11">
        <v>45981.0</v>
      </c>
      <c r="D42" s="10">
        <v>1876428.0</v>
      </c>
      <c r="E42" s="10" t="s">
        <v>177</v>
      </c>
      <c r="F42" s="10" t="s">
        <v>178</v>
      </c>
      <c r="G42" s="12">
        <v>150.0</v>
      </c>
      <c r="H42" s="13">
        <v>109.0</v>
      </c>
      <c r="I42" s="10" t="s">
        <v>179</v>
      </c>
      <c r="J42" s="10" t="s">
        <v>175</v>
      </c>
      <c r="K42" s="10">
        <v>3819.0</v>
      </c>
      <c r="L42" s="1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>
      <c r="A43" s="9" t="s">
        <v>13</v>
      </c>
      <c r="B43" s="10" t="s">
        <v>176</v>
      </c>
      <c r="C43" s="11">
        <v>45981.0</v>
      </c>
      <c r="D43" s="10">
        <v>1876453.0</v>
      </c>
      <c r="E43" s="10" t="s">
        <v>177</v>
      </c>
      <c r="F43" s="10" t="s">
        <v>180</v>
      </c>
      <c r="G43" s="12">
        <v>8400.0</v>
      </c>
      <c r="H43" s="13">
        <v>2873.0</v>
      </c>
      <c r="I43" s="10" t="s">
        <v>181</v>
      </c>
      <c r="J43" s="10" t="s">
        <v>175</v>
      </c>
      <c r="K43" s="10">
        <v>3819.0</v>
      </c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>
      <c r="A44" s="9" t="s">
        <v>13</v>
      </c>
      <c r="B44" s="10" t="s">
        <v>80</v>
      </c>
      <c r="C44" s="11">
        <v>45980.0</v>
      </c>
      <c r="D44" s="10">
        <v>1529641.0</v>
      </c>
      <c r="E44" s="10" t="s">
        <v>182</v>
      </c>
      <c r="F44" s="10" t="s">
        <v>183</v>
      </c>
      <c r="G44" s="12">
        <v>1200.0</v>
      </c>
      <c r="H44" s="13">
        <v>644.0</v>
      </c>
      <c r="I44" s="10" t="s">
        <v>184</v>
      </c>
      <c r="J44" s="10" t="s">
        <v>185</v>
      </c>
      <c r="K44" s="10">
        <v>5490.0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>
      <c r="A45" s="9" t="s">
        <v>13</v>
      </c>
      <c r="B45" s="10" t="s">
        <v>186</v>
      </c>
      <c r="C45" s="11">
        <v>45981.0</v>
      </c>
      <c r="D45" s="10">
        <v>5.33722804E8</v>
      </c>
      <c r="E45" s="10" t="s">
        <v>187</v>
      </c>
      <c r="F45" s="10" t="s">
        <v>188</v>
      </c>
      <c r="G45" s="12">
        <v>1400.0</v>
      </c>
      <c r="H45" s="13">
        <v>507.0</v>
      </c>
      <c r="I45" s="10" t="s">
        <v>189</v>
      </c>
      <c r="J45" s="10" t="s">
        <v>185</v>
      </c>
      <c r="K45" s="10">
        <v>5490.0</v>
      </c>
      <c r="L45" s="16">
        <v>522.0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>
      <c r="A46" s="9" t="s">
        <v>13</v>
      </c>
      <c r="B46" s="10" t="s">
        <v>186</v>
      </c>
      <c r="C46" s="11">
        <v>45982.0</v>
      </c>
      <c r="D46" s="10">
        <v>5.35069323E8</v>
      </c>
      <c r="E46" s="10" t="s">
        <v>190</v>
      </c>
      <c r="F46" s="10" t="s">
        <v>191</v>
      </c>
      <c r="G46" s="12">
        <v>2500.0</v>
      </c>
      <c r="H46" s="13">
        <v>1107.0</v>
      </c>
      <c r="I46" s="10" t="s">
        <v>192</v>
      </c>
      <c r="J46" s="10" t="s">
        <v>185</v>
      </c>
      <c r="K46" s="10">
        <v>5490.0</v>
      </c>
      <c r="L46" s="16">
        <v>1130.0</v>
      </c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>
      <c r="A47" s="9" t="s">
        <v>13</v>
      </c>
      <c r="B47" s="10" t="s">
        <v>193</v>
      </c>
      <c r="C47" s="11">
        <v>45978.0</v>
      </c>
      <c r="D47" s="10">
        <v>5152889.0</v>
      </c>
      <c r="E47" s="10" t="s">
        <v>194</v>
      </c>
      <c r="F47" s="10" t="s">
        <v>195</v>
      </c>
      <c r="G47" s="12">
        <v>2597.0</v>
      </c>
      <c r="H47" s="13">
        <v>1256.0</v>
      </c>
      <c r="I47" s="10" t="s">
        <v>196</v>
      </c>
      <c r="J47" s="10" t="s">
        <v>197</v>
      </c>
      <c r="K47" s="10">
        <v>6643.0</v>
      </c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>
      <c r="A48" s="9" t="s">
        <v>13</v>
      </c>
      <c r="B48" s="10" t="s">
        <v>198</v>
      </c>
      <c r="C48" s="11">
        <v>45981.0</v>
      </c>
      <c r="D48" s="10">
        <v>2172003.0</v>
      </c>
      <c r="E48" s="10" t="s">
        <v>199</v>
      </c>
      <c r="F48" s="10" t="s">
        <v>200</v>
      </c>
      <c r="G48" s="12">
        <v>3100.0</v>
      </c>
      <c r="H48" s="13">
        <v>981.0</v>
      </c>
      <c r="I48" s="10" t="s">
        <v>201</v>
      </c>
      <c r="J48" s="10" t="s">
        <v>197</v>
      </c>
      <c r="K48" s="10">
        <v>6643.0</v>
      </c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>
      <c r="A49" s="9" t="s">
        <v>13</v>
      </c>
      <c r="B49" s="10" t="s">
        <v>202</v>
      </c>
      <c r="C49" s="11">
        <v>45983.0</v>
      </c>
      <c r="D49" s="10">
        <v>2397726.0</v>
      </c>
      <c r="E49" s="10" t="s">
        <v>203</v>
      </c>
      <c r="F49" s="10" t="s">
        <v>204</v>
      </c>
      <c r="G49" s="12">
        <v>900.0</v>
      </c>
      <c r="H49" s="13">
        <v>491.0</v>
      </c>
      <c r="I49" s="10" t="s">
        <v>205</v>
      </c>
      <c r="J49" s="10" t="s">
        <v>197</v>
      </c>
      <c r="K49" s="10">
        <v>6643.0</v>
      </c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>
      <c r="A50" s="9" t="s">
        <v>13</v>
      </c>
      <c r="B50" s="16" t="s">
        <v>206</v>
      </c>
      <c r="C50" s="25">
        <v>45984.0</v>
      </c>
      <c r="D50" s="18" t="s">
        <v>207</v>
      </c>
      <c r="E50" s="26" t="s">
        <v>208</v>
      </c>
      <c r="F50" s="16" t="s">
        <v>209</v>
      </c>
      <c r="G50" s="20">
        <v>850.0</v>
      </c>
      <c r="H50" s="27">
        <v>398.0</v>
      </c>
      <c r="I50" s="16" t="s">
        <v>210</v>
      </c>
      <c r="J50" s="10" t="s">
        <v>197</v>
      </c>
      <c r="K50" s="10">
        <v>6643.0</v>
      </c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>
      <c r="A51" s="9" t="s">
        <v>13</v>
      </c>
      <c r="B51" s="16" t="s">
        <v>211</v>
      </c>
      <c r="C51" s="17">
        <v>45984.0</v>
      </c>
      <c r="D51" s="18">
        <v>865399.0</v>
      </c>
      <c r="E51" s="19" t="s">
        <v>212</v>
      </c>
      <c r="F51" s="16" t="s">
        <v>213</v>
      </c>
      <c r="G51" s="20">
        <v>1600.0</v>
      </c>
      <c r="H51" s="21">
        <v>581.0</v>
      </c>
      <c r="I51" s="16" t="s">
        <v>214</v>
      </c>
      <c r="J51" s="16" t="s">
        <v>215</v>
      </c>
      <c r="K51" s="16">
        <v>6813.0</v>
      </c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>
      <c r="A52" s="9" t="s">
        <v>13</v>
      </c>
      <c r="B52" s="10" t="s">
        <v>216</v>
      </c>
      <c r="C52" s="11">
        <v>45978.0</v>
      </c>
      <c r="D52" s="10">
        <v>211032.0</v>
      </c>
      <c r="E52" s="10" t="s">
        <v>217</v>
      </c>
      <c r="F52" s="10" t="s">
        <v>218</v>
      </c>
      <c r="G52" s="12">
        <v>600.0</v>
      </c>
      <c r="H52" s="13">
        <v>496.0</v>
      </c>
      <c r="I52" s="10" t="s">
        <v>219</v>
      </c>
      <c r="J52" s="10" t="s">
        <v>220</v>
      </c>
      <c r="K52" s="10">
        <v>6960.0</v>
      </c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>
      <c r="A53" s="9" t="s">
        <v>13</v>
      </c>
      <c r="B53" s="10" t="s">
        <v>216</v>
      </c>
      <c r="C53" s="11">
        <v>45978.0</v>
      </c>
      <c r="D53" s="10">
        <v>210961.0</v>
      </c>
      <c r="E53" s="10" t="s">
        <v>221</v>
      </c>
      <c r="F53" s="10" t="s">
        <v>222</v>
      </c>
      <c r="G53" s="12">
        <v>1200.0</v>
      </c>
      <c r="H53" s="13">
        <v>523.0</v>
      </c>
      <c r="I53" s="10" t="s">
        <v>223</v>
      </c>
      <c r="J53" s="10" t="s">
        <v>220</v>
      </c>
      <c r="K53" s="10">
        <v>6960.0</v>
      </c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>
      <c r="A54" s="9" t="s">
        <v>13</v>
      </c>
      <c r="B54" s="10" t="s">
        <v>224</v>
      </c>
      <c r="C54" s="11">
        <v>45979.0</v>
      </c>
      <c r="D54" s="10">
        <v>8948393.0</v>
      </c>
      <c r="E54" s="10" t="s">
        <v>225</v>
      </c>
      <c r="F54" s="10" t="s">
        <v>226</v>
      </c>
      <c r="G54" s="12">
        <v>1800.0</v>
      </c>
      <c r="H54" s="13">
        <v>959.0</v>
      </c>
      <c r="I54" s="10" t="s">
        <v>227</v>
      </c>
      <c r="J54" s="10" t="s">
        <v>220</v>
      </c>
      <c r="K54" s="10">
        <v>6960.0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>
      <c r="A55" s="9" t="s">
        <v>13</v>
      </c>
      <c r="B55" s="10" t="s">
        <v>228</v>
      </c>
      <c r="C55" s="11">
        <v>45980.0</v>
      </c>
      <c r="D55" s="10">
        <v>216982.0</v>
      </c>
      <c r="E55" s="10" t="s">
        <v>229</v>
      </c>
      <c r="F55" s="10" t="s">
        <v>230</v>
      </c>
      <c r="G55" s="12">
        <v>2800.0</v>
      </c>
      <c r="H55" s="15">
        <v>1147.0</v>
      </c>
      <c r="I55" s="10" t="s">
        <v>231</v>
      </c>
      <c r="J55" s="10" t="s">
        <v>220</v>
      </c>
      <c r="K55" s="10">
        <v>6960.0</v>
      </c>
      <c r="L55" s="24">
        <v>1107.0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>
      <c r="A56" s="9" t="s">
        <v>13</v>
      </c>
      <c r="B56" s="10" t="s">
        <v>232</v>
      </c>
      <c r="C56" s="11">
        <v>45981.0</v>
      </c>
      <c r="D56" s="10">
        <v>1.5460173E7</v>
      </c>
      <c r="E56" s="10" t="s">
        <v>233</v>
      </c>
      <c r="F56" s="10" t="s">
        <v>234</v>
      </c>
      <c r="G56" s="12">
        <v>2300.0</v>
      </c>
      <c r="H56" s="13">
        <v>1350.0</v>
      </c>
      <c r="I56" s="10" t="s">
        <v>235</v>
      </c>
      <c r="J56" s="10" t="s">
        <v>220</v>
      </c>
      <c r="K56" s="10">
        <v>6960.0</v>
      </c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>
      <c r="A57" s="9" t="s">
        <v>13</v>
      </c>
      <c r="B57" s="10" t="s">
        <v>236</v>
      </c>
      <c r="C57" s="11">
        <v>45982.0</v>
      </c>
      <c r="D57" s="10">
        <v>5925917.0</v>
      </c>
      <c r="E57" s="10" t="s">
        <v>237</v>
      </c>
      <c r="F57" s="10" t="s">
        <v>238</v>
      </c>
      <c r="G57" s="12">
        <v>2300.0</v>
      </c>
      <c r="H57" s="13">
        <v>1295.0</v>
      </c>
      <c r="I57" s="10" t="s">
        <v>239</v>
      </c>
      <c r="J57" s="10" t="s">
        <v>220</v>
      </c>
      <c r="K57" s="10">
        <v>6960.0</v>
      </c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>
      <c r="A58" s="9" t="s">
        <v>13</v>
      </c>
      <c r="B58" s="10" t="s">
        <v>240</v>
      </c>
      <c r="C58" s="11">
        <v>45983.0</v>
      </c>
      <c r="D58" s="10" t="s">
        <v>241</v>
      </c>
      <c r="E58" s="10" t="s">
        <v>242</v>
      </c>
      <c r="F58" s="10" t="s">
        <v>243</v>
      </c>
      <c r="G58" s="12">
        <v>2000.0</v>
      </c>
      <c r="H58" s="13">
        <v>1183.51</v>
      </c>
      <c r="I58" s="10" t="s">
        <v>244</v>
      </c>
      <c r="J58" s="10" t="s">
        <v>220</v>
      </c>
      <c r="K58" s="10">
        <v>6960.0</v>
      </c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>
      <c r="A59" s="9" t="s">
        <v>13</v>
      </c>
      <c r="B59" s="10" t="s">
        <v>245</v>
      </c>
      <c r="C59" s="11">
        <v>45978.0</v>
      </c>
      <c r="D59" s="10">
        <v>30662.0</v>
      </c>
      <c r="E59" s="10" t="s">
        <v>246</v>
      </c>
      <c r="F59" s="10" t="s">
        <v>247</v>
      </c>
      <c r="G59" s="12">
        <v>2300.0</v>
      </c>
      <c r="H59" s="13">
        <v>1141.0</v>
      </c>
      <c r="I59" s="10" t="s">
        <v>248</v>
      </c>
      <c r="J59" s="10" t="s">
        <v>249</v>
      </c>
      <c r="K59" s="10">
        <v>7048.0</v>
      </c>
      <c r="L59" s="14"/>
      <c r="M59" s="28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>
      <c r="A60" s="9" t="s">
        <v>13</v>
      </c>
      <c r="B60" s="10" t="s">
        <v>20</v>
      </c>
      <c r="C60" s="11">
        <v>45981.0</v>
      </c>
      <c r="D60" s="10">
        <v>2.0647309E7</v>
      </c>
      <c r="E60" s="10" t="s">
        <v>250</v>
      </c>
      <c r="F60" s="10" t="s">
        <v>251</v>
      </c>
      <c r="G60" s="12">
        <v>5200.0</v>
      </c>
      <c r="H60" s="13">
        <v>2370.0</v>
      </c>
      <c r="I60" s="10" t="s">
        <v>252</v>
      </c>
      <c r="J60" s="10" t="s">
        <v>249</v>
      </c>
      <c r="K60" s="10">
        <v>7048.0</v>
      </c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>
      <c r="A61" s="9" t="s">
        <v>13</v>
      </c>
      <c r="B61" s="10" t="s">
        <v>202</v>
      </c>
      <c r="C61" s="11">
        <v>45980.0</v>
      </c>
      <c r="D61" s="10">
        <v>2383253.0</v>
      </c>
      <c r="E61" s="10" t="s">
        <v>253</v>
      </c>
      <c r="F61" s="10" t="s">
        <v>254</v>
      </c>
      <c r="G61" s="12">
        <v>1300.0</v>
      </c>
      <c r="H61" s="13">
        <v>673.0</v>
      </c>
      <c r="I61" s="10" t="s">
        <v>255</v>
      </c>
      <c r="J61" s="10" t="s">
        <v>249</v>
      </c>
      <c r="K61" s="10">
        <v>7048.0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>
      <c r="A62" s="9" t="s">
        <v>13</v>
      </c>
      <c r="B62" s="14"/>
      <c r="C62" s="25">
        <v>45978.0</v>
      </c>
      <c r="D62" s="16">
        <v>6.5043253E7</v>
      </c>
      <c r="E62" s="16" t="s">
        <v>256</v>
      </c>
      <c r="F62" s="14"/>
      <c r="G62" s="28">
        <v>150.0</v>
      </c>
      <c r="H62" s="21">
        <v>0.0</v>
      </c>
      <c r="I62" s="16" t="s">
        <v>257</v>
      </c>
      <c r="J62" s="16" t="s">
        <v>249</v>
      </c>
      <c r="K62" s="16">
        <v>7048.0</v>
      </c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>
      <c r="A63" s="9" t="s">
        <v>13</v>
      </c>
      <c r="B63" s="10" t="s">
        <v>258</v>
      </c>
      <c r="C63" s="11">
        <v>45979.0</v>
      </c>
      <c r="D63" s="10">
        <v>77409.0</v>
      </c>
      <c r="E63" s="10" t="s">
        <v>259</v>
      </c>
      <c r="F63" s="10" t="s">
        <v>260</v>
      </c>
      <c r="G63" s="12">
        <v>3800.0</v>
      </c>
      <c r="H63" s="13">
        <v>2064.0</v>
      </c>
      <c r="I63" s="10" t="s">
        <v>261</v>
      </c>
      <c r="J63" s="10" t="s">
        <v>262</v>
      </c>
      <c r="K63" s="10">
        <v>7265.0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>
      <c r="A64" s="9" t="s">
        <v>13</v>
      </c>
      <c r="B64" s="10" t="s">
        <v>186</v>
      </c>
      <c r="C64" s="11">
        <v>45982.0</v>
      </c>
      <c r="D64" s="10">
        <v>5.35683408E8</v>
      </c>
      <c r="E64" s="10" t="s">
        <v>263</v>
      </c>
      <c r="F64" s="10" t="s">
        <v>264</v>
      </c>
      <c r="G64" s="12">
        <v>4500.0</v>
      </c>
      <c r="H64" s="13">
        <v>1497.0</v>
      </c>
      <c r="I64" s="10" t="s">
        <v>265</v>
      </c>
      <c r="J64" s="10" t="s">
        <v>262</v>
      </c>
      <c r="K64" s="10">
        <v>7265.0</v>
      </c>
      <c r="L64" s="14"/>
      <c r="M64" s="28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>
      <c r="A65" s="9" t="s">
        <v>13</v>
      </c>
      <c r="B65" s="10" t="s">
        <v>266</v>
      </c>
      <c r="C65" s="11">
        <v>45978.0</v>
      </c>
      <c r="D65" s="10" t="s">
        <v>267</v>
      </c>
      <c r="E65" s="10" t="s">
        <v>268</v>
      </c>
      <c r="F65" s="22" t="s">
        <v>269</v>
      </c>
      <c r="G65" s="12">
        <v>800.0</v>
      </c>
      <c r="H65" s="15">
        <v>453.0</v>
      </c>
      <c r="I65" s="10" t="s">
        <v>270</v>
      </c>
      <c r="J65" s="10" t="s">
        <v>262</v>
      </c>
      <c r="K65" s="10">
        <v>7265.0</v>
      </c>
      <c r="L65" s="16">
        <v>306.0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>
      <c r="A66" s="9" t="s">
        <v>13</v>
      </c>
      <c r="B66" s="10" t="s">
        <v>20</v>
      </c>
      <c r="C66" s="11">
        <v>45980.0</v>
      </c>
      <c r="D66" s="10">
        <v>2.0617388E7</v>
      </c>
      <c r="E66" s="10" t="s">
        <v>271</v>
      </c>
      <c r="F66" s="10" t="s">
        <v>272</v>
      </c>
      <c r="G66" s="12">
        <v>1800.0</v>
      </c>
      <c r="H66" s="13">
        <v>1176.0</v>
      </c>
      <c r="I66" s="10" t="s">
        <v>273</v>
      </c>
      <c r="J66" s="10" t="s">
        <v>274</v>
      </c>
      <c r="K66" s="10">
        <v>7352.0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>
      <c r="A67" s="9" t="s">
        <v>13</v>
      </c>
      <c r="B67" s="10" t="s">
        <v>59</v>
      </c>
      <c r="C67" s="11">
        <v>45980.0</v>
      </c>
      <c r="D67" s="10">
        <v>5540738.0</v>
      </c>
      <c r="E67" s="10" t="s">
        <v>275</v>
      </c>
      <c r="F67" s="10" t="s">
        <v>276</v>
      </c>
      <c r="G67" s="12">
        <v>900.0</v>
      </c>
      <c r="H67" s="13">
        <v>874.0</v>
      </c>
      <c r="I67" s="10" t="s">
        <v>277</v>
      </c>
      <c r="J67" s="10" t="s">
        <v>278</v>
      </c>
      <c r="K67" s="10">
        <v>7607.0</v>
      </c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>
      <c r="A68" s="9" t="s">
        <v>13</v>
      </c>
      <c r="B68" s="10" t="s">
        <v>279</v>
      </c>
      <c r="C68" s="11">
        <v>45982.0</v>
      </c>
      <c r="D68" s="10" t="s">
        <v>280</v>
      </c>
      <c r="E68" s="10" t="s">
        <v>281</v>
      </c>
      <c r="F68" s="10" t="s">
        <v>282</v>
      </c>
      <c r="G68" s="12">
        <v>2700.0</v>
      </c>
      <c r="H68" s="13">
        <v>1251.0</v>
      </c>
      <c r="I68" s="10" t="s">
        <v>283</v>
      </c>
      <c r="J68" s="10" t="s">
        <v>278</v>
      </c>
      <c r="K68" s="10">
        <v>7607.0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>
      <c r="A69" s="9" t="s">
        <v>13</v>
      </c>
      <c r="B69" s="10" t="s">
        <v>20</v>
      </c>
      <c r="C69" s="11">
        <v>45978.0</v>
      </c>
      <c r="D69" s="10">
        <v>2.0599741E7</v>
      </c>
      <c r="E69" s="10" t="s">
        <v>284</v>
      </c>
      <c r="F69" s="10" t="s">
        <v>285</v>
      </c>
      <c r="G69" s="12">
        <v>1240.0</v>
      </c>
      <c r="H69" s="13">
        <v>1275.0</v>
      </c>
      <c r="I69" s="10" t="s">
        <v>286</v>
      </c>
      <c r="J69" s="10" t="s">
        <v>287</v>
      </c>
      <c r="K69" s="10">
        <v>7807.0</v>
      </c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>
      <c r="A70" s="9" t="s">
        <v>13</v>
      </c>
      <c r="B70" s="10" t="s">
        <v>20</v>
      </c>
      <c r="C70" s="11">
        <v>45980.0</v>
      </c>
      <c r="D70" s="10">
        <v>2.0676852E7</v>
      </c>
      <c r="E70" s="10" t="s">
        <v>288</v>
      </c>
      <c r="F70" s="10" t="s">
        <v>289</v>
      </c>
      <c r="G70" s="12">
        <v>1023.0</v>
      </c>
      <c r="H70" s="13">
        <v>655.0</v>
      </c>
      <c r="I70" s="10" t="s">
        <v>290</v>
      </c>
      <c r="J70" s="10" t="s">
        <v>287</v>
      </c>
      <c r="K70" s="10">
        <v>7807.0</v>
      </c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>
      <c r="A71" s="9" t="s">
        <v>13</v>
      </c>
      <c r="B71" s="10" t="s">
        <v>20</v>
      </c>
      <c r="C71" s="11">
        <v>45982.0</v>
      </c>
      <c r="D71" s="10">
        <v>2.0554704E7</v>
      </c>
      <c r="E71" s="10" t="s">
        <v>291</v>
      </c>
      <c r="F71" s="10" t="s">
        <v>292</v>
      </c>
      <c r="G71" s="12">
        <v>2450.0</v>
      </c>
      <c r="H71" s="13">
        <v>1026.0</v>
      </c>
      <c r="I71" s="10" t="s">
        <v>293</v>
      </c>
      <c r="J71" s="10" t="s">
        <v>287</v>
      </c>
      <c r="K71" s="10">
        <v>7807.0</v>
      </c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>
      <c r="A72" s="9" t="s">
        <v>13</v>
      </c>
      <c r="B72" s="10" t="s">
        <v>198</v>
      </c>
      <c r="C72" s="11">
        <v>45981.0</v>
      </c>
      <c r="D72" s="10">
        <v>2175253.0</v>
      </c>
      <c r="E72" s="10" t="s">
        <v>294</v>
      </c>
      <c r="F72" s="10" t="s">
        <v>295</v>
      </c>
      <c r="G72" s="12">
        <v>1350.0</v>
      </c>
      <c r="H72" s="13">
        <v>666.0</v>
      </c>
      <c r="I72" s="10" t="s">
        <v>296</v>
      </c>
      <c r="J72" s="10" t="s">
        <v>297</v>
      </c>
      <c r="K72" s="10">
        <v>8479.0</v>
      </c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>
      <c r="A73" s="9" t="s">
        <v>13</v>
      </c>
      <c r="B73" s="10" t="s">
        <v>110</v>
      </c>
      <c r="C73" s="11">
        <v>45978.0</v>
      </c>
      <c r="D73" s="10" t="s">
        <v>298</v>
      </c>
      <c r="E73" s="10" t="s">
        <v>299</v>
      </c>
      <c r="F73" s="10" t="s">
        <v>300</v>
      </c>
      <c r="G73" s="12">
        <v>1500.0</v>
      </c>
      <c r="H73" s="13">
        <v>1330.0</v>
      </c>
      <c r="I73" s="10" t="s">
        <v>301</v>
      </c>
      <c r="J73" s="10" t="s">
        <v>302</v>
      </c>
      <c r="K73" s="10">
        <v>9334.0</v>
      </c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>
      <c r="A74" s="9" t="s">
        <v>13</v>
      </c>
      <c r="B74" s="10" t="s">
        <v>303</v>
      </c>
      <c r="C74" s="11">
        <v>45980.0</v>
      </c>
      <c r="D74" s="10" t="s">
        <v>304</v>
      </c>
      <c r="E74" s="10" t="s">
        <v>305</v>
      </c>
      <c r="F74" s="10" t="s">
        <v>306</v>
      </c>
      <c r="G74" s="12">
        <v>1350.0</v>
      </c>
      <c r="H74" s="13">
        <v>632.0</v>
      </c>
      <c r="I74" s="10" t="s">
        <v>307</v>
      </c>
      <c r="J74" s="10" t="s">
        <v>302</v>
      </c>
      <c r="K74" s="10">
        <v>9334.0</v>
      </c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>
      <c r="A75" s="9" t="s">
        <v>13</v>
      </c>
      <c r="B75" s="10" t="s">
        <v>308</v>
      </c>
      <c r="C75" s="11">
        <v>45981.0</v>
      </c>
      <c r="D75" s="10">
        <v>1761383.0</v>
      </c>
      <c r="E75" s="10" t="s">
        <v>309</v>
      </c>
      <c r="F75" s="10" t="s">
        <v>310</v>
      </c>
      <c r="G75" s="12">
        <v>1850.0</v>
      </c>
      <c r="H75" s="13">
        <v>860.0</v>
      </c>
      <c r="I75" s="10" t="s">
        <v>311</v>
      </c>
      <c r="J75" s="10" t="s">
        <v>302</v>
      </c>
      <c r="K75" s="10">
        <v>9334.0</v>
      </c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>
      <c r="A76" s="9" t="s">
        <v>13</v>
      </c>
      <c r="B76" s="10" t="s">
        <v>171</v>
      </c>
      <c r="C76" s="11">
        <v>45982.0</v>
      </c>
      <c r="D76" s="10">
        <v>2233146.0</v>
      </c>
      <c r="E76" s="10" t="s">
        <v>312</v>
      </c>
      <c r="F76" s="10" t="s">
        <v>313</v>
      </c>
      <c r="G76" s="12">
        <v>1500.0</v>
      </c>
      <c r="H76" s="13">
        <v>446.0</v>
      </c>
      <c r="I76" s="10" t="s">
        <v>314</v>
      </c>
      <c r="J76" s="10" t="s">
        <v>302</v>
      </c>
      <c r="K76" s="10">
        <v>9334.0</v>
      </c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>
      <c r="A77" s="9" t="s">
        <v>13</v>
      </c>
      <c r="B77" s="10" t="s">
        <v>308</v>
      </c>
      <c r="C77" s="11">
        <v>45983.0</v>
      </c>
      <c r="D77" s="10">
        <v>1761581.0</v>
      </c>
      <c r="E77" s="10" t="s">
        <v>315</v>
      </c>
      <c r="F77" s="10" t="s">
        <v>316</v>
      </c>
      <c r="G77" s="12">
        <v>1500.0</v>
      </c>
      <c r="H77" s="13">
        <v>939.53</v>
      </c>
      <c r="I77" s="10" t="s">
        <v>317</v>
      </c>
      <c r="J77" s="10" t="s">
        <v>302</v>
      </c>
      <c r="K77" s="10">
        <v>9334.0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>
      <c r="A78" s="9" t="s">
        <v>13</v>
      </c>
      <c r="B78" s="10" t="s">
        <v>236</v>
      </c>
      <c r="C78" s="11">
        <v>45978.0</v>
      </c>
      <c r="D78" s="10">
        <v>4922736.0</v>
      </c>
      <c r="E78" s="10" t="s">
        <v>73</v>
      </c>
      <c r="F78" s="10" t="s">
        <v>318</v>
      </c>
      <c r="G78" s="12">
        <v>1285.0</v>
      </c>
      <c r="H78" s="13">
        <v>959.0</v>
      </c>
      <c r="I78" s="10" t="s">
        <v>319</v>
      </c>
      <c r="J78" s="10" t="s">
        <v>320</v>
      </c>
      <c r="K78" s="10">
        <v>9348.0</v>
      </c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>
      <c r="A79" s="9" t="s">
        <v>13</v>
      </c>
      <c r="B79" s="10" t="s">
        <v>321</v>
      </c>
      <c r="C79" s="11">
        <v>45980.0</v>
      </c>
      <c r="D79" s="10">
        <v>1333390.0</v>
      </c>
      <c r="E79" s="10" t="s">
        <v>322</v>
      </c>
      <c r="F79" s="10" t="s">
        <v>323</v>
      </c>
      <c r="G79" s="12">
        <v>1500.0</v>
      </c>
      <c r="H79" s="13">
        <v>799.0</v>
      </c>
      <c r="I79" s="10" t="s">
        <v>324</v>
      </c>
      <c r="J79" s="10" t="s">
        <v>320</v>
      </c>
      <c r="K79" s="10">
        <v>9348.0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>
      <c r="A80" s="9" t="s">
        <v>13</v>
      </c>
      <c r="B80" s="10" t="s">
        <v>325</v>
      </c>
      <c r="C80" s="11">
        <v>45981.0</v>
      </c>
      <c r="D80" s="10">
        <v>259927.0</v>
      </c>
      <c r="E80" s="10" t="s">
        <v>326</v>
      </c>
      <c r="F80" s="10" t="s">
        <v>327</v>
      </c>
      <c r="G80" s="12">
        <v>420.0</v>
      </c>
      <c r="H80" s="13">
        <v>222.0</v>
      </c>
      <c r="I80" s="10" t="s">
        <v>328</v>
      </c>
      <c r="J80" s="10" t="s">
        <v>320</v>
      </c>
      <c r="K80" s="10">
        <v>9348.0</v>
      </c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>
      <c r="A81" s="9" t="s">
        <v>13</v>
      </c>
      <c r="B81" s="10" t="s">
        <v>329</v>
      </c>
      <c r="C81" s="11">
        <v>45982.0</v>
      </c>
      <c r="D81" s="10">
        <v>164911.0</v>
      </c>
      <c r="E81" s="10" t="s">
        <v>330</v>
      </c>
      <c r="F81" s="10" t="s">
        <v>331</v>
      </c>
      <c r="G81" s="12">
        <v>2900.0</v>
      </c>
      <c r="H81" s="13">
        <v>1589.0</v>
      </c>
      <c r="I81" s="10" t="s">
        <v>332</v>
      </c>
      <c r="J81" s="10" t="s">
        <v>320</v>
      </c>
      <c r="K81" s="10">
        <v>9348.0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>
      <c r="A82" s="9" t="s">
        <v>13</v>
      </c>
      <c r="B82" s="10" t="s">
        <v>333</v>
      </c>
      <c r="C82" s="11">
        <v>45978.0</v>
      </c>
      <c r="D82" s="10">
        <v>227339.0</v>
      </c>
      <c r="E82" s="10" t="s">
        <v>334</v>
      </c>
      <c r="F82" s="10" t="s">
        <v>335</v>
      </c>
      <c r="G82" s="12">
        <v>5000.0</v>
      </c>
      <c r="H82" s="13">
        <v>2811.0</v>
      </c>
      <c r="I82" s="10" t="s">
        <v>336</v>
      </c>
      <c r="J82" s="10" t="s">
        <v>337</v>
      </c>
      <c r="K82" s="10">
        <v>9617.0</v>
      </c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>
      <c r="A83" s="9" t="s">
        <v>13</v>
      </c>
      <c r="B83" s="10" t="s">
        <v>338</v>
      </c>
      <c r="C83" s="11">
        <v>45981.0</v>
      </c>
      <c r="D83" s="10">
        <v>1.5467599E7</v>
      </c>
      <c r="E83" s="10" t="s">
        <v>136</v>
      </c>
      <c r="F83" s="10" t="s">
        <v>339</v>
      </c>
      <c r="G83" s="12">
        <v>5400.0</v>
      </c>
      <c r="H83" s="13">
        <v>2710.0</v>
      </c>
      <c r="I83" s="10" t="s">
        <v>340</v>
      </c>
      <c r="J83" s="10" t="s">
        <v>337</v>
      </c>
      <c r="K83" s="10">
        <v>9617.0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>
      <c r="A84" s="9" t="s">
        <v>13</v>
      </c>
      <c r="B84" s="10" t="s">
        <v>224</v>
      </c>
      <c r="C84" s="11">
        <v>45979.0</v>
      </c>
      <c r="D84" s="10">
        <v>8945946.0</v>
      </c>
      <c r="E84" s="10" t="s">
        <v>341</v>
      </c>
      <c r="F84" s="22" t="s">
        <v>342</v>
      </c>
      <c r="G84" s="12">
        <v>3250.0</v>
      </c>
      <c r="H84" s="13">
        <v>1620.0</v>
      </c>
      <c r="I84" s="10" t="s">
        <v>343</v>
      </c>
      <c r="J84" s="10" t="s">
        <v>215</v>
      </c>
      <c r="K84" s="10">
        <v>6813.0</v>
      </c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>
      <c r="A85" s="9" t="s">
        <v>13</v>
      </c>
      <c r="B85" s="10" t="s">
        <v>344</v>
      </c>
      <c r="C85" s="11">
        <v>45978.0</v>
      </c>
      <c r="D85" s="10">
        <v>37564.0</v>
      </c>
      <c r="E85" s="10" t="s">
        <v>56</v>
      </c>
      <c r="F85" s="10" t="s">
        <v>345</v>
      </c>
      <c r="G85" s="12">
        <v>250.0</v>
      </c>
      <c r="H85" s="13">
        <v>7.0</v>
      </c>
      <c r="I85" s="10" t="s">
        <v>346</v>
      </c>
      <c r="J85" s="10" t="s">
        <v>215</v>
      </c>
      <c r="K85" s="10">
        <v>6813.0</v>
      </c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>
      <c r="A86" s="9" t="s">
        <v>13</v>
      </c>
      <c r="B86" s="10" t="s">
        <v>99</v>
      </c>
      <c r="C86" s="11">
        <v>45981.0</v>
      </c>
      <c r="D86" s="10">
        <v>2882310.0</v>
      </c>
      <c r="E86" s="10" t="s">
        <v>347</v>
      </c>
      <c r="F86" s="10" t="s">
        <v>348</v>
      </c>
      <c r="G86" s="12">
        <v>1000.0</v>
      </c>
      <c r="H86" s="13">
        <v>351.0</v>
      </c>
      <c r="I86" s="10" t="s">
        <v>349</v>
      </c>
      <c r="J86" s="10" t="s">
        <v>215</v>
      </c>
      <c r="K86" s="10">
        <v>6813.0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>
      <c r="A87" s="9" t="s">
        <v>13</v>
      </c>
      <c r="B87" s="29" t="s">
        <v>236</v>
      </c>
      <c r="C87" s="25">
        <v>45983.0</v>
      </c>
      <c r="D87" s="16">
        <v>5674879.0</v>
      </c>
      <c r="E87" s="16" t="s">
        <v>256</v>
      </c>
      <c r="F87" s="14"/>
      <c r="G87" s="16">
        <v>150.0</v>
      </c>
      <c r="H87" s="27">
        <v>260.0</v>
      </c>
      <c r="I87" s="29" t="s">
        <v>350</v>
      </c>
      <c r="J87" s="14"/>
      <c r="K87" s="16">
        <v>7352.0</v>
      </c>
      <c r="L87" s="24">
        <v>260.0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>
      <c r="A88" s="14"/>
      <c r="B88" s="14"/>
      <c r="C88" s="30"/>
      <c r="D88" s="14"/>
      <c r="E88" s="14"/>
      <c r="F88" s="14"/>
      <c r="G88" s="31">
        <f t="shared" ref="G88:H88" si="1">SUM(G2:G87)</f>
        <v>206357</v>
      </c>
      <c r="H88" s="32">
        <f t="shared" si="1"/>
        <v>104076.04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>
      <c r="A89" s="14"/>
      <c r="B89" s="14"/>
      <c r="C89" s="30"/>
      <c r="D89" s="14"/>
      <c r="E89" s="14"/>
      <c r="F89" s="14"/>
      <c r="G89" s="14"/>
      <c r="H89" s="32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>
      <c r="A90" s="14"/>
      <c r="B90" s="14"/>
      <c r="C90" s="30"/>
      <c r="D90" s="14"/>
      <c r="E90" s="14"/>
      <c r="F90" s="14"/>
      <c r="G90" s="16">
        <v>207032.0</v>
      </c>
      <c r="H90" s="21">
        <v>103736.0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>
      <c r="A91" s="14"/>
      <c r="B91" s="14"/>
      <c r="C91" s="30"/>
      <c r="D91" s="14"/>
      <c r="E91" s="14"/>
      <c r="F91" s="14"/>
      <c r="G91" s="33">
        <f t="shared" ref="G91:H91" si="2">G88-G90</f>
        <v>-675</v>
      </c>
      <c r="H91" s="32">
        <f t="shared" si="2"/>
        <v>340.04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>
      <c r="A92" s="14"/>
      <c r="B92" s="14"/>
      <c r="C92" s="30"/>
      <c r="D92" s="14"/>
      <c r="E92" s="14"/>
      <c r="F92" s="14"/>
      <c r="G92" s="14"/>
      <c r="H92" s="32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>
      <c r="A93" s="14"/>
      <c r="B93" s="14"/>
      <c r="C93" s="30"/>
      <c r="D93" s="14"/>
      <c r="E93" s="14"/>
      <c r="F93" s="14"/>
      <c r="G93" s="14"/>
      <c r="H93" s="32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>
      <c r="A94" s="14"/>
      <c r="B94" s="14"/>
      <c r="C94" s="30"/>
      <c r="D94" s="14"/>
      <c r="E94" s="14"/>
      <c r="F94" s="14"/>
      <c r="G94" s="14"/>
      <c r="H94" s="32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>
      <c r="A95" s="14"/>
      <c r="B95" s="14"/>
      <c r="C95" s="30"/>
      <c r="D95" s="14"/>
      <c r="E95" s="14"/>
      <c r="F95" s="14"/>
      <c r="G95" s="14"/>
      <c r="H95" s="32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>
      <c r="A96" s="14"/>
      <c r="B96" s="14"/>
      <c r="C96" s="30"/>
      <c r="D96" s="14"/>
      <c r="E96" s="14"/>
      <c r="F96" s="14"/>
      <c r="G96" s="14"/>
      <c r="H96" s="32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>
      <c r="A97" s="14"/>
      <c r="B97" s="14"/>
      <c r="C97" s="30"/>
      <c r="D97" s="14"/>
      <c r="E97" s="14"/>
      <c r="F97" s="14"/>
      <c r="G97" s="14"/>
      <c r="H97" s="32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>
      <c r="A98" s="14"/>
      <c r="B98" s="14"/>
      <c r="C98" s="30"/>
      <c r="D98" s="14"/>
      <c r="E98" s="14"/>
      <c r="F98" s="14"/>
      <c r="G98" s="14"/>
      <c r="H98" s="32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>
      <c r="A99" s="14"/>
      <c r="B99" s="14"/>
      <c r="C99" s="30"/>
      <c r="D99" s="14"/>
      <c r="E99" s="14"/>
      <c r="F99" s="14"/>
      <c r="G99" s="14"/>
      <c r="H99" s="32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>
      <c r="A100" s="14"/>
      <c r="B100" s="14"/>
      <c r="C100" s="30"/>
      <c r="D100" s="14"/>
      <c r="E100" s="14"/>
      <c r="F100" s="14"/>
      <c r="G100" s="14"/>
      <c r="H100" s="32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>
      <c r="A101" s="14"/>
      <c r="B101" s="14"/>
      <c r="C101" s="30"/>
      <c r="D101" s="14"/>
      <c r="E101" s="14"/>
      <c r="F101" s="14"/>
      <c r="G101" s="14"/>
      <c r="H101" s="32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>
      <c r="A102" s="14"/>
      <c r="B102" s="14"/>
      <c r="C102" s="30"/>
      <c r="D102" s="14"/>
      <c r="E102" s="14"/>
      <c r="F102" s="14"/>
      <c r="G102" s="14"/>
      <c r="H102" s="32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>
      <c r="A103" s="14"/>
      <c r="B103" s="14"/>
      <c r="C103" s="30"/>
      <c r="D103" s="14"/>
      <c r="E103" s="14"/>
      <c r="F103" s="14"/>
      <c r="G103" s="14"/>
      <c r="H103" s="32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>
      <c r="A104" s="14"/>
      <c r="B104" s="14"/>
      <c r="C104" s="30"/>
      <c r="D104" s="14"/>
      <c r="E104" s="14"/>
      <c r="F104" s="14"/>
      <c r="G104" s="14"/>
      <c r="H104" s="32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>
      <c r="A105" s="14"/>
      <c r="B105" s="14"/>
      <c r="C105" s="30"/>
      <c r="D105" s="14"/>
      <c r="E105" s="14"/>
      <c r="F105" s="14"/>
      <c r="G105" s="14"/>
      <c r="H105" s="32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>
      <c r="A106" s="14"/>
      <c r="B106" s="14"/>
      <c r="C106" s="30"/>
      <c r="D106" s="14"/>
      <c r="E106" s="14"/>
      <c r="F106" s="14"/>
      <c r="G106" s="14"/>
      <c r="H106" s="32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>
      <c r="A107" s="14"/>
      <c r="B107" s="14"/>
      <c r="C107" s="30"/>
      <c r="D107" s="14"/>
      <c r="E107" s="14"/>
      <c r="F107" s="14"/>
      <c r="G107" s="14"/>
      <c r="H107" s="32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>
      <c r="A108" s="14"/>
      <c r="B108" s="14"/>
      <c r="C108" s="30"/>
      <c r="D108" s="14"/>
      <c r="E108" s="14"/>
      <c r="F108" s="14"/>
      <c r="G108" s="14"/>
      <c r="H108" s="32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>
      <c r="A109" s="14"/>
      <c r="B109" s="14"/>
      <c r="C109" s="30"/>
      <c r="D109" s="14"/>
      <c r="E109" s="14"/>
      <c r="F109" s="14"/>
      <c r="G109" s="14"/>
      <c r="H109" s="32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>
      <c r="A110" s="14"/>
      <c r="B110" s="14"/>
      <c r="C110" s="30"/>
      <c r="D110" s="14"/>
      <c r="E110" s="14"/>
      <c r="F110" s="14"/>
      <c r="G110" s="14"/>
      <c r="H110" s="32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>
      <c r="A111" s="14"/>
      <c r="B111" s="14"/>
      <c r="C111" s="30"/>
      <c r="D111" s="14"/>
      <c r="E111" s="14"/>
      <c r="F111" s="14"/>
      <c r="G111" s="14"/>
      <c r="H111" s="32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>
      <c r="A112" s="14"/>
      <c r="B112" s="14"/>
      <c r="C112" s="30"/>
      <c r="D112" s="14"/>
      <c r="E112" s="14"/>
      <c r="F112" s="14"/>
      <c r="G112" s="14"/>
      <c r="H112" s="32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>
      <c r="A113" s="14"/>
      <c r="B113" s="14"/>
      <c r="C113" s="30"/>
      <c r="D113" s="14"/>
      <c r="E113" s="14"/>
      <c r="F113" s="14"/>
      <c r="G113" s="14"/>
      <c r="H113" s="32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>
      <c r="A114" s="14"/>
      <c r="B114" s="14"/>
      <c r="C114" s="30"/>
      <c r="D114" s="14"/>
      <c r="E114" s="14"/>
      <c r="F114" s="14"/>
      <c r="G114" s="14"/>
      <c r="H114" s="32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>
      <c r="A115" s="14"/>
      <c r="B115" s="14"/>
      <c r="C115" s="30"/>
      <c r="D115" s="14"/>
      <c r="E115" s="14"/>
      <c r="F115" s="14"/>
      <c r="G115" s="14"/>
      <c r="H115" s="32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>
      <c r="A116" s="14"/>
      <c r="B116" s="14"/>
      <c r="C116" s="30"/>
      <c r="D116" s="14"/>
      <c r="E116" s="14"/>
      <c r="F116" s="14"/>
      <c r="G116" s="14"/>
      <c r="H116" s="32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>
      <c r="A117" s="14"/>
      <c r="B117" s="14"/>
      <c r="C117" s="30"/>
      <c r="D117" s="14"/>
      <c r="E117" s="14"/>
      <c r="F117" s="14"/>
      <c r="G117" s="14"/>
      <c r="H117" s="32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>
      <c r="A118" s="14"/>
      <c r="B118" s="14"/>
      <c r="C118" s="30"/>
      <c r="D118" s="14"/>
      <c r="E118" s="14"/>
      <c r="F118" s="14"/>
      <c r="G118" s="14"/>
      <c r="H118" s="32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>
      <c r="A119" s="14"/>
      <c r="B119" s="14"/>
      <c r="C119" s="30"/>
      <c r="D119" s="14"/>
      <c r="E119" s="14"/>
      <c r="F119" s="14"/>
      <c r="G119" s="14"/>
      <c r="H119" s="32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>
      <c r="A120" s="14"/>
      <c r="B120" s="14"/>
      <c r="C120" s="30"/>
      <c r="D120" s="14"/>
      <c r="E120" s="14"/>
      <c r="F120" s="14"/>
      <c r="G120" s="14"/>
      <c r="H120" s="32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>
      <c r="A121" s="14"/>
      <c r="B121" s="14"/>
      <c r="C121" s="30"/>
      <c r="D121" s="14"/>
      <c r="E121" s="14"/>
      <c r="F121" s="14"/>
      <c r="G121" s="14"/>
      <c r="H121" s="32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>
      <c r="A122" s="14"/>
      <c r="B122" s="14"/>
      <c r="C122" s="30"/>
      <c r="D122" s="14"/>
      <c r="E122" s="14"/>
      <c r="F122" s="14"/>
      <c r="G122" s="14"/>
      <c r="H122" s="32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>
      <c r="A123" s="14"/>
      <c r="B123" s="14"/>
      <c r="C123" s="30"/>
      <c r="D123" s="14"/>
      <c r="E123" s="14"/>
      <c r="F123" s="14"/>
      <c r="G123" s="14"/>
      <c r="H123" s="32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>
      <c r="A124" s="14"/>
      <c r="B124" s="14"/>
      <c r="C124" s="30"/>
      <c r="D124" s="14"/>
      <c r="E124" s="14"/>
      <c r="F124" s="14"/>
      <c r="G124" s="14"/>
      <c r="H124" s="32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>
      <c r="A125" s="14"/>
      <c r="B125" s="14"/>
      <c r="C125" s="30"/>
      <c r="D125" s="14"/>
      <c r="E125" s="14"/>
      <c r="F125" s="14"/>
      <c r="G125" s="14"/>
      <c r="H125" s="32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>
      <c r="A126" s="14"/>
      <c r="B126" s="14"/>
      <c r="C126" s="30"/>
      <c r="D126" s="14"/>
      <c r="E126" s="14"/>
      <c r="F126" s="14"/>
      <c r="G126" s="14"/>
      <c r="H126" s="32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>
      <c r="A127" s="14"/>
      <c r="B127" s="14"/>
      <c r="C127" s="30"/>
      <c r="D127" s="14"/>
      <c r="E127" s="14"/>
      <c r="F127" s="14"/>
      <c r="G127" s="14"/>
      <c r="H127" s="32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>
      <c r="A128" s="14"/>
      <c r="B128" s="14"/>
      <c r="C128" s="30"/>
      <c r="D128" s="14"/>
      <c r="E128" s="14"/>
      <c r="F128" s="14"/>
      <c r="G128" s="14"/>
      <c r="H128" s="32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>
      <c r="A129" s="14"/>
      <c r="B129" s="14"/>
      <c r="C129" s="30"/>
      <c r="D129" s="14"/>
      <c r="E129" s="14"/>
      <c r="F129" s="14"/>
      <c r="G129" s="14"/>
      <c r="H129" s="32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>
      <c r="A130" s="14"/>
      <c r="B130" s="14"/>
      <c r="C130" s="30"/>
      <c r="D130" s="14"/>
      <c r="E130" s="14"/>
      <c r="F130" s="14"/>
      <c r="G130" s="14"/>
      <c r="H130" s="32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>
      <c r="A131" s="14"/>
      <c r="B131" s="14"/>
      <c r="C131" s="30"/>
      <c r="D131" s="14"/>
      <c r="E131" s="14"/>
      <c r="F131" s="14"/>
      <c r="G131" s="14"/>
      <c r="H131" s="32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>
      <c r="A132" s="14"/>
      <c r="B132" s="14"/>
      <c r="C132" s="30"/>
      <c r="D132" s="14"/>
      <c r="E132" s="14"/>
      <c r="F132" s="14"/>
      <c r="G132" s="14"/>
      <c r="H132" s="32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>
      <c r="A133" s="14"/>
      <c r="B133" s="14"/>
      <c r="C133" s="30"/>
      <c r="D133" s="14"/>
      <c r="E133" s="14"/>
      <c r="F133" s="14"/>
      <c r="G133" s="14"/>
      <c r="H133" s="32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>
      <c r="A134" s="14"/>
      <c r="B134" s="14"/>
      <c r="C134" s="30"/>
      <c r="D134" s="14"/>
      <c r="E134" s="14"/>
      <c r="F134" s="14"/>
      <c r="G134" s="14"/>
      <c r="H134" s="32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>
      <c r="A135" s="14"/>
      <c r="B135" s="14"/>
      <c r="C135" s="30"/>
      <c r="D135" s="14"/>
      <c r="E135" s="14"/>
      <c r="F135" s="14"/>
      <c r="G135" s="14"/>
      <c r="H135" s="32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>
      <c r="A136" s="14"/>
      <c r="B136" s="14"/>
      <c r="C136" s="30"/>
      <c r="D136" s="14"/>
      <c r="E136" s="14"/>
      <c r="F136" s="14"/>
      <c r="G136" s="14"/>
      <c r="H136" s="32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>
      <c r="A137" s="14"/>
      <c r="B137" s="14"/>
      <c r="C137" s="30"/>
      <c r="D137" s="14"/>
      <c r="E137" s="14"/>
      <c r="F137" s="14"/>
      <c r="G137" s="14"/>
      <c r="H137" s="32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>
      <c r="A138" s="14"/>
      <c r="B138" s="14"/>
      <c r="C138" s="30"/>
      <c r="D138" s="14"/>
      <c r="E138" s="14"/>
      <c r="F138" s="14"/>
      <c r="G138" s="14"/>
      <c r="H138" s="32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>
      <c r="A139" s="14"/>
      <c r="B139" s="14"/>
      <c r="C139" s="30"/>
      <c r="D139" s="14"/>
      <c r="E139" s="14"/>
      <c r="F139" s="14"/>
      <c r="G139" s="14"/>
      <c r="H139" s="32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>
      <c r="A140" s="14"/>
      <c r="B140" s="14"/>
      <c r="C140" s="30"/>
      <c r="D140" s="14"/>
      <c r="E140" s="14"/>
      <c r="F140" s="14"/>
      <c r="G140" s="14"/>
      <c r="H140" s="32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>
      <c r="A141" s="14"/>
      <c r="B141" s="14"/>
      <c r="C141" s="30"/>
      <c r="D141" s="14"/>
      <c r="E141" s="14"/>
      <c r="F141" s="14"/>
      <c r="G141" s="14"/>
      <c r="H141" s="32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>
      <c r="A142" s="14"/>
      <c r="B142" s="14"/>
      <c r="C142" s="30"/>
      <c r="D142" s="14"/>
      <c r="E142" s="14"/>
      <c r="F142" s="14"/>
      <c r="G142" s="14"/>
      <c r="H142" s="32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>
      <c r="A143" s="14"/>
      <c r="B143" s="14"/>
      <c r="C143" s="30"/>
      <c r="D143" s="14"/>
      <c r="E143" s="14"/>
      <c r="F143" s="14"/>
      <c r="G143" s="14"/>
      <c r="H143" s="32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>
      <c r="A144" s="14"/>
      <c r="B144" s="14"/>
      <c r="C144" s="30"/>
      <c r="D144" s="14"/>
      <c r="E144" s="14"/>
      <c r="F144" s="14"/>
      <c r="G144" s="14"/>
      <c r="H144" s="32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>
      <c r="A145" s="14"/>
      <c r="B145" s="14"/>
      <c r="C145" s="30"/>
      <c r="D145" s="14"/>
      <c r="E145" s="14"/>
      <c r="F145" s="14"/>
      <c r="G145" s="14"/>
      <c r="H145" s="32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>
      <c r="A146" s="14"/>
      <c r="B146" s="14"/>
      <c r="C146" s="30"/>
      <c r="D146" s="14"/>
      <c r="E146" s="14"/>
      <c r="F146" s="14"/>
      <c r="G146" s="14"/>
      <c r="H146" s="32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>
      <c r="A147" s="14"/>
      <c r="B147" s="14"/>
      <c r="C147" s="30"/>
      <c r="D147" s="14"/>
      <c r="E147" s="14"/>
      <c r="F147" s="14"/>
      <c r="G147" s="14"/>
      <c r="H147" s="32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>
      <c r="A148" s="14"/>
      <c r="B148" s="14"/>
      <c r="C148" s="30"/>
      <c r="D148" s="14"/>
      <c r="E148" s="14"/>
      <c r="F148" s="14"/>
      <c r="G148" s="14"/>
      <c r="H148" s="32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>
      <c r="A149" s="14"/>
      <c r="B149" s="14"/>
      <c r="C149" s="30"/>
      <c r="D149" s="14"/>
      <c r="E149" s="14"/>
      <c r="F149" s="14"/>
      <c r="G149" s="14"/>
      <c r="H149" s="32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>
      <c r="A150" s="14"/>
      <c r="B150" s="14"/>
      <c r="C150" s="30"/>
      <c r="D150" s="14"/>
      <c r="E150" s="14"/>
      <c r="F150" s="14"/>
      <c r="G150" s="14"/>
      <c r="H150" s="32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>
      <c r="A151" s="14"/>
      <c r="B151" s="14"/>
      <c r="C151" s="30"/>
      <c r="D151" s="14"/>
      <c r="E151" s="14"/>
      <c r="F151" s="14"/>
      <c r="G151" s="14"/>
      <c r="H151" s="32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>
      <c r="A152" s="14"/>
      <c r="B152" s="14"/>
      <c r="C152" s="30"/>
      <c r="D152" s="14"/>
      <c r="E152" s="14"/>
      <c r="F152" s="14"/>
      <c r="G152" s="14"/>
      <c r="H152" s="32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>
      <c r="A153" s="14"/>
      <c r="B153" s="14"/>
      <c r="C153" s="30"/>
      <c r="D153" s="14"/>
      <c r="E153" s="14"/>
      <c r="F153" s="14"/>
      <c r="G153" s="14"/>
      <c r="H153" s="32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>
      <c r="A154" s="14"/>
      <c r="B154" s="14"/>
      <c r="C154" s="30"/>
      <c r="D154" s="14"/>
      <c r="E154" s="14"/>
      <c r="F154" s="14"/>
      <c r="G154" s="14"/>
      <c r="H154" s="32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>
      <c r="A155" s="14"/>
      <c r="B155" s="14"/>
      <c r="C155" s="30"/>
      <c r="D155" s="14"/>
      <c r="E155" s="14"/>
      <c r="F155" s="14"/>
      <c r="G155" s="14"/>
      <c r="H155" s="32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>
      <c r="A156" s="14"/>
      <c r="B156" s="14"/>
      <c r="C156" s="30"/>
      <c r="D156" s="14"/>
      <c r="E156" s="14"/>
      <c r="F156" s="14"/>
      <c r="G156" s="14"/>
      <c r="H156" s="32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>
      <c r="A157" s="14"/>
      <c r="B157" s="14"/>
      <c r="C157" s="30"/>
      <c r="D157" s="14"/>
      <c r="E157" s="14"/>
      <c r="F157" s="14"/>
      <c r="G157" s="14"/>
      <c r="H157" s="32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>
      <c r="A158" s="14"/>
      <c r="B158" s="14"/>
      <c r="C158" s="30"/>
      <c r="D158" s="14"/>
      <c r="E158" s="14"/>
      <c r="F158" s="14"/>
      <c r="G158" s="14"/>
      <c r="H158" s="32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>
      <c r="A159" s="14"/>
      <c r="B159" s="14"/>
      <c r="C159" s="30"/>
      <c r="D159" s="14"/>
      <c r="E159" s="14"/>
      <c r="F159" s="14"/>
      <c r="G159" s="14"/>
      <c r="H159" s="32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>
      <c r="A160" s="14"/>
      <c r="B160" s="14"/>
      <c r="C160" s="30"/>
      <c r="D160" s="14"/>
      <c r="E160" s="14"/>
      <c r="F160" s="14"/>
      <c r="G160" s="14"/>
      <c r="H160" s="32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>
      <c r="A161" s="14"/>
      <c r="B161" s="14"/>
      <c r="C161" s="30"/>
      <c r="D161" s="14"/>
      <c r="E161" s="14"/>
      <c r="F161" s="14"/>
      <c r="G161" s="14"/>
      <c r="H161" s="32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>
      <c r="A162" s="14"/>
      <c r="B162" s="14"/>
      <c r="C162" s="30"/>
      <c r="D162" s="14"/>
      <c r="E162" s="14"/>
      <c r="F162" s="14"/>
      <c r="G162" s="14"/>
      <c r="H162" s="32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>
      <c r="A163" s="14"/>
      <c r="B163" s="14"/>
      <c r="C163" s="30"/>
      <c r="D163" s="14"/>
      <c r="E163" s="14"/>
      <c r="F163" s="14"/>
      <c r="G163" s="14"/>
      <c r="H163" s="32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>
      <c r="A164" s="14"/>
      <c r="B164" s="14"/>
      <c r="C164" s="30"/>
      <c r="D164" s="14"/>
      <c r="E164" s="14"/>
      <c r="F164" s="14"/>
      <c r="G164" s="14"/>
      <c r="H164" s="32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>
      <c r="A165" s="14"/>
      <c r="B165" s="14"/>
      <c r="C165" s="30"/>
      <c r="D165" s="14"/>
      <c r="E165" s="14"/>
      <c r="F165" s="14"/>
      <c r="G165" s="14"/>
      <c r="H165" s="32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>
      <c r="A166" s="14"/>
      <c r="B166" s="14"/>
      <c r="C166" s="30"/>
      <c r="D166" s="14"/>
      <c r="E166" s="14"/>
      <c r="F166" s="14"/>
      <c r="G166" s="14"/>
      <c r="H166" s="32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>
      <c r="A167" s="14"/>
      <c r="B167" s="14"/>
      <c r="C167" s="30"/>
      <c r="D167" s="14"/>
      <c r="E167" s="14"/>
      <c r="F167" s="14"/>
      <c r="G167" s="14"/>
      <c r="H167" s="32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>
      <c r="A168" s="14"/>
      <c r="B168" s="14"/>
      <c r="C168" s="30"/>
      <c r="D168" s="14"/>
      <c r="E168" s="14"/>
      <c r="F168" s="14"/>
      <c r="G168" s="14"/>
      <c r="H168" s="32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>
      <c r="A169" s="14"/>
      <c r="B169" s="14"/>
      <c r="C169" s="30"/>
      <c r="D169" s="14"/>
      <c r="E169" s="14"/>
      <c r="F169" s="14"/>
      <c r="G169" s="14"/>
      <c r="H169" s="32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>
      <c r="A170" s="14"/>
      <c r="B170" s="14"/>
      <c r="C170" s="30"/>
      <c r="D170" s="14"/>
      <c r="E170" s="14"/>
      <c r="F170" s="14"/>
      <c r="G170" s="14"/>
      <c r="H170" s="32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>
      <c r="A171" s="14"/>
      <c r="B171" s="14"/>
      <c r="C171" s="30"/>
      <c r="D171" s="14"/>
      <c r="E171" s="14"/>
      <c r="F171" s="14"/>
      <c r="G171" s="14"/>
      <c r="H171" s="32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>
      <c r="A172" s="14"/>
      <c r="B172" s="14"/>
      <c r="C172" s="30"/>
      <c r="D172" s="14"/>
      <c r="E172" s="14"/>
      <c r="F172" s="14"/>
      <c r="G172" s="14"/>
      <c r="H172" s="32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>
      <c r="A173" s="14"/>
      <c r="B173" s="14"/>
      <c r="C173" s="30"/>
      <c r="D173" s="14"/>
      <c r="E173" s="14"/>
      <c r="F173" s="14"/>
      <c r="G173" s="14"/>
      <c r="H173" s="32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>
      <c r="A174" s="14"/>
      <c r="B174" s="14"/>
      <c r="C174" s="30"/>
      <c r="D174" s="14"/>
      <c r="E174" s="14"/>
      <c r="F174" s="14"/>
      <c r="G174" s="14"/>
      <c r="H174" s="32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>
      <c r="A175" s="14"/>
      <c r="B175" s="14"/>
      <c r="C175" s="30"/>
      <c r="D175" s="14"/>
      <c r="E175" s="14"/>
      <c r="F175" s="14"/>
      <c r="G175" s="14"/>
      <c r="H175" s="32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>
      <c r="A176" s="14"/>
      <c r="B176" s="14"/>
      <c r="C176" s="30"/>
      <c r="D176" s="14"/>
      <c r="E176" s="14"/>
      <c r="F176" s="14"/>
      <c r="G176" s="14"/>
      <c r="H176" s="32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>
      <c r="A177" s="14"/>
      <c r="B177" s="14"/>
      <c r="C177" s="30"/>
      <c r="D177" s="14"/>
      <c r="E177" s="14"/>
      <c r="F177" s="14"/>
      <c r="G177" s="14"/>
      <c r="H177" s="32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>
      <c r="A178" s="14"/>
      <c r="B178" s="14"/>
      <c r="C178" s="30"/>
      <c r="D178" s="14"/>
      <c r="E178" s="14"/>
      <c r="F178" s="14"/>
      <c r="G178" s="14"/>
      <c r="H178" s="32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>
      <c r="A179" s="14"/>
      <c r="B179" s="14"/>
      <c r="C179" s="30"/>
      <c r="D179" s="14"/>
      <c r="E179" s="14"/>
      <c r="F179" s="14"/>
      <c r="G179" s="14"/>
      <c r="H179" s="32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>
      <c r="A180" s="14"/>
      <c r="B180" s="14"/>
      <c r="C180" s="30"/>
      <c r="D180" s="14"/>
      <c r="E180" s="14"/>
      <c r="F180" s="14"/>
      <c r="G180" s="14"/>
      <c r="H180" s="32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>
      <c r="A181" s="14"/>
      <c r="B181" s="14"/>
      <c r="C181" s="30"/>
      <c r="D181" s="14"/>
      <c r="E181" s="14"/>
      <c r="F181" s="14"/>
      <c r="G181" s="14"/>
      <c r="H181" s="32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>
      <c r="A182" s="14"/>
      <c r="B182" s="14"/>
      <c r="C182" s="30"/>
      <c r="D182" s="14"/>
      <c r="E182" s="14"/>
      <c r="F182" s="14"/>
      <c r="G182" s="14"/>
      <c r="H182" s="32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>
      <c r="A183" s="14"/>
      <c r="B183" s="14"/>
      <c r="C183" s="30"/>
      <c r="D183" s="14"/>
      <c r="E183" s="14"/>
      <c r="F183" s="14"/>
      <c r="G183" s="14"/>
      <c r="H183" s="32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>
      <c r="A184" s="14"/>
      <c r="B184" s="14"/>
      <c r="C184" s="30"/>
      <c r="D184" s="14"/>
      <c r="E184" s="14"/>
      <c r="F184" s="14"/>
      <c r="G184" s="14"/>
      <c r="H184" s="32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>
      <c r="A185" s="14"/>
      <c r="B185" s="14"/>
      <c r="C185" s="30"/>
      <c r="D185" s="14"/>
      <c r="E185" s="14"/>
      <c r="F185" s="14"/>
      <c r="G185" s="14"/>
      <c r="H185" s="32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>
      <c r="A186" s="14"/>
      <c r="B186" s="14"/>
      <c r="C186" s="30"/>
      <c r="D186" s="14"/>
      <c r="E186" s="14"/>
      <c r="F186" s="14"/>
      <c r="G186" s="14"/>
      <c r="H186" s="32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>
      <c r="A187" s="14"/>
      <c r="B187" s="14"/>
      <c r="C187" s="30"/>
      <c r="D187" s="14"/>
      <c r="E187" s="14"/>
      <c r="F187" s="14"/>
      <c r="G187" s="14"/>
      <c r="H187" s="32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>
      <c r="A188" s="14"/>
      <c r="B188" s="14"/>
      <c r="C188" s="30"/>
      <c r="D188" s="14"/>
      <c r="E188" s="14"/>
      <c r="F188" s="14"/>
      <c r="G188" s="14"/>
      <c r="H188" s="32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>
      <c r="A189" s="14"/>
      <c r="B189" s="14"/>
      <c r="C189" s="30"/>
      <c r="D189" s="14"/>
      <c r="E189" s="14"/>
      <c r="F189" s="14"/>
      <c r="G189" s="14"/>
      <c r="H189" s="32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>
      <c r="A190" s="14"/>
      <c r="B190" s="14"/>
      <c r="C190" s="30"/>
      <c r="D190" s="14"/>
      <c r="E190" s="14"/>
      <c r="F190" s="14"/>
      <c r="G190" s="14"/>
      <c r="H190" s="32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>
      <c r="A191" s="14"/>
      <c r="B191" s="14"/>
      <c r="C191" s="30"/>
      <c r="D191" s="14"/>
      <c r="E191" s="14"/>
      <c r="F191" s="14"/>
      <c r="G191" s="14"/>
      <c r="H191" s="32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>
      <c r="A192" s="14"/>
      <c r="B192" s="14"/>
      <c r="C192" s="30"/>
      <c r="D192" s="14"/>
      <c r="E192" s="14"/>
      <c r="F192" s="14"/>
      <c r="G192" s="14"/>
      <c r="H192" s="32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>
      <c r="A193" s="14"/>
      <c r="B193" s="14"/>
      <c r="C193" s="30"/>
      <c r="D193" s="14"/>
      <c r="E193" s="14"/>
      <c r="F193" s="14"/>
      <c r="G193" s="14"/>
      <c r="H193" s="32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>
      <c r="A194" s="14"/>
      <c r="B194" s="14"/>
      <c r="C194" s="30"/>
      <c r="D194" s="14"/>
      <c r="E194" s="14"/>
      <c r="F194" s="14"/>
      <c r="G194" s="14"/>
      <c r="H194" s="32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>
      <c r="A195" s="14"/>
      <c r="B195" s="14"/>
      <c r="C195" s="30"/>
      <c r="D195" s="14"/>
      <c r="E195" s="14"/>
      <c r="F195" s="14"/>
      <c r="G195" s="14"/>
      <c r="H195" s="32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>
      <c r="A196" s="14"/>
      <c r="B196" s="14"/>
      <c r="C196" s="30"/>
      <c r="D196" s="14"/>
      <c r="E196" s="14"/>
      <c r="F196" s="14"/>
      <c r="G196" s="14"/>
      <c r="H196" s="32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>
      <c r="A197" s="14"/>
      <c r="B197" s="14"/>
      <c r="C197" s="30"/>
      <c r="D197" s="14"/>
      <c r="E197" s="14"/>
      <c r="F197" s="14"/>
      <c r="G197" s="14"/>
      <c r="H197" s="32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>
      <c r="A198" s="14"/>
      <c r="B198" s="14"/>
      <c r="C198" s="30"/>
      <c r="D198" s="14"/>
      <c r="E198" s="14"/>
      <c r="F198" s="14"/>
      <c r="G198" s="14"/>
      <c r="H198" s="32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>
      <c r="A199" s="14"/>
      <c r="B199" s="14"/>
      <c r="C199" s="30"/>
      <c r="D199" s="14"/>
      <c r="E199" s="14"/>
      <c r="F199" s="14"/>
      <c r="G199" s="14"/>
      <c r="H199" s="32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>
      <c r="A200" s="14"/>
      <c r="B200" s="14"/>
      <c r="C200" s="30"/>
      <c r="D200" s="14"/>
      <c r="E200" s="14"/>
      <c r="F200" s="14"/>
      <c r="G200" s="14"/>
      <c r="H200" s="32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>
      <c r="A201" s="14"/>
      <c r="B201" s="14"/>
      <c r="C201" s="30"/>
      <c r="D201" s="14"/>
      <c r="E201" s="14"/>
      <c r="F201" s="14"/>
      <c r="G201" s="14"/>
      <c r="H201" s="32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>
      <c r="A202" s="14"/>
      <c r="B202" s="14"/>
      <c r="C202" s="30"/>
      <c r="D202" s="14"/>
      <c r="E202" s="14"/>
      <c r="F202" s="14"/>
      <c r="G202" s="14"/>
      <c r="H202" s="32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>
      <c r="A203" s="14"/>
      <c r="B203" s="14"/>
      <c r="C203" s="30"/>
      <c r="D203" s="14"/>
      <c r="E203" s="14"/>
      <c r="F203" s="14"/>
      <c r="G203" s="14"/>
      <c r="H203" s="32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>
      <c r="A204" s="14"/>
      <c r="B204" s="14"/>
      <c r="C204" s="30"/>
      <c r="D204" s="14"/>
      <c r="E204" s="14"/>
      <c r="F204" s="14"/>
      <c r="G204" s="14"/>
      <c r="H204" s="32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>
      <c r="A205" s="14"/>
      <c r="B205" s="14"/>
      <c r="C205" s="30"/>
      <c r="D205" s="14"/>
      <c r="E205" s="14"/>
      <c r="F205" s="14"/>
      <c r="G205" s="14"/>
      <c r="H205" s="32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>
      <c r="A206" s="14"/>
      <c r="B206" s="14"/>
      <c r="C206" s="30"/>
      <c r="D206" s="14"/>
      <c r="E206" s="14"/>
      <c r="F206" s="14"/>
      <c r="G206" s="14"/>
      <c r="H206" s="32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>
      <c r="A207" s="14"/>
      <c r="B207" s="14"/>
      <c r="C207" s="30"/>
      <c r="D207" s="14"/>
      <c r="E207" s="14"/>
      <c r="F207" s="14"/>
      <c r="G207" s="14"/>
      <c r="H207" s="32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>
      <c r="A208" s="14"/>
      <c r="B208" s="14"/>
      <c r="C208" s="30"/>
      <c r="D208" s="14"/>
      <c r="E208" s="14"/>
      <c r="F208" s="14"/>
      <c r="G208" s="14"/>
      <c r="H208" s="32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>
      <c r="A209" s="14"/>
      <c r="B209" s="14"/>
      <c r="C209" s="30"/>
      <c r="D209" s="14"/>
      <c r="E209" s="14"/>
      <c r="F209" s="14"/>
      <c r="G209" s="14"/>
      <c r="H209" s="32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>
      <c r="A210" s="14"/>
      <c r="B210" s="14"/>
      <c r="C210" s="30"/>
      <c r="D210" s="14"/>
      <c r="E210" s="14"/>
      <c r="F210" s="14"/>
      <c r="G210" s="14"/>
      <c r="H210" s="32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>
      <c r="A211" s="14"/>
      <c r="B211" s="14"/>
      <c r="C211" s="30"/>
      <c r="D211" s="14"/>
      <c r="E211" s="14"/>
      <c r="F211" s="14"/>
      <c r="G211" s="14"/>
      <c r="H211" s="32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>
      <c r="A212" s="14"/>
      <c r="B212" s="14"/>
      <c r="C212" s="30"/>
      <c r="D212" s="14"/>
      <c r="E212" s="14"/>
      <c r="F212" s="14"/>
      <c r="G212" s="14"/>
      <c r="H212" s="32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>
      <c r="A213" s="14"/>
      <c r="B213" s="14"/>
      <c r="C213" s="30"/>
      <c r="D213" s="14"/>
      <c r="E213" s="14"/>
      <c r="F213" s="14"/>
      <c r="G213" s="14"/>
      <c r="H213" s="32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>
      <c r="A214" s="14"/>
      <c r="B214" s="14"/>
      <c r="C214" s="30"/>
      <c r="D214" s="14"/>
      <c r="E214" s="14"/>
      <c r="F214" s="14"/>
      <c r="G214" s="14"/>
      <c r="H214" s="32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>
      <c r="A215" s="14"/>
      <c r="B215" s="14"/>
      <c r="C215" s="30"/>
      <c r="D215" s="14"/>
      <c r="E215" s="14"/>
      <c r="F215" s="14"/>
      <c r="G215" s="14"/>
      <c r="H215" s="32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>
      <c r="A216" s="14"/>
      <c r="B216" s="14"/>
      <c r="C216" s="30"/>
      <c r="D216" s="14"/>
      <c r="E216" s="14"/>
      <c r="F216" s="14"/>
      <c r="G216" s="14"/>
      <c r="H216" s="32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>
      <c r="A217" s="14"/>
      <c r="B217" s="14"/>
      <c r="C217" s="30"/>
      <c r="D217" s="14"/>
      <c r="E217" s="14"/>
      <c r="F217" s="14"/>
      <c r="G217" s="14"/>
      <c r="H217" s="32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>
      <c r="A218" s="14"/>
      <c r="B218" s="14"/>
      <c r="C218" s="30"/>
      <c r="D218" s="14"/>
      <c r="E218" s="14"/>
      <c r="F218" s="14"/>
      <c r="G218" s="14"/>
      <c r="H218" s="32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>
      <c r="A219" s="14"/>
      <c r="B219" s="14"/>
      <c r="C219" s="30"/>
      <c r="D219" s="14"/>
      <c r="E219" s="14"/>
      <c r="F219" s="14"/>
      <c r="G219" s="14"/>
      <c r="H219" s="32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>
      <c r="A220" s="14"/>
      <c r="B220" s="14"/>
      <c r="C220" s="30"/>
      <c r="D220" s="14"/>
      <c r="E220" s="14"/>
      <c r="F220" s="14"/>
      <c r="G220" s="14"/>
      <c r="H220" s="32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>
      <c r="A221" s="14"/>
      <c r="B221" s="14"/>
      <c r="C221" s="30"/>
      <c r="D221" s="14"/>
      <c r="E221" s="14"/>
      <c r="F221" s="14"/>
      <c r="G221" s="14"/>
      <c r="H221" s="32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</row>
    <row r="222">
      <c r="A222" s="14"/>
      <c r="B222" s="14"/>
      <c r="C222" s="30"/>
      <c r="D222" s="14"/>
      <c r="E222" s="14"/>
      <c r="F222" s="14"/>
      <c r="G222" s="14"/>
      <c r="H222" s="32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</row>
    <row r="223">
      <c r="A223" s="14"/>
      <c r="B223" s="14"/>
      <c r="C223" s="30"/>
      <c r="D223" s="14"/>
      <c r="E223" s="14"/>
      <c r="F223" s="14"/>
      <c r="G223" s="14"/>
      <c r="H223" s="32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</row>
    <row r="224">
      <c r="A224" s="14"/>
      <c r="B224" s="14"/>
      <c r="C224" s="30"/>
      <c r="D224" s="14"/>
      <c r="E224" s="14"/>
      <c r="F224" s="14"/>
      <c r="G224" s="14"/>
      <c r="H224" s="32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</row>
    <row r="225">
      <c r="A225" s="14"/>
      <c r="B225" s="14"/>
      <c r="C225" s="30"/>
      <c r="D225" s="14"/>
      <c r="E225" s="14"/>
      <c r="F225" s="14"/>
      <c r="G225" s="14"/>
      <c r="H225" s="32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</row>
    <row r="226">
      <c r="A226" s="14"/>
      <c r="B226" s="14"/>
      <c r="C226" s="30"/>
      <c r="D226" s="14"/>
      <c r="E226" s="14"/>
      <c r="F226" s="14"/>
      <c r="G226" s="14"/>
      <c r="H226" s="32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</row>
    <row r="227">
      <c r="A227" s="14"/>
      <c r="B227" s="14"/>
      <c r="C227" s="30"/>
      <c r="D227" s="14"/>
      <c r="E227" s="14"/>
      <c r="F227" s="14"/>
      <c r="G227" s="14"/>
      <c r="H227" s="32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</row>
    <row r="228">
      <c r="A228" s="14"/>
      <c r="B228" s="14"/>
      <c r="C228" s="30"/>
      <c r="D228" s="14"/>
      <c r="E228" s="14"/>
      <c r="F228" s="14"/>
      <c r="G228" s="14"/>
      <c r="H228" s="32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</row>
    <row r="229">
      <c r="A229" s="14"/>
      <c r="B229" s="14"/>
      <c r="C229" s="30"/>
      <c r="D229" s="14"/>
      <c r="E229" s="14"/>
      <c r="F229" s="14"/>
      <c r="G229" s="14"/>
      <c r="H229" s="32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</row>
    <row r="230">
      <c r="A230" s="14"/>
      <c r="B230" s="14"/>
      <c r="C230" s="30"/>
      <c r="D230" s="14"/>
      <c r="E230" s="14"/>
      <c r="F230" s="14"/>
      <c r="G230" s="14"/>
      <c r="H230" s="32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</row>
    <row r="231">
      <c r="A231" s="14"/>
      <c r="B231" s="14"/>
      <c r="C231" s="30"/>
      <c r="D231" s="14"/>
      <c r="E231" s="14"/>
      <c r="F231" s="14"/>
      <c r="G231" s="14"/>
      <c r="H231" s="32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</row>
    <row r="232">
      <c r="A232" s="14"/>
      <c r="B232" s="14"/>
      <c r="C232" s="30"/>
      <c r="D232" s="14"/>
      <c r="E232" s="14"/>
      <c r="F232" s="14"/>
      <c r="G232" s="14"/>
      <c r="H232" s="32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</row>
    <row r="233">
      <c r="A233" s="14"/>
      <c r="B233" s="14"/>
      <c r="C233" s="30"/>
      <c r="D233" s="14"/>
      <c r="E233" s="14"/>
      <c r="F233" s="14"/>
      <c r="G233" s="14"/>
      <c r="H233" s="32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</row>
    <row r="234">
      <c r="A234" s="14"/>
      <c r="B234" s="14"/>
      <c r="C234" s="30"/>
      <c r="D234" s="14"/>
      <c r="E234" s="14"/>
      <c r="F234" s="14"/>
      <c r="G234" s="14"/>
      <c r="H234" s="32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</row>
    <row r="235">
      <c r="A235" s="14"/>
      <c r="B235" s="14"/>
      <c r="C235" s="30"/>
      <c r="D235" s="14"/>
      <c r="E235" s="14"/>
      <c r="F235" s="14"/>
      <c r="G235" s="14"/>
      <c r="H235" s="32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</row>
    <row r="236">
      <c r="A236" s="14"/>
      <c r="B236" s="14"/>
      <c r="C236" s="30"/>
      <c r="D236" s="14"/>
      <c r="E236" s="14"/>
      <c r="F236" s="14"/>
      <c r="G236" s="14"/>
      <c r="H236" s="32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</row>
    <row r="237">
      <c r="A237" s="14"/>
      <c r="B237" s="14"/>
      <c r="C237" s="30"/>
      <c r="D237" s="14"/>
      <c r="E237" s="14"/>
      <c r="F237" s="14"/>
      <c r="G237" s="14"/>
      <c r="H237" s="32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</row>
    <row r="238">
      <c r="A238" s="14"/>
      <c r="B238" s="14"/>
      <c r="C238" s="30"/>
      <c r="D238" s="14"/>
      <c r="E238" s="14"/>
      <c r="F238" s="14"/>
      <c r="G238" s="14"/>
      <c r="H238" s="32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</row>
    <row r="239">
      <c r="A239" s="14"/>
      <c r="B239" s="14"/>
      <c r="C239" s="30"/>
      <c r="D239" s="14"/>
      <c r="E239" s="14"/>
      <c r="F239" s="14"/>
      <c r="G239" s="14"/>
      <c r="H239" s="32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</row>
    <row r="240">
      <c r="A240" s="14"/>
      <c r="B240" s="14"/>
      <c r="C240" s="30"/>
      <c r="D240" s="14"/>
      <c r="E240" s="14"/>
      <c r="F240" s="14"/>
      <c r="G240" s="14"/>
      <c r="H240" s="32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</row>
    <row r="241">
      <c r="A241" s="14"/>
      <c r="B241" s="14"/>
      <c r="C241" s="30"/>
      <c r="D241" s="14"/>
      <c r="E241" s="14"/>
      <c r="F241" s="14"/>
      <c r="G241" s="14"/>
      <c r="H241" s="32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</row>
    <row r="242">
      <c r="A242" s="14"/>
      <c r="B242" s="14"/>
      <c r="C242" s="30"/>
      <c r="D242" s="14"/>
      <c r="E242" s="14"/>
      <c r="F242" s="14"/>
      <c r="G242" s="14"/>
      <c r="H242" s="32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</row>
    <row r="243">
      <c r="A243" s="14"/>
      <c r="B243" s="14"/>
      <c r="C243" s="30"/>
      <c r="D243" s="14"/>
      <c r="E243" s="14"/>
      <c r="F243" s="14"/>
      <c r="G243" s="14"/>
      <c r="H243" s="32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</row>
    <row r="244">
      <c r="A244" s="14"/>
      <c r="B244" s="14"/>
      <c r="C244" s="30"/>
      <c r="D244" s="14"/>
      <c r="E244" s="14"/>
      <c r="F244" s="14"/>
      <c r="G244" s="14"/>
      <c r="H244" s="32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</row>
    <row r="245">
      <c r="A245" s="14"/>
      <c r="B245" s="14"/>
      <c r="C245" s="30"/>
      <c r="D245" s="14"/>
      <c r="E245" s="14"/>
      <c r="F245" s="14"/>
      <c r="G245" s="14"/>
      <c r="H245" s="32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</row>
    <row r="246">
      <c r="A246" s="14"/>
      <c r="B246" s="14"/>
      <c r="C246" s="30"/>
      <c r="D246" s="14"/>
      <c r="E246" s="14"/>
      <c r="F246" s="14"/>
      <c r="G246" s="14"/>
      <c r="H246" s="32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</row>
    <row r="247">
      <c r="A247" s="14"/>
      <c r="B247" s="14"/>
      <c r="C247" s="30"/>
      <c r="D247" s="14"/>
      <c r="E247" s="14"/>
      <c r="F247" s="14"/>
      <c r="G247" s="14"/>
      <c r="H247" s="32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</row>
    <row r="248">
      <c r="A248" s="14"/>
      <c r="B248" s="14"/>
      <c r="C248" s="30"/>
      <c r="D248" s="14"/>
      <c r="E248" s="14"/>
      <c r="F248" s="14"/>
      <c r="G248" s="14"/>
      <c r="H248" s="32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</row>
    <row r="249">
      <c r="A249" s="14"/>
      <c r="B249" s="14"/>
      <c r="C249" s="30"/>
      <c r="D249" s="14"/>
      <c r="E249" s="14"/>
      <c r="F249" s="14"/>
      <c r="G249" s="14"/>
      <c r="H249" s="32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</row>
    <row r="250">
      <c r="A250" s="14"/>
      <c r="B250" s="14"/>
      <c r="C250" s="30"/>
      <c r="D250" s="14"/>
      <c r="E250" s="14"/>
      <c r="F250" s="14"/>
      <c r="G250" s="14"/>
      <c r="H250" s="32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</row>
    <row r="251">
      <c r="A251" s="14"/>
      <c r="B251" s="14"/>
      <c r="C251" s="30"/>
      <c r="D251" s="14"/>
      <c r="E251" s="14"/>
      <c r="F251" s="14"/>
      <c r="G251" s="14"/>
      <c r="H251" s="32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</row>
    <row r="252">
      <c r="A252" s="14"/>
      <c r="B252" s="14"/>
      <c r="C252" s="30"/>
      <c r="D252" s="14"/>
      <c r="E252" s="14"/>
      <c r="F252" s="14"/>
      <c r="G252" s="14"/>
      <c r="H252" s="32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</row>
    <row r="253">
      <c r="A253" s="14"/>
      <c r="B253" s="14"/>
      <c r="C253" s="30"/>
      <c r="D253" s="14"/>
      <c r="E253" s="14"/>
      <c r="F253" s="14"/>
      <c r="G253" s="14"/>
      <c r="H253" s="32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</row>
    <row r="254">
      <c r="A254" s="14"/>
      <c r="B254" s="14"/>
      <c r="C254" s="30"/>
      <c r="D254" s="14"/>
      <c r="E254" s="14"/>
      <c r="F254" s="14"/>
      <c r="G254" s="14"/>
      <c r="H254" s="32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</row>
    <row r="255">
      <c r="A255" s="14"/>
      <c r="B255" s="14"/>
      <c r="C255" s="30"/>
      <c r="D255" s="14"/>
      <c r="E255" s="14"/>
      <c r="F255" s="14"/>
      <c r="G255" s="14"/>
      <c r="H255" s="32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</row>
    <row r="256">
      <c r="A256" s="14"/>
      <c r="B256" s="14"/>
      <c r="C256" s="30"/>
      <c r="D256" s="14"/>
      <c r="E256" s="14"/>
      <c r="F256" s="14"/>
      <c r="G256" s="14"/>
      <c r="H256" s="32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</row>
    <row r="257">
      <c r="A257" s="14"/>
      <c r="B257" s="14"/>
      <c r="C257" s="30"/>
      <c r="D257" s="14"/>
      <c r="E257" s="14"/>
      <c r="F257" s="14"/>
      <c r="G257" s="14"/>
      <c r="H257" s="32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</row>
    <row r="258">
      <c r="A258" s="14"/>
      <c r="B258" s="14"/>
      <c r="C258" s="30"/>
      <c r="D258" s="14"/>
      <c r="E258" s="14"/>
      <c r="F258" s="14"/>
      <c r="G258" s="14"/>
      <c r="H258" s="32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</row>
    <row r="259">
      <c r="A259" s="14"/>
      <c r="B259" s="14"/>
      <c r="C259" s="30"/>
      <c r="D259" s="14"/>
      <c r="E259" s="14"/>
      <c r="F259" s="14"/>
      <c r="G259" s="14"/>
      <c r="H259" s="32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</row>
    <row r="260">
      <c r="A260" s="14"/>
      <c r="B260" s="14"/>
      <c r="C260" s="30"/>
      <c r="D260" s="14"/>
      <c r="E260" s="14"/>
      <c r="F260" s="14"/>
      <c r="G260" s="14"/>
      <c r="H260" s="32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</row>
    <row r="261">
      <c r="A261" s="14"/>
      <c r="B261" s="14"/>
      <c r="C261" s="30"/>
      <c r="D261" s="14"/>
      <c r="E261" s="14"/>
      <c r="F261" s="14"/>
      <c r="G261" s="14"/>
      <c r="H261" s="32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</row>
    <row r="262">
      <c r="A262" s="14"/>
      <c r="B262" s="14"/>
      <c r="C262" s="30"/>
      <c r="D262" s="14"/>
      <c r="E262" s="14"/>
      <c r="F262" s="14"/>
      <c r="G262" s="14"/>
      <c r="H262" s="32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</row>
    <row r="263">
      <c r="A263" s="14"/>
      <c r="B263" s="14"/>
      <c r="C263" s="30"/>
      <c r="D263" s="14"/>
      <c r="E263" s="14"/>
      <c r="F263" s="14"/>
      <c r="G263" s="14"/>
      <c r="H263" s="32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</row>
    <row r="264">
      <c r="A264" s="14"/>
      <c r="B264" s="14"/>
      <c r="C264" s="30"/>
      <c r="D264" s="14"/>
      <c r="E264" s="14"/>
      <c r="F264" s="14"/>
      <c r="G264" s="14"/>
      <c r="H264" s="32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</row>
    <row r="265">
      <c r="A265" s="14"/>
      <c r="B265" s="14"/>
      <c r="C265" s="30"/>
      <c r="D265" s="14"/>
      <c r="E265" s="14"/>
      <c r="F265" s="14"/>
      <c r="G265" s="14"/>
      <c r="H265" s="32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</row>
    <row r="266">
      <c r="A266" s="14"/>
      <c r="B266" s="14"/>
      <c r="C266" s="30"/>
      <c r="D266" s="14"/>
      <c r="E266" s="14"/>
      <c r="F266" s="14"/>
      <c r="G266" s="14"/>
      <c r="H266" s="32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</row>
    <row r="267">
      <c r="A267" s="14"/>
      <c r="B267" s="14"/>
      <c r="C267" s="30"/>
      <c r="D267" s="14"/>
      <c r="E267" s="14"/>
      <c r="F267" s="14"/>
      <c r="G267" s="14"/>
      <c r="H267" s="32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</row>
    <row r="268">
      <c r="A268" s="14"/>
      <c r="B268" s="14"/>
      <c r="C268" s="30"/>
      <c r="D268" s="14"/>
      <c r="E268" s="14"/>
      <c r="F268" s="14"/>
      <c r="G268" s="14"/>
      <c r="H268" s="32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</row>
    <row r="269">
      <c r="A269" s="14"/>
      <c r="B269" s="14"/>
      <c r="C269" s="30"/>
      <c r="D269" s="14"/>
      <c r="E269" s="14"/>
      <c r="F269" s="14"/>
      <c r="G269" s="14"/>
      <c r="H269" s="32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</row>
    <row r="270">
      <c r="A270" s="14"/>
      <c r="B270" s="14"/>
      <c r="C270" s="30"/>
      <c r="D270" s="14"/>
      <c r="E270" s="14"/>
      <c r="F270" s="14"/>
      <c r="G270" s="14"/>
      <c r="H270" s="32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</row>
    <row r="271">
      <c r="A271" s="14"/>
      <c r="B271" s="14"/>
      <c r="C271" s="30"/>
      <c r="D271" s="14"/>
      <c r="E271" s="14"/>
      <c r="F271" s="14"/>
      <c r="G271" s="14"/>
      <c r="H271" s="32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</row>
    <row r="272">
      <c r="A272" s="14"/>
      <c r="B272" s="14"/>
      <c r="C272" s="30"/>
      <c r="D272" s="14"/>
      <c r="E272" s="14"/>
      <c r="F272" s="14"/>
      <c r="G272" s="14"/>
      <c r="H272" s="32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</row>
    <row r="273">
      <c r="A273" s="14"/>
      <c r="B273" s="14"/>
      <c r="C273" s="30"/>
      <c r="D273" s="14"/>
      <c r="E273" s="14"/>
      <c r="F273" s="14"/>
      <c r="G273" s="14"/>
      <c r="H273" s="32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</row>
    <row r="274">
      <c r="A274" s="14"/>
      <c r="B274" s="14"/>
      <c r="C274" s="30"/>
      <c r="D274" s="14"/>
      <c r="E274" s="14"/>
      <c r="F274" s="14"/>
      <c r="G274" s="14"/>
      <c r="H274" s="32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</row>
    <row r="275">
      <c r="A275" s="14"/>
      <c r="B275" s="14"/>
      <c r="C275" s="30"/>
      <c r="D275" s="14"/>
      <c r="E275" s="14"/>
      <c r="F275" s="14"/>
      <c r="G275" s="14"/>
      <c r="H275" s="32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</row>
    <row r="276">
      <c r="A276" s="14"/>
      <c r="B276" s="14"/>
      <c r="C276" s="30"/>
      <c r="D276" s="14"/>
      <c r="E276" s="14"/>
      <c r="F276" s="14"/>
      <c r="G276" s="14"/>
      <c r="H276" s="32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</row>
    <row r="277">
      <c r="A277" s="14"/>
      <c r="B277" s="14"/>
      <c r="C277" s="30"/>
      <c r="D277" s="14"/>
      <c r="E277" s="14"/>
      <c r="F277" s="14"/>
      <c r="G277" s="14"/>
      <c r="H277" s="32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</row>
    <row r="278">
      <c r="A278" s="14"/>
      <c r="B278" s="14"/>
      <c r="C278" s="30"/>
      <c r="D278" s="14"/>
      <c r="E278" s="14"/>
      <c r="F278" s="14"/>
      <c r="G278" s="14"/>
      <c r="H278" s="32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</row>
    <row r="279">
      <c r="A279" s="14"/>
      <c r="B279" s="14"/>
      <c r="C279" s="30"/>
      <c r="D279" s="14"/>
      <c r="E279" s="14"/>
      <c r="F279" s="14"/>
      <c r="G279" s="14"/>
      <c r="H279" s="32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</row>
    <row r="280">
      <c r="A280" s="14"/>
      <c r="B280" s="14"/>
      <c r="C280" s="30"/>
      <c r="D280" s="14"/>
      <c r="E280" s="14"/>
      <c r="F280" s="14"/>
      <c r="G280" s="14"/>
      <c r="H280" s="32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</row>
    <row r="281">
      <c r="A281" s="14"/>
      <c r="B281" s="14"/>
      <c r="C281" s="30"/>
      <c r="D281" s="14"/>
      <c r="E281" s="14"/>
      <c r="F281" s="14"/>
      <c r="G281" s="14"/>
      <c r="H281" s="32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</row>
    <row r="282">
      <c r="A282" s="14"/>
      <c r="B282" s="14"/>
      <c r="C282" s="30"/>
      <c r="D282" s="14"/>
      <c r="E282" s="14"/>
      <c r="F282" s="14"/>
      <c r="G282" s="14"/>
      <c r="H282" s="32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</row>
    <row r="283">
      <c r="A283" s="14"/>
      <c r="B283" s="14"/>
      <c r="C283" s="30"/>
      <c r="D283" s="14"/>
      <c r="E283" s="14"/>
      <c r="F283" s="14"/>
      <c r="G283" s="14"/>
      <c r="H283" s="32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</row>
    <row r="284">
      <c r="A284" s="14"/>
      <c r="B284" s="14"/>
      <c r="C284" s="30"/>
      <c r="D284" s="14"/>
      <c r="E284" s="14"/>
      <c r="F284" s="14"/>
      <c r="G284" s="14"/>
      <c r="H284" s="32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</row>
    <row r="285">
      <c r="A285" s="14"/>
      <c r="B285" s="14"/>
      <c r="C285" s="30"/>
      <c r="D285" s="14"/>
      <c r="E285" s="14"/>
      <c r="F285" s="14"/>
      <c r="G285" s="14"/>
      <c r="H285" s="32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</row>
    <row r="286">
      <c r="A286" s="14"/>
      <c r="B286" s="14"/>
      <c r="C286" s="30"/>
      <c r="D286" s="14"/>
      <c r="E286" s="14"/>
      <c r="F286" s="14"/>
      <c r="G286" s="14"/>
      <c r="H286" s="32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</row>
    <row r="287">
      <c r="A287" s="14"/>
      <c r="B287" s="14"/>
      <c r="C287" s="30"/>
      <c r="D287" s="14"/>
      <c r="E287" s="14"/>
      <c r="F287" s="14"/>
      <c r="G287" s="14"/>
      <c r="H287" s="32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</row>
    <row r="288">
      <c r="A288" s="14"/>
      <c r="B288" s="14"/>
      <c r="C288" s="30"/>
      <c r="D288" s="14"/>
      <c r="E288" s="14"/>
      <c r="F288" s="14"/>
      <c r="G288" s="14"/>
      <c r="H288" s="32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</row>
    <row r="289">
      <c r="A289" s="14"/>
      <c r="B289" s="14"/>
      <c r="C289" s="30"/>
      <c r="D289" s="14"/>
      <c r="E289" s="14"/>
      <c r="F289" s="14"/>
      <c r="G289" s="14"/>
      <c r="H289" s="32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</row>
    <row r="290">
      <c r="A290" s="14"/>
      <c r="B290" s="14"/>
      <c r="C290" s="30"/>
      <c r="D290" s="14"/>
      <c r="E290" s="14"/>
      <c r="F290" s="14"/>
      <c r="G290" s="14"/>
      <c r="H290" s="32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</row>
    <row r="291">
      <c r="A291" s="14"/>
      <c r="B291" s="14"/>
      <c r="C291" s="30"/>
      <c r="D291" s="14"/>
      <c r="E291" s="14"/>
      <c r="F291" s="14"/>
      <c r="G291" s="14"/>
      <c r="H291" s="32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</row>
    <row r="292">
      <c r="A292" s="14"/>
      <c r="B292" s="14"/>
      <c r="C292" s="30"/>
      <c r="D292" s="14"/>
      <c r="E292" s="14"/>
      <c r="F292" s="14"/>
      <c r="G292" s="14"/>
      <c r="H292" s="32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</row>
    <row r="293">
      <c r="A293" s="14"/>
      <c r="B293" s="14"/>
      <c r="C293" s="30"/>
      <c r="D293" s="14"/>
      <c r="E293" s="14"/>
      <c r="F293" s="14"/>
      <c r="G293" s="14"/>
      <c r="H293" s="32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</row>
    <row r="294">
      <c r="A294" s="14"/>
      <c r="B294" s="14"/>
      <c r="C294" s="30"/>
      <c r="D294" s="14"/>
      <c r="E294" s="14"/>
      <c r="F294" s="14"/>
      <c r="G294" s="14"/>
      <c r="H294" s="32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</row>
    <row r="295">
      <c r="A295" s="14"/>
      <c r="B295" s="14"/>
      <c r="C295" s="30"/>
      <c r="D295" s="14"/>
      <c r="E295" s="14"/>
      <c r="F295" s="14"/>
      <c r="G295" s="14"/>
      <c r="H295" s="32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</row>
    <row r="296">
      <c r="A296" s="14"/>
      <c r="B296" s="14"/>
      <c r="C296" s="30"/>
      <c r="D296" s="14"/>
      <c r="E296" s="14"/>
      <c r="F296" s="14"/>
      <c r="G296" s="14"/>
      <c r="H296" s="32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</row>
    <row r="297">
      <c r="A297" s="14"/>
      <c r="B297" s="14"/>
      <c r="C297" s="30"/>
      <c r="D297" s="14"/>
      <c r="E297" s="14"/>
      <c r="F297" s="14"/>
      <c r="G297" s="14"/>
      <c r="H297" s="32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</row>
    <row r="298">
      <c r="A298" s="14"/>
      <c r="B298" s="14"/>
      <c r="C298" s="30"/>
      <c r="D298" s="14"/>
      <c r="E298" s="14"/>
      <c r="F298" s="14"/>
      <c r="G298" s="14"/>
      <c r="H298" s="32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</row>
    <row r="299">
      <c r="A299" s="14"/>
      <c r="B299" s="14"/>
      <c r="C299" s="30"/>
      <c r="D299" s="14"/>
      <c r="E299" s="14"/>
      <c r="F299" s="14"/>
      <c r="G299" s="14"/>
      <c r="H299" s="32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</row>
    <row r="300">
      <c r="A300" s="14"/>
      <c r="B300" s="14"/>
      <c r="C300" s="30"/>
      <c r="D300" s="14"/>
      <c r="E300" s="14"/>
      <c r="F300" s="14"/>
      <c r="G300" s="14"/>
      <c r="H300" s="32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</row>
    <row r="301">
      <c r="A301" s="14"/>
      <c r="B301" s="14"/>
      <c r="C301" s="30"/>
      <c r="D301" s="14"/>
      <c r="E301" s="14"/>
      <c r="F301" s="14"/>
      <c r="G301" s="14"/>
      <c r="H301" s="32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</row>
    <row r="302">
      <c r="A302" s="14"/>
      <c r="B302" s="14"/>
      <c r="C302" s="30"/>
      <c r="D302" s="14"/>
      <c r="E302" s="14"/>
      <c r="F302" s="14"/>
      <c r="G302" s="14"/>
      <c r="H302" s="32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</row>
    <row r="303">
      <c r="A303" s="14"/>
      <c r="B303" s="14"/>
      <c r="C303" s="30"/>
      <c r="D303" s="14"/>
      <c r="E303" s="14"/>
      <c r="F303" s="14"/>
      <c r="G303" s="14"/>
      <c r="H303" s="32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</row>
    <row r="304">
      <c r="A304" s="14"/>
      <c r="B304" s="14"/>
      <c r="C304" s="30"/>
      <c r="D304" s="14"/>
      <c r="E304" s="14"/>
      <c r="F304" s="14"/>
      <c r="G304" s="14"/>
      <c r="H304" s="32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</row>
    <row r="305">
      <c r="A305" s="14"/>
      <c r="B305" s="14"/>
      <c r="C305" s="30"/>
      <c r="D305" s="14"/>
      <c r="E305" s="14"/>
      <c r="F305" s="14"/>
      <c r="G305" s="14"/>
      <c r="H305" s="32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</row>
    <row r="306">
      <c r="A306" s="14"/>
      <c r="B306" s="14"/>
      <c r="C306" s="30"/>
      <c r="D306" s="14"/>
      <c r="E306" s="14"/>
      <c r="F306" s="14"/>
      <c r="G306" s="14"/>
      <c r="H306" s="32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</row>
    <row r="307">
      <c r="A307" s="14"/>
      <c r="B307" s="14"/>
      <c r="C307" s="30"/>
      <c r="D307" s="14"/>
      <c r="E307" s="14"/>
      <c r="F307" s="14"/>
      <c r="G307" s="14"/>
      <c r="H307" s="32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</row>
    <row r="308">
      <c r="A308" s="14"/>
      <c r="B308" s="14"/>
      <c r="C308" s="30"/>
      <c r="D308" s="14"/>
      <c r="E308" s="14"/>
      <c r="F308" s="14"/>
      <c r="G308" s="14"/>
      <c r="H308" s="32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</row>
    <row r="309">
      <c r="A309" s="14"/>
      <c r="B309" s="14"/>
      <c r="C309" s="30"/>
      <c r="D309" s="14"/>
      <c r="E309" s="14"/>
      <c r="F309" s="14"/>
      <c r="G309" s="14"/>
      <c r="H309" s="32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</row>
    <row r="310">
      <c r="A310" s="14"/>
      <c r="B310" s="14"/>
      <c r="C310" s="30"/>
      <c r="D310" s="14"/>
      <c r="E310" s="14"/>
      <c r="F310" s="14"/>
      <c r="G310" s="14"/>
      <c r="H310" s="32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</row>
    <row r="311">
      <c r="A311" s="14"/>
      <c r="B311" s="14"/>
      <c r="C311" s="30"/>
      <c r="D311" s="14"/>
      <c r="E311" s="14"/>
      <c r="F311" s="14"/>
      <c r="G311" s="14"/>
      <c r="H311" s="32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</row>
    <row r="312">
      <c r="A312" s="14"/>
      <c r="B312" s="14"/>
      <c r="C312" s="30"/>
      <c r="D312" s="14"/>
      <c r="E312" s="14"/>
      <c r="F312" s="14"/>
      <c r="G312" s="14"/>
      <c r="H312" s="32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</row>
    <row r="313">
      <c r="A313" s="14"/>
      <c r="B313" s="14"/>
      <c r="C313" s="30"/>
      <c r="D313" s="14"/>
      <c r="E313" s="14"/>
      <c r="F313" s="14"/>
      <c r="G313" s="14"/>
      <c r="H313" s="32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</row>
    <row r="314">
      <c r="A314" s="14"/>
      <c r="B314" s="14"/>
      <c r="C314" s="30"/>
      <c r="D314" s="14"/>
      <c r="E314" s="14"/>
      <c r="F314" s="14"/>
      <c r="G314" s="14"/>
      <c r="H314" s="32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</row>
    <row r="315">
      <c r="A315" s="14"/>
      <c r="B315" s="14"/>
      <c r="C315" s="30"/>
      <c r="D315" s="14"/>
      <c r="E315" s="14"/>
      <c r="F315" s="14"/>
      <c r="G315" s="14"/>
      <c r="H315" s="32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</row>
    <row r="316">
      <c r="A316" s="14"/>
      <c r="B316" s="14"/>
      <c r="C316" s="30"/>
      <c r="D316" s="14"/>
      <c r="E316" s="14"/>
      <c r="F316" s="14"/>
      <c r="G316" s="14"/>
      <c r="H316" s="32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</row>
    <row r="317">
      <c r="A317" s="14"/>
      <c r="B317" s="14"/>
      <c r="C317" s="30"/>
      <c r="D317" s="14"/>
      <c r="E317" s="14"/>
      <c r="F317" s="14"/>
      <c r="G317" s="14"/>
      <c r="H317" s="32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</row>
    <row r="318">
      <c r="A318" s="14"/>
      <c r="B318" s="14"/>
      <c r="C318" s="30"/>
      <c r="D318" s="14"/>
      <c r="E318" s="14"/>
      <c r="F318" s="14"/>
      <c r="G318" s="14"/>
      <c r="H318" s="32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</row>
    <row r="319">
      <c r="A319" s="14"/>
      <c r="B319" s="14"/>
      <c r="C319" s="30"/>
      <c r="D319" s="14"/>
      <c r="E319" s="14"/>
      <c r="F319" s="14"/>
      <c r="G319" s="14"/>
      <c r="H319" s="32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</row>
    <row r="320">
      <c r="A320" s="14"/>
      <c r="B320" s="14"/>
      <c r="C320" s="30"/>
      <c r="D320" s="14"/>
      <c r="E320" s="14"/>
      <c r="F320" s="14"/>
      <c r="G320" s="14"/>
      <c r="H320" s="32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</row>
    <row r="321">
      <c r="A321" s="14"/>
      <c r="B321" s="14"/>
      <c r="C321" s="30"/>
      <c r="D321" s="14"/>
      <c r="E321" s="14"/>
      <c r="F321" s="14"/>
      <c r="G321" s="14"/>
      <c r="H321" s="32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</row>
    <row r="322">
      <c r="A322" s="14"/>
      <c r="B322" s="14"/>
      <c r="C322" s="30"/>
      <c r="D322" s="14"/>
      <c r="E322" s="14"/>
      <c r="F322" s="14"/>
      <c r="G322" s="14"/>
      <c r="H322" s="32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</row>
    <row r="323">
      <c r="A323" s="14"/>
      <c r="B323" s="14"/>
      <c r="C323" s="30"/>
      <c r="D323" s="14"/>
      <c r="E323" s="14"/>
      <c r="F323" s="14"/>
      <c r="G323" s="14"/>
      <c r="H323" s="32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</row>
    <row r="324">
      <c r="A324" s="14"/>
      <c r="B324" s="14"/>
      <c r="C324" s="30"/>
      <c r="D324" s="14"/>
      <c r="E324" s="14"/>
      <c r="F324" s="14"/>
      <c r="G324" s="14"/>
      <c r="H324" s="32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</row>
    <row r="325">
      <c r="A325" s="14"/>
      <c r="B325" s="14"/>
      <c r="C325" s="30"/>
      <c r="D325" s="14"/>
      <c r="E325" s="14"/>
      <c r="F325" s="14"/>
      <c r="G325" s="14"/>
      <c r="H325" s="32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</row>
    <row r="326">
      <c r="A326" s="14"/>
      <c r="B326" s="14"/>
      <c r="C326" s="30"/>
      <c r="D326" s="14"/>
      <c r="E326" s="14"/>
      <c r="F326" s="14"/>
      <c r="G326" s="14"/>
      <c r="H326" s="32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</row>
    <row r="327">
      <c r="A327" s="14"/>
      <c r="B327" s="14"/>
      <c r="C327" s="30"/>
      <c r="D327" s="14"/>
      <c r="E327" s="14"/>
      <c r="F327" s="14"/>
      <c r="G327" s="14"/>
      <c r="H327" s="32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</row>
    <row r="328">
      <c r="A328" s="14"/>
      <c r="B328" s="14"/>
      <c r="C328" s="30"/>
      <c r="D328" s="14"/>
      <c r="E328" s="14"/>
      <c r="F328" s="14"/>
      <c r="G328" s="14"/>
      <c r="H328" s="32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</row>
    <row r="329">
      <c r="A329" s="14"/>
      <c r="B329" s="14"/>
      <c r="C329" s="30"/>
      <c r="D329" s="14"/>
      <c r="E329" s="14"/>
      <c r="F329" s="14"/>
      <c r="G329" s="14"/>
      <c r="H329" s="32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</row>
    <row r="330">
      <c r="A330" s="14"/>
      <c r="B330" s="14"/>
      <c r="C330" s="30"/>
      <c r="D330" s="14"/>
      <c r="E330" s="14"/>
      <c r="F330" s="14"/>
      <c r="G330" s="14"/>
      <c r="H330" s="32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</row>
    <row r="331">
      <c r="A331" s="14"/>
      <c r="B331" s="14"/>
      <c r="C331" s="30"/>
      <c r="D331" s="14"/>
      <c r="E331" s="14"/>
      <c r="F331" s="14"/>
      <c r="G331" s="14"/>
      <c r="H331" s="32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</row>
    <row r="332">
      <c r="A332" s="14"/>
      <c r="B332" s="14"/>
      <c r="C332" s="30"/>
      <c r="D332" s="14"/>
      <c r="E332" s="14"/>
      <c r="F332" s="14"/>
      <c r="G332" s="14"/>
      <c r="H332" s="32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</row>
    <row r="333">
      <c r="A333" s="14"/>
      <c r="B333" s="14"/>
      <c r="C333" s="30"/>
      <c r="D333" s="14"/>
      <c r="E333" s="14"/>
      <c r="F333" s="14"/>
      <c r="G333" s="14"/>
      <c r="H333" s="32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</row>
    <row r="334">
      <c r="A334" s="14"/>
      <c r="B334" s="14"/>
      <c r="C334" s="30"/>
      <c r="D334" s="14"/>
      <c r="E334" s="14"/>
      <c r="F334" s="14"/>
      <c r="G334" s="14"/>
      <c r="H334" s="32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</row>
    <row r="335">
      <c r="A335" s="14"/>
      <c r="B335" s="14"/>
      <c r="C335" s="30"/>
      <c r="D335" s="14"/>
      <c r="E335" s="14"/>
      <c r="F335" s="14"/>
      <c r="G335" s="14"/>
      <c r="H335" s="32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</row>
    <row r="336">
      <c r="A336" s="14"/>
      <c r="B336" s="14"/>
      <c r="C336" s="30"/>
      <c r="D336" s="14"/>
      <c r="E336" s="14"/>
      <c r="F336" s="14"/>
      <c r="G336" s="14"/>
      <c r="H336" s="32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</row>
    <row r="337">
      <c r="A337" s="14"/>
      <c r="B337" s="14"/>
      <c r="C337" s="30"/>
      <c r="D337" s="14"/>
      <c r="E337" s="14"/>
      <c r="F337" s="14"/>
      <c r="G337" s="14"/>
      <c r="H337" s="32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</row>
    <row r="338">
      <c r="A338" s="14"/>
      <c r="B338" s="14"/>
      <c r="C338" s="30"/>
      <c r="D338" s="14"/>
      <c r="E338" s="14"/>
      <c r="F338" s="14"/>
      <c r="G338" s="14"/>
      <c r="H338" s="32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</row>
    <row r="339">
      <c r="A339" s="14"/>
      <c r="B339" s="14"/>
      <c r="C339" s="30"/>
      <c r="D339" s="14"/>
      <c r="E339" s="14"/>
      <c r="F339" s="14"/>
      <c r="G339" s="14"/>
      <c r="H339" s="32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</row>
    <row r="340">
      <c r="A340" s="14"/>
      <c r="B340" s="14"/>
      <c r="C340" s="30"/>
      <c r="D340" s="14"/>
      <c r="E340" s="14"/>
      <c r="F340" s="14"/>
      <c r="G340" s="14"/>
      <c r="H340" s="32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</row>
    <row r="341">
      <c r="A341" s="14"/>
      <c r="B341" s="14"/>
      <c r="C341" s="30"/>
      <c r="D341" s="14"/>
      <c r="E341" s="14"/>
      <c r="F341" s="14"/>
      <c r="G341" s="14"/>
      <c r="H341" s="32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</row>
    <row r="342">
      <c r="A342" s="14"/>
      <c r="B342" s="14"/>
      <c r="C342" s="30"/>
      <c r="D342" s="14"/>
      <c r="E342" s="14"/>
      <c r="F342" s="14"/>
      <c r="G342" s="14"/>
      <c r="H342" s="32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</row>
    <row r="343">
      <c r="A343" s="14"/>
      <c r="B343" s="14"/>
      <c r="C343" s="30"/>
      <c r="D343" s="14"/>
      <c r="E343" s="14"/>
      <c r="F343" s="14"/>
      <c r="G343" s="14"/>
      <c r="H343" s="32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</row>
    <row r="344">
      <c r="A344" s="14"/>
      <c r="B344" s="14"/>
      <c r="C344" s="30"/>
      <c r="D344" s="14"/>
      <c r="E344" s="14"/>
      <c r="F344" s="14"/>
      <c r="G344" s="14"/>
      <c r="H344" s="32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</row>
    <row r="345">
      <c r="A345" s="14"/>
      <c r="B345" s="14"/>
      <c r="C345" s="30"/>
      <c r="D345" s="14"/>
      <c r="E345" s="14"/>
      <c r="F345" s="14"/>
      <c r="G345" s="14"/>
      <c r="H345" s="32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</row>
    <row r="346">
      <c r="A346" s="14"/>
      <c r="B346" s="14"/>
      <c r="C346" s="30"/>
      <c r="D346" s="14"/>
      <c r="E346" s="14"/>
      <c r="F346" s="14"/>
      <c r="G346" s="14"/>
      <c r="H346" s="32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</row>
    <row r="347">
      <c r="A347" s="14"/>
      <c r="B347" s="14"/>
      <c r="C347" s="30"/>
      <c r="D347" s="14"/>
      <c r="E347" s="14"/>
      <c r="F347" s="14"/>
      <c r="G347" s="14"/>
      <c r="H347" s="32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</row>
    <row r="348">
      <c r="A348" s="14"/>
      <c r="B348" s="14"/>
      <c r="C348" s="30"/>
      <c r="D348" s="14"/>
      <c r="E348" s="14"/>
      <c r="F348" s="14"/>
      <c r="G348" s="14"/>
      <c r="H348" s="32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</row>
    <row r="349">
      <c r="A349" s="14"/>
      <c r="B349" s="14"/>
      <c r="C349" s="30"/>
      <c r="D349" s="14"/>
      <c r="E349" s="14"/>
      <c r="F349" s="14"/>
      <c r="G349" s="14"/>
      <c r="H349" s="32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</row>
    <row r="350">
      <c r="A350" s="14"/>
      <c r="B350" s="14"/>
      <c r="C350" s="30"/>
      <c r="D350" s="14"/>
      <c r="E350" s="14"/>
      <c r="F350" s="14"/>
      <c r="G350" s="14"/>
      <c r="H350" s="32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</row>
    <row r="351">
      <c r="A351" s="14"/>
      <c r="B351" s="14"/>
      <c r="C351" s="30"/>
      <c r="D351" s="14"/>
      <c r="E351" s="14"/>
      <c r="F351" s="14"/>
      <c r="G351" s="14"/>
      <c r="H351" s="32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</row>
    <row r="352">
      <c r="A352" s="14"/>
      <c r="B352" s="14"/>
      <c r="C352" s="30"/>
      <c r="D352" s="14"/>
      <c r="E352" s="14"/>
      <c r="F352" s="14"/>
      <c r="G352" s="14"/>
      <c r="H352" s="32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</row>
    <row r="353">
      <c r="A353" s="14"/>
      <c r="B353" s="14"/>
      <c r="C353" s="30"/>
      <c r="D353" s="14"/>
      <c r="E353" s="14"/>
      <c r="F353" s="14"/>
      <c r="G353" s="14"/>
      <c r="H353" s="32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</row>
    <row r="354">
      <c r="A354" s="14"/>
      <c r="B354" s="14"/>
      <c r="C354" s="30"/>
      <c r="D354" s="14"/>
      <c r="E354" s="14"/>
      <c r="F354" s="14"/>
      <c r="G354" s="14"/>
      <c r="H354" s="32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</row>
    <row r="355">
      <c r="A355" s="14"/>
      <c r="B355" s="14"/>
      <c r="C355" s="30"/>
      <c r="D355" s="14"/>
      <c r="E355" s="14"/>
      <c r="F355" s="14"/>
      <c r="G355" s="14"/>
      <c r="H355" s="32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</row>
    <row r="356">
      <c r="A356" s="14"/>
      <c r="B356" s="14"/>
      <c r="C356" s="30"/>
      <c r="D356" s="14"/>
      <c r="E356" s="14"/>
      <c r="F356" s="14"/>
      <c r="G356" s="14"/>
      <c r="H356" s="32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</row>
    <row r="357">
      <c r="A357" s="14"/>
      <c r="B357" s="14"/>
      <c r="C357" s="30"/>
      <c r="D357" s="14"/>
      <c r="E357" s="14"/>
      <c r="F357" s="14"/>
      <c r="G357" s="14"/>
      <c r="H357" s="32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</row>
    <row r="358">
      <c r="A358" s="14"/>
      <c r="B358" s="14"/>
      <c r="C358" s="30"/>
      <c r="D358" s="14"/>
      <c r="E358" s="14"/>
      <c r="F358" s="14"/>
      <c r="G358" s="14"/>
      <c r="H358" s="32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</row>
    <row r="359">
      <c r="A359" s="14"/>
      <c r="B359" s="14"/>
      <c r="C359" s="30"/>
      <c r="D359" s="14"/>
      <c r="E359" s="14"/>
      <c r="F359" s="14"/>
      <c r="G359" s="14"/>
      <c r="H359" s="32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</row>
    <row r="360">
      <c r="A360" s="14"/>
      <c r="B360" s="14"/>
      <c r="C360" s="30"/>
      <c r="D360" s="14"/>
      <c r="E360" s="14"/>
      <c r="F360" s="14"/>
      <c r="G360" s="14"/>
      <c r="H360" s="32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</row>
    <row r="361">
      <c r="A361" s="14"/>
      <c r="B361" s="14"/>
      <c r="C361" s="30"/>
      <c r="D361" s="14"/>
      <c r="E361" s="14"/>
      <c r="F361" s="14"/>
      <c r="G361" s="14"/>
      <c r="H361" s="32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</row>
    <row r="362">
      <c r="A362" s="14"/>
      <c r="B362" s="14"/>
      <c r="C362" s="30"/>
      <c r="D362" s="14"/>
      <c r="E362" s="14"/>
      <c r="F362" s="14"/>
      <c r="G362" s="14"/>
      <c r="H362" s="32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</row>
    <row r="363">
      <c r="A363" s="14"/>
      <c r="B363" s="14"/>
      <c r="C363" s="30"/>
      <c r="D363" s="14"/>
      <c r="E363" s="14"/>
      <c r="F363" s="14"/>
      <c r="G363" s="14"/>
      <c r="H363" s="32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</row>
    <row r="364">
      <c r="A364" s="14"/>
      <c r="B364" s="14"/>
      <c r="C364" s="30"/>
      <c r="D364" s="14"/>
      <c r="E364" s="14"/>
      <c r="F364" s="14"/>
      <c r="G364" s="14"/>
      <c r="H364" s="32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</row>
    <row r="365">
      <c r="A365" s="14"/>
      <c r="B365" s="14"/>
      <c r="C365" s="30"/>
      <c r="D365" s="14"/>
      <c r="E365" s="14"/>
      <c r="F365" s="14"/>
      <c r="G365" s="14"/>
      <c r="H365" s="32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</row>
    <row r="366">
      <c r="A366" s="14"/>
      <c r="B366" s="14"/>
      <c r="C366" s="30"/>
      <c r="D366" s="14"/>
      <c r="E366" s="14"/>
      <c r="F366" s="14"/>
      <c r="G366" s="14"/>
      <c r="H366" s="32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</row>
    <row r="367">
      <c r="A367" s="14"/>
      <c r="B367" s="14"/>
      <c r="C367" s="30"/>
      <c r="D367" s="14"/>
      <c r="E367" s="14"/>
      <c r="F367" s="14"/>
      <c r="G367" s="14"/>
      <c r="H367" s="32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</row>
    <row r="368">
      <c r="A368" s="14"/>
      <c r="B368" s="14"/>
      <c r="C368" s="30"/>
      <c r="D368" s="14"/>
      <c r="E368" s="14"/>
      <c r="F368" s="14"/>
      <c r="G368" s="14"/>
      <c r="H368" s="32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</row>
    <row r="369">
      <c r="A369" s="14"/>
      <c r="B369" s="14"/>
      <c r="C369" s="30"/>
      <c r="D369" s="14"/>
      <c r="E369" s="14"/>
      <c r="F369" s="14"/>
      <c r="G369" s="14"/>
      <c r="H369" s="32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</row>
    <row r="370">
      <c r="A370" s="14"/>
      <c r="B370" s="14"/>
      <c r="C370" s="30"/>
      <c r="D370" s="14"/>
      <c r="E370" s="14"/>
      <c r="F370" s="14"/>
      <c r="G370" s="14"/>
      <c r="H370" s="32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</row>
    <row r="371">
      <c r="A371" s="14"/>
      <c r="B371" s="14"/>
      <c r="C371" s="30"/>
      <c r="D371" s="14"/>
      <c r="E371" s="14"/>
      <c r="F371" s="14"/>
      <c r="G371" s="14"/>
      <c r="H371" s="32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</row>
    <row r="372">
      <c r="A372" s="14"/>
      <c r="B372" s="14"/>
      <c r="C372" s="30"/>
      <c r="D372" s="14"/>
      <c r="E372" s="14"/>
      <c r="F372" s="14"/>
      <c r="G372" s="14"/>
      <c r="H372" s="32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</row>
    <row r="373">
      <c r="A373" s="14"/>
      <c r="B373" s="14"/>
      <c r="C373" s="30"/>
      <c r="D373" s="14"/>
      <c r="E373" s="14"/>
      <c r="F373" s="14"/>
      <c r="G373" s="14"/>
      <c r="H373" s="32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</row>
    <row r="374">
      <c r="A374" s="14"/>
      <c r="B374" s="14"/>
      <c r="C374" s="30"/>
      <c r="D374" s="14"/>
      <c r="E374" s="14"/>
      <c r="F374" s="14"/>
      <c r="G374" s="14"/>
      <c r="H374" s="32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</row>
    <row r="375">
      <c r="A375" s="14"/>
      <c r="B375" s="14"/>
      <c r="C375" s="30"/>
      <c r="D375" s="14"/>
      <c r="E375" s="14"/>
      <c r="F375" s="14"/>
      <c r="G375" s="14"/>
      <c r="H375" s="32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</row>
    <row r="376">
      <c r="A376" s="14"/>
      <c r="B376" s="14"/>
      <c r="C376" s="30"/>
      <c r="D376" s="14"/>
      <c r="E376" s="14"/>
      <c r="F376" s="14"/>
      <c r="G376" s="14"/>
      <c r="H376" s="32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</row>
    <row r="377">
      <c r="A377" s="14"/>
      <c r="B377" s="14"/>
      <c r="C377" s="30"/>
      <c r="D377" s="14"/>
      <c r="E377" s="14"/>
      <c r="F377" s="14"/>
      <c r="G377" s="14"/>
      <c r="H377" s="32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</row>
    <row r="378">
      <c r="A378" s="14"/>
      <c r="B378" s="14"/>
      <c r="C378" s="30"/>
      <c r="D378" s="14"/>
      <c r="E378" s="14"/>
      <c r="F378" s="14"/>
      <c r="G378" s="14"/>
      <c r="H378" s="32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</row>
    <row r="379">
      <c r="A379" s="14"/>
      <c r="B379" s="14"/>
      <c r="C379" s="30"/>
      <c r="D379" s="14"/>
      <c r="E379" s="14"/>
      <c r="F379" s="14"/>
      <c r="G379" s="14"/>
      <c r="H379" s="32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</row>
    <row r="380">
      <c r="A380" s="14"/>
      <c r="B380" s="14"/>
      <c r="C380" s="30"/>
      <c r="D380" s="14"/>
      <c r="E380" s="14"/>
      <c r="F380" s="14"/>
      <c r="G380" s="14"/>
      <c r="H380" s="32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</row>
    <row r="381">
      <c r="A381" s="14"/>
      <c r="B381" s="14"/>
      <c r="C381" s="30"/>
      <c r="D381" s="14"/>
      <c r="E381" s="14"/>
      <c r="F381" s="14"/>
      <c r="G381" s="14"/>
      <c r="H381" s="32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</row>
    <row r="382">
      <c r="A382" s="14"/>
      <c r="B382" s="14"/>
      <c r="C382" s="30"/>
      <c r="D382" s="14"/>
      <c r="E382" s="14"/>
      <c r="F382" s="14"/>
      <c r="G382" s="14"/>
      <c r="H382" s="32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</row>
    <row r="383">
      <c r="A383" s="14"/>
      <c r="B383" s="14"/>
      <c r="C383" s="30"/>
      <c r="D383" s="14"/>
      <c r="E383" s="14"/>
      <c r="F383" s="14"/>
      <c r="G383" s="14"/>
      <c r="H383" s="32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</row>
    <row r="384">
      <c r="A384" s="14"/>
      <c r="B384" s="14"/>
      <c r="C384" s="30"/>
      <c r="D384" s="14"/>
      <c r="E384" s="14"/>
      <c r="F384" s="14"/>
      <c r="G384" s="14"/>
      <c r="H384" s="32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</row>
    <row r="385">
      <c r="A385" s="14"/>
      <c r="B385" s="14"/>
      <c r="C385" s="30"/>
      <c r="D385" s="14"/>
      <c r="E385" s="14"/>
      <c r="F385" s="14"/>
      <c r="G385" s="14"/>
      <c r="H385" s="32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</row>
    <row r="386">
      <c r="A386" s="14"/>
      <c r="B386" s="14"/>
      <c r="C386" s="30"/>
      <c r="D386" s="14"/>
      <c r="E386" s="14"/>
      <c r="F386" s="14"/>
      <c r="G386" s="14"/>
      <c r="H386" s="32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</row>
    <row r="387">
      <c r="A387" s="14"/>
      <c r="B387" s="14"/>
      <c r="C387" s="30"/>
      <c r="D387" s="14"/>
      <c r="E387" s="14"/>
      <c r="F387" s="14"/>
      <c r="G387" s="14"/>
      <c r="H387" s="32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</row>
    <row r="388">
      <c r="A388" s="14"/>
      <c r="B388" s="14"/>
      <c r="C388" s="30"/>
      <c r="D388" s="14"/>
      <c r="E388" s="14"/>
      <c r="F388" s="14"/>
      <c r="G388" s="14"/>
      <c r="H388" s="32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</row>
    <row r="389">
      <c r="A389" s="14"/>
      <c r="B389" s="14"/>
      <c r="C389" s="30"/>
      <c r="D389" s="14"/>
      <c r="E389" s="14"/>
      <c r="F389" s="14"/>
      <c r="G389" s="14"/>
      <c r="H389" s="32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</row>
    <row r="390">
      <c r="A390" s="14"/>
      <c r="B390" s="14"/>
      <c r="C390" s="30"/>
      <c r="D390" s="14"/>
      <c r="E390" s="14"/>
      <c r="F390" s="14"/>
      <c r="G390" s="14"/>
      <c r="H390" s="32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</row>
    <row r="391">
      <c r="A391" s="14"/>
      <c r="B391" s="14"/>
      <c r="C391" s="30"/>
      <c r="D391" s="14"/>
      <c r="E391" s="14"/>
      <c r="F391" s="14"/>
      <c r="G391" s="14"/>
      <c r="H391" s="32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</row>
    <row r="392">
      <c r="A392" s="14"/>
      <c r="B392" s="14"/>
      <c r="C392" s="30"/>
      <c r="D392" s="14"/>
      <c r="E392" s="14"/>
      <c r="F392" s="14"/>
      <c r="G392" s="14"/>
      <c r="H392" s="32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</row>
    <row r="393">
      <c r="A393" s="14"/>
      <c r="B393" s="14"/>
      <c r="C393" s="30"/>
      <c r="D393" s="14"/>
      <c r="E393" s="14"/>
      <c r="F393" s="14"/>
      <c r="G393" s="14"/>
      <c r="H393" s="32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</row>
    <row r="394">
      <c r="A394" s="14"/>
      <c r="B394" s="14"/>
      <c r="C394" s="30"/>
      <c r="D394" s="14"/>
      <c r="E394" s="14"/>
      <c r="F394" s="14"/>
      <c r="G394" s="14"/>
      <c r="H394" s="32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</row>
    <row r="395">
      <c r="A395" s="14"/>
      <c r="B395" s="14"/>
      <c r="C395" s="30"/>
      <c r="D395" s="14"/>
      <c r="E395" s="14"/>
      <c r="F395" s="14"/>
      <c r="G395" s="14"/>
      <c r="H395" s="32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</row>
    <row r="396">
      <c r="A396" s="14"/>
      <c r="B396" s="14"/>
      <c r="C396" s="30"/>
      <c r="D396" s="14"/>
      <c r="E396" s="14"/>
      <c r="F396" s="14"/>
      <c r="G396" s="14"/>
      <c r="H396" s="32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</row>
    <row r="397">
      <c r="A397" s="14"/>
      <c r="B397" s="14"/>
      <c r="C397" s="30"/>
      <c r="D397" s="14"/>
      <c r="E397" s="14"/>
      <c r="F397" s="14"/>
      <c r="G397" s="14"/>
      <c r="H397" s="32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</row>
    <row r="398">
      <c r="A398" s="14"/>
      <c r="B398" s="14"/>
      <c r="C398" s="30"/>
      <c r="D398" s="14"/>
      <c r="E398" s="14"/>
      <c r="F398" s="14"/>
      <c r="G398" s="14"/>
      <c r="H398" s="32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</row>
    <row r="399">
      <c r="A399" s="14"/>
      <c r="B399" s="14"/>
      <c r="C399" s="30"/>
      <c r="D399" s="14"/>
      <c r="E399" s="14"/>
      <c r="F399" s="14"/>
      <c r="G399" s="14"/>
      <c r="H399" s="32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</row>
    <row r="400">
      <c r="A400" s="14"/>
      <c r="B400" s="14"/>
      <c r="C400" s="30"/>
      <c r="D400" s="14"/>
      <c r="E400" s="14"/>
      <c r="F400" s="14"/>
      <c r="G400" s="14"/>
      <c r="H400" s="32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</row>
    <row r="401">
      <c r="A401" s="14"/>
      <c r="B401" s="14"/>
      <c r="C401" s="30"/>
      <c r="D401" s="14"/>
      <c r="E401" s="14"/>
      <c r="F401" s="14"/>
      <c r="G401" s="14"/>
      <c r="H401" s="32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</row>
    <row r="402">
      <c r="A402" s="14"/>
      <c r="B402" s="14"/>
      <c r="C402" s="30"/>
      <c r="D402" s="14"/>
      <c r="E402" s="14"/>
      <c r="F402" s="14"/>
      <c r="G402" s="14"/>
      <c r="H402" s="32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</row>
    <row r="403">
      <c r="A403" s="14"/>
      <c r="B403" s="14"/>
      <c r="C403" s="30"/>
      <c r="D403" s="14"/>
      <c r="E403" s="14"/>
      <c r="F403" s="14"/>
      <c r="G403" s="14"/>
      <c r="H403" s="32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</row>
    <row r="404">
      <c r="A404" s="14"/>
      <c r="B404" s="14"/>
      <c r="C404" s="30"/>
      <c r="D404" s="14"/>
      <c r="E404" s="14"/>
      <c r="F404" s="14"/>
      <c r="G404" s="14"/>
      <c r="H404" s="32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</row>
    <row r="405">
      <c r="A405" s="14"/>
      <c r="B405" s="14"/>
      <c r="C405" s="30"/>
      <c r="D405" s="14"/>
      <c r="E405" s="14"/>
      <c r="F405" s="14"/>
      <c r="G405" s="14"/>
      <c r="H405" s="32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</row>
    <row r="406">
      <c r="A406" s="14"/>
      <c r="B406" s="14"/>
      <c r="C406" s="30"/>
      <c r="D406" s="14"/>
      <c r="E406" s="14"/>
      <c r="F406" s="14"/>
      <c r="G406" s="14"/>
      <c r="H406" s="32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</row>
    <row r="407">
      <c r="A407" s="14"/>
      <c r="B407" s="14"/>
      <c r="C407" s="30"/>
      <c r="D407" s="14"/>
      <c r="E407" s="14"/>
      <c r="F407" s="14"/>
      <c r="G407" s="14"/>
      <c r="H407" s="32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</row>
    <row r="408">
      <c r="A408" s="14"/>
      <c r="B408" s="14"/>
      <c r="C408" s="30"/>
      <c r="D408" s="14"/>
      <c r="E408" s="14"/>
      <c r="F408" s="14"/>
      <c r="G408" s="14"/>
      <c r="H408" s="32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</row>
    <row r="409">
      <c r="A409" s="14"/>
      <c r="B409" s="14"/>
      <c r="C409" s="30"/>
      <c r="D409" s="14"/>
      <c r="E409" s="14"/>
      <c r="F409" s="14"/>
      <c r="G409" s="14"/>
      <c r="H409" s="32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</row>
    <row r="410">
      <c r="A410" s="14"/>
      <c r="B410" s="14"/>
      <c r="C410" s="30"/>
      <c r="D410" s="14"/>
      <c r="E410" s="14"/>
      <c r="F410" s="14"/>
      <c r="G410" s="14"/>
      <c r="H410" s="32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</row>
    <row r="411">
      <c r="A411" s="14"/>
      <c r="B411" s="14"/>
      <c r="C411" s="30"/>
      <c r="D411" s="14"/>
      <c r="E411" s="14"/>
      <c r="F411" s="14"/>
      <c r="G411" s="14"/>
      <c r="H411" s="32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</row>
    <row r="412">
      <c r="A412" s="14"/>
      <c r="B412" s="14"/>
      <c r="C412" s="30"/>
      <c r="D412" s="14"/>
      <c r="E412" s="14"/>
      <c r="F412" s="14"/>
      <c r="G412" s="14"/>
      <c r="H412" s="32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</row>
    <row r="413">
      <c r="A413" s="14"/>
      <c r="B413" s="14"/>
      <c r="C413" s="30"/>
      <c r="D413" s="14"/>
      <c r="E413" s="14"/>
      <c r="F413" s="14"/>
      <c r="G413" s="14"/>
      <c r="H413" s="32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</row>
    <row r="414">
      <c r="A414" s="14"/>
      <c r="B414" s="14"/>
      <c r="C414" s="30"/>
      <c r="D414" s="14"/>
      <c r="E414" s="14"/>
      <c r="F414" s="14"/>
      <c r="G414" s="14"/>
      <c r="H414" s="32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</row>
    <row r="415">
      <c r="A415" s="14"/>
      <c r="B415" s="14"/>
      <c r="C415" s="30"/>
      <c r="D415" s="14"/>
      <c r="E415" s="14"/>
      <c r="F415" s="14"/>
      <c r="G415" s="14"/>
      <c r="H415" s="32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</row>
    <row r="416">
      <c r="A416" s="14"/>
      <c r="B416" s="14"/>
      <c r="C416" s="30"/>
      <c r="D416" s="14"/>
      <c r="E416" s="14"/>
      <c r="F416" s="14"/>
      <c r="G416" s="14"/>
      <c r="H416" s="32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</row>
    <row r="417">
      <c r="A417" s="14"/>
      <c r="B417" s="14"/>
      <c r="C417" s="30"/>
      <c r="D417" s="14"/>
      <c r="E417" s="14"/>
      <c r="F417" s="14"/>
      <c r="G417" s="14"/>
      <c r="H417" s="32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</row>
    <row r="418">
      <c r="A418" s="14"/>
      <c r="B418" s="14"/>
      <c r="C418" s="30"/>
      <c r="D418" s="14"/>
      <c r="E418" s="14"/>
      <c r="F418" s="14"/>
      <c r="G418" s="14"/>
      <c r="H418" s="32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</row>
    <row r="419">
      <c r="A419" s="14"/>
      <c r="B419" s="14"/>
      <c r="C419" s="30"/>
      <c r="D419" s="14"/>
      <c r="E419" s="14"/>
      <c r="F419" s="14"/>
      <c r="G419" s="14"/>
      <c r="H419" s="32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</row>
    <row r="420">
      <c r="A420" s="14"/>
      <c r="B420" s="14"/>
      <c r="C420" s="30"/>
      <c r="D420" s="14"/>
      <c r="E420" s="14"/>
      <c r="F420" s="14"/>
      <c r="G420" s="14"/>
      <c r="H420" s="32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</row>
    <row r="421">
      <c r="A421" s="14"/>
      <c r="B421" s="14"/>
      <c r="C421" s="30"/>
      <c r="D421" s="14"/>
      <c r="E421" s="14"/>
      <c r="F421" s="14"/>
      <c r="G421" s="14"/>
      <c r="H421" s="32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</row>
    <row r="422">
      <c r="A422" s="14"/>
      <c r="B422" s="14"/>
      <c r="C422" s="30"/>
      <c r="D422" s="14"/>
      <c r="E422" s="14"/>
      <c r="F422" s="14"/>
      <c r="G422" s="14"/>
      <c r="H422" s="32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</row>
    <row r="423">
      <c r="A423" s="14"/>
      <c r="B423" s="14"/>
      <c r="C423" s="30"/>
      <c r="D423" s="14"/>
      <c r="E423" s="14"/>
      <c r="F423" s="14"/>
      <c r="G423" s="14"/>
      <c r="H423" s="32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</row>
    <row r="424">
      <c r="A424" s="14"/>
      <c r="B424" s="14"/>
      <c r="C424" s="30"/>
      <c r="D424" s="14"/>
      <c r="E424" s="14"/>
      <c r="F424" s="14"/>
      <c r="G424" s="14"/>
      <c r="H424" s="32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</row>
    <row r="425">
      <c r="A425" s="14"/>
      <c r="B425" s="14"/>
      <c r="C425" s="30"/>
      <c r="D425" s="14"/>
      <c r="E425" s="14"/>
      <c r="F425" s="14"/>
      <c r="G425" s="14"/>
      <c r="H425" s="32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</row>
    <row r="426">
      <c r="A426" s="14"/>
      <c r="B426" s="14"/>
      <c r="C426" s="30"/>
      <c r="D426" s="14"/>
      <c r="E426" s="14"/>
      <c r="F426" s="14"/>
      <c r="G426" s="14"/>
      <c r="H426" s="32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</row>
    <row r="427">
      <c r="A427" s="14"/>
      <c r="B427" s="14"/>
      <c r="C427" s="30"/>
      <c r="D427" s="14"/>
      <c r="E427" s="14"/>
      <c r="F427" s="14"/>
      <c r="G427" s="14"/>
      <c r="H427" s="32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</row>
    <row r="428">
      <c r="A428" s="14"/>
      <c r="B428" s="14"/>
      <c r="C428" s="30"/>
      <c r="D428" s="14"/>
      <c r="E428" s="14"/>
      <c r="F428" s="14"/>
      <c r="G428" s="14"/>
      <c r="H428" s="32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</row>
    <row r="429">
      <c r="A429" s="14"/>
      <c r="B429" s="14"/>
      <c r="C429" s="30"/>
      <c r="D429" s="14"/>
      <c r="E429" s="14"/>
      <c r="F429" s="14"/>
      <c r="G429" s="14"/>
      <c r="H429" s="32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</row>
    <row r="430">
      <c r="A430" s="14"/>
      <c r="B430" s="14"/>
      <c r="C430" s="30"/>
      <c r="D430" s="14"/>
      <c r="E430" s="14"/>
      <c r="F430" s="14"/>
      <c r="G430" s="14"/>
      <c r="H430" s="32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</row>
    <row r="431">
      <c r="A431" s="14"/>
      <c r="B431" s="14"/>
      <c r="C431" s="30"/>
      <c r="D431" s="14"/>
      <c r="E431" s="14"/>
      <c r="F431" s="14"/>
      <c r="G431" s="14"/>
      <c r="H431" s="32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</row>
    <row r="432">
      <c r="A432" s="14"/>
      <c r="B432" s="14"/>
      <c r="C432" s="30"/>
      <c r="D432" s="14"/>
      <c r="E432" s="14"/>
      <c r="F432" s="14"/>
      <c r="G432" s="14"/>
      <c r="H432" s="32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</row>
    <row r="433">
      <c r="A433" s="14"/>
      <c r="B433" s="14"/>
      <c r="C433" s="30"/>
      <c r="D433" s="14"/>
      <c r="E433" s="14"/>
      <c r="F433" s="14"/>
      <c r="G433" s="14"/>
      <c r="H433" s="32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</row>
    <row r="434">
      <c r="A434" s="14"/>
      <c r="B434" s="14"/>
      <c r="C434" s="30"/>
      <c r="D434" s="14"/>
      <c r="E434" s="14"/>
      <c r="F434" s="14"/>
      <c r="G434" s="14"/>
      <c r="H434" s="32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</row>
    <row r="435">
      <c r="A435" s="14"/>
      <c r="B435" s="14"/>
      <c r="C435" s="30"/>
      <c r="D435" s="14"/>
      <c r="E435" s="14"/>
      <c r="F435" s="14"/>
      <c r="G435" s="14"/>
      <c r="H435" s="32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</row>
    <row r="436">
      <c r="A436" s="14"/>
      <c r="B436" s="14"/>
      <c r="C436" s="30"/>
      <c r="D436" s="14"/>
      <c r="E436" s="14"/>
      <c r="F436" s="14"/>
      <c r="G436" s="14"/>
      <c r="H436" s="32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</row>
    <row r="437">
      <c r="A437" s="14"/>
      <c r="B437" s="14"/>
      <c r="C437" s="30"/>
      <c r="D437" s="14"/>
      <c r="E437" s="14"/>
      <c r="F437" s="14"/>
      <c r="G437" s="14"/>
      <c r="H437" s="32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</row>
    <row r="438">
      <c r="A438" s="14"/>
      <c r="B438" s="14"/>
      <c r="C438" s="30"/>
      <c r="D438" s="14"/>
      <c r="E438" s="14"/>
      <c r="F438" s="14"/>
      <c r="G438" s="14"/>
      <c r="H438" s="32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</row>
    <row r="439">
      <c r="A439" s="14"/>
      <c r="B439" s="14"/>
      <c r="C439" s="30"/>
      <c r="D439" s="14"/>
      <c r="E439" s="14"/>
      <c r="F439" s="14"/>
      <c r="G439" s="14"/>
      <c r="H439" s="32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</row>
    <row r="440">
      <c r="A440" s="14"/>
      <c r="B440" s="14"/>
      <c r="C440" s="30"/>
      <c r="D440" s="14"/>
      <c r="E440" s="14"/>
      <c r="F440" s="14"/>
      <c r="G440" s="14"/>
      <c r="H440" s="32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</row>
    <row r="441">
      <c r="A441" s="14"/>
      <c r="B441" s="14"/>
      <c r="C441" s="30"/>
      <c r="D441" s="14"/>
      <c r="E441" s="14"/>
      <c r="F441" s="14"/>
      <c r="G441" s="14"/>
      <c r="H441" s="32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</row>
    <row r="442">
      <c r="A442" s="14"/>
      <c r="B442" s="14"/>
      <c r="C442" s="30"/>
      <c r="D442" s="14"/>
      <c r="E442" s="14"/>
      <c r="F442" s="14"/>
      <c r="G442" s="14"/>
      <c r="H442" s="32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</row>
    <row r="443">
      <c r="A443" s="14"/>
      <c r="B443" s="14"/>
      <c r="C443" s="30"/>
      <c r="D443" s="14"/>
      <c r="E443" s="14"/>
      <c r="F443" s="14"/>
      <c r="G443" s="14"/>
      <c r="H443" s="32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</row>
    <row r="444">
      <c r="A444" s="14"/>
      <c r="B444" s="14"/>
      <c r="C444" s="30"/>
      <c r="D444" s="14"/>
      <c r="E444" s="14"/>
      <c r="F444" s="14"/>
      <c r="G444" s="14"/>
      <c r="H444" s="32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</row>
    <row r="445">
      <c r="A445" s="14"/>
      <c r="B445" s="14"/>
      <c r="C445" s="30"/>
      <c r="D445" s="14"/>
      <c r="E445" s="14"/>
      <c r="F445" s="14"/>
      <c r="G445" s="14"/>
      <c r="H445" s="32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</row>
    <row r="446">
      <c r="A446" s="14"/>
      <c r="B446" s="14"/>
      <c r="C446" s="30"/>
      <c r="D446" s="14"/>
      <c r="E446" s="14"/>
      <c r="F446" s="14"/>
      <c r="G446" s="14"/>
      <c r="H446" s="32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</row>
    <row r="447">
      <c r="A447" s="14"/>
      <c r="B447" s="14"/>
      <c r="C447" s="30"/>
      <c r="D447" s="14"/>
      <c r="E447" s="14"/>
      <c r="F447" s="14"/>
      <c r="G447" s="14"/>
      <c r="H447" s="32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</row>
    <row r="448">
      <c r="A448" s="14"/>
      <c r="B448" s="14"/>
      <c r="C448" s="30"/>
      <c r="D448" s="14"/>
      <c r="E448" s="14"/>
      <c r="F448" s="14"/>
      <c r="G448" s="14"/>
      <c r="H448" s="32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</row>
    <row r="449">
      <c r="A449" s="14"/>
      <c r="B449" s="14"/>
      <c r="C449" s="30"/>
      <c r="D449" s="14"/>
      <c r="E449" s="14"/>
      <c r="F449" s="14"/>
      <c r="G449" s="14"/>
      <c r="H449" s="32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</row>
    <row r="450">
      <c r="A450" s="14"/>
      <c r="B450" s="14"/>
      <c r="C450" s="30"/>
      <c r="D450" s="14"/>
      <c r="E450" s="14"/>
      <c r="F450" s="14"/>
      <c r="G450" s="14"/>
      <c r="H450" s="32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</row>
    <row r="451">
      <c r="A451" s="14"/>
      <c r="B451" s="14"/>
      <c r="C451" s="30"/>
      <c r="D451" s="14"/>
      <c r="E451" s="14"/>
      <c r="F451" s="14"/>
      <c r="G451" s="14"/>
      <c r="H451" s="32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</row>
    <row r="452">
      <c r="A452" s="14"/>
      <c r="B452" s="14"/>
      <c r="C452" s="30"/>
      <c r="D452" s="14"/>
      <c r="E452" s="14"/>
      <c r="F452" s="14"/>
      <c r="G452" s="14"/>
      <c r="H452" s="32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</row>
    <row r="453">
      <c r="A453" s="14"/>
      <c r="B453" s="14"/>
      <c r="C453" s="30"/>
      <c r="D453" s="14"/>
      <c r="E453" s="14"/>
      <c r="F453" s="14"/>
      <c r="G453" s="14"/>
      <c r="H453" s="32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</row>
    <row r="454">
      <c r="A454" s="14"/>
      <c r="B454" s="14"/>
      <c r="C454" s="30"/>
      <c r="D454" s="14"/>
      <c r="E454" s="14"/>
      <c r="F454" s="14"/>
      <c r="G454" s="14"/>
      <c r="H454" s="32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</row>
    <row r="455">
      <c r="A455" s="14"/>
      <c r="B455" s="14"/>
      <c r="C455" s="30"/>
      <c r="D455" s="14"/>
      <c r="E455" s="14"/>
      <c r="F455" s="14"/>
      <c r="G455" s="14"/>
      <c r="H455" s="32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</row>
    <row r="456">
      <c r="A456" s="14"/>
      <c r="B456" s="14"/>
      <c r="C456" s="30"/>
      <c r="D456" s="14"/>
      <c r="E456" s="14"/>
      <c r="F456" s="14"/>
      <c r="G456" s="14"/>
      <c r="H456" s="32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</row>
    <row r="457">
      <c r="A457" s="14"/>
      <c r="B457" s="14"/>
      <c r="C457" s="30"/>
      <c r="D457" s="14"/>
      <c r="E457" s="14"/>
      <c r="F457" s="14"/>
      <c r="G457" s="14"/>
      <c r="H457" s="32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</row>
    <row r="458">
      <c r="A458" s="14"/>
      <c r="B458" s="14"/>
      <c r="C458" s="30"/>
      <c r="D458" s="14"/>
      <c r="E458" s="14"/>
      <c r="F458" s="14"/>
      <c r="G458" s="14"/>
      <c r="H458" s="32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</row>
    <row r="459">
      <c r="A459" s="14"/>
      <c r="B459" s="14"/>
      <c r="C459" s="30"/>
      <c r="D459" s="14"/>
      <c r="E459" s="14"/>
      <c r="F459" s="14"/>
      <c r="G459" s="14"/>
      <c r="H459" s="32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</row>
    <row r="460">
      <c r="A460" s="14"/>
      <c r="B460" s="14"/>
      <c r="C460" s="30"/>
      <c r="D460" s="14"/>
      <c r="E460" s="14"/>
      <c r="F460" s="14"/>
      <c r="G460" s="14"/>
      <c r="H460" s="32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</row>
    <row r="461">
      <c r="A461" s="14"/>
      <c r="B461" s="14"/>
      <c r="C461" s="30"/>
      <c r="D461" s="14"/>
      <c r="E461" s="14"/>
      <c r="F461" s="14"/>
      <c r="G461" s="14"/>
      <c r="H461" s="32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</row>
    <row r="462">
      <c r="A462" s="14"/>
      <c r="B462" s="14"/>
      <c r="C462" s="30"/>
      <c r="D462" s="14"/>
      <c r="E462" s="14"/>
      <c r="F462" s="14"/>
      <c r="G462" s="14"/>
      <c r="H462" s="32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</row>
    <row r="463">
      <c r="A463" s="14"/>
      <c r="B463" s="14"/>
      <c r="C463" s="30"/>
      <c r="D463" s="14"/>
      <c r="E463" s="14"/>
      <c r="F463" s="14"/>
      <c r="G463" s="14"/>
      <c r="H463" s="32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</row>
    <row r="464">
      <c r="A464" s="14"/>
      <c r="B464" s="14"/>
      <c r="C464" s="30"/>
      <c r="D464" s="14"/>
      <c r="E464" s="14"/>
      <c r="F464" s="14"/>
      <c r="G464" s="14"/>
      <c r="H464" s="32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</row>
    <row r="465">
      <c r="A465" s="14"/>
      <c r="B465" s="14"/>
      <c r="C465" s="30"/>
      <c r="D465" s="14"/>
      <c r="E465" s="14"/>
      <c r="F465" s="14"/>
      <c r="G465" s="14"/>
      <c r="H465" s="32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</row>
    <row r="466">
      <c r="A466" s="14"/>
      <c r="B466" s="14"/>
      <c r="C466" s="30"/>
      <c r="D466" s="14"/>
      <c r="E466" s="14"/>
      <c r="F466" s="14"/>
      <c r="G466" s="14"/>
      <c r="H466" s="32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</row>
    <row r="467">
      <c r="A467" s="14"/>
      <c r="B467" s="14"/>
      <c r="C467" s="30"/>
      <c r="D467" s="14"/>
      <c r="E467" s="14"/>
      <c r="F467" s="14"/>
      <c r="G467" s="14"/>
      <c r="H467" s="32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</row>
    <row r="468">
      <c r="A468" s="14"/>
      <c r="B468" s="14"/>
      <c r="C468" s="30"/>
      <c r="D468" s="14"/>
      <c r="E468" s="14"/>
      <c r="F468" s="14"/>
      <c r="G468" s="14"/>
      <c r="H468" s="32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</row>
    <row r="469">
      <c r="A469" s="14"/>
      <c r="B469" s="14"/>
      <c r="C469" s="30"/>
      <c r="D469" s="14"/>
      <c r="E469" s="14"/>
      <c r="F469" s="14"/>
      <c r="G469" s="14"/>
      <c r="H469" s="32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</row>
    <row r="470">
      <c r="A470" s="14"/>
      <c r="B470" s="14"/>
      <c r="C470" s="30"/>
      <c r="D470" s="14"/>
      <c r="E470" s="14"/>
      <c r="F470" s="14"/>
      <c r="G470" s="14"/>
      <c r="H470" s="32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</row>
    <row r="471">
      <c r="A471" s="14"/>
      <c r="B471" s="14"/>
      <c r="C471" s="30"/>
      <c r="D471" s="14"/>
      <c r="E471" s="14"/>
      <c r="F471" s="14"/>
      <c r="G471" s="14"/>
      <c r="H471" s="32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</row>
    <row r="472">
      <c r="A472" s="14"/>
      <c r="B472" s="14"/>
      <c r="C472" s="30"/>
      <c r="D472" s="14"/>
      <c r="E472" s="14"/>
      <c r="F472" s="14"/>
      <c r="G472" s="14"/>
      <c r="H472" s="32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</row>
    <row r="473">
      <c r="A473" s="14"/>
      <c r="B473" s="14"/>
      <c r="C473" s="30"/>
      <c r="D473" s="14"/>
      <c r="E473" s="14"/>
      <c r="F473" s="14"/>
      <c r="G473" s="14"/>
      <c r="H473" s="32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</row>
    <row r="474">
      <c r="A474" s="14"/>
      <c r="B474" s="14"/>
      <c r="C474" s="30"/>
      <c r="D474" s="14"/>
      <c r="E474" s="14"/>
      <c r="F474" s="14"/>
      <c r="G474" s="14"/>
      <c r="H474" s="32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</row>
    <row r="475">
      <c r="A475" s="14"/>
      <c r="B475" s="14"/>
      <c r="C475" s="30"/>
      <c r="D475" s="14"/>
      <c r="E475" s="14"/>
      <c r="F475" s="14"/>
      <c r="G475" s="14"/>
      <c r="H475" s="32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</row>
    <row r="476">
      <c r="A476" s="14"/>
      <c r="B476" s="14"/>
      <c r="C476" s="30"/>
      <c r="D476" s="14"/>
      <c r="E476" s="14"/>
      <c r="F476" s="14"/>
      <c r="G476" s="14"/>
      <c r="H476" s="32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</row>
    <row r="477">
      <c r="A477" s="14"/>
      <c r="B477" s="14"/>
      <c r="C477" s="30"/>
      <c r="D477" s="14"/>
      <c r="E477" s="14"/>
      <c r="F477" s="14"/>
      <c r="G477" s="14"/>
      <c r="H477" s="32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</row>
    <row r="478">
      <c r="A478" s="14"/>
      <c r="B478" s="14"/>
      <c r="C478" s="30"/>
      <c r="D478" s="14"/>
      <c r="E478" s="14"/>
      <c r="F478" s="14"/>
      <c r="G478" s="14"/>
      <c r="H478" s="32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</row>
    <row r="479">
      <c r="A479" s="14"/>
      <c r="B479" s="14"/>
      <c r="C479" s="30"/>
      <c r="D479" s="14"/>
      <c r="E479" s="14"/>
      <c r="F479" s="14"/>
      <c r="G479" s="14"/>
      <c r="H479" s="32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</row>
    <row r="480">
      <c r="A480" s="14"/>
      <c r="B480" s="14"/>
      <c r="C480" s="30"/>
      <c r="D480" s="14"/>
      <c r="E480" s="14"/>
      <c r="F480" s="14"/>
      <c r="G480" s="14"/>
      <c r="H480" s="32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</row>
    <row r="481">
      <c r="A481" s="14"/>
      <c r="B481" s="14"/>
      <c r="C481" s="30"/>
      <c r="D481" s="14"/>
      <c r="E481" s="14"/>
      <c r="F481" s="14"/>
      <c r="G481" s="14"/>
      <c r="H481" s="32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</row>
    <row r="482">
      <c r="A482" s="14"/>
      <c r="B482" s="14"/>
      <c r="C482" s="30"/>
      <c r="D482" s="14"/>
      <c r="E482" s="14"/>
      <c r="F482" s="14"/>
      <c r="G482" s="14"/>
      <c r="H482" s="32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</row>
    <row r="483">
      <c r="A483" s="14"/>
      <c r="B483" s="14"/>
      <c r="C483" s="30"/>
      <c r="D483" s="14"/>
      <c r="E483" s="14"/>
      <c r="F483" s="14"/>
      <c r="G483" s="14"/>
      <c r="H483" s="32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</row>
    <row r="484">
      <c r="A484" s="14"/>
      <c r="B484" s="14"/>
      <c r="C484" s="30"/>
      <c r="D484" s="14"/>
      <c r="E484" s="14"/>
      <c r="F484" s="14"/>
      <c r="G484" s="14"/>
      <c r="H484" s="32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</row>
    <row r="485">
      <c r="A485" s="14"/>
      <c r="B485" s="14"/>
      <c r="C485" s="30"/>
      <c r="D485" s="14"/>
      <c r="E485" s="14"/>
      <c r="F485" s="14"/>
      <c r="G485" s="14"/>
      <c r="H485" s="32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</row>
    <row r="486">
      <c r="A486" s="14"/>
      <c r="B486" s="14"/>
      <c r="C486" s="30"/>
      <c r="D486" s="14"/>
      <c r="E486" s="14"/>
      <c r="F486" s="14"/>
      <c r="G486" s="14"/>
      <c r="H486" s="32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</row>
    <row r="487">
      <c r="A487" s="14"/>
      <c r="B487" s="14"/>
      <c r="C487" s="30"/>
      <c r="D487" s="14"/>
      <c r="E487" s="14"/>
      <c r="F487" s="14"/>
      <c r="G487" s="14"/>
      <c r="H487" s="32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</row>
    <row r="488">
      <c r="A488" s="14"/>
      <c r="B488" s="14"/>
      <c r="C488" s="30"/>
      <c r="D488" s="14"/>
      <c r="E488" s="14"/>
      <c r="F488" s="14"/>
      <c r="G488" s="14"/>
      <c r="H488" s="32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</row>
    <row r="489">
      <c r="A489" s="14"/>
      <c r="B489" s="14"/>
      <c r="C489" s="30"/>
      <c r="D489" s="14"/>
      <c r="E489" s="14"/>
      <c r="F489" s="14"/>
      <c r="G489" s="14"/>
      <c r="H489" s="32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</row>
    <row r="490">
      <c r="A490" s="14"/>
      <c r="B490" s="14"/>
      <c r="C490" s="30"/>
      <c r="D490" s="14"/>
      <c r="E490" s="14"/>
      <c r="F490" s="14"/>
      <c r="G490" s="14"/>
      <c r="H490" s="32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</row>
    <row r="491">
      <c r="A491" s="14"/>
      <c r="B491" s="14"/>
      <c r="C491" s="30"/>
      <c r="D491" s="14"/>
      <c r="E491" s="14"/>
      <c r="F491" s="14"/>
      <c r="G491" s="14"/>
      <c r="H491" s="32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</row>
    <row r="492">
      <c r="A492" s="14"/>
      <c r="B492" s="14"/>
      <c r="C492" s="30"/>
      <c r="D492" s="14"/>
      <c r="E492" s="14"/>
      <c r="F492" s="14"/>
      <c r="G492" s="14"/>
      <c r="H492" s="32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</row>
    <row r="493">
      <c r="A493" s="14"/>
      <c r="B493" s="14"/>
      <c r="C493" s="30"/>
      <c r="D493" s="14"/>
      <c r="E493" s="14"/>
      <c r="F493" s="14"/>
      <c r="G493" s="14"/>
      <c r="H493" s="32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</row>
    <row r="494">
      <c r="A494" s="14"/>
      <c r="B494" s="14"/>
      <c r="C494" s="30"/>
      <c r="D494" s="14"/>
      <c r="E494" s="14"/>
      <c r="F494" s="14"/>
      <c r="G494" s="14"/>
      <c r="H494" s="32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</row>
    <row r="495">
      <c r="A495" s="14"/>
      <c r="B495" s="14"/>
      <c r="C495" s="30"/>
      <c r="D495" s="14"/>
      <c r="E495" s="14"/>
      <c r="F495" s="14"/>
      <c r="G495" s="14"/>
      <c r="H495" s="32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</row>
    <row r="496">
      <c r="A496" s="14"/>
      <c r="B496" s="14"/>
      <c r="C496" s="30"/>
      <c r="D496" s="14"/>
      <c r="E496" s="14"/>
      <c r="F496" s="14"/>
      <c r="G496" s="14"/>
      <c r="H496" s="32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</row>
    <row r="497">
      <c r="A497" s="14"/>
      <c r="B497" s="14"/>
      <c r="C497" s="30"/>
      <c r="D497" s="14"/>
      <c r="E497" s="14"/>
      <c r="F497" s="14"/>
      <c r="G497" s="14"/>
      <c r="H497" s="32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</row>
    <row r="498">
      <c r="A498" s="14"/>
      <c r="B498" s="14"/>
      <c r="C498" s="30"/>
      <c r="D498" s="14"/>
      <c r="E498" s="14"/>
      <c r="F498" s="14"/>
      <c r="G498" s="14"/>
      <c r="H498" s="32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</row>
    <row r="499">
      <c r="A499" s="14"/>
      <c r="B499" s="14"/>
      <c r="C499" s="30"/>
      <c r="D499" s="14"/>
      <c r="E499" s="14"/>
      <c r="F499" s="14"/>
      <c r="G499" s="14"/>
      <c r="H499" s="32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</row>
    <row r="500">
      <c r="A500" s="14"/>
      <c r="B500" s="14"/>
      <c r="C500" s="30"/>
      <c r="D500" s="14"/>
      <c r="E500" s="14"/>
      <c r="F500" s="14"/>
      <c r="G500" s="14"/>
      <c r="H500" s="32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</row>
    <row r="501">
      <c r="A501" s="14"/>
      <c r="B501" s="14"/>
      <c r="C501" s="30"/>
      <c r="D501" s="14"/>
      <c r="E501" s="14"/>
      <c r="F501" s="14"/>
      <c r="G501" s="14"/>
      <c r="H501" s="32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</row>
    <row r="502">
      <c r="A502" s="14"/>
      <c r="B502" s="14"/>
      <c r="C502" s="30"/>
      <c r="D502" s="14"/>
      <c r="E502" s="14"/>
      <c r="F502" s="14"/>
      <c r="G502" s="14"/>
      <c r="H502" s="32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</row>
    <row r="503">
      <c r="A503" s="14"/>
      <c r="B503" s="14"/>
      <c r="C503" s="30"/>
      <c r="D503" s="14"/>
      <c r="E503" s="14"/>
      <c r="F503" s="14"/>
      <c r="G503" s="14"/>
      <c r="H503" s="32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</row>
    <row r="504">
      <c r="A504" s="14"/>
      <c r="B504" s="14"/>
      <c r="C504" s="30"/>
      <c r="D504" s="14"/>
      <c r="E504" s="14"/>
      <c r="F504" s="14"/>
      <c r="G504" s="14"/>
      <c r="H504" s="32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</row>
    <row r="505">
      <c r="A505" s="14"/>
      <c r="B505" s="14"/>
      <c r="C505" s="30"/>
      <c r="D505" s="14"/>
      <c r="E505" s="14"/>
      <c r="F505" s="14"/>
      <c r="G505" s="14"/>
      <c r="H505" s="32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</row>
    <row r="506">
      <c r="A506" s="14"/>
      <c r="B506" s="14"/>
      <c r="C506" s="30"/>
      <c r="D506" s="14"/>
      <c r="E506" s="14"/>
      <c r="F506" s="14"/>
      <c r="G506" s="14"/>
      <c r="H506" s="32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</row>
    <row r="507">
      <c r="A507" s="14"/>
      <c r="B507" s="14"/>
      <c r="C507" s="30"/>
      <c r="D507" s="14"/>
      <c r="E507" s="14"/>
      <c r="F507" s="14"/>
      <c r="G507" s="14"/>
      <c r="H507" s="32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</row>
    <row r="508">
      <c r="A508" s="14"/>
      <c r="B508" s="14"/>
      <c r="C508" s="30"/>
      <c r="D508" s="14"/>
      <c r="E508" s="14"/>
      <c r="F508" s="14"/>
      <c r="G508" s="14"/>
      <c r="H508" s="32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</row>
    <row r="509">
      <c r="A509" s="14"/>
      <c r="B509" s="14"/>
      <c r="C509" s="30"/>
      <c r="D509" s="14"/>
      <c r="E509" s="14"/>
      <c r="F509" s="14"/>
      <c r="G509" s="14"/>
      <c r="H509" s="32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</row>
    <row r="510">
      <c r="A510" s="14"/>
      <c r="B510" s="14"/>
      <c r="C510" s="30"/>
      <c r="D510" s="14"/>
      <c r="E510" s="14"/>
      <c r="F510" s="14"/>
      <c r="G510" s="14"/>
      <c r="H510" s="32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</row>
    <row r="511">
      <c r="A511" s="14"/>
      <c r="B511" s="14"/>
      <c r="C511" s="30"/>
      <c r="D511" s="14"/>
      <c r="E511" s="14"/>
      <c r="F511" s="14"/>
      <c r="G511" s="14"/>
      <c r="H511" s="32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</row>
    <row r="512">
      <c r="A512" s="14"/>
      <c r="B512" s="14"/>
      <c r="C512" s="30"/>
      <c r="D512" s="14"/>
      <c r="E512" s="14"/>
      <c r="F512" s="14"/>
      <c r="G512" s="14"/>
      <c r="H512" s="32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</row>
    <row r="513">
      <c r="A513" s="14"/>
      <c r="B513" s="14"/>
      <c r="C513" s="30"/>
      <c r="D513" s="14"/>
      <c r="E513" s="14"/>
      <c r="F513" s="14"/>
      <c r="G513" s="14"/>
      <c r="H513" s="32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</row>
    <row r="514">
      <c r="A514" s="14"/>
      <c r="B514" s="14"/>
      <c r="C514" s="30"/>
      <c r="D514" s="14"/>
      <c r="E514" s="14"/>
      <c r="F514" s="14"/>
      <c r="G514" s="14"/>
      <c r="H514" s="32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</row>
    <row r="515">
      <c r="A515" s="14"/>
      <c r="B515" s="14"/>
      <c r="C515" s="30"/>
      <c r="D515" s="14"/>
      <c r="E515" s="14"/>
      <c r="F515" s="14"/>
      <c r="G515" s="14"/>
      <c r="H515" s="32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</row>
    <row r="516">
      <c r="A516" s="14"/>
      <c r="B516" s="14"/>
      <c r="C516" s="30"/>
      <c r="D516" s="14"/>
      <c r="E516" s="14"/>
      <c r="F516" s="14"/>
      <c r="G516" s="14"/>
      <c r="H516" s="32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</row>
    <row r="517">
      <c r="A517" s="14"/>
      <c r="B517" s="14"/>
      <c r="C517" s="30"/>
      <c r="D517" s="14"/>
      <c r="E517" s="14"/>
      <c r="F517" s="14"/>
      <c r="G517" s="14"/>
      <c r="H517" s="32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</row>
    <row r="518">
      <c r="A518" s="14"/>
      <c r="B518" s="14"/>
      <c r="C518" s="30"/>
      <c r="D518" s="14"/>
      <c r="E518" s="14"/>
      <c r="F518" s="14"/>
      <c r="G518" s="14"/>
      <c r="H518" s="32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</row>
    <row r="519">
      <c r="A519" s="14"/>
      <c r="B519" s="14"/>
      <c r="C519" s="30"/>
      <c r="D519" s="14"/>
      <c r="E519" s="14"/>
      <c r="F519" s="14"/>
      <c r="G519" s="14"/>
      <c r="H519" s="32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</row>
    <row r="520">
      <c r="A520" s="14"/>
      <c r="B520" s="14"/>
      <c r="C520" s="30"/>
      <c r="D520" s="14"/>
      <c r="E520" s="14"/>
      <c r="F520" s="14"/>
      <c r="G520" s="14"/>
      <c r="H520" s="32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</row>
    <row r="521">
      <c r="A521" s="14"/>
      <c r="B521" s="14"/>
      <c r="C521" s="30"/>
      <c r="D521" s="14"/>
      <c r="E521" s="14"/>
      <c r="F521" s="14"/>
      <c r="G521" s="14"/>
      <c r="H521" s="32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</row>
    <row r="522">
      <c r="A522" s="14"/>
      <c r="B522" s="14"/>
      <c r="C522" s="30"/>
      <c r="D522" s="14"/>
      <c r="E522" s="14"/>
      <c r="F522" s="14"/>
      <c r="G522" s="14"/>
      <c r="H522" s="32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</row>
    <row r="523">
      <c r="A523" s="14"/>
      <c r="B523" s="14"/>
      <c r="C523" s="30"/>
      <c r="D523" s="14"/>
      <c r="E523" s="14"/>
      <c r="F523" s="14"/>
      <c r="G523" s="14"/>
      <c r="H523" s="32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</row>
    <row r="524">
      <c r="A524" s="14"/>
      <c r="B524" s="14"/>
      <c r="C524" s="30"/>
      <c r="D524" s="14"/>
      <c r="E524" s="14"/>
      <c r="F524" s="14"/>
      <c r="G524" s="14"/>
      <c r="H524" s="32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</row>
    <row r="525">
      <c r="A525" s="14"/>
      <c r="B525" s="14"/>
      <c r="C525" s="30"/>
      <c r="D525" s="14"/>
      <c r="E525" s="14"/>
      <c r="F525" s="14"/>
      <c r="G525" s="14"/>
      <c r="H525" s="32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</row>
    <row r="526">
      <c r="A526" s="14"/>
      <c r="B526" s="14"/>
      <c r="C526" s="30"/>
      <c r="D526" s="14"/>
      <c r="E526" s="14"/>
      <c r="F526" s="14"/>
      <c r="G526" s="14"/>
      <c r="H526" s="32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</row>
    <row r="527">
      <c r="A527" s="14"/>
      <c r="B527" s="14"/>
      <c r="C527" s="30"/>
      <c r="D527" s="14"/>
      <c r="E527" s="14"/>
      <c r="F527" s="14"/>
      <c r="G527" s="14"/>
      <c r="H527" s="32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</row>
    <row r="528">
      <c r="A528" s="14"/>
      <c r="B528" s="14"/>
      <c r="C528" s="30"/>
      <c r="D528" s="14"/>
      <c r="E528" s="14"/>
      <c r="F528" s="14"/>
      <c r="G528" s="14"/>
      <c r="H528" s="32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</row>
    <row r="529">
      <c r="A529" s="14"/>
      <c r="B529" s="14"/>
      <c r="C529" s="30"/>
      <c r="D529" s="14"/>
      <c r="E529" s="14"/>
      <c r="F529" s="14"/>
      <c r="G529" s="14"/>
      <c r="H529" s="32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</row>
    <row r="530">
      <c r="A530" s="14"/>
      <c r="B530" s="14"/>
      <c r="C530" s="30"/>
      <c r="D530" s="14"/>
      <c r="E530" s="14"/>
      <c r="F530" s="14"/>
      <c r="G530" s="14"/>
      <c r="H530" s="32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</row>
    <row r="531">
      <c r="A531" s="14"/>
      <c r="B531" s="14"/>
      <c r="C531" s="30"/>
      <c r="D531" s="14"/>
      <c r="E531" s="14"/>
      <c r="F531" s="14"/>
      <c r="G531" s="14"/>
      <c r="H531" s="32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</row>
    <row r="532">
      <c r="A532" s="14"/>
      <c r="B532" s="14"/>
      <c r="C532" s="30"/>
      <c r="D532" s="14"/>
      <c r="E532" s="14"/>
      <c r="F532" s="14"/>
      <c r="G532" s="14"/>
      <c r="H532" s="32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</row>
    <row r="533">
      <c r="A533" s="14"/>
      <c r="B533" s="14"/>
      <c r="C533" s="30"/>
      <c r="D533" s="14"/>
      <c r="E533" s="14"/>
      <c r="F533" s="14"/>
      <c r="G533" s="14"/>
      <c r="H533" s="32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</row>
    <row r="534">
      <c r="A534" s="14"/>
      <c r="B534" s="14"/>
      <c r="C534" s="30"/>
      <c r="D534" s="14"/>
      <c r="E534" s="14"/>
      <c r="F534" s="14"/>
      <c r="G534" s="14"/>
      <c r="H534" s="32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</row>
    <row r="535">
      <c r="A535" s="14"/>
      <c r="B535" s="14"/>
      <c r="C535" s="30"/>
      <c r="D535" s="14"/>
      <c r="E535" s="14"/>
      <c r="F535" s="14"/>
      <c r="G535" s="14"/>
      <c r="H535" s="32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</row>
    <row r="536">
      <c r="A536" s="14"/>
      <c r="B536" s="14"/>
      <c r="C536" s="30"/>
      <c r="D536" s="14"/>
      <c r="E536" s="14"/>
      <c r="F536" s="14"/>
      <c r="G536" s="14"/>
      <c r="H536" s="32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</row>
    <row r="537">
      <c r="A537" s="14"/>
      <c r="B537" s="14"/>
      <c r="C537" s="30"/>
      <c r="D537" s="14"/>
      <c r="E537" s="14"/>
      <c r="F537" s="14"/>
      <c r="G537" s="14"/>
      <c r="H537" s="32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</row>
    <row r="538">
      <c r="A538" s="14"/>
      <c r="B538" s="14"/>
      <c r="C538" s="30"/>
      <c r="D538" s="14"/>
      <c r="E538" s="14"/>
      <c r="F538" s="14"/>
      <c r="G538" s="14"/>
      <c r="H538" s="32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</row>
    <row r="539">
      <c r="A539" s="14"/>
      <c r="B539" s="14"/>
      <c r="C539" s="30"/>
      <c r="D539" s="14"/>
      <c r="E539" s="14"/>
      <c r="F539" s="14"/>
      <c r="G539" s="14"/>
      <c r="H539" s="32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</row>
    <row r="540">
      <c r="A540" s="14"/>
      <c r="B540" s="14"/>
      <c r="C540" s="30"/>
      <c r="D540" s="14"/>
      <c r="E540" s="14"/>
      <c r="F540" s="14"/>
      <c r="G540" s="14"/>
      <c r="H540" s="32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</row>
    <row r="541">
      <c r="A541" s="14"/>
      <c r="B541" s="14"/>
      <c r="C541" s="30"/>
      <c r="D541" s="14"/>
      <c r="E541" s="14"/>
      <c r="F541" s="14"/>
      <c r="G541" s="14"/>
      <c r="H541" s="32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</row>
    <row r="542">
      <c r="A542" s="14"/>
      <c r="B542" s="14"/>
      <c r="C542" s="30"/>
      <c r="D542" s="14"/>
      <c r="E542" s="14"/>
      <c r="F542" s="14"/>
      <c r="G542" s="14"/>
      <c r="H542" s="32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</row>
    <row r="543">
      <c r="A543" s="14"/>
      <c r="B543" s="14"/>
      <c r="C543" s="30"/>
      <c r="D543" s="14"/>
      <c r="E543" s="14"/>
      <c r="F543" s="14"/>
      <c r="G543" s="14"/>
      <c r="H543" s="32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</row>
    <row r="544">
      <c r="A544" s="14"/>
      <c r="B544" s="14"/>
      <c r="C544" s="30"/>
      <c r="D544" s="14"/>
      <c r="E544" s="14"/>
      <c r="F544" s="14"/>
      <c r="G544" s="14"/>
      <c r="H544" s="32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</row>
    <row r="545">
      <c r="A545" s="14"/>
      <c r="B545" s="14"/>
      <c r="C545" s="30"/>
      <c r="D545" s="14"/>
      <c r="E545" s="14"/>
      <c r="F545" s="14"/>
      <c r="G545" s="14"/>
      <c r="H545" s="32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</row>
    <row r="546">
      <c r="A546" s="14"/>
      <c r="B546" s="14"/>
      <c r="C546" s="30"/>
      <c r="D546" s="14"/>
      <c r="E546" s="14"/>
      <c r="F546" s="14"/>
      <c r="G546" s="14"/>
      <c r="H546" s="32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</row>
    <row r="547">
      <c r="A547" s="14"/>
      <c r="B547" s="14"/>
      <c r="C547" s="30"/>
      <c r="D547" s="14"/>
      <c r="E547" s="14"/>
      <c r="F547" s="14"/>
      <c r="G547" s="14"/>
      <c r="H547" s="32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</row>
    <row r="548">
      <c r="A548" s="14"/>
      <c r="B548" s="14"/>
      <c r="C548" s="30"/>
      <c r="D548" s="14"/>
      <c r="E548" s="14"/>
      <c r="F548" s="14"/>
      <c r="G548" s="14"/>
      <c r="H548" s="32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</row>
    <row r="549">
      <c r="A549" s="14"/>
      <c r="B549" s="14"/>
      <c r="C549" s="30"/>
      <c r="D549" s="14"/>
      <c r="E549" s="14"/>
      <c r="F549" s="14"/>
      <c r="G549" s="14"/>
      <c r="H549" s="32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</row>
    <row r="550">
      <c r="A550" s="14"/>
      <c r="B550" s="14"/>
      <c r="C550" s="30"/>
      <c r="D550" s="14"/>
      <c r="E550" s="14"/>
      <c r="F550" s="14"/>
      <c r="G550" s="14"/>
      <c r="H550" s="32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</row>
    <row r="551">
      <c r="A551" s="14"/>
      <c r="B551" s="14"/>
      <c r="C551" s="30"/>
      <c r="D551" s="14"/>
      <c r="E551" s="14"/>
      <c r="F551" s="14"/>
      <c r="G551" s="14"/>
      <c r="H551" s="32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</row>
    <row r="552">
      <c r="A552" s="14"/>
      <c r="B552" s="14"/>
      <c r="C552" s="30"/>
      <c r="D552" s="14"/>
      <c r="E552" s="14"/>
      <c r="F552" s="14"/>
      <c r="G552" s="14"/>
      <c r="H552" s="32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</row>
    <row r="553">
      <c r="A553" s="14"/>
      <c r="B553" s="14"/>
      <c r="C553" s="30"/>
      <c r="D553" s="14"/>
      <c r="E553" s="14"/>
      <c r="F553" s="14"/>
      <c r="G553" s="14"/>
      <c r="H553" s="32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</row>
    <row r="554">
      <c r="A554" s="14"/>
      <c r="B554" s="14"/>
      <c r="C554" s="30"/>
      <c r="D554" s="14"/>
      <c r="E554" s="14"/>
      <c r="F554" s="14"/>
      <c r="G554" s="14"/>
      <c r="H554" s="32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</row>
    <row r="555">
      <c r="A555" s="14"/>
      <c r="B555" s="14"/>
      <c r="C555" s="30"/>
      <c r="D555" s="14"/>
      <c r="E555" s="14"/>
      <c r="F555" s="14"/>
      <c r="G555" s="14"/>
      <c r="H555" s="32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</row>
    <row r="556">
      <c r="A556" s="14"/>
      <c r="B556" s="14"/>
      <c r="C556" s="30"/>
      <c r="D556" s="14"/>
      <c r="E556" s="14"/>
      <c r="F556" s="14"/>
      <c r="G556" s="14"/>
      <c r="H556" s="32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</row>
    <row r="557">
      <c r="A557" s="14"/>
      <c r="B557" s="14"/>
      <c r="C557" s="30"/>
      <c r="D557" s="14"/>
      <c r="E557" s="14"/>
      <c r="F557" s="14"/>
      <c r="G557" s="14"/>
      <c r="H557" s="32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</row>
    <row r="558">
      <c r="A558" s="14"/>
      <c r="B558" s="14"/>
      <c r="C558" s="30"/>
      <c r="D558" s="14"/>
      <c r="E558" s="14"/>
      <c r="F558" s="14"/>
      <c r="G558" s="14"/>
      <c r="H558" s="32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</row>
    <row r="559">
      <c r="A559" s="14"/>
      <c r="B559" s="14"/>
      <c r="C559" s="30"/>
      <c r="D559" s="14"/>
      <c r="E559" s="14"/>
      <c r="F559" s="14"/>
      <c r="G559" s="14"/>
      <c r="H559" s="32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</row>
    <row r="560">
      <c r="A560" s="14"/>
      <c r="B560" s="14"/>
      <c r="C560" s="30"/>
      <c r="D560" s="14"/>
      <c r="E560" s="14"/>
      <c r="F560" s="14"/>
      <c r="G560" s="14"/>
      <c r="H560" s="32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</row>
    <row r="561">
      <c r="A561" s="14"/>
      <c r="B561" s="14"/>
      <c r="C561" s="30"/>
      <c r="D561" s="14"/>
      <c r="E561" s="14"/>
      <c r="F561" s="14"/>
      <c r="G561" s="14"/>
      <c r="H561" s="32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</row>
    <row r="562">
      <c r="A562" s="14"/>
      <c r="B562" s="14"/>
      <c r="C562" s="30"/>
      <c r="D562" s="14"/>
      <c r="E562" s="14"/>
      <c r="F562" s="14"/>
      <c r="G562" s="14"/>
      <c r="H562" s="32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</row>
    <row r="563">
      <c r="A563" s="14"/>
      <c r="B563" s="14"/>
      <c r="C563" s="30"/>
      <c r="D563" s="14"/>
      <c r="E563" s="14"/>
      <c r="F563" s="14"/>
      <c r="G563" s="14"/>
      <c r="H563" s="32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</row>
    <row r="564">
      <c r="A564" s="14"/>
      <c r="B564" s="14"/>
      <c r="C564" s="30"/>
      <c r="D564" s="14"/>
      <c r="E564" s="14"/>
      <c r="F564" s="14"/>
      <c r="G564" s="14"/>
      <c r="H564" s="32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</row>
    <row r="565">
      <c r="A565" s="14"/>
      <c r="B565" s="14"/>
      <c r="C565" s="30"/>
      <c r="D565" s="14"/>
      <c r="E565" s="14"/>
      <c r="F565" s="14"/>
      <c r="G565" s="14"/>
      <c r="H565" s="32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</row>
    <row r="566">
      <c r="A566" s="14"/>
      <c r="B566" s="14"/>
      <c r="C566" s="30"/>
      <c r="D566" s="14"/>
      <c r="E566" s="14"/>
      <c r="F566" s="14"/>
      <c r="G566" s="14"/>
      <c r="H566" s="32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</row>
    <row r="567">
      <c r="A567" s="14"/>
      <c r="B567" s="14"/>
      <c r="C567" s="30"/>
      <c r="D567" s="14"/>
      <c r="E567" s="14"/>
      <c r="F567" s="14"/>
      <c r="G567" s="14"/>
      <c r="H567" s="32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</row>
    <row r="568">
      <c r="A568" s="14"/>
      <c r="B568" s="14"/>
      <c r="C568" s="30"/>
      <c r="D568" s="14"/>
      <c r="E568" s="14"/>
      <c r="F568" s="14"/>
      <c r="G568" s="14"/>
      <c r="H568" s="32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</row>
    <row r="569">
      <c r="A569" s="14"/>
      <c r="B569" s="14"/>
      <c r="C569" s="30"/>
      <c r="D569" s="14"/>
      <c r="E569" s="14"/>
      <c r="F569" s="14"/>
      <c r="G569" s="14"/>
      <c r="H569" s="32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</row>
    <row r="570">
      <c r="A570" s="14"/>
      <c r="B570" s="14"/>
      <c r="C570" s="30"/>
      <c r="D570" s="14"/>
      <c r="E570" s="14"/>
      <c r="F570" s="14"/>
      <c r="G570" s="14"/>
      <c r="H570" s="32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</row>
    <row r="571">
      <c r="A571" s="14"/>
      <c r="B571" s="14"/>
      <c r="C571" s="30"/>
      <c r="D571" s="14"/>
      <c r="E571" s="14"/>
      <c r="F571" s="14"/>
      <c r="G571" s="14"/>
      <c r="H571" s="32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</row>
    <row r="572">
      <c r="A572" s="14"/>
      <c r="B572" s="14"/>
      <c r="C572" s="30"/>
      <c r="D572" s="14"/>
      <c r="E572" s="14"/>
      <c r="F572" s="14"/>
      <c r="G572" s="14"/>
      <c r="H572" s="32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</row>
    <row r="573">
      <c r="A573" s="14"/>
      <c r="B573" s="14"/>
      <c r="C573" s="30"/>
      <c r="D573" s="14"/>
      <c r="E573" s="14"/>
      <c r="F573" s="14"/>
      <c r="G573" s="14"/>
      <c r="H573" s="32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</row>
    <row r="574">
      <c r="A574" s="14"/>
      <c r="B574" s="14"/>
      <c r="C574" s="30"/>
      <c r="D574" s="14"/>
      <c r="E574" s="14"/>
      <c r="F574" s="14"/>
      <c r="G574" s="14"/>
      <c r="H574" s="32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</row>
    <row r="575">
      <c r="A575" s="14"/>
      <c r="B575" s="14"/>
      <c r="C575" s="30"/>
      <c r="D575" s="14"/>
      <c r="E575" s="14"/>
      <c r="F575" s="14"/>
      <c r="G575" s="14"/>
      <c r="H575" s="32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</row>
    <row r="576">
      <c r="A576" s="14"/>
      <c r="B576" s="14"/>
      <c r="C576" s="30"/>
      <c r="D576" s="14"/>
      <c r="E576" s="14"/>
      <c r="F576" s="14"/>
      <c r="G576" s="14"/>
      <c r="H576" s="32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</row>
    <row r="577">
      <c r="A577" s="14"/>
      <c r="B577" s="14"/>
      <c r="C577" s="30"/>
      <c r="D577" s="14"/>
      <c r="E577" s="14"/>
      <c r="F577" s="14"/>
      <c r="G577" s="14"/>
      <c r="H577" s="32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</row>
    <row r="578">
      <c r="A578" s="14"/>
      <c r="B578" s="14"/>
      <c r="C578" s="30"/>
      <c r="D578" s="14"/>
      <c r="E578" s="14"/>
      <c r="F578" s="14"/>
      <c r="G578" s="14"/>
      <c r="H578" s="32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</row>
    <row r="579">
      <c r="A579" s="14"/>
      <c r="B579" s="14"/>
      <c r="C579" s="30"/>
      <c r="D579" s="14"/>
      <c r="E579" s="14"/>
      <c r="F579" s="14"/>
      <c r="G579" s="14"/>
      <c r="H579" s="32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</row>
    <row r="580">
      <c r="A580" s="14"/>
      <c r="B580" s="14"/>
      <c r="C580" s="30"/>
      <c r="D580" s="14"/>
      <c r="E580" s="14"/>
      <c r="F580" s="14"/>
      <c r="G580" s="14"/>
      <c r="H580" s="32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</row>
    <row r="581">
      <c r="A581" s="14"/>
      <c r="B581" s="14"/>
      <c r="C581" s="30"/>
      <c r="D581" s="14"/>
      <c r="E581" s="14"/>
      <c r="F581" s="14"/>
      <c r="G581" s="14"/>
      <c r="H581" s="32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</row>
    <row r="582">
      <c r="A582" s="14"/>
      <c r="B582" s="14"/>
      <c r="C582" s="30"/>
      <c r="D582" s="14"/>
      <c r="E582" s="14"/>
      <c r="F582" s="14"/>
      <c r="G582" s="14"/>
      <c r="H582" s="32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</row>
    <row r="583">
      <c r="A583" s="14"/>
      <c r="B583" s="14"/>
      <c r="C583" s="30"/>
      <c r="D583" s="14"/>
      <c r="E583" s="14"/>
      <c r="F583" s="14"/>
      <c r="G583" s="14"/>
      <c r="H583" s="32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</row>
    <row r="584">
      <c r="A584" s="14"/>
      <c r="B584" s="14"/>
      <c r="C584" s="30"/>
      <c r="D584" s="14"/>
      <c r="E584" s="14"/>
      <c r="F584" s="14"/>
      <c r="G584" s="14"/>
      <c r="H584" s="32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</row>
    <row r="585">
      <c r="A585" s="14"/>
      <c r="B585" s="14"/>
      <c r="C585" s="30"/>
      <c r="D585" s="14"/>
      <c r="E585" s="14"/>
      <c r="F585" s="14"/>
      <c r="G585" s="14"/>
      <c r="H585" s="32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</row>
    <row r="586">
      <c r="A586" s="14"/>
      <c r="B586" s="14"/>
      <c r="C586" s="30"/>
      <c r="D586" s="14"/>
      <c r="E586" s="14"/>
      <c r="F586" s="14"/>
      <c r="G586" s="14"/>
      <c r="H586" s="32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</row>
    <row r="587">
      <c r="A587" s="14"/>
      <c r="B587" s="14"/>
      <c r="C587" s="30"/>
      <c r="D587" s="14"/>
      <c r="E587" s="14"/>
      <c r="F587" s="14"/>
      <c r="G587" s="14"/>
      <c r="H587" s="32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</row>
    <row r="588">
      <c r="A588" s="14"/>
      <c r="B588" s="14"/>
      <c r="C588" s="30"/>
      <c r="D588" s="14"/>
      <c r="E588" s="14"/>
      <c r="F588" s="14"/>
      <c r="G588" s="14"/>
      <c r="H588" s="32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</row>
    <row r="589">
      <c r="A589" s="14"/>
      <c r="B589" s="14"/>
      <c r="C589" s="30"/>
      <c r="D589" s="14"/>
      <c r="E589" s="14"/>
      <c r="F589" s="14"/>
      <c r="G589" s="14"/>
      <c r="H589" s="32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</row>
    <row r="590">
      <c r="A590" s="14"/>
      <c r="B590" s="14"/>
      <c r="C590" s="30"/>
      <c r="D590" s="14"/>
      <c r="E590" s="14"/>
      <c r="F590" s="14"/>
      <c r="G590" s="14"/>
      <c r="H590" s="32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</row>
    <row r="591">
      <c r="A591" s="14"/>
      <c r="B591" s="14"/>
      <c r="C591" s="30"/>
      <c r="D591" s="14"/>
      <c r="E591" s="14"/>
      <c r="F591" s="14"/>
      <c r="G591" s="14"/>
      <c r="H591" s="32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</row>
    <row r="592">
      <c r="A592" s="14"/>
      <c r="B592" s="14"/>
      <c r="C592" s="30"/>
      <c r="D592" s="14"/>
      <c r="E592" s="14"/>
      <c r="F592" s="14"/>
      <c r="G592" s="14"/>
      <c r="H592" s="32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</row>
    <row r="593">
      <c r="A593" s="14"/>
      <c r="B593" s="14"/>
      <c r="C593" s="30"/>
      <c r="D593" s="14"/>
      <c r="E593" s="14"/>
      <c r="F593" s="14"/>
      <c r="G593" s="14"/>
      <c r="H593" s="32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</row>
    <row r="594">
      <c r="A594" s="14"/>
      <c r="B594" s="14"/>
      <c r="C594" s="30"/>
      <c r="D594" s="14"/>
      <c r="E594" s="14"/>
      <c r="F594" s="14"/>
      <c r="G594" s="14"/>
      <c r="H594" s="32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</row>
    <row r="595">
      <c r="A595" s="14"/>
      <c r="B595" s="14"/>
      <c r="C595" s="30"/>
      <c r="D595" s="14"/>
      <c r="E595" s="14"/>
      <c r="F595" s="14"/>
      <c r="G595" s="14"/>
      <c r="H595" s="32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</row>
    <row r="596">
      <c r="A596" s="14"/>
      <c r="B596" s="14"/>
      <c r="C596" s="30"/>
      <c r="D596" s="14"/>
      <c r="E596" s="14"/>
      <c r="F596" s="14"/>
      <c r="G596" s="14"/>
      <c r="H596" s="32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</row>
    <row r="597">
      <c r="A597" s="14"/>
      <c r="B597" s="14"/>
      <c r="C597" s="30"/>
      <c r="D597" s="14"/>
      <c r="E597" s="14"/>
      <c r="F597" s="14"/>
      <c r="G597" s="14"/>
      <c r="H597" s="32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</row>
    <row r="598">
      <c r="A598" s="14"/>
      <c r="B598" s="14"/>
      <c r="C598" s="30"/>
      <c r="D598" s="14"/>
      <c r="E598" s="14"/>
      <c r="F598" s="14"/>
      <c r="G598" s="14"/>
      <c r="H598" s="32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</row>
    <row r="599">
      <c r="A599" s="14"/>
      <c r="B599" s="14"/>
      <c r="C599" s="30"/>
      <c r="D599" s="14"/>
      <c r="E599" s="14"/>
      <c r="F599" s="14"/>
      <c r="G599" s="14"/>
      <c r="H599" s="32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</row>
    <row r="600">
      <c r="A600" s="14"/>
      <c r="B600" s="14"/>
      <c r="C600" s="30"/>
      <c r="D600" s="14"/>
      <c r="E600" s="14"/>
      <c r="F600" s="14"/>
      <c r="G600" s="14"/>
      <c r="H600" s="32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</row>
    <row r="601">
      <c r="A601" s="14"/>
      <c r="B601" s="14"/>
      <c r="C601" s="30"/>
      <c r="D601" s="14"/>
      <c r="E601" s="14"/>
      <c r="F601" s="14"/>
      <c r="G601" s="14"/>
      <c r="H601" s="32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</row>
    <row r="602">
      <c r="A602" s="14"/>
      <c r="B602" s="14"/>
      <c r="C602" s="30"/>
      <c r="D602" s="14"/>
      <c r="E602" s="14"/>
      <c r="F602" s="14"/>
      <c r="G602" s="14"/>
      <c r="H602" s="32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</row>
    <row r="603">
      <c r="A603" s="14"/>
      <c r="B603" s="14"/>
      <c r="C603" s="30"/>
      <c r="D603" s="14"/>
      <c r="E603" s="14"/>
      <c r="F603" s="14"/>
      <c r="G603" s="14"/>
      <c r="H603" s="32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</row>
    <row r="604">
      <c r="A604" s="14"/>
      <c r="B604" s="14"/>
      <c r="C604" s="30"/>
      <c r="D604" s="14"/>
      <c r="E604" s="14"/>
      <c r="F604" s="14"/>
      <c r="G604" s="14"/>
      <c r="H604" s="32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</row>
    <row r="605">
      <c r="A605" s="14"/>
      <c r="B605" s="14"/>
      <c r="C605" s="30"/>
      <c r="D605" s="14"/>
      <c r="E605" s="14"/>
      <c r="F605" s="14"/>
      <c r="G605" s="14"/>
      <c r="H605" s="32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</row>
    <row r="606">
      <c r="A606" s="14"/>
      <c r="B606" s="14"/>
      <c r="C606" s="30"/>
      <c r="D606" s="14"/>
      <c r="E606" s="14"/>
      <c r="F606" s="14"/>
      <c r="G606" s="14"/>
      <c r="H606" s="32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</row>
    <row r="607">
      <c r="A607" s="14"/>
      <c r="B607" s="14"/>
      <c r="C607" s="30"/>
      <c r="D607" s="14"/>
      <c r="E607" s="14"/>
      <c r="F607" s="14"/>
      <c r="G607" s="14"/>
      <c r="H607" s="32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</row>
    <row r="608">
      <c r="A608" s="14"/>
      <c r="B608" s="14"/>
      <c r="C608" s="30"/>
      <c r="D608" s="14"/>
      <c r="E608" s="14"/>
      <c r="F608" s="14"/>
      <c r="G608" s="14"/>
      <c r="H608" s="32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</row>
    <row r="609">
      <c r="A609" s="14"/>
      <c r="B609" s="14"/>
      <c r="C609" s="30"/>
      <c r="D609" s="14"/>
      <c r="E609" s="14"/>
      <c r="F609" s="14"/>
      <c r="G609" s="14"/>
      <c r="H609" s="32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</row>
    <row r="610">
      <c r="A610" s="14"/>
      <c r="B610" s="14"/>
      <c r="C610" s="30"/>
      <c r="D610" s="14"/>
      <c r="E610" s="14"/>
      <c r="F610" s="14"/>
      <c r="G610" s="14"/>
      <c r="H610" s="32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</row>
    <row r="611">
      <c r="A611" s="14"/>
      <c r="B611" s="14"/>
      <c r="C611" s="30"/>
      <c r="D611" s="14"/>
      <c r="E611" s="14"/>
      <c r="F611" s="14"/>
      <c r="G611" s="14"/>
      <c r="H611" s="32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</row>
    <row r="612">
      <c r="A612" s="14"/>
      <c r="B612" s="14"/>
      <c r="C612" s="30"/>
      <c r="D612" s="14"/>
      <c r="E612" s="14"/>
      <c r="F612" s="14"/>
      <c r="G612" s="14"/>
      <c r="H612" s="32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</row>
    <row r="613">
      <c r="A613" s="14"/>
      <c r="B613" s="14"/>
      <c r="C613" s="30"/>
      <c r="D613" s="14"/>
      <c r="E613" s="14"/>
      <c r="F613" s="14"/>
      <c r="G613" s="14"/>
      <c r="H613" s="32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</row>
    <row r="614">
      <c r="A614" s="14"/>
      <c r="B614" s="14"/>
      <c r="C614" s="30"/>
      <c r="D614" s="14"/>
      <c r="E614" s="14"/>
      <c r="F614" s="14"/>
      <c r="G614" s="14"/>
      <c r="H614" s="32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</row>
    <row r="615">
      <c r="A615" s="14"/>
      <c r="B615" s="14"/>
      <c r="C615" s="30"/>
      <c r="D615" s="14"/>
      <c r="E615" s="14"/>
      <c r="F615" s="14"/>
      <c r="G615" s="14"/>
      <c r="H615" s="32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</row>
    <row r="616">
      <c r="A616" s="14"/>
      <c r="B616" s="14"/>
      <c r="C616" s="30"/>
      <c r="D616" s="14"/>
      <c r="E616" s="14"/>
      <c r="F616" s="14"/>
      <c r="G616" s="14"/>
      <c r="H616" s="32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</row>
    <row r="617">
      <c r="A617" s="14"/>
      <c r="B617" s="14"/>
      <c r="C617" s="30"/>
      <c r="D617" s="14"/>
      <c r="E617" s="14"/>
      <c r="F617" s="14"/>
      <c r="G617" s="14"/>
      <c r="H617" s="32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</row>
    <row r="618">
      <c r="A618" s="14"/>
      <c r="B618" s="14"/>
      <c r="C618" s="30"/>
      <c r="D618" s="14"/>
      <c r="E618" s="14"/>
      <c r="F618" s="14"/>
      <c r="G618" s="14"/>
      <c r="H618" s="32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</row>
    <row r="619">
      <c r="A619" s="14"/>
      <c r="B619" s="14"/>
      <c r="C619" s="30"/>
      <c r="D619" s="14"/>
      <c r="E619" s="14"/>
      <c r="F619" s="14"/>
      <c r="G619" s="14"/>
      <c r="H619" s="32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</row>
    <row r="620">
      <c r="A620" s="14"/>
      <c r="B620" s="14"/>
      <c r="C620" s="30"/>
      <c r="D620" s="14"/>
      <c r="E620" s="14"/>
      <c r="F620" s="14"/>
      <c r="G620" s="14"/>
      <c r="H620" s="32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</row>
    <row r="621">
      <c r="A621" s="14"/>
      <c r="B621" s="14"/>
      <c r="C621" s="30"/>
      <c r="D621" s="14"/>
      <c r="E621" s="14"/>
      <c r="F621" s="14"/>
      <c r="G621" s="14"/>
      <c r="H621" s="32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</row>
    <row r="622">
      <c r="A622" s="14"/>
      <c r="B622" s="14"/>
      <c r="C622" s="30"/>
      <c r="D622" s="14"/>
      <c r="E622" s="14"/>
      <c r="F622" s="14"/>
      <c r="G622" s="14"/>
      <c r="H622" s="32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</row>
    <row r="623">
      <c r="A623" s="14"/>
      <c r="B623" s="14"/>
      <c r="C623" s="30"/>
      <c r="D623" s="14"/>
      <c r="E623" s="14"/>
      <c r="F623" s="14"/>
      <c r="G623" s="14"/>
      <c r="H623" s="32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</row>
    <row r="624">
      <c r="A624" s="14"/>
      <c r="B624" s="14"/>
      <c r="C624" s="30"/>
      <c r="D624" s="14"/>
      <c r="E624" s="14"/>
      <c r="F624" s="14"/>
      <c r="G624" s="14"/>
      <c r="H624" s="32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</row>
    <row r="625">
      <c r="A625" s="14"/>
      <c r="B625" s="14"/>
      <c r="C625" s="30"/>
      <c r="D625" s="14"/>
      <c r="E625" s="14"/>
      <c r="F625" s="14"/>
      <c r="G625" s="14"/>
      <c r="H625" s="32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</row>
    <row r="626">
      <c r="A626" s="14"/>
      <c r="B626" s="14"/>
      <c r="C626" s="30"/>
      <c r="D626" s="14"/>
      <c r="E626" s="14"/>
      <c r="F626" s="14"/>
      <c r="G626" s="14"/>
      <c r="H626" s="32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</row>
    <row r="627">
      <c r="A627" s="14"/>
      <c r="B627" s="14"/>
      <c r="C627" s="30"/>
      <c r="D627" s="14"/>
      <c r="E627" s="14"/>
      <c r="F627" s="14"/>
      <c r="G627" s="14"/>
      <c r="H627" s="32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</row>
    <row r="628">
      <c r="A628" s="14"/>
      <c r="B628" s="14"/>
      <c r="C628" s="30"/>
      <c r="D628" s="14"/>
      <c r="E628" s="14"/>
      <c r="F628" s="14"/>
      <c r="G628" s="14"/>
      <c r="H628" s="32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</row>
    <row r="629">
      <c r="A629" s="14"/>
      <c r="B629" s="14"/>
      <c r="C629" s="30"/>
      <c r="D629" s="14"/>
      <c r="E629" s="14"/>
      <c r="F629" s="14"/>
      <c r="G629" s="14"/>
      <c r="H629" s="32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</row>
    <row r="630">
      <c r="A630" s="14"/>
      <c r="B630" s="14"/>
      <c r="C630" s="30"/>
      <c r="D630" s="14"/>
      <c r="E630" s="14"/>
      <c r="F630" s="14"/>
      <c r="G630" s="14"/>
      <c r="H630" s="32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</row>
    <row r="631">
      <c r="A631" s="14"/>
      <c r="B631" s="14"/>
      <c r="C631" s="30"/>
      <c r="D631" s="14"/>
      <c r="E631" s="14"/>
      <c r="F631" s="14"/>
      <c r="G631" s="14"/>
      <c r="H631" s="32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</row>
    <row r="632">
      <c r="A632" s="14"/>
      <c r="B632" s="14"/>
      <c r="C632" s="30"/>
      <c r="D632" s="14"/>
      <c r="E632" s="14"/>
      <c r="F632" s="14"/>
      <c r="G632" s="14"/>
      <c r="H632" s="32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</row>
    <row r="633">
      <c r="A633" s="14"/>
      <c r="B633" s="14"/>
      <c r="C633" s="30"/>
      <c r="D633" s="14"/>
      <c r="E633" s="14"/>
      <c r="F633" s="14"/>
      <c r="G633" s="14"/>
      <c r="H633" s="32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</row>
    <row r="634">
      <c r="A634" s="14"/>
      <c r="B634" s="14"/>
      <c r="C634" s="30"/>
      <c r="D634" s="14"/>
      <c r="E634" s="14"/>
      <c r="F634" s="14"/>
      <c r="G634" s="14"/>
      <c r="H634" s="32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</row>
    <row r="635">
      <c r="A635" s="14"/>
      <c r="B635" s="14"/>
      <c r="C635" s="30"/>
      <c r="D635" s="14"/>
      <c r="E635" s="14"/>
      <c r="F635" s="14"/>
      <c r="G635" s="14"/>
      <c r="H635" s="32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</row>
    <row r="636">
      <c r="A636" s="14"/>
      <c r="B636" s="14"/>
      <c r="C636" s="30"/>
      <c r="D636" s="14"/>
      <c r="E636" s="14"/>
      <c r="F636" s="14"/>
      <c r="G636" s="14"/>
      <c r="H636" s="32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</row>
    <row r="637">
      <c r="A637" s="14"/>
      <c r="B637" s="14"/>
      <c r="C637" s="30"/>
      <c r="D637" s="14"/>
      <c r="E637" s="14"/>
      <c r="F637" s="14"/>
      <c r="G637" s="14"/>
      <c r="H637" s="32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</row>
    <row r="638">
      <c r="A638" s="14"/>
      <c r="B638" s="14"/>
      <c r="C638" s="30"/>
      <c r="D638" s="14"/>
      <c r="E638" s="14"/>
      <c r="F638" s="14"/>
      <c r="G638" s="14"/>
      <c r="H638" s="32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</row>
    <row r="639">
      <c r="A639" s="14"/>
      <c r="B639" s="14"/>
      <c r="C639" s="30"/>
      <c r="D639" s="14"/>
      <c r="E639" s="14"/>
      <c r="F639" s="14"/>
      <c r="G639" s="14"/>
      <c r="H639" s="32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</row>
    <row r="640">
      <c r="A640" s="14"/>
      <c r="B640" s="14"/>
      <c r="C640" s="30"/>
      <c r="D640" s="14"/>
      <c r="E640" s="14"/>
      <c r="F640" s="14"/>
      <c r="G640" s="14"/>
      <c r="H640" s="32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</row>
    <row r="641">
      <c r="A641" s="14"/>
      <c r="B641" s="14"/>
      <c r="C641" s="30"/>
      <c r="D641" s="14"/>
      <c r="E641" s="14"/>
      <c r="F641" s="14"/>
      <c r="G641" s="14"/>
      <c r="H641" s="32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</row>
    <row r="642">
      <c r="A642" s="14"/>
      <c r="B642" s="14"/>
      <c r="C642" s="30"/>
      <c r="D642" s="14"/>
      <c r="E642" s="14"/>
      <c r="F642" s="14"/>
      <c r="G642" s="14"/>
      <c r="H642" s="32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</row>
    <row r="643">
      <c r="A643" s="14"/>
      <c r="B643" s="14"/>
      <c r="C643" s="30"/>
      <c r="D643" s="14"/>
      <c r="E643" s="14"/>
      <c r="F643" s="14"/>
      <c r="G643" s="14"/>
      <c r="H643" s="32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</row>
    <row r="644">
      <c r="A644" s="14"/>
      <c r="B644" s="14"/>
      <c r="C644" s="30"/>
      <c r="D644" s="14"/>
      <c r="E644" s="14"/>
      <c r="F644" s="14"/>
      <c r="G644" s="14"/>
      <c r="H644" s="32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</row>
    <row r="645">
      <c r="A645" s="14"/>
      <c r="B645" s="14"/>
      <c r="C645" s="30"/>
      <c r="D645" s="14"/>
      <c r="E645" s="14"/>
      <c r="F645" s="14"/>
      <c r="G645" s="14"/>
      <c r="H645" s="32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</row>
    <row r="646">
      <c r="A646" s="14"/>
      <c r="B646" s="14"/>
      <c r="C646" s="30"/>
      <c r="D646" s="14"/>
      <c r="E646" s="14"/>
      <c r="F646" s="14"/>
      <c r="G646" s="14"/>
      <c r="H646" s="32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</row>
    <row r="647">
      <c r="A647" s="14"/>
      <c r="B647" s="14"/>
      <c r="C647" s="30"/>
      <c r="D647" s="14"/>
      <c r="E647" s="14"/>
      <c r="F647" s="14"/>
      <c r="G647" s="14"/>
      <c r="H647" s="32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</row>
    <row r="648">
      <c r="A648" s="14"/>
      <c r="B648" s="14"/>
      <c r="C648" s="30"/>
      <c r="D648" s="14"/>
      <c r="E648" s="14"/>
      <c r="F648" s="14"/>
      <c r="G648" s="14"/>
      <c r="H648" s="32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</row>
    <row r="649">
      <c r="A649" s="14"/>
      <c r="B649" s="14"/>
      <c r="C649" s="30"/>
      <c r="D649" s="14"/>
      <c r="E649" s="14"/>
      <c r="F649" s="14"/>
      <c r="G649" s="14"/>
      <c r="H649" s="32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</row>
    <row r="650">
      <c r="A650" s="14"/>
      <c r="B650" s="14"/>
      <c r="C650" s="30"/>
      <c r="D650" s="14"/>
      <c r="E650" s="14"/>
      <c r="F650" s="14"/>
      <c r="G650" s="14"/>
      <c r="H650" s="32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</row>
    <row r="651">
      <c r="A651" s="14"/>
      <c r="B651" s="14"/>
      <c r="C651" s="30"/>
      <c r="D651" s="14"/>
      <c r="E651" s="14"/>
      <c r="F651" s="14"/>
      <c r="G651" s="14"/>
      <c r="H651" s="32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</row>
    <row r="652">
      <c r="A652" s="14"/>
      <c r="B652" s="14"/>
      <c r="C652" s="30"/>
      <c r="D652" s="14"/>
      <c r="E652" s="14"/>
      <c r="F652" s="14"/>
      <c r="G652" s="14"/>
      <c r="H652" s="32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</row>
    <row r="653">
      <c r="A653" s="14"/>
      <c r="B653" s="14"/>
      <c r="C653" s="30"/>
      <c r="D653" s="14"/>
      <c r="E653" s="14"/>
      <c r="F653" s="14"/>
      <c r="G653" s="14"/>
      <c r="H653" s="32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</row>
    <row r="654">
      <c r="A654" s="14"/>
      <c r="B654" s="14"/>
      <c r="C654" s="30"/>
      <c r="D654" s="14"/>
      <c r="E654" s="14"/>
      <c r="F654" s="14"/>
      <c r="G654" s="14"/>
      <c r="H654" s="32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</row>
    <row r="655">
      <c r="A655" s="14"/>
      <c r="B655" s="14"/>
      <c r="C655" s="30"/>
      <c r="D655" s="14"/>
      <c r="E655" s="14"/>
      <c r="F655" s="14"/>
      <c r="G655" s="14"/>
      <c r="H655" s="32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</row>
    <row r="656">
      <c r="A656" s="14"/>
      <c r="B656" s="14"/>
      <c r="C656" s="30"/>
      <c r="D656" s="14"/>
      <c r="E656" s="14"/>
      <c r="F656" s="14"/>
      <c r="G656" s="14"/>
      <c r="H656" s="32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</row>
    <row r="657">
      <c r="A657" s="14"/>
      <c r="B657" s="14"/>
      <c r="C657" s="30"/>
      <c r="D657" s="14"/>
      <c r="E657" s="14"/>
      <c r="F657" s="14"/>
      <c r="G657" s="14"/>
      <c r="H657" s="32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</row>
    <row r="658">
      <c r="A658" s="14"/>
      <c r="B658" s="14"/>
      <c r="C658" s="30"/>
      <c r="D658" s="14"/>
      <c r="E658" s="14"/>
      <c r="F658" s="14"/>
      <c r="G658" s="14"/>
      <c r="H658" s="32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</row>
    <row r="659">
      <c r="A659" s="14"/>
      <c r="B659" s="14"/>
      <c r="C659" s="30"/>
      <c r="D659" s="14"/>
      <c r="E659" s="14"/>
      <c r="F659" s="14"/>
      <c r="G659" s="14"/>
      <c r="H659" s="32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</row>
    <row r="660">
      <c r="A660" s="14"/>
      <c r="B660" s="14"/>
      <c r="C660" s="30"/>
      <c r="D660" s="14"/>
      <c r="E660" s="14"/>
      <c r="F660" s="14"/>
      <c r="G660" s="14"/>
      <c r="H660" s="32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</row>
    <row r="661">
      <c r="A661" s="14"/>
      <c r="B661" s="14"/>
      <c r="C661" s="30"/>
      <c r="D661" s="14"/>
      <c r="E661" s="14"/>
      <c r="F661" s="14"/>
      <c r="G661" s="14"/>
      <c r="H661" s="32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</row>
    <row r="662">
      <c r="A662" s="14"/>
      <c r="B662" s="14"/>
      <c r="C662" s="30"/>
      <c r="D662" s="14"/>
      <c r="E662" s="14"/>
      <c r="F662" s="14"/>
      <c r="G662" s="14"/>
      <c r="H662" s="32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</row>
    <row r="663">
      <c r="A663" s="14"/>
      <c r="B663" s="14"/>
      <c r="C663" s="30"/>
      <c r="D663" s="14"/>
      <c r="E663" s="14"/>
      <c r="F663" s="14"/>
      <c r="G663" s="14"/>
      <c r="H663" s="32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</row>
    <row r="664">
      <c r="A664" s="14"/>
      <c r="B664" s="14"/>
      <c r="C664" s="30"/>
      <c r="D664" s="14"/>
      <c r="E664" s="14"/>
      <c r="F664" s="14"/>
      <c r="G664" s="14"/>
      <c r="H664" s="32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</row>
    <row r="665">
      <c r="A665" s="14"/>
      <c r="B665" s="14"/>
      <c r="C665" s="30"/>
      <c r="D665" s="14"/>
      <c r="E665" s="14"/>
      <c r="F665" s="14"/>
      <c r="G665" s="14"/>
      <c r="H665" s="32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</row>
    <row r="666">
      <c r="A666" s="14"/>
      <c r="B666" s="14"/>
      <c r="C666" s="30"/>
      <c r="D666" s="14"/>
      <c r="E666" s="14"/>
      <c r="F666" s="14"/>
      <c r="G666" s="14"/>
      <c r="H666" s="32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</row>
    <row r="667">
      <c r="A667" s="14"/>
      <c r="B667" s="14"/>
      <c r="C667" s="30"/>
      <c r="D667" s="14"/>
      <c r="E667" s="14"/>
      <c r="F667" s="14"/>
      <c r="G667" s="14"/>
      <c r="H667" s="32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</row>
    <row r="668">
      <c r="A668" s="14"/>
      <c r="B668" s="14"/>
      <c r="C668" s="30"/>
      <c r="D668" s="14"/>
      <c r="E668" s="14"/>
      <c r="F668" s="14"/>
      <c r="G668" s="14"/>
      <c r="H668" s="32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</row>
    <row r="669">
      <c r="A669" s="14"/>
      <c r="B669" s="14"/>
      <c r="C669" s="30"/>
      <c r="D669" s="14"/>
      <c r="E669" s="14"/>
      <c r="F669" s="14"/>
      <c r="G669" s="14"/>
      <c r="H669" s="32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</row>
    <row r="670">
      <c r="A670" s="14"/>
      <c r="B670" s="14"/>
      <c r="C670" s="30"/>
      <c r="D670" s="14"/>
      <c r="E670" s="14"/>
      <c r="F670" s="14"/>
      <c r="G670" s="14"/>
      <c r="H670" s="32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</row>
    <row r="671">
      <c r="A671" s="14"/>
      <c r="B671" s="14"/>
      <c r="C671" s="30"/>
      <c r="D671" s="14"/>
      <c r="E671" s="14"/>
      <c r="F671" s="14"/>
      <c r="G671" s="14"/>
      <c r="H671" s="32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</row>
    <row r="672">
      <c r="A672" s="14"/>
      <c r="B672" s="14"/>
      <c r="C672" s="30"/>
      <c r="D672" s="14"/>
      <c r="E672" s="14"/>
      <c r="F672" s="14"/>
      <c r="G672" s="14"/>
      <c r="H672" s="32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</row>
    <row r="673">
      <c r="A673" s="14"/>
      <c r="B673" s="14"/>
      <c r="C673" s="30"/>
      <c r="D673" s="14"/>
      <c r="E673" s="14"/>
      <c r="F673" s="14"/>
      <c r="G673" s="14"/>
      <c r="H673" s="32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</row>
    <row r="674">
      <c r="A674" s="14"/>
      <c r="B674" s="14"/>
      <c r="C674" s="30"/>
      <c r="D674" s="14"/>
      <c r="E674" s="14"/>
      <c r="F674" s="14"/>
      <c r="G674" s="14"/>
      <c r="H674" s="32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</row>
    <row r="675">
      <c r="A675" s="14"/>
      <c r="B675" s="14"/>
      <c r="C675" s="30"/>
      <c r="D675" s="14"/>
      <c r="E675" s="14"/>
      <c r="F675" s="14"/>
      <c r="G675" s="14"/>
      <c r="H675" s="32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</row>
    <row r="676">
      <c r="A676" s="14"/>
      <c r="B676" s="14"/>
      <c r="C676" s="30"/>
      <c r="D676" s="14"/>
      <c r="E676" s="14"/>
      <c r="F676" s="14"/>
      <c r="G676" s="14"/>
      <c r="H676" s="32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</row>
    <row r="677">
      <c r="A677" s="14"/>
      <c r="B677" s="14"/>
      <c r="C677" s="30"/>
      <c r="D677" s="14"/>
      <c r="E677" s="14"/>
      <c r="F677" s="14"/>
      <c r="G677" s="14"/>
      <c r="H677" s="32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</row>
    <row r="678">
      <c r="A678" s="14"/>
      <c r="B678" s="14"/>
      <c r="C678" s="30"/>
      <c r="D678" s="14"/>
      <c r="E678" s="14"/>
      <c r="F678" s="14"/>
      <c r="G678" s="14"/>
      <c r="H678" s="32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</row>
    <row r="679">
      <c r="A679" s="14"/>
      <c r="B679" s="14"/>
      <c r="C679" s="30"/>
      <c r="D679" s="14"/>
      <c r="E679" s="14"/>
      <c r="F679" s="14"/>
      <c r="G679" s="14"/>
      <c r="H679" s="32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</row>
    <row r="680">
      <c r="A680" s="14"/>
      <c r="B680" s="14"/>
      <c r="C680" s="30"/>
      <c r="D680" s="14"/>
      <c r="E680" s="14"/>
      <c r="F680" s="14"/>
      <c r="G680" s="14"/>
      <c r="H680" s="32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</row>
    <row r="681">
      <c r="A681" s="14"/>
      <c r="B681" s="14"/>
      <c r="C681" s="30"/>
      <c r="D681" s="14"/>
      <c r="E681" s="14"/>
      <c r="F681" s="14"/>
      <c r="G681" s="14"/>
      <c r="H681" s="32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</row>
    <row r="682">
      <c r="A682" s="14"/>
      <c r="B682" s="14"/>
      <c r="C682" s="30"/>
      <c r="D682" s="14"/>
      <c r="E682" s="14"/>
      <c r="F682" s="14"/>
      <c r="G682" s="14"/>
      <c r="H682" s="32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</row>
    <row r="683">
      <c r="A683" s="14"/>
      <c r="B683" s="14"/>
      <c r="C683" s="30"/>
      <c r="D683" s="14"/>
      <c r="E683" s="14"/>
      <c r="F683" s="14"/>
      <c r="G683" s="14"/>
      <c r="H683" s="32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</row>
    <row r="684">
      <c r="A684" s="14"/>
      <c r="B684" s="14"/>
      <c r="C684" s="30"/>
      <c r="D684" s="14"/>
      <c r="E684" s="14"/>
      <c r="F684" s="14"/>
      <c r="G684" s="14"/>
      <c r="H684" s="32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</row>
    <row r="685">
      <c r="A685" s="14"/>
      <c r="B685" s="14"/>
      <c r="C685" s="30"/>
      <c r="D685" s="14"/>
      <c r="E685" s="14"/>
      <c r="F685" s="14"/>
      <c r="G685" s="14"/>
      <c r="H685" s="32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</row>
    <row r="686">
      <c r="A686" s="14"/>
      <c r="B686" s="14"/>
      <c r="C686" s="30"/>
      <c r="D686" s="14"/>
      <c r="E686" s="14"/>
      <c r="F686" s="14"/>
      <c r="G686" s="14"/>
      <c r="H686" s="32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</row>
    <row r="687">
      <c r="A687" s="14"/>
      <c r="B687" s="14"/>
      <c r="C687" s="30"/>
      <c r="D687" s="14"/>
      <c r="E687" s="14"/>
      <c r="F687" s="14"/>
      <c r="G687" s="14"/>
      <c r="H687" s="32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</row>
    <row r="688">
      <c r="A688" s="14"/>
      <c r="B688" s="14"/>
      <c r="C688" s="30"/>
      <c r="D688" s="14"/>
      <c r="E688" s="14"/>
      <c r="F688" s="14"/>
      <c r="G688" s="14"/>
      <c r="H688" s="32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</row>
    <row r="689">
      <c r="A689" s="14"/>
      <c r="B689" s="14"/>
      <c r="C689" s="30"/>
      <c r="D689" s="14"/>
      <c r="E689" s="14"/>
      <c r="F689" s="14"/>
      <c r="G689" s="14"/>
      <c r="H689" s="32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</row>
    <row r="690">
      <c r="A690" s="14"/>
      <c r="B690" s="14"/>
      <c r="C690" s="30"/>
      <c r="D690" s="14"/>
      <c r="E690" s="14"/>
      <c r="F690" s="14"/>
      <c r="G690" s="14"/>
      <c r="H690" s="32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</row>
    <row r="691">
      <c r="A691" s="14"/>
      <c r="B691" s="14"/>
      <c r="C691" s="30"/>
      <c r="D691" s="14"/>
      <c r="E691" s="14"/>
      <c r="F691" s="14"/>
      <c r="G691" s="14"/>
      <c r="H691" s="32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</row>
    <row r="692">
      <c r="A692" s="14"/>
      <c r="B692" s="14"/>
      <c r="C692" s="30"/>
      <c r="D692" s="14"/>
      <c r="E692" s="14"/>
      <c r="F692" s="14"/>
      <c r="G692" s="14"/>
      <c r="H692" s="32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</row>
    <row r="693">
      <c r="A693" s="14"/>
      <c r="B693" s="14"/>
      <c r="C693" s="30"/>
      <c r="D693" s="14"/>
      <c r="E693" s="14"/>
      <c r="F693" s="14"/>
      <c r="G693" s="14"/>
      <c r="H693" s="32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</row>
    <row r="694">
      <c r="A694" s="14"/>
      <c r="B694" s="14"/>
      <c r="C694" s="30"/>
      <c r="D694" s="14"/>
      <c r="E694" s="14"/>
      <c r="F694" s="14"/>
      <c r="G694" s="14"/>
      <c r="H694" s="32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</row>
    <row r="695">
      <c r="A695" s="14"/>
      <c r="B695" s="14"/>
      <c r="C695" s="30"/>
      <c r="D695" s="14"/>
      <c r="E695" s="14"/>
      <c r="F695" s="14"/>
      <c r="G695" s="14"/>
      <c r="H695" s="32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</row>
    <row r="696">
      <c r="A696" s="14"/>
      <c r="B696" s="14"/>
      <c r="C696" s="30"/>
      <c r="D696" s="14"/>
      <c r="E696" s="14"/>
      <c r="F696" s="14"/>
      <c r="G696" s="14"/>
      <c r="H696" s="32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</row>
    <row r="697">
      <c r="A697" s="14"/>
      <c r="B697" s="14"/>
      <c r="C697" s="30"/>
      <c r="D697" s="14"/>
      <c r="E697" s="14"/>
      <c r="F697" s="14"/>
      <c r="G697" s="14"/>
      <c r="H697" s="32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</row>
    <row r="698">
      <c r="A698" s="14"/>
      <c r="B698" s="14"/>
      <c r="C698" s="30"/>
      <c r="D698" s="14"/>
      <c r="E698" s="14"/>
      <c r="F698" s="14"/>
      <c r="G698" s="14"/>
      <c r="H698" s="32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</row>
    <row r="699">
      <c r="A699" s="14"/>
      <c r="B699" s="14"/>
      <c r="C699" s="30"/>
      <c r="D699" s="14"/>
      <c r="E699" s="14"/>
      <c r="F699" s="14"/>
      <c r="G699" s="14"/>
      <c r="H699" s="32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</row>
    <row r="700">
      <c r="A700" s="14"/>
      <c r="B700" s="14"/>
      <c r="C700" s="30"/>
      <c r="D700" s="14"/>
      <c r="E700" s="14"/>
      <c r="F700" s="14"/>
      <c r="G700" s="14"/>
      <c r="H700" s="32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</row>
    <row r="701">
      <c r="A701" s="14"/>
      <c r="B701" s="14"/>
      <c r="C701" s="30"/>
      <c r="D701" s="14"/>
      <c r="E701" s="14"/>
      <c r="F701" s="14"/>
      <c r="G701" s="14"/>
      <c r="H701" s="32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</row>
    <row r="702">
      <c r="A702" s="14"/>
      <c r="B702" s="14"/>
      <c r="C702" s="30"/>
      <c r="D702" s="14"/>
      <c r="E702" s="14"/>
      <c r="F702" s="14"/>
      <c r="G702" s="14"/>
      <c r="H702" s="32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</row>
    <row r="703">
      <c r="A703" s="14"/>
      <c r="B703" s="14"/>
      <c r="C703" s="30"/>
      <c r="D703" s="14"/>
      <c r="E703" s="14"/>
      <c r="F703" s="14"/>
      <c r="G703" s="14"/>
      <c r="H703" s="32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</row>
    <row r="704">
      <c r="A704" s="14"/>
      <c r="B704" s="14"/>
      <c r="C704" s="30"/>
      <c r="D704" s="14"/>
      <c r="E704" s="14"/>
      <c r="F704" s="14"/>
      <c r="G704" s="14"/>
      <c r="H704" s="32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</row>
    <row r="705">
      <c r="A705" s="14"/>
      <c r="B705" s="14"/>
      <c r="C705" s="30"/>
      <c r="D705" s="14"/>
      <c r="E705" s="14"/>
      <c r="F705" s="14"/>
      <c r="G705" s="14"/>
      <c r="H705" s="32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</row>
    <row r="706">
      <c r="A706" s="14"/>
      <c r="B706" s="14"/>
      <c r="C706" s="30"/>
      <c r="D706" s="14"/>
      <c r="E706" s="14"/>
      <c r="F706" s="14"/>
      <c r="G706" s="14"/>
      <c r="H706" s="32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</row>
    <row r="707">
      <c r="A707" s="14"/>
      <c r="B707" s="14"/>
      <c r="C707" s="30"/>
      <c r="D707" s="14"/>
      <c r="E707" s="14"/>
      <c r="F707" s="14"/>
      <c r="G707" s="14"/>
      <c r="H707" s="32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</row>
    <row r="708">
      <c r="A708" s="14"/>
      <c r="B708" s="14"/>
      <c r="C708" s="30"/>
      <c r="D708" s="14"/>
      <c r="E708" s="14"/>
      <c r="F708" s="14"/>
      <c r="G708" s="14"/>
      <c r="H708" s="32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</row>
    <row r="709">
      <c r="A709" s="14"/>
      <c r="B709" s="14"/>
      <c r="C709" s="30"/>
      <c r="D709" s="14"/>
      <c r="E709" s="14"/>
      <c r="F709" s="14"/>
      <c r="G709" s="14"/>
      <c r="H709" s="32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</row>
    <row r="710">
      <c r="A710" s="14"/>
      <c r="B710" s="14"/>
      <c r="C710" s="30"/>
      <c r="D710" s="14"/>
      <c r="E710" s="14"/>
      <c r="F710" s="14"/>
      <c r="G710" s="14"/>
      <c r="H710" s="32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</row>
    <row r="711">
      <c r="A711" s="14"/>
      <c r="B711" s="14"/>
      <c r="C711" s="30"/>
      <c r="D711" s="14"/>
      <c r="E711" s="14"/>
      <c r="F711" s="14"/>
      <c r="G711" s="14"/>
      <c r="H711" s="32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</row>
    <row r="712">
      <c r="A712" s="14"/>
      <c r="B712" s="14"/>
      <c r="C712" s="30"/>
      <c r="D712" s="14"/>
      <c r="E712" s="14"/>
      <c r="F712" s="14"/>
      <c r="G712" s="14"/>
      <c r="H712" s="32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</row>
    <row r="713">
      <c r="A713" s="14"/>
      <c r="B713" s="14"/>
      <c r="C713" s="30"/>
      <c r="D713" s="14"/>
      <c r="E713" s="14"/>
      <c r="F713" s="14"/>
      <c r="G713" s="14"/>
      <c r="H713" s="32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</row>
    <row r="714">
      <c r="A714" s="14"/>
      <c r="B714" s="14"/>
      <c r="C714" s="30"/>
      <c r="D714" s="14"/>
      <c r="E714" s="14"/>
      <c r="F714" s="14"/>
      <c r="G714" s="14"/>
      <c r="H714" s="32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</row>
    <row r="715">
      <c r="A715" s="14"/>
      <c r="B715" s="14"/>
      <c r="C715" s="30"/>
      <c r="D715" s="14"/>
      <c r="E715" s="14"/>
      <c r="F715" s="14"/>
      <c r="G715" s="14"/>
      <c r="H715" s="32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</row>
    <row r="716">
      <c r="A716" s="14"/>
      <c r="B716" s="14"/>
      <c r="C716" s="30"/>
      <c r="D716" s="14"/>
      <c r="E716" s="14"/>
      <c r="F716" s="14"/>
      <c r="G716" s="14"/>
      <c r="H716" s="32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</row>
    <row r="717">
      <c r="A717" s="14"/>
      <c r="B717" s="14"/>
      <c r="C717" s="30"/>
      <c r="D717" s="14"/>
      <c r="E717" s="14"/>
      <c r="F717" s="14"/>
      <c r="G717" s="14"/>
      <c r="H717" s="32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</row>
    <row r="718">
      <c r="A718" s="14"/>
      <c r="B718" s="14"/>
      <c r="C718" s="30"/>
      <c r="D718" s="14"/>
      <c r="E718" s="14"/>
      <c r="F718" s="14"/>
      <c r="G718" s="14"/>
      <c r="H718" s="32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</row>
    <row r="719">
      <c r="A719" s="14"/>
      <c r="B719" s="14"/>
      <c r="C719" s="30"/>
      <c r="D719" s="14"/>
      <c r="E719" s="14"/>
      <c r="F719" s="14"/>
      <c r="G719" s="14"/>
      <c r="H719" s="32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</row>
    <row r="720">
      <c r="A720" s="14"/>
      <c r="B720" s="14"/>
      <c r="C720" s="30"/>
      <c r="D720" s="14"/>
      <c r="E720" s="14"/>
      <c r="F720" s="14"/>
      <c r="G720" s="14"/>
      <c r="H720" s="32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</row>
    <row r="721">
      <c r="A721" s="14"/>
      <c r="B721" s="14"/>
      <c r="C721" s="30"/>
      <c r="D721" s="14"/>
      <c r="E721" s="14"/>
      <c r="F721" s="14"/>
      <c r="G721" s="14"/>
      <c r="H721" s="32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</row>
    <row r="722">
      <c r="A722" s="14"/>
      <c r="B722" s="14"/>
      <c r="C722" s="30"/>
      <c r="D722" s="14"/>
      <c r="E722" s="14"/>
      <c r="F722" s="14"/>
      <c r="G722" s="14"/>
      <c r="H722" s="32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</row>
    <row r="723">
      <c r="A723" s="14"/>
      <c r="B723" s="14"/>
      <c r="C723" s="30"/>
      <c r="D723" s="14"/>
      <c r="E723" s="14"/>
      <c r="F723" s="14"/>
      <c r="G723" s="14"/>
      <c r="H723" s="32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</row>
    <row r="724">
      <c r="A724" s="14"/>
      <c r="B724" s="14"/>
      <c r="C724" s="30"/>
      <c r="D724" s="14"/>
      <c r="E724" s="14"/>
      <c r="F724" s="14"/>
      <c r="G724" s="14"/>
      <c r="H724" s="32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</row>
    <row r="725">
      <c r="A725" s="14"/>
      <c r="B725" s="14"/>
      <c r="C725" s="30"/>
      <c r="D725" s="14"/>
      <c r="E725" s="14"/>
      <c r="F725" s="14"/>
      <c r="G725" s="14"/>
      <c r="H725" s="32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</row>
    <row r="726">
      <c r="A726" s="14"/>
      <c r="B726" s="14"/>
      <c r="C726" s="30"/>
      <c r="D726" s="14"/>
      <c r="E726" s="14"/>
      <c r="F726" s="14"/>
      <c r="G726" s="14"/>
      <c r="H726" s="32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</row>
    <row r="727">
      <c r="A727" s="14"/>
      <c r="B727" s="14"/>
      <c r="C727" s="30"/>
      <c r="D727" s="14"/>
      <c r="E727" s="14"/>
      <c r="F727" s="14"/>
      <c r="G727" s="14"/>
      <c r="H727" s="32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</row>
    <row r="728">
      <c r="A728" s="14"/>
      <c r="B728" s="14"/>
      <c r="C728" s="30"/>
      <c r="D728" s="14"/>
      <c r="E728" s="14"/>
      <c r="F728" s="14"/>
      <c r="G728" s="14"/>
      <c r="H728" s="32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</row>
    <row r="729">
      <c r="A729" s="14"/>
      <c r="B729" s="14"/>
      <c r="C729" s="30"/>
      <c r="D729" s="14"/>
      <c r="E729" s="14"/>
      <c r="F729" s="14"/>
      <c r="G729" s="14"/>
      <c r="H729" s="32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</row>
    <row r="730">
      <c r="A730" s="14"/>
      <c r="B730" s="14"/>
      <c r="C730" s="30"/>
      <c r="D730" s="14"/>
      <c r="E730" s="14"/>
      <c r="F730" s="14"/>
      <c r="G730" s="14"/>
      <c r="H730" s="32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</row>
    <row r="731">
      <c r="A731" s="14"/>
      <c r="B731" s="14"/>
      <c r="C731" s="30"/>
      <c r="D731" s="14"/>
      <c r="E731" s="14"/>
      <c r="F731" s="14"/>
      <c r="G731" s="14"/>
      <c r="H731" s="32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</row>
    <row r="732">
      <c r="A732" s="14"/>
      <c r="B732" s="14"/>
      <c r="C732" s="30"/>
      <c r="D732" s="14"/>
      <c r="E732" s="14"/>
      <c r="F732" s="14"/>
      <c r="G732" s="14"/>
      <c r="H732" s="32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</row>
    <row r="733">
      <c r="A733" s="14"/>
      <c r="B733" s="14"/>
      <c r="C733" s="30"/>
      <c r="D733" s="14"/>
      <c r="E733" s="14"/>
      <c r="F733" s="14"/>
      <c r="G733" s="14"/>
      <c r="H733" s="32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</row>
    <row r="734">
      <c r="A734" s="14"/>
      <c r="B734" s="14"/>
      <c r="C734" s="30"/>
      <c r="D734" s="14"/>
      <c r="E734" s="14"/>
      <c r="F734" s="14"/>
      <c r="G734" s="14"/>
      <c r="H734" s="32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</row>
    <row r="735">
      <c r="A735" s="14"/>
      <c r="B735" s="14"/>
      <c r="C735" s="30"/>
      <c r="D735" s="14"/>
      <c r="E735" s="14"/>
      <c r="F735" s="14"/>
      <c r="G735" s="14"/>
      <c r="H735" s="32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</row>
    <row r="736">
      <c r="A736" s="14"/>
      <c r="B736" s="14"/>
      <c r="C736" s="30"/>
      <c r="D736" s="14"/>
      <c r="E736" s="14"/>
      <c r="F736" s="14"/>
      <c r="G736" s="14"/>
      <c r="H736" s="32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</row>
    <row r="737">
      <c r="A737" s="14"/>
      <c r="B737" s="14"/>
      <c r="C737" s="30"/>
      <c r="D737" s="14"/>
      <c r="E737" s="14"/>
      <c r="F737" s="14"/>
      <c r="G737" s="14"/>
      <c r="H737" s="32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</row>
    <row r="738">
      <c r="A738" s="14"/>
      <c r="B738" s="14"/>
      <c r="C738" s="30"/>
      <c r="D738" s="14"/>
      <c r="E738" s="14"/>
      <c r="F738" s="14"/>
      <c r="G738" s="14"/>
      <c r="H738" s="32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</row>
    <row r="739">
      <c r="A739" s="14"/>
      <c r="B739" s="14"/>
      <c r="C739" s="30"/>
      <c r="D739" s="14"/>
      <c r="E739" s="14"/>
      <c r="F739" s="14"/>
      <c r="G739" s="14"/>
      <c r="H739" s="32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</row>
    <row r="740">
      <c r="A740" s="14"/>
      <c r="B740" s="14"/>
      <c r="C740" s="30"/>
      <c r="D740" s="14"/>
      <c r="E740" s="14"/>
      <c r="F740" s="14"/>
      <c r="G740" s="14"/>
      <c r="H740" s="32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</row>
    <row r="741">
      <c r="A741" s="14"/>
      <c r="B741" s="14"/>
      <c r="C741" s="30"/>
      <c r="D741" s="14"/>
      <c r="E741" s="14"/>
      <c r="F741" s="14"/>
      <c r="G741" s="14"/>
      <c r="H741" s="32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</row>
    <row r="742">
      <c r="A742" s="14"/>
      <c r="B742" s="14"/>
      <c r="C742" s="30"/>
      <c r="D742" s="14"/>
      <c r="E742" s="14"/>
      <c r="F742" s="14"/>
      <c r="G742" s="14"/>
      <c r="H742" s="32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</row>
    <row r="743">
      <c r="A743" s="14"/>
      <c r="B743" s="14"/>
      <c r="C743" s="30"/>
      <c r="D743" s="14"/>
      <c r="E743" s="14"/>
      <c r="F743" s="14"/>
      <c r="G743" s="14"/>
      <c r="H743" s="32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</row>
    <row r="744">
      <c r="A744" s="14"/>
      <c r="B744" s="14"/>
      <c r="C744" s="30"/>
      <c r="D744" s="14"/>
      <c r="E744" s="14"/>
      <c r="F744" s="14"/>
      <c r="G744" s="14"/>
      <c r="H744" s="32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</row>
    <row r="745">
      <c r="A745" s="14"/>
      <c r="B745" s="14"/>
      <c r="C745" s="30"/>
      <c r="D745" s="14"/>
      <c r="E745" s="14"/>
      <c r="F745" s="14"/>
      <c r="G745" s="14"/>
      <c r="H745" s="32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</row>
    <row r="746">
      <c r="A746" s="14"/>
      <c r="B746" s="14"/>
      <c r="C746" s="30"/>
      <c r="D746" s="14"/>
      <c r="E746" s="14"/>
      <c r="F746" s="14"/>
      <c r="G746" s="14"/>
      <c r="H746" s="32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</row>
    <row r="747">
      <c r="A747" s="14"/>
      <c r="B747" s="14"/>
      <c r="C747" s="30"/>
      <c r="D747" s="14"/>
      <c r="E747" s="14"/>
      <c r="F747" s="14"/>
      <c r="G747" s="14"/>
      <c r="H747" s="32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</row>
    <row r="748">
      <c r="A748" s="14"/>
      <c r="B748" s="14"/>
      <c r="C748" s="30"/>
      <c r="D748" s="14"/>
      <c r="E748" s="14"/>
      <c r="F748" s="14"/>
      <c r="G748" s="14"/>
      <c r="H748" s="32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</row>
    <row r="749">
      <c r="A749" s="14"/>
      <c r="B749" s="14"/>
      <c r="C749" s="30"/>
      <c r="D749" s="14"/>
      <c r="E749" s="14"/>
      <c r="F749" s="14"/>
      <c r="G749" s="14"/>
      <c r="H749" s="32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</row>
    <row r="750">
      <c r="A750" s="14"/>
      <c r="B750" s="14"/>
      <c r="C750" s="30"/>
      <c r="D750" s="14"/>
      <c r="E750" s="14"/>
      <c r="F750" s="14"/>
      <c r="G750" s="14"/>
      <c r="H750" s="32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</row>
    <row r="751">
      <c r="A751" s="14"/>
      <c r="B751" s="14"/>
      <c r="C751" s="30"/>
      <c r="D751" s="14"/>
      <c r="E751" s="14"/>
      <c r="F751" s="14"/>
      <c r="G751" s="14"/>
      <c r="H751" s="32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</row>
    <row r="752">
      <c r="A752" s="14"/>
      <c r="B752" s="14"/>
      <c r="C752" s="30"/>
      <c r="D752" s="14"/>
      <c r="E752" s="14"/>
      <c r="F752" s="14"/>
      <c r="G752" s="14"/>
      <c r="H752" s="32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</row>
    <row r="753">
      <c r="A753" s="14"/>
      <c r="B753" s="14"/>
      <c r="C753" s="30"/>
      <c r="D753" s="14"/>
      <c r="E753" s="14"/>
      <c r="F753" s="14"/>
      <c r="G753" s="14"/>
      <c r="H753" s="32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</row>
    <row r="754">
      <c r="A754" s="14"/>
      <c r="B754" s="14"/>
      <c r="C754" s="30"/>
      <c r="D754" s="14"/>
      <c r="E754" s="14"/>
      <c r="F754" s="14"/>
      <c r="G754" s="14"/>
      <c r="H754" s="32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</row>
    <row r="755">
      <c r="A755" s="14"/>
      <c r="B755" s="14"/>
      <c r="C755" s="30"/>
      <c r="D755" s="14"/>
      <c r="E755" s="14"/>
      <c r="F755" s="14"/>
      <c r="G755" s="14"/>
      <c r="H755" s="32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</row>
    <row r="756">
      <c r="A756" s="14"/>
      <c r="B756" s="14"/>
      <c r="C756" s="30"/>
      <c r="D756" s="14"/>
      <c r="E756" s="14"/>
      <c r="F756" s="14"/>
      <c r="G756" s="14"/>
      <c r="H756" s="32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</row>
    <row r="757">
      <c r="A757" s="14"/>
      <c r="B757" s="14"/>
      <c r="C757" s="30"/>
      <c r="D757" s="14"/>
      <c r="E757" s="14"/>
      <c r="F757" s="14"/>
      <c r="G757" s="14"/>
      <c r="H757" s="32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</row>
    <row r="758">
      <c r="A758" s="14"/>
      <c r="B758" s="14"/>
      <c r="C758" s="30"/>
      <c r="D758" s="14"/>
      <c r="E758" s="14"/>
      <c r="F758" s="14"/>
      <c r="G758" s="14"/>
      <c r="H758" s="32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</row>
    <row r="759">
      <c r="A759" s="14"/>
      <c r="B759" s="14"/>
      <c r="C759" s="30"/>
      <c r="D759" s="14"/>
      <c r="E759" s="14"/>
      <c r="F759" s="14"/>
      <c r="G759" s="14"/>
      <c r="H759" s="32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</row>
    <row r="760">
      <c r="A760" s="14"/>
      <c r="B760" s="14"/>
      <c r="C760" s="30"/>
      <c r="D760" s="14"/>
      <c r="E760" s="14"/>
      <c r="F760" s="14"/>
      <c r="G760" s="14"/>
      <c r="H760" s="32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</row>
    <row r="761">
      <c r="A761" s="14"/>
      <c r="B761" s="14"/>
      <c r="C761" s="30"/>
      <c r="D761" s="14"/>
      <c r="E761" s="14"/>
      <c r="F761" s="14"/>
      <c r="G761" s="14"/>
      <c r="H761" s="32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</row>
    <row r="762">
      <c r="A762" s="14"/>
      <c r="B762" s="14"/>
      <c r="C762" s="30"/>
      <c r="D762" s="14"/>
      <c r="E762" s="14"/>
      <c r="F762" s="14"/>
      <c r="G762" s="14"/>
      <c r="H762" s="32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</row>
    <row r="763">
      <c r="A763" s="14"/>
      <c r="B763" s="14"/>
      <c r="C763" s="30"/>
      <c r="D763" s="14"/>
      <c r="E763" s="14"/>
      <c r="F763" s="14"/>
      <c r="G763" s="14"/>
      <c r="H763" s="32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</row>
    <row r="764">
      <c r="A764" s="14"/>
      <c r="B764" s="14"/>
      <c r="C764" s="30"/>
      <c r="D764" s="14"/>
      <c r="E764" s="14"/>
      <c r="F764" s="14"/>
      <c r="G764" s="14"/>
      <c r="H764" s="32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</row>
    <row r="765">
      <c r="A765" s="14"/>
      <c r="B765" s="14"/>
      <c r="C765" s="30"/>
      <c r="D765" s="14"/>
      <c r="E765" s="14"/>
      <c r="F765" s="14"/>
      <c r="G765" s="14"/>
      <c r="H765" s="32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</row>
    <row r="766">
      <c r="A766" s="14"/>
      <c r="B766" s="14"/>
      <c r="C766" s="30"/>
      <c r="D766" s="14"/>
      <c r="E766" s="14"/>
      <c r="F766" s="14"/>
      <c r="G766" s="14"/>
      <c r="H766" s="32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</row>
    <row r="767">
      <c r="A767" s="14"/>
      <c r="B767" s="14"/>
      <c r="C767" s="30"/>
      <c r="D767" s="14"/>
      <c r="E767" s="14"/>
      <c r="F767" s="14"/>
      <c r="G767" s="14"/>
      <c r="H767" s="32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</row>
    <row r="768">
      <c r="A768" s="14"/>
      <c r="B768" s="14"/>
      <c r="C768" s="30"/>
      <c r="D768" s="14"/>
      <c r="E768" s="14"/>
      <c r="F768" s="14"/>
      <c r="G768" s="14"/>
      <c r="H768" s="32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</row>
    <row r="769">
      <c r="A769" s="14"/>
      <c r="B769" s="14"/>
      <c r="C769" s="30"/>
      <c r="D769" s="14"/>
      <c r="E769" s="14"/>
      <c r="F769" s="14"/>
      <c r="G769" s="14"/>
      <c r="H769" s="32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</row>
    <row r="770">
      <c r="A770" s="14"/>
      <c r="B770" s="14"/>
      <c r="C770" s="30"/>
      <c r="D770" s="14"/>
      <c r="E770" s="14"/>
      <c r="F770" s="14"/>
      <c r="G770" s="14"/>
      <c r="H770" s="32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</row>
    <row r="771">
      <c r="A771" s="14"/>
      <c r="B771" s="14"/>
      <c r="C771" s="30"/>
      <c r="D771" s="14"/>
      <c r="E771" s="14"/>
      <c r="F771" s="14"/>
      <c r="G771" s="14"/>
      <c r="H771" s="32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</row>
    <row r="772">
      <c r="A772" s="14"/>
      <c r="B772" s="14"/>
      <c r="C772" s="30"/>
      <c r="D772" s="14"/>
      <c r="E772" s="14"/>
      <c r="F772" s="14"/>
      <c r="G772" s="14"/>
      <c r="H772" s="32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</row>
    <row r="773">
      <c r="A773" s="14"/>
      <c r="B773" s="14"/>
      <c r="C773" s="30"/>
      <c r="D773" s="14"/>
      <c r="E773" s="14"/>
      <c r="F773" s="14"/>
      <c r="G773" s="14"/>
      <c r="H773" s="32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</row>
    <row r="774">
      <c r="A774" s="14"/>
      <c r="B774" s="14"/>
      <c r="C774" s="30"/>
      <c r="D774" s="14"/>
      <c r="E774" s="14"/>
      <c r="F774" s="14"/>
      <c r="G774" s="14"/>
      <c r="H774" s="32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</row>
    <row r="775">
      <c r="A775" s="14"/>
      <c r="B775" s="14"/>
      <c r="C775" s="30"/>
      <c r="D775" s="14"/>
      <c r="E775" s="14"/>
      <c r="F775" s="14"/>
      <c r="G775" s="14"/>
      <c r="H775" s="32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</row>
    <row r="776">
      <c r="A776" s="14"/>
      <c r="B776" s="14"/>
      <c r="C776" s="30"/>
      <c r="D776" s="14"/>
      <c r="E776" s="14"/>
      <c r="F776" s="14"/>
      <c r="G776" s="14"/>
      <c r="H776" s="32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</row>
    <row r="777">
      <c r="A777" s="14"/>
      <c r="B777" s="14"/>
      <c r="C777" s="30"/>
      <c r="D777" s="14"/>
      <c r="E777" s="14"/>
      <c r="F777" s="14"/>
      <c r="G777" s="14"/>
      <c r="H777" s="32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</row>
    <row r="778">
      <c r="A778" s="14"/>
      <c r="B778" s="14"/>
      <c r="C778" s="30"/>
      <c r="D778" s="14"/>
      <c r="E778" s="14"/>
      <c r="F778" s="14"/>
      <c r="G778" s="14"/>
      <c r="H778" s="32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</row>
    <row r="779">
      <c r="A779" s="14"/>
      <c r="B779" s="14"/>
      <c r="C779" s="30"/>
      <c r="D779" s="14"/>
      <c r="E779" s="14"/>
      <c r="F779" s="14"/>
      <c r="G779" s="14"/>
      <c r="H779" s="32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</row>
    <row r="780">
      <c r="A780" s="14"/>
      <c r="B780" s="14"/>
      <c r="C780" s="30"/>
      <c r="D780" s="14"/>
      <c r="E780" s="14"/>
      <c r="F780" s="14"/>
      <c r="G780" s="14"/>
      <c r="H780" s="32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</row>
    <row r="781">
      <c r="A781" s="14"/>
      <c r="B781" s="14"/>
      <c r="C781" s="30"/>
      <c r="D781" s="14"/>
      <c r="E781" s="14"/>
      <c r="F781" s="14"/>
      <c r="G781" s="14"/>
      <c r="H781" s="32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</row>
    <row r="782">
      <c r="A782" s="14"/>
      <c r="B782" s="14"/>
      <c r="C782" s="30"/>
      <c r="D782" s="14"/>
      <c r="E782" s="14"/>
      <c r="F782" s="14"/>
      <c r="G782" s="14"/>
      <c r="H782" s="32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</row>
    <row r="783">
      <c r="A783" s="14"/>
      <c r="B783" s="14"/>
      <c r="C783" s="30"/>
      <c r="D783" s="14"/>
      <c r="E783" s="14"/>
      <c r="F783" s="14"/>
      <c r="G783" s="14"/>
      <c r="H783" s="32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</row>
    <row r="784">
      <c r="A784" s="14"/>
      <c r="B784" s="14"/>
      <c r="C784" s="30"/>
      <c r="D784" s="14"/>
      <c r="E784" s="14"/>
      <c r="F784" s="14"/>
      <c r="G784" s="14"/>
      <c r="H784" s="32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</row>
    <row r="785">
      <c r="A785" s="14"/>
      <c r="B785" s="14"/>
      <c r="C785" s="30"/>
      <c r="D785" s="14"/>
      <c r="E785" s="14"/>
      <c r="F785" s="14"/>
      <c r="G785" s="14"/>
      <c r="H785" s="32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</row>
    <row r="786">
      <c r="A786" s="14"/>
      <c r="B786" s="14"/>
      <c r="C786" s="30"/>
      <c r="D786" s="14"/>
      <c r="E786" s="14"/>
      <c r="F786" s="14"/>
      <c r="G786" s="14"/>
      <c r="H786" s="32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</row>
    <row r="787">
      <c r="A787" s="14"/>
      <c r="B787" s="14"/>
      <c r="C787" s="30"/>
      <c r="D787" s="14"/>
      <c r="E787" s="14"/>
      <c r="F787" s="14"/>
      <c r="G787" s="14"/>
      <c r="H787" s="32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</row>
    <row r="788">
      <c r="A788" s="14"/>
      <c r="B788" s="14"/>
      <c r="C788" s="30"/>
      <c r="D788" s="14"/>
      <c r="E788" s="14"/>
      <c r="F788" s="14"/>
      <c r="G788" s="14"/>
      <c r="H788" s="32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</row>
    <row r="789">
      <c r="A789" s="14"/>
      <c r="B789" s="14"/>
      <c r="C789" s="30"/>
      <c r="D789" s="14"/>
      <c r="E789" s="14"/>
      <c r="F789" s="14"/>
      <c r="G789" s="14"/>
      <c r="H789" s="32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</row>
    <row r="790">
      <c r="A790" s="14"/>
      <c r="B790" s="14"/>
      <c r="C790" s="30"/>
      <c r="D790" s="14"/>
      <c r="E790" s="14"/>
      <c r="F790" s="14"/>
      <c r="G790" s="14"/>
      <c r="H790" s="32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</row>
    <row r="791">
      <c r="A791" s="14"/>
      <c r="B791" s="14"/>
      <c r="C791" s="30"/>
      <c r="D791" s="14"/>
      <c r="E791" s="14"/>
      <c r="F791" s="14"/>
      <c r="G791" s="14"/>
      <c r="H791" s="32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</row>
    <row r="792">
      <c r="A792" s="14"/>
      <c r="B792" s="14"/>
      <c r="C792" s="30"/>
      <c r="D792" s="14"/>
      <c r="E792" s="14"/>
      <c r="F792" s="14"/>
      <c r="G792" s="14"/>
      <c r="H792" s="32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</row>
    <row r="793">
      <c r="A793" s="14"/>
      <c r="B793" s="14"/>
      <c r="C793" s="30"/>
      <c r="D793" s="14"/>
      <c r="E793" s="14"/>
      <c r="F793" s="14"/>
      <c r="G793" s="14"/>
      <c r="H793" s="32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</row>
    <row r="794">
      <c r="A794" s="14"/>
      <c r="B794" s="14"/>
      <c r="C794" s="30"/>
      <c r="D794" s="14"/>
      <c r="E794" s="14"/>
      <c r="F794" s="14"/>
      <c r="G794" s="14"/>
      <c r="H794" s="32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</row>
    <row r="795">
      <c r="A795" s="14"/>
      <c r="B795" s="14"/>
      <c r="C795" s="30"/>
      <c r="D795" s="14"/>
      <c r="E795" s="14"/>
      <c r="F795" s="14"/>
      <c r="G795" s="14"/>
      <c r="H795" s="32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</row>
    <row r="796">
      <c r="A796" s="14"/>
      <c r="B796" s="14"/>
      <c r="C796" s="30"/>
      <c r="D796" s="14"/>
      <c r="E796" s="14"/>
      <c r="F796" s="14"/>
      <c r="G796" s="14"/>
      <c r="H796" s="32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</row>
    <row r="797">
      <c r="A797" s="14"/>
      <c r="B797" s="14"/>
      <c r="C797" s="30"/>
      <c r="D797" s="14"/>
      <c r="E797" s="14"/>
      <c r="F797" s="14"/>
      <c r="G797" s="14"/>
      <c r="H797" s="32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</row>
    <row r="798">
      <c r="A798" s="14"/>
      <c r="B798" s="14"/>
      <c r="C798" s="30"/>
      <c r="D798" s="14"/>
      <c r="E798" s="14"/>
      <c r="F798" s="14"/>
      <c r="G798" s="14"/>
      <c r="H798" s="32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</row>
    <row r="799">
      <c r="A799" s="14"/>
      <c r="B799" s="14"/>
      <c r="C799" s="30"/>
      <c r="D799" s="14"/>
      <c r="E799" s="14"/>
      <c r="F799" s="14"/>
      <c r="G799" s="14"/>
      <c r="H799" s="32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</row>
    <row r="800">
      <c r="A800" s="14"/>
      <c r="B800" s="14"/>
      <c r="C800" s="30"/>
      <c r="D800" s="14"/>
      <c r="E800" s="14"/>
      <c r="F800" s="14"/>
      <c r="G800" s="14"/>
      <c r="H800" s="32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</row>
    <row r="801">
      <c r="A801" s="14"/>
      <c r="B801" s="14"/>
      <c r="C801" s="30"/>
      <c r="D801" s="14"/>
      <c r="E801" s="14"/>
      <c r="F801" s="14"/>
      <c r="G801" s="14"/>
      <c r="H801" s="32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</row>
    <row r="802">
      <c r="A802" s="14"/>
      <c r="B802" s="14"/>
      <c r="C802" s="30"/>
      <c r="D802" s="14"/>
      <c r="E802" s="14"/>
      <c r="F802" s="14"/>
      <c r="G802" s="14"/>
      <c r="H802" s="32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</row>
    <row r="803">
      <c r="A803" s="14"/>
      <c r="B803" s="14"/>
      <c r="C803" s="30"/>
      <c r="D803" s="14"/>
      <c r="E803" s="14"/>
      <c r="F803" s="14"/>
      <c r="G803" s="14"/>
      <c r="H803" s="32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</row>
    <row r="804">
      <c r="A804" s="14"/>
      <c r="B804" s="14"/>
      <c r="C804" s="30"/>
      <c r="D804" s="14"/>
      <c r="E804" s="14"/>
      <c r="F804" s="14"/>
      <c r="G804" s="14"/>
      <c r="H804" s="32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</row>
    <row r="805">
      <c r="A805" s="14"/>
      <c r="B805" s="14"/>
      <c r="C805" s="30"/>
      <c r="D805" s="14"/>
      <c r="E805" s="14"/>
      <c r="F805" s="14"/>
      <c r="G805" s="14"/>
      <c r="H805" s="32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</row>
    <row r="806">
      <c r="A806" s="14"/>
      <c r="B806" s="14"/>
      <c r="C806" s="30"/>
      <c r="D806" s="14"/>
      <c r="E806" s="14"/>
      <c r="F806" s="14"/>
      <c r="G806" s="14"/>
      <c r="H806" s="32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</row>
    <row r="807">
      <c r="A807" s="14"/>
      <c r="B807" s="14"/>
      <c r="C807" s="30"/>
      <c r="D807" s="14"/>
      <c r="E807" s="14"/>
      <c r="F807" s="14"/>
      <c r="G807" s="14"/>
      <c r="H807" s="32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</row>
    <row r="808">
      <c r="A808" s="14"/>
      <c r="B808" s="14"/>
      <c r="C808" s="30"/>
      <c r="D808" s="14"/>
      <c r="E808" s="14"/>
      <c r="F808" s="14"/>
      <c r="G808" s="14"/>
      <c r="H808" s="32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</row>
    <row r="809">
      <c r="A809" s="14"/>
      <c r="B809" s="14"/>
      <c r="C809" s="30"/>
      <c r="D809" s="14"/>
      <c r="E809" s="14"/>
      <c r="F809" s="14"/>
      <c r="G809" s="14"/>
      <c r="H809" s="32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</row>
    <row r="810">
      <c r="A810" s="14"/>
      <c r="B810" s="14"/>
      <c r="C810" s="30"/>
      <c r="D810" s="14"/>
      <c r="E810" s="14"/>
      <c r="F810" s="14"/>
      <c r="G810" s="14"/>
      <c r="H810" s="32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</row>
    <row r="811">
      <c r="A811" s="14"/>
      <c r="B811" s="14"/>
      <c r="C811" s="30"/>
      <c r="D811" s="14"/>
      <c r="E811" s="14"/>
      <c r="F811" s="14"/>
      <c r="G811" s="14"/>
      <c r="H811" s="32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</row>
    <row r="812">
      <c r="A812" s="14"/>
      <c r="B812" s="14"/>
      <c r="C812" s="30"/>
      <c r="D812" s="14"/>
      <c r="E812" s="14"/>
      <c r="F812" s="14"/>
      <c r="G812" s="14"/>
      <c r="H812" s="32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</row>
    <row r="813">
      <c r="A813" s="14"/>
      <c r="B813" s="14"/>
      <c r="C813" s="30"/>
      <c r="D813" s="14"/>
      <c r="E813" s="14"/>
      <c r="F813" s="14"/>
      <c r="G813" s="14"/>
      <c r="H813" s="32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</row>
    <row r="814">
      <c r="A814" s="14"/>
      <c r="B814" s="14"/>
      <c r="C814" s="30"/>
      <c r="D814" s="14"/>
      <c r="E814" s="14"/>
      <c r="F814" s="14"/>
      <c r="G814" s="14"/>
      <c r="H814" s="32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</row>
    <row r="815">
      <c r="A815" s="14"/>
      <c r="B815" s="14"/>
      <c r="C815" s="30"/>
      <c r="D815" s="14"/>
      <c r="E815" s="14"/>
      <c r="F815" s="14"/>
      <c r="G815" s="14"/>
      <c r="H815" s="32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</row>
    <row r="816">
      <c r="A816" s="14"/>
      <c r="B816" s="14"/>
      <c r="C816" s="30"/>
      <c r="D816" s="14"/>
      <c r="E816" s="14"/>
      <c r="F816" s="14"/>
      <c r="G816" s="14"/>
      <c r="H816" s="32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</row>
    <row r="817">
      <c r="A817" s="14"/>
      <c r="B817" s="14"/>
      <c r="C817" s="30"/>
      <c r="D817" s="14"/>
      <c r="E817" s="14"/>
      <c r="F817" s="14"/>
      <c r="G817" s="14"/>
      <c r="H817" s="32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</row>
    <row r="818">
      <c r="A818" s="14"/>
      <c r="B818" s="14"/>
      <c r="C818" s="30"/>
      <c r="D818" s="14"/>
      <c r="E818" s="14"/>
      <c r="F818" s="14"/>
      <c r="G818" s="14"/>
      <c r="H818" s="32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</row>
    <row r="819">
      <c r="A819" s="14"/>
      <c r="B819" s="14"/>
      <c r="C819" s="30"/>
      <c r="D819" s="14"/>
      <c r="E819" s="14"/>
      <c r="F819" s="14"/>
      <c r="G819" s="14"/>
      <c r="H819" s="32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</row>
    <row r="820">
      <c r="A820" s="14"/>
      <c r="B820" s="14"/>
      <c r="C820" s="30"/>
      <c r="D820" s="14"/>
      <c r="E820" s="14"/>
      <c r="F820" s="14"/>
      <c r="G820" s="14"/>
      <c r="H820" s="32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</row>
    <row r="821">
      <c r="A821" s="14"/>
      <c r="B821" s="14"/>
      <c r="C821" s="30"/>
      <c r="D821" s="14"/>
      <c r="E821" s="14"/>
      <c r="F821" s="14"/>
      <c r="G821" s="14"/>
      <c r="H821" s="32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</row>
    <row r="822">
      <c r="A822" s="14"/>
      <c r="B822" s="14"/>
      <c r="C822" s="30"/>
      <c r="D822" s="14"/>
      <c r="E822" s="14"/>
      <c r="F822" s="14"/>
      <c r="G822" s="14"/>
      <c r="H822" s="32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</row>
    <row r="823">
      <c r="A823" s="14"/>
      <c r="B823" s="14"/>
      <c r="C823" s="30"/>
      <c r="D823" s="14"/>
      <c r="E823" s="14"/>
      <c r="F823" s="14"/>
      <c r="G823" s="14"/>
      <c r="H823" s="32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</row>
    <row r="824">
      <c r="A824" s="14"/>
      <c r="B824" s="14"/>
      <c r="C824" s="30"/>
      <c r="D824" s="14"/>
      <c r="E824" s="14"/>
      <c r="F824" s="14"/>
      <c r="G824" s="14"/>
      <c r="H824" s="32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</row>
    <row r="825">
      <c r="A825" s="14"/>
      <c r="B825" s="14"/>
      <c r="C825" s="30"/>
      <c r="D825" s="14"/>
      <c r="E825" s="14"/>
      <c r="F825" s="14"/>
      <c r="G825" s="14"/>
      <c r="H825" s="32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</row>
    <row r="826">
      <c r="A826" s="14"/>
      <c r="B826" s="14"/>
      <c r="C826" s="30"/>
      <c r="D826" s="14"/>
      <c r="E826" s="14"/>
      <c r="F826" s="14"/>
      <c r="G826" s="14"/>
      <c r="H826" s="32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</row>
    <row r="827">
      <c r="A827" s="14"/>
      <c r="B827" s="14"/>
      <c r="C827" s="30"/>
      <c r="D827" s="14"/>
      <c r="E827" s="14"/>
      <c r="F827" s="14"/>
      <c r="G827" s="14"/>
      <c r="H827" s="32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</row>
    <row r="828">
      <c r="A828" s="14"/>
      <c r="B828" s="14"/>
      <c r="C828" s="30"/>
      <c r="D828" s="14"/>
      <c r="E828" s="14"/>
      <c r="F828" s="14"/>
      <c r="G828" s="14"/>
      <c r="H828" s="32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</row>
    <row r="829">
      <c r="A829" s="14"/>
      <c r="B829" s="14"/>
      <c r="C829" s="30"/>
      <c r="D829" s="14"/>
      <c r="E829" s="14"/>
      <c r="F829" s="14"/>
      <c r="G829" s="14"/>
      <c r="H829" s="32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</row>
    <row r="830">
      <c r="A830" s="14"/>
      <c r="B830" s="14"/>
      <c r="C830" s="30"/>
      <c r="D830" s="14"/>
      <c r="E830" s="14"/>
      <c r="F830" s="14"/>
      <c r="G830" s="14"/>
      <c r="H830" s="32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</row>
    <row r="831">
      <c r="A831" s="14"/>
      <c r="B831" s="14"/>
      <c r="C831" s="30"/>
      <c r="D831" s="14"/>
      <c r="E831" s="14"/>
      <c r="F831" s="14"/>
      <c r="G831" s="14"/>
      <c r="H831" s="32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</row>
    <row r="832">
      <c r="A832" s="14"/>
      <c r="B832" s="14"/>
      <c r="C832" s="30"/>
      <c r="D832" s="14"/>
      <c r="E832" s="14"/>
      <c r="F832" s="14"/>
      <c r="G832" s="14"/>
      <c r="H832" s="32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</row>
    <row r="833">
      <c r="A833" s="14"/>
      <c r="B833" s="14"/>
      <c r="C833" s="30"/>
      <c r="D833" s="14"/>
      <c r="E833" s="14"/>
      <c r="F833" s="14"/>
      <c r="G833" s="14"/>
      <c r="H833" s="32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</row>
    <row r="834">
      <c r="A834" s="14"/>
      <c r="B834" s="14"/>
      <c r="C834" s="30"/>
      <c r="D834" s="14"/>
      <c r="E834" s="14"/>
      <c r="F834" s="14"/>
      <c r="G834" s="14"/>
      <c r="H834" s="32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</row>
    <row r="835">
      <c r="A835" s="14"/>
      <c r="B835" s="14"/>
      <c r="C835" s="30"/>
      <c r="D835" s="14"/>
      <c r="E835" s="14"/>
      <c r="F835" s="14"/>
      <c r="G835" s="14"/>
      <c r="H835" s="32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</row>
    <row r="836">
      <c r="A836" s="14"/>
      <c r="B836" s="14"/>
      <c r="C836" s="30"/>
      <c r="D836" s="14"/>
      <c r="E836" s="14"/>
      <c r="F836" s="14"/>
      <c r="G836" s="14"/>
      <c r="H836" s="32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</row>
    <row r="837">
      <c r="A837" s="14"/>
      <c r="B837" s="14"/>
      <c r="C837" s="30"/>
      <c r="D837" s="14"/>
      <c r="E837" s="14"/>
      <c r="F837" s="14"/>
      <c r="G837" s="14"/>
      <c r="H837" s="32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</row>
    <row r="838">
      <c r="A838" s="14"/>
      <c r="B838" s="14"/>
      <c r="C838" s="30"/>
      <c r="D838" s="14"/>
      <c r="E838" s="14"/>
      <c r="F838" s="14"/>
      <c r="G838" s="14"/>
      <c r="H838" s="32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</row>
    <row r="839">
      <c r="A839" s="14"/>
      <c r="B839" s="14"/>
      <c r="C839" s="30"/>
      <c r="D839" s="14"/>
      <c r="E839" s="14"/>
      <c r="F839" s="14"/>
      <c r="G839" s="14"/>
      <c r="H839" s="32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</row>
    <row r="840">
      <c r="A840" s="14"/>
      <c r="B840" s="14"/>
      <c r="C840" s="30"/>
      <c r="D840" s="14"/>
      <c r="E840" s="14"/>
      <c r="F840" s="14"/>
      <c r="G840" s="14"/>
      <c r="H840" s="32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</row>
    <row r="841">
      <c r="A841" s="14"/>
      <c r="B841" s="14"/>
      <c r="C841" s="30"/>
      <c r="D841" s="14"/>
      <c r="E841" s="14"/>
      <c r="F841" s="14"/>
      <c r="G841" s="14"/>
      <c r="H841" s="32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</row>
    <row r="842">
      <c r="A842" s="14"/>
      <c r="B842" s="14"/>
      <c r="C842" s="30"/>
      <c r="D842" s="14"/>
      <c r="E842" s="14"/>
      <c r="F842" s="14"/>
      <c r="G842" s="14"/>
      <c r="H842" s="32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</row>
    <row r="843">
      <c r="A843" s="14"/>
      <c r="B843" s="14"/>
      <c r="C843" s="30"/>
      <c r="D843" s="14"/>
      <c r="E843" s="14"/>
      <c r="F843" s="14"/>
      <c r="G843" s="14"/>
      <c r="H843" s="32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</row>
    <row r="844">
      <c r="A844" s="14"/>
      <c r="B844" s="14"/>
      <c r="C844" s="30"/>
      <c r="D844" s="14"/>
      <c r="E844" s="14"/>
      <c r="F844" s="14"/>
      <c r="G844" s="14"/>
      <c r="H844" s="32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</row>
    <row r="845">
      <c r="A845" s="14"/>
      <c r="B845" s="14"/>
      <c r="C845" s="30"/>
      <c r="D845" s="14"/>
      <c r="E845" s="14"/>
      <c r="F845" s="14"/>
      <c r="G845" s="14"/>
      <c r="H845" s="32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</row>
    <row r="846">
      <c r="A846" s="14"/>
      <c r="B846" s="14"/>
      <c r="C846" s="30"/>
      <c r="D846" s="14"/>
      <c r="E846" s="14"/>
      <c r="F846" s="14"/>
      <c r="G846" s="14"/>
      <c r="H846" s="32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</row>
    <row r="847">
      <c r="A847" s="14"/>
      <c r="B847" s="14"/>
      <c r="C847" s="30"/>
      <c r="D847" s="14"/>
      <c r="E847" s="14"/>
      <c r="F847" s="14"/>
      <c r="G847" s="14"/>
      <c r="H847" s="32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</row>
    <row r="848">
      <c r="A848" s="14"/>
      <c r="B848" s="14"/>
      <c r="C848" s="30"/>
      <c r="D848" s="14"/>
      <c r="E848" s="14"/>
      <c r="F848" s="14"/>
      <c r="G848" s="14"/>
      <c r="H848" s="32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</row>
    <row r="849">
      <c r="A849" s="14"/>
      <c r="B849" s="14"/>
      <c r="C849" s="30"/>
      <c r="D849" s="14"/>
      <c r="E849" s="14"/>
      <c r="F849" s="14"/>
      <c r="G849" s="14"/>
      <c r="H849" s="32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</row>
    <row r="850">
      <c r="A850" s="14"/>
      <c r="B850" s="14"/>
      <c r="C850" s="30"/>
      <c r="D850" s="14"/>
      <c r="E850" s="14"/>
      <c r="F850" s="14"/>
      <c r="G850" s="14"/>
      <c r="H850" s="32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</row>
    <row r="851">
      <c r="A851" s="14"/>
      <c r="B851" s="14"/>
      <c r="C851" s="30"/>
      <c r="D851" s="14"/>
      <c r="E851" s="14"/>
      <c r="F851" s="14"/>
      <c r="G851" s="14"/>
      <c r="H851" s="32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</row>
    <row r="852">
      <c r="A852" s="14"/>
      <c r="B852" s="14"/>
      <c r="C852" s="30"/>
      <c r="D852" s="14"/>
      <c r="E852" s="14"/>
      <c r="F852" s="14"/>
      <c r="G852" s="14"/>
      <c r="H852" s="32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</row>
    <row r="853">
      <c r="A853" s="14"/>
      <c r="B853" s="14"/>
      <c r="C853" s="30"/>
      <c r="D853" s="14"/>
      <c r="E853" s="14"/>
      <c r="F853" s="14"/>
      <c r="G853" s="14"/>
      <c r="H853" s="32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</row>
    <row r="854">
      <c r="A854" s="14"/>
      <c r="B854" s="14"/>
      <c r="C854" s="30"/>
      <c r="D854" s="14"/>
      <c r="E854" s="14"/>
      <c r="F854" s="14"/>
      <c r="G854" s="14"/>
      <c r="H854" s="32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</row>
    <row r="855">
      <c r="A855" s="14"/>
      <c r="B855" s="14"/>
      <c r="C855" s="30"/>
      <c r="D855" s="14"/>
      <c r="E855" s="14"/>
      <c r="F855" s="14"/>
      <c r="G855" s="14"/>
      <c r="H855" s="32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</row>
    <row r="856">
      <c r="A856" s="14"/>
      <c r="B856" s="14"/>
      <c r="C856" s="30"/>
      <c r="D856" s="14"/>
      <c r="E856" s="14"/>
      <c r="F856" s="14"/>
      <c r="G856" s="14"/>
      <c r="H856" s="32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</row>
    <row r="857">
      <c r="A857" s="14"/>
      <c r="B857" s="14"/>
      <c r="C857" s="30"/>
      <c r="D857" s="14"/>
      <c r="E857" s="14"/>
      <c r="F857" s="14"/>
      <c r="G857" s="14"/>
      <c r="H857" s="32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</row>
    <row r="858">
      <c r="A858" s="14"/>
      <c r="B858" s="14"/>
      <c r="C858" s="30"/>
      <c r="D858" s="14"/>
      <c r="E858" s="14"/>
      <c r="F858" s="14"/>
      <c r="G858" s="14"/>
      <c r="H858" s="32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</row>
    <row r="859">
      <c r="A859" s="14"/>
      <c r="B859" s="14"/>
      <c r="C859" s="30"/>
      <c r="D859" s="14"/>
      <c r="E859" s="14"/>
      <c r="F859" s="14"/>
      <c r="G859" s="14"/>
      <c r="H859" s="32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</row>
    <row r="860">
      <c r="A860" s="14"/>
      <c r="B860" s="14"/>
      <c r="C860" s="30"/>
      <c r="D860" s="14"/>
      <c r="E860" s="14"/>
      <c r="F860" s="14"/>
      <c r="G860" s="14"/>
      <c r="H860" s="32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</row>
    <row r="861">
      <c r="A861" s="14"/>
      <c r="B861" s="14"/>
      <c r="C861" s="30"/>
      <c r="D861" s="14"/>
      <c r="E861" s="14"/>
      <c r="F861" s="14"/>
      <c r="G861" s="14"/>
      <c r="H861" s="32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</row>
    <row r="862">
      <c r="A862" s="14"/>
      <c r="B862" s="14"/>
      <c r="C862" s="30"/>
      <c r="D862" s="14"/>
      <c r="E862" s="14"/>
      <c r="F862" s="14"/>
      <c r="G862" s="14"/>
      <c r="H862" s="32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</row>
    <row r="863">
      <c r="A863" s="14"/>
      <c r="B863" s="14"/>
      <c r="C863" s="30"/>
      <c r="D863" s="14"/>
      <c r="E863" s="14"/>
      <c r="F863" s="14"/>
      <c r="G863" s="14"/>
      <c r="H863" s="32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</row>
    <row r="864">
      <c r="A864" s="14"/>
      <c r="B864" s="14"/>
      <c r="C864" s="30"/>
      <c r="D864" s="14"/>
      <c r="E864" s="14"/>
      <c r="F864" s="14"/>
      <c r="G864" s="14"/>
      <c r="H864" s="32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</row>
    <row r="865">
      <c r="A865" s="14"/>
      <c r="B865" s="14"/>
      <c r="C865" s="30"/>
      <c r="D865" s="14"/>
      <c r="E865" s="14"/>
      <c r="F865" s="14"/>
      <c r="G865" s="14"/>
      <c r="H865" s="32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</row>
    <row r="866">
      <c r="A866" s="14"/>
      <c r="B866" s="14"/>
      <c r="C866" s="30"/>
      <c r="D866" s="14"/>
      <c r="E866" s="14"/>
      <c r="F866" s="14"/>
      <c r="G866" s="14"/>
      <c r="H866" s="32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</row>
    <row r="867">
      <c r="A867" s="14"/>
      <c r="B867" s="14"/>
      <c r="C867" s="30"/>
      <c r="D867" s="14"/>
      <c r="E867" s="14"/>
      <c r="F867" s="14"/>
      <c r="G867" s="14"/>
      <c r="H867" s="32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</row>
    <row r="868">
      <c r="A868" s="14"/>
      <c r="B868" s="14"/>
      <c r="C868" s="30"/>
      <c r="D868" s="14"/>
      <c r="E868" s="14"/>
      <c r="F868" s="14"/>
      <c r="G868" s="14"/>
      <c r="H868" s="32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</row>
    <row r="869">
      <c r="A869" s="14"/>
      <c r="B869" s="14"/>
      <c r="C869" s="30"/>
      <c r="D869" s="14"/>
      <c r="E869" s="14"/>
      <c r="F869" s="14"/>
      <c r="G869" s="14"/>
      <c r="H869" s="32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</row>
    <row r="870">
      <c r="A870" s="14"/>
      <c r="B870" s="14"/>
      <c r="C870" s="30"/>
      <c r="D870" s="14"/>
      <c r="E870" s="14"/>
      <c r="F870" s="14"/>
      <c r="G870" s="14"/>
      <c r="H870" s="32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</row>
    <row r="871">
      <c r="A871" s="14"/>
      <c r="B871" s="14"/>
      <c r="C871" s="30"/>
      <c r="D871" s="14"/>
      <c r="E871" s="14"/>
      <c r="F871" s="14"/>
      <c r="G871" s="14"/>
      <c r="H871" s="32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</row>
    <row r="872">
      <c r="A872" s="14"/>
      <c r="B872" s="14"/>
      <c r="C872" s="30"/>
      <c r="D872" s="14"/>
      <c r="E872" s="14"/>
      <c r="F872" s="14"/>
      <c r="G872" s="14"/>
      <c r="H872" s="32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</row>
    <row r="873">
      <c r="A873" s="14"/>
      <c r="B873" s="14"/>
      <c r="C873" s="30"/>
      <c r="D873" s="14"/>
      <c r="E873" s="14"/>
      <c r="F873" s="14"/>
      <c r="G873" s="14"/>
      <c r="H873" s="32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</row>
    <row r="874">
      <c r="A874" s="14"/>
      <c r="B874" s="14"/>
      <c r="C874" s="30"/>
      <c r="D874" s="14"/>
      <c r="E874" s="14"/>
      <c r="F874" s="14"/>
      <c r="G874" s="14"/>
      <c r="H874" s="32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</row>
    <row r="875">
      <c r="A875" s="14"/>
      <c r="B875" s="14"/>
      <c r="C875" s="30"/>
      <c r="D875" s="14"/>
      <c r="E875" s="14"/>
      <c r="F875" s="14"/>
      <c r="G875" s="14"/>
      <c r="H875" s="32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</row>
    <row r="876">
      <c r="A876" s="14"/>
      <c r="B876" s="14"/>
      <c r="C876" s="30"/>
      <c r="D876" s="14"/>
      <c r="E876" s="14"/>
      <c r="F876" s="14"/>
      <c r="G876" s="14"/>
      <c r="H876" s="32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</row>
    <row r="877">
      <c r="A877" s="14"/>
      <c r="B877" s="14"/>
      <c r="C877" s="30"/>
      <c r="D877" s="14"/>
      <c r="E877" s="14"/>
      <c r="F877" s="14"/>
      <c r="G877" s="14"/>
      <c r="H877" s="32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</row>
    <row r="878">
      <c r="A878" s="14"/>
      <c r="B878" s="14"/>
      <c r="C878" s="30"/>
      <c r="D878" s="14"/>
      <c r="E878" s="14"/>
      <c r="F878" s="14"/>
      <c r="G878" s="14"/>
      <c r="H878" s="32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</row>
    <row r="879">
      <c r="A879" s="14"/>
      <c r="B879" s="14"/>
      <c r="C879" s="30"/>
      <c r="D879" s="14"/>
      <c r="E879" s="14"/>
      <c r="F879" s="14"/>
      <c r="G879" s="14"/>
      <c r="H879" s="32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</row>
    <row r="880">
      <c r="A880" s="14"/>
      <c r="B880" s="14"/>
      <c r="C880" s="30"/>
      <c r="D880" s="14"/>
      <c r="E880" s="14"/>
      <c r="F880" s="14"/>
      <c r="G880" s="14"/>
      <c r="H880" s="32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</row>
    <row r="881">
      <c r="A881" s="14"/>
      <c r="B881" s="14"/>
      <c r="C881" s="30"/>
      <c r="D881" s="14"/>
      <c r="E881" s="14"/>
      <c r="F881" s="14"/>
      <c r="G881" s="14"/>
      <c r="H881" s="32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</row>
    <row r="882">
      <c r="A882" s="14"/>
      <c r="B882" s="14"/>
      <c r="C882" s="30"/>
      <c r="D882" s="14"/>
      <c r="E882" s="14"/>
      <c r="F882" s="14"/>
      <c r="G882" s="14"/>
      <c r="H882" s="32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</row>
    <row r="883">
      <c r="A883" s="14"/>
      <c r="B883" s="14"/>
      <c r="C883" s="30"/>
      <c r="D883" s="14"/>
      <c r="E883" s="14"/>
      <c r="F883" s="14"/>
      <c r="G883" s="14"/>
      <c r="H883" s="32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</row>
    <row r="884">
      <c r="A884" s="14"/>
      <c r="B884" s="14"/>
      <c r="C884" s="30"/>
      <c r="D884" s="14"/>
      <c r="E884" s="14"/>
      <c r="F884" s="14"/>
      <c r="G884" s="14"/>
      <c r="H884" s="32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</row>
    <row r="885">
      <c r="A885" s="14"/>
      <c r="B885" s="14"/>
      <c r="C885" s="30"/>
      <c r="D885" s="14"/>
      <c r="E885" s="14"/>
      <c r="F885" s="14"/>
      <c r="G885" s="14"/>
      <c r="H885" s="32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</row>
    <row r="886">
      <c r="A886" s="14"/>
      <c r="B886" s="14"/>
      <c r="C886" s="30"/>
      <c r="D886" s="14"/>
      <c r="E886" s="14"/>
      <c r="F886" s="14"/>
      <c r="G886" s="14"/>
      <c r="H886" s="32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</row>
    <row r="887">
      <c r="A887" s="14"/>
      <c r="B887" s="14"/>
      <c r="C887" s="30"/>
      <c r="D887" s="14"/>
      <c r="E887" s="14"/>
      <c r="F887" s="14"/>
      <c r="G887" s="14"/>
      <c r="H887" s="32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</row>
    <row r="888">
      <c r="A888" s="14"/>
      <c r="B888" s="14"/>
      <c r="C888" s="30"/>
      <c r="D888" s="14"/>
      <c r="E888" s="14"/>
      <c r="F888" s="14"/>
      <c r="G888" s="14"/>
      <c r="H888" s="32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</row>
    <row r="889">
      <c r="A889" s="14"/>
      <c r="B889" s="14"/>
      <c r="C889" s="30"/>
      <c r="D889" s="14"/>
      <c r="E889" s="14"/>
      <c r="F889" s="14"/>
      <c r="G889" s="14"/>
      <c r="H889" s="32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</row>
    <row r="890">
      <c r="A890" s="14"/>
      <c r="B890" s="14"/>
      <c r="C890" s="30"/>
      <c r="D890" s="14"/>
      <c r="E890" s="14"/>
      <c r="F890" s="14"/>
      <c r="G890" s="14"/>
      <c r="H890" s="32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</row>
    <row r="891">
      <c r="A891" s="14"/>
      <c r="B891" s="14"/>
      <c r="C891" s="30"/>
      <c r="D891" s="14"/>
      <c r="E891" s="14"/>
      <c r="F891" s="14"/>
      <c r="G891" s="14"/>
      <c r="H891" s="32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</row>
    <row r="892">
      <c r="A892" s="14"/>
      <c r="B892" s="14"/>
      <c r="C892" s="30"/>
      <c r="D892" s="14"/>
      <c r="E892" s="14"/>
      <c r="F892" s="14"/>
      <c r="G892" s="14"/>
      <c r="H892" s="32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</row>
    <row r="893">
      <c r="A893" s="14"/>
      <c r="B893" s="14"/>
      <c r="C893" s="30"/>
      <c r="D893" s="14"/>
      <c r="E893" s="14"/>
      <c r="F893" s="14"/>
      <c r="G893" s="14"/>
      <c r="H893" s="32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</row>
    <row r="894">
      <c r="A894" s="14"/>
      <c r="B894" s="14"/>
      <c r="C894" s="30"/>
      <c r="D894" s="14"/>
      <c r="E894" s="14"/>
      <c r="F894" s="14"/>
      <c r="G894" s="14"/>
      <c r="H894" s="32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</row>
    <row r="895">
      <c r="A895" s="14"/>
      <c r="B895" s="14"/>
      <c r="C895" s="30"/>
      <c r="D895" s="14"/>
      <c r="E895" s="14"/>
      <c r="F895" s="14"/>
      <c r="G895" s="14"/>
      <c r="H895" s="32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</row>
    <row r="896">
      <c r="A896" s="14"/>
      <c r="B896" s="14"/>
      <c r="C896" s="30"/>
      <c r="D896" s="14"/>
      <c r="E896" s="14"/>
      <c r="F896" s="14"/>
      <c r="G896" s="14"/>
      <c r="H896" s="32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</row>
    <row r="897">
      <c r="A897" s="14"/>
      <c r="B897" s="14"/>
      <c r="C897" s="30"/>
      <c r="D897" s="14"/>
      <c r="E897" s="14"/>
      <c r="F897" s="14"/>
      <c r="G897" s="14"/>
      <c r="H897" s="32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</row>
    <row r="898">
      <c r="A898" s="14"/>
      <c r="B898" s="14"/>
      <c r="C898" s="30"/>
      <c r="D898" s="14"/>
      <c r="E898" s="14"/>
      <c r="F898" s="14"/>
      <c r="G898" s="14"/>
      <c r="H898" s="32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</row>
    <row r="899">
      <c r="A899" s="14"/>
      <c r="B899" s="14"/>
      <c r="C899" s="30"/>
      <c r="D899" s="14"/>
      <c r="E899" s="14"/>
      <c r="F899" s="14"/>
      <c r="G899" s="14"/>
      <c r="H899" s="32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</row>
    <row r="900">
      <c r="A900" s="14"/>
      <c r="B900" s="14"/>
      <c r="C900" s="30"/>
      <c r="D900" s="14"/>
      <c r="E900" s="14"/>
      <c r="F900" s="14"/>
      <c r="G900" s="14"/>
      <c r="H900" s="32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</row>
    <row r="901">
      <c r="A901" s="14"/>
      <c r="B901" s="14"/>
      <c r="C901" s="30"/>
      <c r="D901" s="14"/>
      <c r="E901" s="14"/>
      <c r="F901" s="14"/>
      <c r="G901" s="14"/>
      <c r="H901" s="32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</row>
    <row r="902">
      <c r="A902" s="14"/>
      <c r="B902" s="14"/>
      <c r="C902" s="30"/>
      <c r="D902" s="14"/>
      <c r="E902" s="14"/>
      <c r="F902" s="14"/>
      <c r="G902" s="14"/>
      <c r="H902" s="32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</row>
    <row r="903">
      <c r="A903" s="14"/>
      <c r="B903" s="14"/>
      <c r="C903" s="30"/>
      <c r="D903" s="14"/>
      <c r="E903" s="14"/>
      <c r="F903" s="14"/>
      <c r="G903" s="14"/>
      <c r="H903" s="32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</row>
    <row r="904">
      <c r="A904" s="14"/>
      <c r="B904" s="14"/>
      <c r="C904" s="30"/>
      <c r="D904" s="14"/>
      <c r="E904" s="14"/>
      <c r="F904" s="14"/>
      <c r="G904" s="14"/>
      <c r="H904" s="32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</row>
    <row r="905">
      <c r="A905" s="14"/>
      <c r="B905" s="14"/>
      <c r="C905" s="30"/>
      <c r="D905" s="14"/>
      <c r="E905" s="14"/>
      <c r="F905" s="14"/>
      <c r="G905" s="14"/>
      <c r="H905" s="32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</row>
    <row r="906">
      <c r="A906" s="14"/>
      <c r="B906" s="14"/>
      <c r="C906" s="30"/>
      <c r="D906" s="14"/>
      <c r="E906" s="14"/>
      <c r="F906" s="14"/>
      <c r="G906" s="14"/>
      <c r="H906" s="32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</row>
    <row r="907">
      <c r="A907" s="14"/>
      <c r="B907" s="14"/>
      <c r="C907" s="30"/>
      <c r="D907" s="14"/>
      <c r="E907" s="14"/>
      <c r="F907" s="14"/>
      <c r="G907" s="14"/>
      <c r="H907" s="32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</row>
    <row r="908">
      <c r="A908" s="14"/>
      <c r="B908" s="14"/>
      <c r="C908" s="30"/>
      <c r="D908" s="14"/>
      <c r="E908" s="14"/>
      <c r="F908" s="14"/>
      <c r="G908" s="14"/>
      <c r="H908" s="32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</row>
    <row r="909">
      <c r="A909" s="14"/>
      <c r="B909" s="14"/>
      <c r="C909" s="30"/>
      <c r="D909" s="14"/>
      <c r="E909" s="14"/>
      <c r="F909" s="14"/>
      <c r="G909" s="14"/>
      <c r="H909" s="32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</row>
    <row r="910">
      <c r="A910" s="14"/>
      <c r="B910" s="14"/>
      <c r="C910" s="30"/>
      <c r="D910" s="14"/>
      <c r="E910" s="14"/>
      <c r="F910" s="14"/>
      <c r="G910" s="14"/>
      <c r="H910" s="32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</row>
    <row r="911">
      <c r="A911" s="14"/>
      <c r="B911" s="14"/>
      <c r="C911" s="30"/>
      <c r="D911" s="14"/>
      <c r="E911" s="14"/>
      <c r="F911" s="14"/>
      <c r="G911" s="14"/>
      <c r="H911" s="32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</row>
    <row r="912">
      <c r="A912" s="14"/>
      <c r="B912" s="14"/>
      <c r="C912" s="30"/>
      <c r="D912" s="14"/>
      <c r="E912" s="14"/>
      <c r="F912" s="14"/>
      <c r="G912" s="14"/>
      <c r="H912" s="32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</row>
    <row r="913">
      <c r="A913" s="14"/>
      <c r="B913" s="14"/>
      <c r="C913" s="30"/>
      <c r="D913" s="14"/>
      <c r="E913" s="14"/>
      <c r="F913" s="14"/>
      <c r="G913" s="14"/>
      <c r="H913" s="32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</row>
    <row r="914">
      <c r="A914" s="14"/>
      <c r="B914" s="14"/>
      <c r="C914" s="30"/>
      <c r="D914" s="14"/>
      <c r="E914" s="14"/>
      <c r="F914" s="14"/>
      <c r="G914" s="14"/>
      <c r="H914" s="32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</row>
    <row r="915">
      <c r="A915" s="14"/>
      <c r="B915" s="14"/>
      <c r="C915" s="30"/>
      <c r="D915" s="14"/>
      <c r="E915" s="14"/>
      <c r="F915" s="14"/>
      <c r="G915" s="14"/>
      <c r="H915" s="32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</row>
    <row r="916">
      <c r="A916" s="14"/>
      <c r="B916" s="14"/>
      <c r="C916" s="30"/>
      <c r="D916" s="14"/>
      <c r="E916" s="14"/>
      <c r="F916" s="14"/>
      <c r="G916" s="14"/>
      <c r="H916" s="32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</row>
    <row r="917">
      <c r="A917" s="14"/>
      <c r="B917" s="14"/>
      <c r="C917" s="30"/>
      <c r="D917" s="14"/>
      <c r="E917" s="14"/>
      <c r="F917" s="14"/>
      <c r="G917" s="14"/>
      <c r="H917" s="32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</row>
    <row r="918">
      <c r="A918" s="14"/>
      <c r="B918" s="14"/>
      <c r="C918" s="30"/>
      <c r="D918" s="14"/>
      <c r="E918" s="14"/>
      <c r="F918" s="14"/>
      <c r="G918" s="14"/>
      <c r="H918" s="32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</row>
    <row r="919">
      <c r="A919" s="14"/>
      <c r="B919" s="14"/>
      <c r="C919" s="30"/>
      <c r="D919" s="14"/>
      <c r="E919" s="14"/>
      <c r="F919" s="14"/>
      <c r="G919" s="14"/>
      <c r="H919" s="32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</row>
    <row r="920">
      <c r="A920" s="14"/>
      <c r="B920" s="14"/>
      <c r="C920" s="30"/>
      <c r="D920" s="14"/>
      <c r="E920" s="14"/>
      <c r="F920" s="14"/>
      <c r="G920" s="14"/>
      <c r="H920" s="32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</row>
    <row r="921">
      <c r="A921" s="14"/>
      <c r="B921" s="14"/>
      <c r="C921" s="30"/>
      <c r="D921" s="14"/>
      <c r="E921" s="14"/>
      <c r="F921" s="14"/>
      <c r="G921" s="14"/>
      <c r="H921" s="32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</row>
    <row r="922">
      <c r="A922" s="14"/>
      <c r="B922" s="14"/>
      <c r="C922" s="30"/>
      <c r="D922" s="14"/>
      <c r="E922" s="14"/>
      <c r="F922" s="14"/>
      <c r="G922" s="14"/>
      <c r="H922" s="32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</row>
    <row r="923">
      <c r="A923" s="14"/>
      <c r="B923" s="14"/>
      <c r="C923" s="30"/>
      <c r="D923" s="14"/>
      <c r="E923" s="14"/>
      <c r="F923" s="14"/>
      <c r="G923" s="14"/>
      <c r="H923" s="32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</row>
    <row r="924">
      <c r="A924" s="14"/>
      <c r="B924" s="14"/>
      <c r="C924" s="30"/>
      <c r="D924" s="14"/>
      <c r="E924" s="14"/>
      <c r="F924" s="14"/>
      <c r="G924" s="14"/>
      <c r="H924" s="32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</row>
    <row r="925">
      <c r="A925" s="14"/>
      <c r="B925" s="14"/>
      <c r="C925" s="30"/>
      <c r="D925" s="14"/>
      <c r="E925" s="14"/>
      <c r="F925" s="14"/>
      <c r="G925" s="14"/>
      <c r="H925" s="32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</row>
    <row r="926">
      <c r="A926" s="14"/>
      <c r="B926" s="14"/>
      <c r="C926" s="30"/>
      <c r="D926" s="14"/>
      <c r="E926" s="14"/>
      <c r="F926" s="14"/>
      <c r="G926" s="14"/>
      <c r="H926" s="32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</row>
    <row r="927">
      <c r="A927" s="14"/>
      <c r="B927" s="14"/>
      <c r="C927" s="30"/>
      <c r="D927" s="14"/>
      <c r="E927" s="14"/>
      <c r="F927" s="14"/>
      <c r="G927" s="14"/>
      <c r="H927" s="32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</row>
    <row r="928">
      <c r="A928" s="14"/>
      <c r="B928" s="14"/>
      <c r="C928" s="30"/>
      <c r="D928" s="14"/>
      <c r="E928" s="14"/>
      <c r="F928" s="14"/>
      <c r="G928" s="14"/>
      <c r="H928" s="32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</row>
    <row r="929">
      <c r="A929" s="14"/>
      <c r="B929" s="14"/>
      <c r="C929" s="30"/>
      <c r="D929" s="14"/>
      <c r="E929" s="14"/>
      <c r="F929" s="14"/>
      <c r="G929" s="14"/>
      <c r="H929" s="32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</row>
    <row r="930">
      <c r="A930" s="14"/>
      <c r="B930" s="14"/>
      <c r="C930" s="30"/>
      <c r="D930" s="14"/>
      <c r="E930" s="14"/>
      <c r="F930" s="14"/>
      <c r="G930" s="14"/>
      <c r="H930" s="32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</row>
    <row r="931">
      <c r="A931" s="14"/>
      <c r="B931" s="14"/>
      <c r="C931" s="30"/>
      <c r="D931" s="14"/>
      <c r="E931" s="14"/>
      <c r="F931" s="14"/>
      <c r="G931" s="14"/>
      <c r="H931" s="32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</row>
    <row r="932">
      <c r="A932" s="14"/>
      <c r="B932" s="14"/>
      <c r="C932" s="30"/>
      <c r="D932" s="14"/>
      <c r="E932" s="14"/>
      <c r="F932" s="14"/>
      <c r="G932" s="14"/>
      <c r="H932" s="32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</row>
    <row r="933">
      <c r="A933" s="14"/>
      <c r="B933" s="14"/>
      <c r="C933" s="30"/>
      <c r="D933" s="14"/>
      <c r="E933" s="14"/>
      <c r="F933" s="14"/>
      <c r="G933" s="14"/>
      <c r="H933" s="32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</row>
    <row r="934">
      <c r="A934" s="14"/>
      <c r="B934" s="14"/>
      <c r="C934" s="30"/>
      <c r="D934" s="14"/>
      <c r="E934" s="14"/>
      <c r="F934" s="14"/>
      <c r="G934" s="14"/>
      <c r="H934" s="32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</row>
    <row r="935">
      <c r="A935" s="14"/>
      <c r="B935" s="14"/>
      <c r="C935" s="30"/>
      <c r="D935" s="14"/>
      <c r="E935" s="14"/>
      <c r="F935" s="14"/>
      <c r="G935" s="14"/>
      <c r="H935" s="32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</row>
    <row r="936">
      <c r="A936" s="14"/>
      <c r="B936" s="14"/>
      <c r="C936" s="30"/>
      <c r="D936" s="14"/>
      <c r="E936" s="14"/>
      <c r="F936" s="14"/>
      <c r="G936" s="14"/>
      <c r="H936" s="32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</row>
    <row r="937">
      <c r="A937" s="14"/>
      <c r="B937" s="14"/>
      <c r="C937" s="30"/>
      <c r="D937" s="14"/>
      <c r="E937" s="14"/>
      <c r="F937" s="14"/>
      <c r="G937" s="14"/>
      <c r="H937" s="32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</row>
    <row r="938">
      <c r="A938" s="14"/>
      <c r="B938" s="14"/>
      <c r="C938" s="30"/>
      <c r="D938" s="14"/>
      <c r="E938" s="14"/>
      <c r="F938" s="14"/>
      <c r="G938" s="14"/>
      <c r="H938" s="32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</row>
    <row r="939">
      <c r="A939" s="14"/>
      <c r="B939" s="14"/>
      <c r="C939" s="30"/>
      <c r="D939" s="14"/>
      <c r="E939" s="14"/>
      <c r="F939" s="14"/>
      <c r="G939" s="14"/>
      <c r="H939" s="32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</row>
    <row r="940">
      <c r="A940" s="14"/>
      <c r="B940" s="14"/>
      <c r="C940" s="30"/>
      <c r="D940" s="14"/>
      <c r="E940" s="14"/>
      <c r="F940" s="14"/>
      <c r="G940" s="14"/>
      <c r="H940" s="32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</row>
    <row r="941">
      <c r="A941" s="14"/>
      <c r="B941" s="14"/>
      <c r="C941" s="30"/>
      <c r="D941" s="14"/>
      <c r="E941" s="14"/>
      <c r="F941" s="14"/>
      <c r="G941" s="14"/>
      <c r="H941" s="32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</row>
    <row r="942">
      <c r="A942" s="14"/>
      <c r="B942" s="14"/>
      <c r="C942" s="30"/>
      <c r="D942" s="14"/>
      <c r="E942" s="14"/>
      <c r="F942" s="14"/>
      <c r="G942" s="14"/>
      <c r="H942" s="32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</row>
    <row r="943">
      <c r="A943" s="14"/>
      <c r="B943" s="14"/>
      <c r="C943" s="30"/>
      <c r="D943" s="14"/>
      <c r="E943" s="14"/>
      <c r="F943" s="14"/>
      <c r="G943" s="14"/>
      <c r="H943" s="32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</row>
    <row r="944">
      <c r="A944" s="14"/>
      <c r="B944" s="14"/>
      <c r="C944" s="30"/>
      <c r="D944" s="14"/>
      <c r="E944" s="14"/>
      <c r="F944" s="14"/>
      <c r="G944" s="14"/>
      <c r="H944" s="32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</row>
    <row r="945">
      <c r="A945" s="14"/>
      <c r="B945" s="14"/>
      <c r="C945" s="30"/>
      <c r="D945" s="14"/>
      <c r="E945" s="14"/>
      <c r="F945" s="14"/>
      <c r="G945" s="14"/>
      <c r="H945" s="32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</row>
    <row r="946">
      <c r="A946" s="14"/>
      <c r="B946" s="14"/>
      <c r="C946" s="30"/>
      <c r="D946" s="14"/>
      <c r="E946" s="14"/>
      <c r="F946" s="14"/>
      <c r="G946" s="14"/>
      <c r="H946" s="32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</row>
    <row r="947">
      <c r="A947" s="14"/>
      <c r="B947" s="14"/>
      <c r="C947" s="30"/>
      <c r="D947" s="14"/>
      <c r="E947" s="14"/>
      <c r="F947" s="14"/>
      <c r="G947" s="14"/>
      <c r="H947" s="32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</row>
    <row r="948">
      <c r="A948" s="14"/>
      <c r="B948" s="14"/>
      <c r="C948" s="30"/>
      <c r="D948" s="14"/>
      <c r="E948" s="14"/>
      <c r="F948" s="14"/>
      <c r="G948" s="14"/>
      <c r="H948" s="32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</row>
    <row r="949">
      <c r="A949" s="14"/>
      <c r="B949" s="14"/>
      <c r="C949" s="30"/>
      <c r="D949" s="14"/>
      <c r="E949" s="14"/>
      <c r="F949" s="14"/>
      <c r="G949" s="14"/>
      <c r="H949" s="32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</row>
    <row r="950">
      <c r="A950" s="14"/>
      <c r="B950" s="14"/>
      <c r="C950" s="30"/>
      <c r="D950" s="14"/>
      <c r="E950" s="14"/>
      <c r="F950" s="14"/>
      <c r="G950" s="14"/>
      <c r="H950" s="32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</row>
    <row r="951">
      <c r="A951" s="14"/>
      <c r="B951" s="14"/>
      <c r="C951" s="30"/>
      <c r="D951" s="14"/>
      <c r="E951" s="14"/>
      <c r="F951" s="14"/>
      <c r="G951" s="14"/>
      <c r="H951" s="32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</row>
    <row r="952">
      <c r="A952" s="14"/>
      <c r="B952" s="14"/>
      <c r="C952" s="30"/>
      <c r="D952" s="14"/>
      <c r="E952" s="14"/>
      <c r="F952" s="14"/>
      <c r="G952" s="14"/>
      <c r="H952" s="32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</row>
    <row r="953">
      <c r="A953" s="14"/>
      <c r="B953" s="14"/>
      <c r="C953" s="30"/>
      <c r="D953" s="14"/>
      <c r="E953" s="14"/>
      <c r="F953" s="14"/>
      <c r="G953" s="14"/>
      <c r="H953" s="32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</row>
    <row r="954">
      <c r="A954" s="14"/>
      <c r="B954" s="14"/>
      <c r="C954" s="30"/>
      <c r="D954" s="14"/>
      <c r="E954" s="14"/>
      <c r="F954" s="14"/>
      <c r="G954" s="14"/>
      <c r="H954" s="32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</row>
    <row r="955">
      <c r="A955" s="14"/>
      <c r="B955" s="14"/>
      <c r="C955" s="30"/>
      <c r="D955" s="14"/>
      <c r="E955" s="14"/>
      <c r="F955" s="14"/>
      <c r="G955" s="14"/>
      <c r="H955" s="32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</row>
    <row r="956">
      <c r="A956" s="14"/>
      <c r="B956" s="14"/>
      <c r="C956" s="30"/>
      <c r="D956" s="14"/>
      <c r="E956" s="14"/>
      <c r="F956" s="14"/>
      <c r="G956" s="14"/>
      <c r="H956" s="32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</row>
    <row r="957">
      <c r="A957" s="14"/>
      <c r="B957" s="14"/>
      <c r="C957" s="30"/>
      <c r="D957" s="14"/>
      <c r="E957" s="14"/>
      <c r="F957" s="14"/>
      <c r="G957" s="14"/>
      <c r="H957" s="32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</row>
    <row r="958">
      <c r="A958" s="14"/>
      <c r="B958" s="14"/>
      <c r="C958" s="30"/>
      <c r="D958" s="14"/>
      <c r="E958" s="14"/>
      <c r="F958" s="14"/>
      <c r="G958" s="14"/>
      <c r="H958" s="32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</row>
    <row r="959">
      <c r="A959" s="14"/>
      <c r="B959" s="14"/>
      <c r="C959" s="30"/>
      <c r="D959" s="14"/>
      <c r="E959" s="14"/>
      <c r="F959" s="14"/>
      <c r="G959" s="14"/>
      <c r="H959" s="32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</row>
    <row r="960">
      <c r="A960" s="34"/>
      <c r="B960" s="34"/>
      <c r="C960" s="30"/>
      <c r="D960" s="34"/>
      <c r="E960" s="34"/>
      <c r="F960" s="34"/>
      <c r="G960" s="34"/>
      <c r="H960" s="32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4"/>
      <c r="B961" s="34"/>
      <c r="C961" s="30"/>
      <c r="D961" s="34"/>
      <c r="E961" s="34"/>
      <c r="F961" s="34"/>
      <c r="G961" s="34"/>
      <c r="H961" s="32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4"/>
      <c r="B962" s="34"/>
      <c r="C962" s="30"/>
      <c r="D962" s="34"/>
      <c r="E962" s="34"/>
      <c r="F962" s="34"/>
      <c r="G962" s="34"/>
      <c r="H962" s="32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4"/>
      <c r="B963" s="34"/>
      <c r="C963" s="30"/>
      <c r="D963" s="34"/>
      <c r="E963" s="34"/>
      <c r="F963" s="34"/>
      <c r="G963" s="34"/>
      <c r="H963" s="32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4"/>
      <c r="B964" s="34"/>
      <c r="C964" s="30"/>
      <c r="D964" s="34"/>
      <c r="E964" s="34"/>
      <c r="F964" s="34"/>
      <c r="G964" s="34"/>
      <c r="H964" s="32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4"/>
      <c r="B965" s="34"/>
      <c r="C965" s="30"/>
      <c r="D965" s="34"/>
      <c r="E965" s="34"/>
      <c r="F965" s="34"/>
      <c r="G965" s="34"/>
      <c r="H965" s="32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4"/>
      <c r="B966" s="34"/>
      <c r="C966" s="30"/>
      <c r="D966" s="34"/>
      <c r="E966" s="34"/>
      <c r="F966" s="34"/>
      <c r="G966" s="34"/>
      <c r="H966" s="32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4"/>
      <c r="B967" s="34"/>
      <c r="C967" s="30"/>
      <c r="D967" s="34"/>
      <c r="E967" s="34"/>
      <c r="F967" s="34"/>
      <c r="G967" s="34"/>
      <c r="H967" s="32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4"/>
      <c r="B968" s="34"/>
      <c r="C968" s="30"/>
      <c r="D968" s="34"/>
      <c r="E968" s="34"/>
      <c r="F968" s="34"/>
      <c r="G968" s="34"/>
      <c r="H968" s="32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4"/>
      <c r="B969" s="34"/>
      <c r="C969" s="30"/>
      <c r="D969" s="34"/>
      <c r="E969" s="34"/>
      <c r="F969" s="34"/>
      <c r="G969" s="34"/>
      <c r="H969" s="32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4"/>
      <c r="B970" s="34"/>
      <c r="C970" s="30"/>
      <c r="D970" s="34"/>
      <c r="E970" s="34"/>
      <c r="F970" s="34"/>
      <c r="G970" s="34"/>
      <c r="H970" s="32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4"/>
      <c r="B971" s="34"/>
      <c r="C971" s="30"/>
      <c r="D971" s="34"/>
      <c r="E971" s="34"/>
      <c r="F971" s="34"/>
      <c r="G971" s="34"/>
      <c r="H971" s="32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4"/>
      <c r="B972" s="34"/>
      <c r="C972" s="30"/>
      <c r="D972" s="34"/>
      <c r="E972" s="34"/>
      <c r="F972" s="34"/>
      <c r="G972" s="34"/>
      <c r="H972" s="32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4"/>
      <c r="B973" s="34"/>
      <c r="C973" s="30"/>
      <c r="D973" s="34"/>
      <c r="E973" s="34"/>
      <c r="F973" s="34"/>
      <c r="G973" s="34"/>
      <c r="H973" s="32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4"/>
      <c r="B974" s="34"/>
      <c r="C974" s="30"/>
      <c r="D974" s="34"/>
      <c r="E974" s="34"/>
      <c r="F974" s="34"/>
      <c r="G974" s="34"/>
      <c r="H974" s="32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4"/>
      <c r="B975" s="34"/>
      <c r="C975" s="30"/>
      <c r="D975" s="34"/>
      <c r="E975" s="34"/>
      <c r="F975" s="34"/>
      <c r="G975" s="34"/>
      <c r="H975" s="32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4"/>
      <c r="B976" s="34"/>
      <c r="C976" s="30"/>
      <c r="D976" s="34"/>
      <c r="E976" s="34"/>
      <c r="F976" s="34"/>
      <c r="G976" s="34"/>
      <c r="H976" s="32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4"/>
      <c r="B977" s="34"/>
      <c r="C977" s="30"/>
      <c r="D977" s="34"/>
      <c r="E977" s="34"/>
      <c r="F977" s="34"/>
      <c r="G977" s="34"/>
      <c r="H977" s="32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4"/>
      <c r="B978" s="34"/>
      <c r="C978" s="30"/>
      <c r="D978" s="34"/>
      <c r="E978" s="34"/>
      <c r="F978" s="34"/>
      <c r="G978" s="34"/>
      <c r="H978" s="32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4"/>
      <c r="B979" s="34"/>
      <c r="C979" s="30"/>
      <c r="D979" s="34"/>
      <c r="E979" s="34"/>
      <c r="F979" s="34"/>
      <c r="G979" s="34"/>
      <c r="H979" s="32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4"/>
      <c r="B980" s="34"/>
      <c r="C980" s="30"/>
      <c r="D980" s="34"/>
      <c r="E980" s="34"/>
      <c r="F980" s="34"/>
      <c r="G980" s="34"/>
      <c r="H980" s="32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4"/>
      <c r="B981" s="34"/>
      <c r="C981" s="30"/>
      <c r="D981" s="34"/>
      <c r="E981" s="34"/>
      <c r="F981" s="34"/>
      <c r="G981" s="34"/>
      <c r="H981" s="32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4"/>
      <c r="B982" s="34"/>
      <c r="C982" s="30"/>
      <c r="D982" s="34"/>
      <c r="E982" s="34"/>
      <c r="F982" s="34"/>
      <c r="G982" s="34"/>
      <c r="H982" s="32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4"/>
      <c r="B983" s="34"/>
      <c r="C983" s="30"/>
      <c r="D983" s="34"/>
      <c r="E983" s="34"/>
      <c r="F983" s="34"/>
      <c r="G983" s="34"/>
      <c r="H983" s="32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4"/>
      <c r="B984" s="34"/>
      <c r="C984" s="30"/>
      <c r="D984" s="34"/>
      <c r="E984" s="34"/>
      <c r="F984" s="34"/>
      <c r="G984" s="34"/>
      <c r="H984" s="32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4"/>
      <c r="B985" s="34"/>
      <c r="C985" s="30"/>
      <c r="D985" s="34"/>
      <c r="E985" s="34"/>
      <c r="F985" s="34"/>
      <c r="G985" s="34"/>
      <c r="H985" s="32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4"/>
      <c r="B986" s="34"/>
      <c r="C986" s="30"/>
      <c r="D986" s="34"/>
      <c r="E986" s="34"/>
      <c r="F986" s="34"/>
      <c r="G986" s="34"/>
      <c r="H986" s="32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4"/>
      <c r="B987" s="34"/>
      <c r="C987" s="30"/>
      <c r="D987" s="34"/>
      <c r="E987" s="34"/>
      <c r="F987" s="34"/>
      <c r="G987" s="34"/>
      <c r="H987" s="32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4"/>
      <c r="B988" s="34"/>
      <c r="C988" s="30"/>
      <c r="D988" s="34"/>
      <c r="E988" s="34"/>
      <c r="F988" s="34"/>
      <c r="G988" s="34"/>
      <c r="H988" s="32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4"/>
      <c r="B989" s="34"/>
      <c r="C989" s="30"/>
      <c r="D989" s="34"/>
      <c r="E989" s="34"/>
      <c r="F989" s="34"/>
      <c r="G989" s="34"/>
      <c r="H989" s="32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4"/>
      <c r="B990" s="34"/>
      <c r="C990" s="30"/>
      <c r="D990" s="34"/>
      <c r="E990" s="34"/>
      <c r="F990" s="34"/>
      <c r="G990" s="34"/>
      <c r="H990" s="32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4"/>
      <c r="B991" s="34"/>
      <c r="C991" s="30"/>
      <c r="D991" s="34"/>
      <c r="E991" s="34"/>
      <c r="F991" s="34"/>
      <c r="G991" s="34"/>
      <c r="H991" s="32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4"/>
      <c r="B992" s="34"/>
      <c r="C992" s="30"/>
      <c r="D992" s="34"/>
      <c r="E992" s="34"/>
      <c r="F992" s="34"/>
      <c r="G992" s="34"/>
      <c r="H992" s="32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4"/>
      <c r="B993" s="34"/>
      <c r="C993" s="30"/>
      <c r="D993" s="34"/>
      <c r="E993" s="34"/>
      <c r="F993" s="34"/>
      <c r="G993" s="34"/>
      <c r="H993" s="32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4"/>
      <c r="B994" s="34"/>
      <c r="C994" s="30"/>
      <c r="D994" s="34"/>
      <c r="E994" s="34"/>
      <c r="F994" s="34"/>
      <c r="G994" s="34"/>
      <c r="H994" s="32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4"/>
      <c r="B995" s="34"/>
      <c r="C995" s="30"/>
      <c r="D995" s="34"/>
      <c r="E995" s="34"/>
      <c r="F995" s="34"/>
      <c r="G995" s="34"/>
      <c r="H995" s="32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4"/>
      <c r="B996" s="34"/>
      <c r="C996" s="30"/>
      <c r="D996" s="34"/>
      <c r="E996" s="34"/>
      <c r="F996" s="34"/>
      <c r="G996" s="34"/>
      <c r="H996" s="32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4"/>
      <c r="B997" s="34"/>
      <c r="C997" s="30"/>
      <c r="D997" s="34"/>
      <c r="E997" s="34"/>
      <c r="F997" s="34"/>
      <c r="G997" s="34"/>
      <c r="H997" s="32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4"/>
      <c r="B998" s="34"/>
      <c r="C998" s="30"/>
      <c r="D998" s="34"/>
      <c r="E998" s="34"/>
      <c r="F998" s="34"/>
      <c r="G998" s="34"/>
      <c r="H998" s="32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4"/>
      <c r="B999" s="34"/>
      <c r="C999" s="30"/>
      <c r="D999" s="34"/>
      <c r="E999" s="34"/>
      <c r="F999" s="34"/>
      <c r="G999" s="34"/>
      <c r="H999" s="32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4"/>
      <c r="B1000" s="34"/>
      <c r="C1000" s="30"/>
      <c r="D1000" s="34"/>
      <c r="E1000" s="34"/>
      <c r="F1000" s="34"/>
      <c r="G1000" s="34"/>
      <c r="H1000" s="32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  <row r="1001">
      <c r="A1001" s="34"/>
      <c r="B1001" s="34"/>
      <c r="C1001" s="30"/>
      <c r="D1001" s="34"/>
      <c r="E1001" s="34"/>
      <c r="F1001" s="34"/>
      <c r="G1001" s="34"/>
      <c r="H1001" s="32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</row>
  </sheetData>
  <autoFilter ref="$A$1:$AF$1001">
    <sortState ref="A1:AF1001">
      <sortCondition ref="K1:K100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2" max="2" width="18.5"/>
    <col customWidth="1" min="6" max="6" width="14.9"/>
    <col customWidth="1" min="16" max="16" width="40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6"/>
      <c r="Q1" s="35"/>
      <c r="R1" s="35"/>
      <c r="S1" s="35"/>
      <c r="T1" s="35"/>
      <c r="U1" s="35"/>
      <c r="V1" s="35"/>
      <c r="W1" s="35"/>
      <c r="X1" s="35"/>
      <c r="Y1" s="35"/>
      <c r="Z1" s="35"/>
    </row>
    <row r="2">
      <c r="A2" s="37"/>
      <c r="B2" s="38" t="s">
        <v>351</v>
      </c>
      <c r="C2" s="38" t="s">
        <v>352</v>
      </c>
      <c r="D2" s="38" t="s">
        <v>353</v>
      </c>
      <c r="E2" s="39"/>
      <c r="F2" s="40">
        <v>45978.0</v>
      </c>
      <c r="G2" s="40">
        <v>45979.0</v>
      </c>
      <c r="H2" s="40">
        <v>45980.0</v>
      </c>
      <c r="I2" s="40">
        <v>45981.0</v>
      </c>
      <c r="J2" s="40">
        <v>45982.0</v>
      </c>
      <c r="K2" s="40">
        <v>45983.0</v>
      </c>
      <c r="L2" s="40">
        <v>45984.0</v>
      </c>
      <c r="M2" s="38" t="s">
        <v>354</v>
      </c>
      <c r="N2" s="38" t="s">
        <v>355</v>
      </c>
      <c r="O2" s="38" t="s">
        <v>356</v>
      </c>
      <c r="P2" s="41" t="s">
        <v>357</v>
      </c>
      <c r="Q2" s="35"/>
      <c r="R2" s="35"/>
      <c r="S2" s="35"/>
      <c r="T2" s="35"/>
      <c r="U2" s="35"/>
      <c r="V2" s="35"/>
      <c r="W2" s="35"/>
      <c r="X2" s="35"/>
      <c r="Y2" s="35"/>
      <c r="Z2" s="35"/>
    </row>
    <row r="3">
      <c r="A3" s="42"/>
      <c r="B3" s="42"/>
      <c r="C3" s="42"/>
      <c r="D3" s="42"/>
      <c r="E3" s="42"/>
      <c r="F3" s="43" t="s">
        <v>358</v>
      </c>
      <c r="G3" s="43" t="s">
        <v>359</v>
      </c>
      <c r="H3" s="43" t="s">
        <v>360</v>
      </c>
      <c r="I3" s="43" t="s">
        <v>361</v>
      </c>
      <c r="J3" s="43" t="s">
        <v>362</v>
      </c>
      <c r="K3" s="43" t="s">
        <v>363</v>
      </c>
      <c r="L3" s="43" t="s">
        <v>364</v>
      </c>
      <c r="M3" s="42"/>
      <c r="N3" s="42"/>
      <c r="O3" s="42"/>
      <c r="P3" s="44"/>
      <c r="Q3" s="35"/>
      <c r="R3" s="35"/>
      <c r="S3" s="35"/>
      <c r="T3" s="35"/>
      <c r="U3" s="35"/>
      <c r="V3" s="35"/>
      <c r="W3" s="35"/>
      <c r="X3" s="35"/>
      <c r="Y3" s="35"/>
      <c r="Z3" s="35"/>
    </row>
    <row r="4">
      <c r="A4" s="45">
        <v>1.0</v>
      </c>
      <c r="B4" s="46" t="s">
        <v>365</v>
      </c>
      <c r="C4" s="47">
        <v>2319.0</v>
      </c>
      <c r="D4" s="48" t="s">
        <v>366</v>
      </c>
      <c r="E4" s="49" t="s">
        <v>367</v>
      </c>
      <c r="F4" s="50" t="s">
        <v>368</v>
      </c>
      <c r="G4" s="50" t="s">
        <v>368</v>
      </c>
      <c r="H4" s="50" t="s">
        <v>368</v>
      </c>
      <c r="I4" s="50" t="s">
        <v>368</v>
      </c>
      <c r="J4" s="50" t="s">
        <v>368</v>
      </c>
      <c r="K4" s="50" t="s">
        <v>368</v>
      </c>
      <c r="L4" s="50" t="s">
        <v>368</v>
      </c>
      <c r="M4" s="51" t="str">
        <f>sum(N4/M7)</f>
        <v>#DIV/0!</v>
      </c>
      <c r="N4" s="52">
        <f>sum(F6:L6)</f>
        <v>0</v>
      </c>
      <c r="O4" s="53">
        <f>SUM(N4-8000)</f>
        <v>-8000</v>
      </c>
      <c r="P4" s="54"/>
      <c r="Q4" s="35"/>
      <c r="R4" s="35"/>
      <c r="S4" s="35"/>
      <c r="T4" s="35"/>
      <c r="U4" s="35"/>
      <c r="V4" s="35"/>
      <c r="W4" s="35"/>
      <c r="X4" s="35"/>
      <c r="Y4" s="35"/>
      <c r="Z4" s="35"/>
    </row>
    <row r="5">
      <c r="A5" s="55"/>
      <c r="B5" s="56"/>
      <c r="C5" s="55"/>
      <c r="D5" s="55"/>
      <c r="E5" s="49" t="s">
        <v>369</v>
      </c>
      <c r="F5" s="57"/>
      <c r="G5" s="57"/>
      <c r="H5" s="57"/>
      <c r="I5" s="57"/>
      <c r="J5" s="57"/>
      <c r="K5" s="57"/>
      <c r="L5" s="57"/>
      <c r="M5" s="55"/>
      <c r="N5" s="56"/>
      <c r="O5" s="56"/>
      <c r="P5" s="5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>
      <c r="A6" s="55"/>
      <c r="B6" s="56"/>
      <c r="C6" s="55"/>
      <c r="D6" s="55"/>
      <c r="E6" s="58" t="s">
        <v>370</v>
      </c>
      <c r="F6" s="59"/>
      <c r="G6" s="59"/>
      <c r="H6" s="59"/>
      <c r="I6" s="59"/>
      <c r="J6" s="59"/>
      <c r="K6" s="59"/>
      <c r="L6" s="59"/>
      <c r="M6" s="60"/>
      <c r="N6" s="56"/>
      <c r="O6" s="56"/>
      <c r="P6" s="5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>
      <c r="A7" s="55"/>
      <c r="B7" s="56"/>
      <c r="C7" s="55"/>
      <c r="D7" s="55"/>
      <c r="E7" s="61" t="s">
        <v>371</v>
      </c>
      <c r="F7" s="62"/>
      <c r="G7" s="62"/>
      <c r="H7" s="62"/>
      <c r="I7" s="62"/>
      <c r="J7" s="62"/>
      <c r="K7" s="62"/>
      <c r="L7" s="62"/>
      <c r="M7" s="63">
        <f>SUM(F7:L7)</f>
        <v>0</v>
      </c>
      <c r="N7" s="56"/>
      <c r="O7" s="56"/>
      <c r="P7" s="5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>
      <c r="A8" s="55"/>
      <c r="B8" s="56"/>
      <c r="C8" s="55"/>
      <c r="D8" s="55"/>
      <c r="E8" s="61" t="s">
        <v>372</v>
      </c>
      <c r="F8" s="62"/>
      <c r="G8" s="62"/>
      <c r="H8" s="62"/>
      <c r="I8" s="62"/>
      <c r="J8" s="62"/>
      <c r="K8" s="62"/>
      <c r="L8" s="62"/>
      <c r="M8" s="62"/>
      <c r="N8" s="56"/>
      <c r="O8" s="56"/>
      <c r="P8" s="5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60"/>
      <c r="B9" s="64"/>
      <c r="C9" s="60"/>
      <c r="D9" s="60"/>
      <c r="E9" s="65" t="s">
        <v>373</v>
      </c>
      <c r="F9" s="62"/>
      <c r="G9" s="62"/>
      <c r="H9" s="62"/>
      <c r="I9" s="62"/>
      <c r="J9" s="62"/>
      <c r="K9" s="62"/>
      <c r="L9" s="62"/>
      <c r="M9" s="62"/>
      <c r="N9" s="64"/>
      <c r="O9" s="64"/>
      <c r="P9" s="60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>
      <c r="A10" s="45">
        <v>2.0</v>
      </c>
      <c r="B10" s="46" t="s">
        <v>374</v>
      </c>
      <c r="C10" s="47">
        <v>6643.0</v>
      </c>
      <c r="D10" s="48" t="s">
        <v>366</v>
      </c>
      <c r="E10" s="49" t="s">
        <v>367</v>
      </c>
      <c r="F10" s="50" t="s">
        <v>375</v>
      </c>
      <c r="G10" s="50" t="s">
        <v>375</v>
      </c>
      <c r="H10" s="50" t="s">
        <v>375</v>
      </c>
      <c r="I10" s="50" t="s">
        <v>375</v>
      </c>
      <c r="J10" s="50" t="s">
        <v>375</v>
      </c>
      <c r="K10" s="50" t="s">
        <v>375</v>
      </c>
      <c r="L10" s="50" t="s">
        <v>375</v>
      </c>
      <c r="M10" s="51">
        <f>sum(N10/M13)</f>
        <v>2.382277671</v>
      </c>
      <c r="N10" s="52">
        <f>sum(F12:L12)</f>
        <v>7447</v>
      </c>
      <c r="O10" s="53">
        <f>SUM(N10-8000)</f>
        <v>-553</v>
      </c>
      <c r="P10" s="54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>
      <c r="A11" s="55"/>
      <c r="B11" s="56"/>
      <c r="C11" s="55"/>
      <c r="D11" s="55"/>
      <c r="E11" s="49" t="s">
        <v>369</v>
      </c>
      <c r="F11" s="50" t="s">
        <v>376</v>
      </c>
      <c r="G11" s="50" t="s">
        <v>376</v>
      </c>
      <c r="H11" s="50" t="s">
        <v>376</v>
      </c>
      <c r="I11" s="50" t="s">
        <v>377</v>
      </c>
      <c r="J11" s="50" t="s">
        <v>377</v>
      </c>
      <c r="K11" s="66" t="s">
        <v>378</v>
      </c>
      <c r="L11" s="50" t="s">
        <v>379</v>
      </c>
      <c r="M11" s="55"/>
      <c r="N11" s="56"/>
      <c r="O11" s="56"/>
      <c r="P11" s="5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>
      <c r="A12" s="55"/>
      <c r="B12" s="56"/>
      <c r="C12" s="55"/>
      <c r="D12" s="55"/>
      <c r="E12" s="58" t="s">
        <v>370</v>
      </c>
      <c r="F12" s="67">
        <v>2597.0</v>
      </c>
      <c r="G12" s="68"/>
      <c r="H12" s="68"/>
      <c r="I12" s="69">
        <v>3100.0</v>
      </c>
      <c r="J12" s="68"/>
      <c r="K12" s="67">
        <v>900.0</v>
      </c>
      <c r="L12" s="67">
        <v>850.0</v>
      </c>
      <c r="M12" s="60"/>
      <c r="N12" s="56"/>
      <c r="O12" s="56"/>
      <c r="P12" s="5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>
      <c r="A13" s="55"/>
      <c r="B13" s="56"/>
      <c r="C13" s="55"/>
      <c r="D13" s="55"/>
      <c r="E13" s="61" t="s">
        <v>371</v>
      </c>
      <c r="F13" s="70">
        <v>1256.0</v>
      </c>
      <c r="G13" s="62"/>
      <c r="H13" s="62"/>
      <c r="I13" s="70">
        <v>981.0</v>
      </c>
      <c r="J13" s="62"/>
      <c r="K13" s="70">
        <v>491.0</v>
      </c>
      <c r="L13" s="70">
        <v>398.0</v>
      </c>
      <c r="M13" s="71">
        <f>SUM(F13:L13)</f>
        <v>3126</v>
      </c>
      <c r="N13" s="56"/>
      <c r="O13" s="56"/>
      <c r="P13" s="5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>
      <c r="A14" s="55"/>
      <c r="B14" s="56"/>
      <c r="C14" s="55"/>
      <c r="D14" s="55"/>
      <c r="E14" s="61" t="s">
        <v>372</v>
      </c>
      <c r="F14" s="62"/>
      <c r="G14" s="62"/>
      <c r="H14" s="62"/>
      <c r="I14" s="62"/>
      <c r="J14" s="62"/>
      <c r="K14" s="62"/>
      <c r="L14" s="62"/>
      <c r="M14" s="62"/>
      <c r="N14" s="56"/>
      <c r="O14" s="56"/>
      <c r="P14" s="5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>
      <c r="A15" s="60"/>
      <c r="B15" s="64"/>
      <c r="C15" s="60"/>
      <c r="D15" s="60"/>
      <c r="E15" s="65" t="s">
        <v>373</v>
      </c>
      <c r="F15" s="70" t="s">
        <v>196</v>
      </c>
      <c r="G15" s="62"/>
      <c r="H15" s="62"/>
      <c r="I15" s="70" t="s">
        <v>201</v>
      </c>
      <c r="J15" s="62"/>
      <c r="K15" s="70" t="s">
        <v>205</v>
      </c>
      <c r="L15" s="72" t="s">
        <v>210</v>
      </c>
      <c r="M15" s="62"/>
      <c r="N15" s="64"/>
      <c r="O15" s="64"/>
      <c r="P15" s="60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>
      <c r="A16" s="45">
        <v>3.0</v>
      </c>
      <c r="B16" s="46" t="s">
        <v>380</v>
      </c>
      <c r="C16" s="47">
        <v>3301.0</v>
      </c>
      <c r="D16" s="48" t="s">
        <v>366</v>
      </c>
      <c r="E16" s="49" t="s">
        <v>367</v>
      </c>
      <c r="F16" s="50" t="s">
        <v>375</v>
      </c>
      <c r="G16" s="50" t="s">
        <v>375</v>
      </c>
      <c r="H16" s="50" t="s">
        <v>375</v>
      </c>
      <c r="I16" s="50" t="s">
        <v>375</v>
      </c>
      <c r="J16" s="50" t="s">
        <v>375</v>
      </c>
      <c r="K16" s="50" t="s">
        <v>375</v>
      </c>
      <c r="L16" s="50" t="s">
        <v>375</v>
      </c>
      <c r="M16" s="51">
        <f>sum(N16/M19)</f>
        <v>1.983525208</v>
      </c>
      <c r="N16" s="52">
        <f>sum(F18:L18)</f>
        <v>9993</v>
      </c>
      <c r="O16" s="53">
        <f>SUM(N16-8000)</f>
        <v>1993</v>
      </c>
      <c r="P16" s="5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>
      <c r="A17" s="55"/>
      <c r="B17" s="56"/>
      <c r="C17" s="55"/>
      <c r="D17" s="55"/>
      <c r="E17" s="49" t="s">
        <v>369</v>
      </c>
      <c r="F17" s="50" t="s">
        <v>381</v>
      </c>
      <c r="G17" s="50" t="s">
        <v>381</v>
      </c>
      <c r="H17" s="50" t="s">
        <v>382</v>
      </c>
      <c r="I17" s="66" t="s">
        <v>383</v>
      </c>
      <c r="J17" s="66" t="s">
        <v>383</v>
      </c>
      <c r="K17" s="66" t="s">
        <v>383</v>
      </c>
      <c r="L17" s="66" t="s">
        <v>383</v>
      </c>
      <c r="M17" s="55"/>
      <c r="N17" s="56"/>
      <c r="O17" s="56"/>
      <c r="P17" s="5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>
      <c r="A18" s="55"/>
      <c r="B18" s="56"/>
      <c r="C18" s="55"/>
      <c r="D18" s="55"/>
      <c r="E18" s="58" t="s">
        <v>370</v>
      </c>
      <c r="F18" s="67">
        <v>2200.0</v>
      </c>
      <c r="G18" s="68"/>
      <c r="H18" s="67">
        <v>2000.0</v>
      </c>
      <c r="I18" s="73">
        <v>5793.0</v>
      </c>
      <c r="J18" s="68"/>
      <c r="K18" s="74"/>
      <c r="L18" s="57"/>
      <c r="M18" s="60"/>
      <c r="N18" s="56"/>
      <c r="O18" s="56"/>
      <c r="P18" s="5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>
      <c r="A19" s="55"/>
      <c r="B19" s="56"/>
      <c r="C19" s="55"/>
      <c r="D19" s="55"/>
      <c r="E19" s="61" t="s">
        <v>371</v>
      </c>
      <c r="F19" s="70">
        <v>1150.0</v>
      </c>
      <c r="G19" s="62"/>
      <c r="H19" s="70">
        <v>1081.0</v>
      </c>
      <c r="I19" s="75">
        <v>2807.0</v>
      </c>
      <c r="J19" s="62"/>
      <c r="K19" s="62"/>
      <c r="L19" s="62"/>
      <c r="M19" s="63">
        <f>SUM(F19:L19)</f>
        <v>5038</v>
      </c>
      <c r="N19" s="56"/>
      <c r="O19" s="56"/>
      <c r="P19" s="5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>
      <c r="A20" s="55"/>
      <c r="B20" s="56"/>
      <c r="C20" s="55"/>
      <c r="D20" s="55"/>
      <c r="E20" s="61" t="s">
        <v>372</v>
      </c>
      <c r="F20" s="62"/>
      <c r="G20" s="62"/>
      <c r="H20" s="62"/>
      <c r="I20" s="62"/>
      <c r="J20" s="62"/>
      <c r="K20" s="62"/>
      <c r="L20" s="62"/>
      <c r="M20" s="62"/>
      <c r="N20" s="56"/>
      <c r="O20" s="56"/>
      <c r="P20" s="5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>
      <c r="A21" s="60"/>
      <c r="B21" s="64"/>
      <c r="C21" s="60"/>
      <c r="D21" s="60"/>
      <c r="E21" s="65" t="s">
        <v>373</v>
      </c>
      <c r="F21" s="70" t="s">
        <v>152</v>
      </c>
      <c r="G21" s="62"/>
      <c r="H21" s="70" t="s">
        <v>156</v>
      </c>
      <c r="I21" s="70" t="s">
        <v>159</v>
      </c>
      <c r="J21" s="62"/>
      <c r="K21" s="62"/>
      <c r="L21" s="62"/>
      <c r="M21" s="62"/>
      <c r="N21" s="64"/>
      <c r="O21" s="64"/>
      <c r="P21" s="60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>
      <c r="A22" s="45">
        <v>4.0</v>
      </c>
      <c r="B22" s="46" t="s">
        <v>384</v>
      </c>
      <c r="C22" s="47">
        <v>3403.0</v>
      </c>
      <c r="D22" s="48" t="s">
        <v>366</v>
      </c>
      <c r="E22" s="49" t="s">
        <v>367</v>
      </c>
      <c r="F22" s="50" t="s">
        <v>375</v>
      </c>
      <c r="G22" s="50" t="s">
        <v>375</v>
      </c>
      <c r="H22" s="50" t="s">
        <v>375</v>
      </c>
      <c r="I22" s="50" t="s">
        <v>375</v>
      </c>
      <c r="J22" s="50" t="s">
        <v>375</v>
      </c>
      <c r="K22" s="50" t="s">
        <v>375</v>
      </c>
      <c r="L22" s="50" t="s">
        <v>375</v>
      </c>
      <c r="M22" s="51">
        <f>sum(N22/M25)</f>
        <v>1.942934783</v>
      </c>
      <c r="N22" s="52">
        <f>sum(F24:L24)</f>
        <v>10725</v>
      </c>
      <c r="O22" s="53">
        <f>SUM(N22-8000)</f>
        <v>2725</v>
      </c>
      <c r="P22" s="54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>
      <c r="A23" s="55"/>
      <c r="B23" s="56"/>
      <c r="C23" s="55"/>
      <c r="D23" s="55"/>
      <c r="E23" s="49" t="s">
        <v>369</v>
      </c>
      <c r="F23" s="70">
        <v>2872750.0</v>
      </c>
      <c r="G23" s="70">
        <v>2872750.0</v>
      </c>
      <c r="H23" s="70">
        <v>2872750.0</v>
      </c>
      <c r="I23" s="70">
        <v>639382.0</v>
      </c>
      <c r="J23" s="70">
        <v>90215.0</v>
      </c>
      <c r="K23" s="62"/>
      <c r="L23" s="62"/>
      <c r="M23" s="55"/>
      <c r="N23" s="56"/>
      <c r="O23" s="56"/>
      <c r="P23" s="5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>
      <c r="A24" s="55"/>
      <c r="B24" s="56"/>
      <c r="C24" s="55"/>
      <c r="D24" s="55"/>
      <c r="E24" s="58" t="s">
        <v>370</v>
      </c>
      <c r="F24" s="73">
        <v>3800.0</v>
      </c>
      <c r="G24" s="59"/>
      <c r="H24" s="74"/>
      <c r="I24" s="73">
        <v>800.0</v>
      </c>
      <c r="J24" s="73">
        <v>6125.0</v>
      </c>
      <c r="K24" s="74"/>
      <c r="L24" s="74"/>
      <c r="M24" s="60"/>
      <c r="N24" s="56"/>
      <c r="O24" s="56"/>
      <c r="P24" s="5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>
      <c r="A25" s="55"/>
      <c r="B25" s="56"/>
      <c r="C25" s="55"/>
      <c r="D25" s="55"/>
      <c r="E25" s="61" t="s">
        <v>371</v>
      </c>
      <c r="F25" s="70">
        <v>1918.0</v>
      </c>
      <c r="G25" s="62"/>
      <c r="H25" s="62"/>
      <c r="I25" s="70">
        <v>703.0</v>
      </c>
      <c r="J25" s="70">
        <v>2899.0</v>
      </c>
      <c r="K25" s="62"/>
      <c r="L25" s="62"/>
      <c r="M25" s="63">
        <f>SUM(F25:L25)</f>
        <v>5520</v>
      </c>
      <c r="N25" s="56"/>
      <c r="O25" s="56"/>
      <c r="P25" s="5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>
      <c r="A26" s="55"/>
      <c r="B26" s="56"/>
      <c r="C26" s="55"/>
      <c r="D26" s="55"/>
      <c r="E26" s="61" t="s">
        <v>372</v>
      </c>
      <c r="F26" s="62"/>
      <c r="G26" s="62"/>
      <c r="H26" s="62"/>
      <c r="I26" s="62"/>
      <c r="J26" s="62"/>
      <c r="K26" s="62"/>
      <c r="L26" s="62"/>
      <c r="M26" s="62"/>
      <c r="N26" s="56"/>
      <c r="O26" s="56"/>
      <c r="P26" s="5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>
      <c r="A27" s="60"/>
      <c r="B27" s="64"/>
      <c r="C27" s="60"/>
      <c r="D27" s="60"/>
      <c r="E27" s="65" t="s">
        <v>373</v>
      </c>
      <c r="F27" s="70" t="s">
        <v>161</v>
      </c>
      <c r="G27" s="62"/>
      <c r="H27" s="62"/>
      <c r="I27" s="70" t="s">
        <v>166</v>
      </c>
      <c r="J27" s="70" t="s">
        <v>170</v>
      </c>
      <c r="K27" s="62"/>
      <c r="L27" s="62"/>
      <c r="M27" s="62"/>
      <c r="N27" s="64"/>
      <c r="O27" s="64"/>
      <c r="P27" s="60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>
      <c r="A28" s="45">
        <v>5.0</v>
      </c>
      <c r="B28" s="46" t="s">
        <v>385</v>
      </c>
      <c r="C28" s="47">
        <v>7352.0</v>
      </c>
      <c r="D28" s="48" t="s">
        <v>366</v>
      </c>
      <c r="E28" s="49" t="s">
        <v>367</v>
      </c>
      <c r="F28" s="50" t="s">
        <v>375</v>
      </c>
      <c r="G28" s="50" t="s">
        <v>375</v>
      </c>
      <c r="H28" s="50" t="s">
        <v>375</v>
      </c>
      <c r="I28" s="50" t="s">
        <v>375</v>
      </c>
      <c r="J28" s="50" t="s">
        <v>375</v>
      </c>
      <c r="K28" s="50" t="s">
        <v>375</v>
      </c>
      <c r="L28" s="57"/>
      <c r="M28" s="51">
        <f>sum(N28/M31)</f>
        <v>1.253481894</v>
      </c>
      <c r="N28" s="52">
        <f>sum(F30:L30)</f>
        <v>1800</v>
      </c>
      <c r="O28" s="53">
        <f>SUM(N28-8000)</f>
        <v>-6200</v>
      </c>
      <c r="P28" s="76" t="s">
        <v>386</v>
      </c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>
      <c r="A29" s="55"/>
      <c r="B29" s="56"/>
      <c r="C29" s="55"/>
      <c r="D29" s="55"/>
      <c r="E29" s="49" t="s">
        <v>369</v>
      </c>
      <c r="F29" s="62"/>
      <c r="G29" s="62"/>
      <c r="H29" s="70">
        <v>2.0617388E7</v>
      </c>
      <c r="I29" s="70">
        <v>2.0617388E7</v>
      </c>
      <c r="J29" s="62"/>
      <c r="K29" s="77">
        <v>5674879.0</v>
      </c>
      <c r="L29" s="62"/>
      <c r="M29" s="55"/>
      <c r="N29" s="56"/>
      <c r="O29" s="56"/>
      <c r="P29" s="5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>
      <c r="A30" s="55"/>
      <c r="B30" s="56"/>
      <c r="C30" s="55"/>
      <c r="D30" s="55"/>
      <c r="E30" s="58" t="s">
        <v>370</v>
      </c>
      <c r="F30" s="74"/>
      <c r="G30" s="74"/>
      <c r="H30" s="67">
        <v>1800.0</v>
      </c>
      <c r="I30" s="74"/>
      <c r="J30" s="68"/>
      <c r="K30" s="67" t="s">
        <v>387</v>
      </c>
      <c r="L30" s="74"/>
      <c r="M30" s="60"/>
      <c r="N30" s="56"/>
      <c r="O30" s="56"/>
      <c r="P30" s="55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>
      <c r="A31" s="55"/>
      <c r="B31" s="56"/>
      <c r="C31" s="55"/>
      <c r="D31" s="55"/>
      <c r="E31" s="61" t="s">
        <v>371</v>
      </c>
      <c r="F31" s="62"/>
      <c r="G31" s="62"/>
      <c r="H31" s="70">
        <v>1176.0</v>
      </c>
      <c r="I31" s="62"/>
      <c r="J31" s="62"/>
      <c r="K31" s="70">
        <v>260.0</v>
      </c>
      <c r="L31" s="62"/>
      <c r="M31" s="63">
        <f>SUM(F31:L31)</f>
        <v>1436</v>
      </c>
      <c r="N31" s="56"/>
      <c r="O31" s="56"/>
      <c r="P31" s="55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>
      <c r="A32" s="55"/>
      <c r="B32" s="56"/>
      <c r="C32" s="55"/>
      <c r="D32" s="55"/>
      <c r="E32" s="61" t="s">
        <v>372</v>
      </c>
      <c r="F32" s="62"/>
      <c r="G32" s="62"/>
      <c r="H32" s="62"/>
      <c r="I32" s="62"/>
      <c r="J32" s="62"/>
      <c r="K32" s="62"/>
      <c r="L32" s="62"/>
      <c r="M32" s="62"/>
      <c r="N32" s="56"/>
      <c r="O32" s="56"/>
      <c r="P32" s="5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>
      <c r="A33" s="60"/>
      <c r="B33" s="64"/>
      <c r="C33" s="60"/>
      <c r="D33" s="60"/>
      <c r="E33" s="65" t="s">
        <v>373</v>
      </c>
      <c r="F33" s="62"/>
      <c r="G33" s="62"/>
      <c r="H33" s="70" t="s">
        <v>273</v>
      </c>
      <c r="I33" s="62"/>
      <c r="J33" s="62"/>
      <c r="K33" s="62"/>
      <c r="L33" s="62"/>
      <c r="M33" s="62"/>
      <c r="N33" s="64"/>
      <c r="O33" s="64"/>
      <c r="P33" s="60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>
      <c r="A34" s="45">
        <v>7.0</v>
      </c>
      <c r="B34" s="46" t="s">
        <v>388</v>
      </c>
      <c r="C34" s="47">
        <v>2675.0</v>
      </c>
      <c r="D34" s="48" t="s">
        <v>366</v>
      </c>
      <c r="E34" s="49" t="s">
        <v>367</v>
      </c>
      <c r="F34" s="50" t="s">
        <v>375</v>
      </c>
      <c r="G34" s="50" t="s">
        <v>375</v>
      </c>
      <c r="H34" s="50" t="s">
        <v>375</v>
      </c>
      <c r="I34" s="50" t="s">
        <v>375</v>
      </c>
      <c r="J34" s="50" t="s">
        <v>375</v>
      </c>
      <c r="K34" s="50" t="s">
        <v>375</v>
      </c>
      <c r="L34" s="50" t="s">
        <v>375</v>
      </c>
      <c r="M34" s="51">
        <f>sum(N34/M37)</f>
        <v>2.055411082</v>
      </c>
      <c r="N34" s="52">
        <f>sum(F36:L36)</f>
        <v>10275</v>
      </c>
      <c r="O34" s="53">
        <f>SUM(N34-8000)</f>
        <v>2275</v>
      </c>
      <c r="P34" s="54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>
      <c r="A35" s="55"/>
      <c r="B35" s="56"/>
      <c r="C35" s="55"/>
      <c r="D35" s="55"/>
      <c r="E35" s="49" t="s">
        <v>369</v>
      </c>
      <c r="F35" s="50" t="s">
        <v>389</v>
      </c>
      <c r="G35" s="50" t="s">
        <v>390</v>
      </c>
      <c r="H35" s="50" t="s">
        <v>390</v>
      </c>
      <c r="I35" s="50" t="s">
        <v>390</v>
      </c>
      <c r="J35" s="50" t="s">
        <v>391</v>
      </c>
      <c r="K35" s="50" t="s">
        <v>391</v>
      </c>
      <c r="L35" s="50" t="s">
        <v>391</v>
      </c>
      <c r="M35" s="55"/>
      <c r="N35" s="56"/>
      <c r="O35" s="56"/>
      <c r="P35" s="5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>
      <c r="A36" s="55"/>
      <c r="B36" s="56"/>
      <c r="C36" s="55"/>
      <c r="D36" s="55"/>
      <c r="E36" s="58" t="s">
        <v>370</v>
      </c>
      <c r="F36" s="67">
        <v>1200.0</v>
      </c>
      <c r="G36" s="78">
        <v>2775.0</v>
      </c>
      <c r="H36" s="68"/>
      <c r="I36" s="74"/>
      <c r="J36" s="69">
        <v>6300.0</v>
      </c>
      <c r="K36" s="68"/>
      <c r="L36" s="74"/>
      <c r="M36" s="60"/>
      <c r="N36" s="56"/>
      <c r="O36" s="56"/>
      <c r="P36" s="5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>
      <c r="A37" s="55"/>
      <c r="B37" s="56"/>
      <c r="C37" s="55"/>
      <c r="D37" s="55"/>
      <c r="E37" s="61" t="s">
        <v>371</v>
      </c>
      <c r="F37" s="70">
        <v>534.0</v>
      </c>
      <c r="G37" s="77">
        <v>1636.0</v>
      </c>
      <c r="H37" s="62"/>
      <c r="I37" s="62"/>
      <c r="J37" s="70">
        <v>2829.0</v>
      </c>
      <c r="K37" s="62"/>
      <c r="L37" s="62"/>
      <c r="M37" s="63">
        <f>SUM(F37:L37)</f>
        <v>4999</v>
      </c>
      <c r="N37" s="56"/>
      <c r="O37" s="56"/>
      <c r="P37" s="5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>
      <c r="A38" s="55"/>
      <c r="B38" s="56"/>
      <c r="C38" s="55"/>
      <c r="D38" s="55"/>
      <c r="E38" s="61" t="s">
        <v>372</v>
      </c>
      <c r="F38" s="62"/>
      <c r="G38" s="62"/>
      <c r="H38" s="62"/>
      <c r="I38" s="62"/>
      <c r="J38" s="62"/>
      <c r="K38" s="62"/>
      <c r="L38" s="62"/>
      <c r="M38" s="62"/>
      <c r="N38" s="56"/>
      <c r="O38" s="56"/>
      <c r="P38" s="5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>
      <c r="A39" s="60"/>
      <c r="B39" s="64"/>
      <c r="C39" s="60"/>
      <c r="D39" s="60"/>
      <c r="E39" s="65" t="s">
        <v>373</v>
      </c>
      <c r="F39" s="70" t="s">
        <v>102</v>
      </c>
      <c r="G39" s="70" t="s">
        <v>106</v>
      </c>
      <c r="H39" s="62"/>
      <c r="I39" s="62"/>
      <c r="J39" s="70" t="s">
        <v>109</v>
      </c>
      <c r="K39" s="62"/>
      <c r="L39" s="62"/>
      <c r="M39" s="62"/>
      <c r="N39" s="64"/>
      <c r="O39" s="64"/>
      <c r="P39" s="60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>
      <c r="A40" s="45">
        <v>8.0</v>
      </c>
      <c r="B40" s="46" t="s">
        <v>392</v>
      </c>
      <c r="C40" s="47">
        <v>9617.0</v>
      </c>
      <c r="D40" s="79" t="s">
        <v>393</v>
      </c>
      <c r="E40" s="49" t="s">
        <v>367</v>
      </c>
      <c r="F40" s="50" t="s">
        <v>375</v>
      </c>
      <c r="G40" s="50" t="s">
        <v>375</v>
      </c>
      <c r="H40" s="50" t="s">
        <v>375</v>
      </c>
      <c r="I40" s="50" t="s">
        <v>375</v>
      </c>
      <c r="J40" s="50" t="s">
        <v>375</v>
      </c>
      <c r="K40" s="50" t="s">
        <v>375</v>
      </c>
      <c r="L40" s="50" t="s">
        <v>375</v>
      </c>
      <c r="M40" s="51">
        <f>sum(N40/M43)</f>
        <v>1.896080219</v>
      </c>
      <c r="N40" s="52">
        <f>sum(F42:L42)</f>
        <v>10400</v>
      </c>
      <c r="O40" s="53">
        <f>SUM(N40-8000)</f>
        <v>2400</v>
      </c>
      <c r="P40" s="80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>
      <c r="A41" s="55"/>
      <c r="B41" s="56"/>
      <c r="C41" s="55"/>
      <c r="D41" s="55"/>
      <c r="E41" s="49" t="s">
        <v>369</v>
      </c>
      <c r="F41" s="50" t="s">
        <v>394</v>
      </c>
      <c r="G41" s="57"/>
      <c r="H41" s="57"/>
      <c r="I41" s="57"/>
      <c r="J41" s="50" t="s">
        <v>395</v>
      </c>
      <c r="K41" s="57"/>
      <c r="L41" s="57"/>
      <c r="M41" s="55"/>
      <c r="N41" s="56"/>
      <c r="O41" s="56"/>
      <c r="P41" s="5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>
      <c r="A42" s="55"/>
      <c r="B42" s="56"/>
      <c r="C42" s="55"/>
      <c r="D42" s="55"/>
      <c r="E42" s="58" t="s">
        <v>370</v>
      </c>
      <c r="F42" s="67">
        <v>5000.0</v>
      </c>
      <c r="G42" s="81"/>
      <c r="H42" s="74"/>
      <c r="I42" s="74"/>
      <c r="J42" s="67">
        <v>5400.0</v>
      </c>
      <c r="K42" s="74"/>
      <c r="L42" s="74"/>
      <c r="M42" s="60"/>
      <c r="N42" s="56"/>
      <c r="O42" s="56"/>
      <c r="P42" s="5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>
      <c r="A43" s="55"/>
      <c r="B43" s="56"/>
      <c r="C43" s="55"/>
      <c r="D43" s="55"/>
      <c r="E43" s="61" t="s">
        <v>371</v>
      </c>
      <c r="F43" s="70">
        <v>2775.0</v>
      </c>
      <c r="G43" s="62"/>
      <c r="H43" s="62"/>
      <c r="I43" s="62"/>
      <c r="J43" s="70">
        <v>2710.0</v>
      </c>
      <c r="K43" s="62"/>
      <c r="L43" s="62"/>
      <c r="M43" s="63">
        <f>SUM(F43:L43)</f>
        <v>5485</v>
      </c>
      <c r="N43" s="56"/>
      <c r="O43" s="56"/>
      <c r="P43" s="5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>
      <c r="A44" s="55"/>
      <c r="B44" s="56"/>
      <c r="C44" s="55"/>
      <c r="D44" s="55"/>
      <c r="E44" s="61" t="s">
        <v>372</v>
      </c>
      <c r="F44" s="70" t="s">
        <v>396</v>
      </c>
      <c r="G44" s="62"/>
      <c r="H44" s="62"/>
      <c r="I44" s="62"/>
      <c r="J44" s="70" t="s">
        <v>397</v>
      </c>
      <c r="K44" s="62"/>
      <c r="L44" s="62"/>
      <c r="M44" s="62"/>
      <c r="N44" s="56"/>
      <c r="O44" s="56"/>
      <c r="P44" s="5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>
      <c r="A45" s="60"/>
      <c r="B45" s="64"/>
      <c r="C45" s="60"/>
      <c r="D45" s="60"/>
      <c r="E45" s="65" t="s">
        <v>373</v>
      </c>
      <c r="F45" s="70" t="s">
        <v>336</v>
      </c>
      <c r="G45" s="62"/>
      <c r="H45" s="62"/>
      <c r="I45" s="62"/>
      <c r="J45" s="70" t="s">
        <v>340</v>
      </c>
      <c r="K45" s="62"/>
      <c r="L45" s="62"/>
      <c r="M45" s="62"/>
      <c r="N45" s="64"/>
      <c r="O45" s="64"/>
      <c r="P45" s="60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>
      <c r="A46" s="45">
        <v>9.0</v>
      </c>
      <c r="B46" s="46" t="s">
        <v>398</v>
      </c>
      <c r="C46" s="47">
        <v>2516.0</v>
      </c>
      <c r="D46" s="79" t="s">
        <v>393</v>
      </c>
      <c r="E46" s="49" t="s">
        <v>367</v>
      </c>
      <c r="F46" s="50" t="s">
        <v>368</v>
      </c>
      <c r="G46" s="50" t="s">
        <v>375</v>
      </c>
      <c r="H46" s="50" t="s">
        <v>399</v>
      </c>
      <c r="I46" s="50" t="s">
        <v>400</v>
      </c>
      <c r="J46" s="50" t="s">
        <v>375</v>
      </c>
      <c r="K46" s="50" t="s">
        <v>375</v>
      </c>
      <c r="L46" s="50" t="s">
        <v>375</v>
      </c>
      <c r="M46" s="51">
        <f>sum(N46/M49)</f>
        <v>2.114597544</v>
      </c>
      <c r="N46" s="52">
        <f>sum(F48:L48)</f>
        <v>6200</v>
      </c>
      <c r="O46" s="53">
        <f>SUM(N46-8000)</f>
        <v>-1800</v>
      </c>
      <c r="P46" s="82" t="s">
        <v>401</v>
      </c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>
      <c r="A47" s="55"/>
      <c r="B47" s="56"/>
      <c r="C47" s="55"/>
      <c r="D47" s="55"/>
      <c r="E47" s="49" t="s">
        <v>369</v>
      </c>
      <c r="F47" s="57"/>
      <c r="G47" s="83" t="s">
        <v>402</v>
      </c>
      <c r="H47" s="83" t="s">
        <v>403</v>
      </c>
      <c r="I47" s="75" t="s">
        <v>404</v>
      </c>
      <c r="J47" s="50" t="s">
        <v>405</v>
      </c>
      <c r="K47" s="57"/>
      <c r="L47" s="57"/>
      <c r="M47" s="55"/>
      <c r="N47" s="56"/>
      <c r="O47" s="56"/>
      <c r="P47" s="5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>
      <c r="A48" s="55"/>
      <c r="B48" s="56"/>
      <c r="C48" s="55"/>
      <c r="D48" s="55"/>
      <c r="E48" s="58" t="s">
        <v>370</v>
      </c>
      <c r="F48" s="74"/>
      <c r="G48" s="67">
        <v>2300.0</v>
      </c>
      <c r="H48" s="74"/>
      <c r="I48" s="74"/>
      <c r="J48" s="67">
        <v>3900.0</v>
      </c>
      <c r="K48" s="74"/>
      <c r="L48" s="62"/>
      <c r="M48" s="60"/>
      <c r="N48" s="56"/>
      <c r="O48" s="56"/>
      <c r="P48" s="5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>
      <c r="A49" s="55"/>
      <c r="B49" s="56"/>
      <c r="C49" s="55"/>
      <c r="D49" s="55"/>
      <c r="E49" s="61" t="s">
        <v>371</v>
      </c>
      <c r="F49" s="62"/>
      <c r="G49" s="70">
        <v>937.0</v>
      </c>
      <c r="H49" s="62"/>
      <c r="I49" s="62"/>
      <c r="J49" s="70">
        <v>1995.0</v>
      </c>
      <c r="K49" s="62"/>
      <c r="L49" s="62"/>
      <c r="M49" s="63">
        <f>SUM(F49:L49)</f>
        <v>2932</v>
      </c>
      <c r="N49" s="56"/>
      <c r="O49" s="56"/>
      <c r="P49" s="5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>
      <c r="A50" s="55"/>
      <c r="B50" s="56"/>
      <c r="C50" s="55"/>
      <c r="D50" s="55"/>
      <c r="E50" s="61" t="s">
        <v>372</v>
      </c>
      <c r="F50" s="62"/>
      <c r="G50" s="70" t="s">
        <v>406</v>
      </c>
      <c r="H50" s="62"/>
      <c r="I50" s="62"/>
      <c r="J50" s="70" t="s">
        <v>407</v>
      </c>
      <c r="K50" s="62"/>
      <c r="L50" s="62"/>
      <c r="M50" s="62"/>
      <c r="N50" s="56"/>
      <c r="O50" s="56"/>
      <c r="P50" s="5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>
      <c r="A51" s="60"/>
      <c r="B51" s="64"/>
      <c r="C51" s="60"/>
      <c r="D51" s="60"/>
      <c r="E51" s="65" t="s">
        <v>373</v>
      </c>
      <c r="F51" s="62"/>
      <c r="G51" s="70" t="s">
        <v>94</v>
      </c>
      <c r="H51" s="62"/>
      <c r="I51" s="62"/>
      <c r="J51" s="70" t="s">
        <v>98</v>
      </c>
      <c r="K51" s="62"/>
      <c r="L51" s="62"/>
      <c r="M51" s="62"/>
      <c r="N51" s="64"/>
      <c r="O51" s="64"/>
      <c r="P51" s="60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>
      <c r="A52" s="45">
        <v>10.0</v>
      </c>
      <c r="B52" s="46" t="s">
        <v>408</v>
      </c>
      <c r="C52" s="84" t="s">
        <v>409</v>
      </c>
      <c r="D52" s="79" t="s">
        <v>393</v>
      </c>
      <c r="E52" s="49" t="s">
        <v>367</v>
      </c>
      <c r="F52" s="50" t="s">
        <v>399</v>
      </c>
      <c r="G52" s="50" t="s">
        <v>375</v>
      </c>
      <c r="H52" s="50" t="s">
        <v>375</v>
      </c>
      <c r="I52" s="50" t="s">
        <v>375</v>
      </c>
      <c r="J52" s="50" t="s">
        <v>375</v>
      </c>
      <c r="K52" s="50" t="s">
        <v>375</v>
      </c>
      <c r="L52" s="50" t="s">
        <v>368</v>
      </c>
      <c r="M52" s="51">
        <f>sum(N52/M55)</f>
        <v>2.136948529</v>
      </c>
      <c r="N52" s="52">
        <f>sum(F54:L54)</f>
        <v>9300</v>
      </c>
      <c r="O52" s="53">
        <f>SUM(N52-8000)</f>
        <v>1300</v>
      </c>
      <c r="P52" s="76" t="s">
        <v>410</v>
      </c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>
      <c r="A53" s="55"/>
      <c r="B53" s="56"/>
      <c r="C53" s="55"/>
      <c r="D53" s="55"/>
      <c r="E53" s="49" t="s">
        <v>369</v>
      </c>
      <c r="F53" s="50" t="s">
        <v>411</v>
      </c>
      <c r="G53" s="50" t="s">
        <v>412</v>
      </c>
      <c r="H53" s="85"/>
      <c r="I53" s="66" t="s">
        <v>413</v>
      </c>
      <c r="J53" s="57"/>
      <c r="K53" s="57"/>
      <c r="L53" s="57"/>
      <c r="M53" s="55"/>
      <c r="N53" s="56"/>
      <c r="O53" s="56"/>
      <c r="P53" s="5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>
      <c r="A54" s="55"/>
      <c r="B54" s="56"/>
      <c r="C54" s="55"/>
      <c r="D54" s="55"/>
      <c r="E54" s="58" t="s">
        <v>370</v>
      </c>
      <c r="F54" s="69">
        <v>1000.0</v>
      </c>
      <c r="G54" s="69">
        <v>3300.0</v>
      </c>
      <c r="H54" s="74"/>
      <c r="I54" s="67">
        <v>5000.0</v>
      </c>
      <c r="J54" s="74"/>
      <c r="K54" s="74"/>
      <c r="L54" s="74"/>
      <c r="M54" s="60"/>
      <c r="N54" s="56"/>
      <c r="O54" s="56"/>
      <c r="P54" s="5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>
      <c r="A55" s="55"/>
      <c r="B55" s="56"/>
      <c r="C55" s="55"/>
      <c r="D55" s="55"/>
      <c r="E55" s="61" t="s">
        <v>371</v>
      </c>
      <c r="F55" s="70">
        <v>441.0</v>
      </c>
      <c r="G55" s="70">
        <v>1583.0</v>
      </c>
      <c r="H55" s="62"/>
      <c r="I55" s="70">
        <v>2328.0</v>
      </c>
      <c r="J55" s="62"/>
      <c r="K55" s="62"/>
      <c r="L55" s="62"/>
      <c r="M55" s="63">
        <f>SUM(F55:L55)</f>
        <v>4352</v>
      </c>
      <c r="N55" s="56"/>
      <c r="O55" s="56"/>
      <c r="P55" s="5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>
      <c r="A56" s="55"/>
      <c r="B56" s="56"/>
      <c r="C56" s="55"/>
      <c r="D56" s="55"/>
      <c r="E56" s="61" t="s">
        <v>372</v>
      </c>
      <c r="F56" s="70" t="s">
        <v>414</v>
      </c>
      <c r="G56" s="70" t="s">
        <v>415</v>
      </c>
      <c r="H56" s="62"/>
      <c r="I56" s="70" t="s">
        <v>416</v>
      </c>
      <c r="J56" s="62"/>
      <c r="K56" s="62"/>
      <c r="L56" s="62"/>
      <c r="M56" s="62"/>
      <c r="N56" s="56"/>
      <c r="O56" s="56"/>
      <c r="P56" s="5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>
      <c r="A57" s="60"/>
      <c r="B57" s="64"/>
      <c r="C57" s="60"/>
      <c r="D57" s="60"/>
      <c r="E57" s="65" t="s">
        <v>373</v>
      </c>
      <c r="F57" s="86" t="s">
        <v>142</v>
      </c>
      <c r="G57" s="70" t="s">
        <v>146</v>
      </c>
      <c r="H57" s="62"/>
      <c r="I57" s="70" t="s">
        <v>149</v>
      </c>
      <c r="J57" s="62"/>
      <c r="K57" s="62"/>
      <c r="L57" s="62"/>
      <c r="M57" s="62"/>
      <c r="N57" s="64"/>
      <c r="O57" s="64"/>
      <c r="P57" s="60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>
      <c r="A58" s="45">
        <v>11.0</v>
      </c>
      <c r="B58" s="46" t="s">
        <v>417</v>
      </c>
      <c r="C58" s="47">
        <v>3819.0</v>
      </c>
      <c r="D58" s="79" t="s">
        <v>393</v>
      </c>
      <c r="E58" s="49" t="s">
        <v>367</v>
      </c>
      <c r="F58" s="50" t="s">
        <v>400</v>
      </c>
      <c r="G58" s="50" t="s">
        <v>375</v>
      </c>
      <c r="H58" s="50" t="s">
        <v>399</v>
      </c>
      <c r="I58" s="50" t="s">
        <v>375</v>
      </c>
      <c r="J58" s="50" t="s">
        <v>400</v>
      </c>
      <c r="K58" s="50" t="s">
        <v>375</v>
      </c>
      <c r="L58" s="50" t="s">
        <v>375</v>
      </c>
      <c r="M58" s="51">
        <f>sum(N58/M61)</f>
        <v>2.929447853</v>
      </c>
      <c r="N58" s="52">
        <f>sum(F60:L60)</f>
        <v>9550</v>
      </c>
      <c r="O58" s="53">
        <f>SUM(N58-8000)</f>
        <v>1550</v>
      </c>
      <c r="P58" s="54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>
      <c r="A59" s="55"/>
      <c r="B59" s="56"/>
      <c r="C59" s="55"/>
      <c r="D59" s="55"/>
      <c r="E59" s="49" t="s">
        <v>369</v>
      </c>
      <c r="F59" s="62"/>
      <c r="G59" s="57"/>
      <c r="H59" s="87" t="s">
        <v>418</v>
      </c>
      <c r="I59" s="87" t="s">
        <v>419</v>
      </c>
      <c r="J59" s="57"/>
      <c r="K59" s="88">
        <v>1876428.0</v>
      </c>
      <c r="L59" s="57"/>
      <c r="M59" s="55"/>
      <c r="N59" s="56"/>
      <c r="O59" s="56"/>
      <c r="P59" s="5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>
      <c r="A60" s="55"/>
      <c r="B60" s="56"/>
      <c r="C60" s="55"/>
      <c r="D60" s="55"/>
      <c r="E60" s="58" t="s">
        <v>370</v>
      </c>
      <c r="F60" s="74"/>
      <c r="G60" s="35"/>
      <c r="H60" s="89">
        <v>1000.0</v>
      </c>
      <c r="I60" s="73">
        <v>8400.0</v>
      </c>
      <c r="J60" s="74"/>
      <c r="K60" s="67">
        <v>150.0</v>
      </c>
      <c r="L60" s="74"/>
      <c r="M60" s="60"/>
      <c r="N60" s="56"/>
      <c r="O60" s="56"/>
      <c r="P60" s="5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>
      <c r="A61" s="55"/>
      <c r="B61" s="56"/>
      <c r="C61" s="55"/>
      <c r="D61" s="55"/>
      <c r="E61" s="61" t="s">
        <v>371</v>
      </c>
      <c r="F61" s="62"/>
      <c r="G61" s="62"/>
      <c r="H61" s="70">
        <v>387.0</v>
      </c>
      <c r="I61" s="70">
        <v>2873.0</v>
      </c>
      <c r="J61" s="62"/>
      <c r="K61" s="70" t="s">
        <v>256</v>
      </c>
      <c r="L61" s="62"/>
      <c r="M61" s="63">
        <f>SUM(F61:L61)</f>
        <v>3260</v>
      </c>
      <c r="N61" s="56"/>
      <c r="O61" s="56"/>
      <c r="P61" s="5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>
      <c r="A62" s="55"/>
      <c r="B62" s="56"/>
      <c r="C62" s="55"/>
      <c r="D62" s="55"/>
      <c r="E62" s="61" t="s">
        <v>372</v>
      </c>
      <c r="F62" s="62"/>
      <c r="G62" s="68"/>
      <c r="H62" s="70" t="s">
        <v>420</v>
      </c>
      <c r="I62" s="70" t="s">
        <v>421</v>
      </c>
      <c r="J62" s="62"/>
      <c r="K62" s="62"/>
      <c r="L62" s="62"/>
      <c r="M62" s="62"/>
      <c r="N62" s="56"/>
      <c r="O62" s="56"/>
      <c r="P62" s="5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>
      <c r="A63" s="60"/>
      <c r="B63" s="64"/>
      <c r="C63" s="60"/>
      <c r="D63" s="60"/>
      <c r="E63" s="65" t="s">
        <v>373</v>
      </c>
      <c r="F63" s="62"/>
      <c r="G63" s="62"/>
      <c r="H63" s="70" t="s">
        <v>174</v>
      </c>
      <c r="I63" s="70" t="s">
        <v>181</v>
      </c>
      <c r="J63" s="62"/>
      <c r="K63" s="70" t="s">
        <v>179</v>
      </c>
      <c r="L63" s="62"/>
      <c r="M63" s="62"/>
      <c r="N63" s="64"/>
      <c r="O63" s="64"/>
      <c r="P63" s="60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>
      <c r="A64" s="45">
        <v>12.0</v>
      </c>
      <c r="B64" s="46" t="s">
        <v>422</v>
      </c>
      <c r="C64" s="47">
        <v>1002.0</v>
      </c>
      <c r="D64" s="79" t="s">
        <v>393</v>
      </c>
      <c r="E64" s="49" t="s">
        <v>367</v>
      </c>
      <c r="F64" s="50" t="s">
        <v>375</v>
      </c>
      <c r="G64" s="50" t="s">
        <v>375</v>
      </c>
      <c r="H64" s="50" t="s">
        <v>375</v>
      </c>
      <c r="I64" s="50" t="s">
        <v>423</v>
      </c>
      <c r="J64" s="50" t="s">
        <v>375</v>
      </c>
      <c r="K64" s="50" t="s">
        <v>375</v>
      </c>
      <c r="L64" s="50" t="s">
        <v>368</v>
      </c>
      <c r="M64" s="51">
        <f>sum(N64/M67)</f>
        <v>1.95490641</v>
      </c>
      <c r="N64" s="52">
        <f>sum(F66:L66)</f>
        <v>6893</v>
      </c>
      <c r="O64" s="53">
        <f>SUM(N64-8000)</f>
        <v>-1107</v>
      </c>
      <c r="P64" s="76" t="s">
        <v>410</v>
      </c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>
      <c r="A65" s="55"/>
      <c r="B65" s="56"/>
      <c r="C65" s="55"/>
      <c r="D65" s="55"/>
      <c r="E65" s="49" t="s">
        <v>369</v>
      </c>
      <c r="F65" s="50" t="s">
        <v>424</v>
      </c>
      <c r="G65" s="50" t="s">
        <v>425</v>
      </c>
      <c r="H65" s="57"/>
      <c r="I65" s="57"/>
      <c r="J65" s="87" t="s">
        <v>426</v>
      </c>
      <c r="K65" s="57"/>
      <c r="L65" s="57"/>
      <c r="M65" s="55"/>
      <c r="N65" s="56"/>
      <c r="O65" s="56"/>
      <c r="P65" s="5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>
      <c r="A66" s="55"/>
      <c r="B66" s="56"/>
      <c r="C66" s="55"/>
      <c r="D66" s="55"/>
      <c r="E66" s="58" t="s">
        <v>370</v>
      </c>
      <c r="F66" s="67">
        <v>1420.0</v>
      </c>
      <c r="G66" s="69">
        <v>2700.0</v>
      </c>
      <c r="H66" s="74"/>
      <c r="I66" s="74"/>
      <c r="J66" s="69">
        <v>2773.0</v>
      </c>
      <c r="K66" s="68"/>
      <c r="L66" s="74"/>
      <c r="M66" s="60"/>
      <c r="N66" s="56"/>
      <c r="O66" s="56"/>
      <c r="P66" s="5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>
      <c r="A67" s="55"/>
      <c r="B67" s="56"/>
      <c r="C67" s="55"/>
      <c r="D67" s="55"/>
      <c r="E67" s="61" t="s">
        <v>371</v>
      </c>
      <c r="F67" s="70">
        <v>705.0</v>
      </c>
      <c r="G67" s="70">
        <v>1467.0</v>
      </c>
      <c r="H67" s="62"/>
      <c r="I67" s="35"/>
      <c r="J67" s="89">
        <v>1354.0</v>
      </c>
      <c r="K67" s="62"/>
      <c r="L67" s="62"/>
      <c r="M67" s="63">
        <f>SUM(F67:L67)</f>
        <v>3526</v>
      </c>
      <c r="N67" s="56"/>
      <c r="O67" s="56"/>
      <c r="P67" s="5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>
      <c r="A68" s="55"/>
      <c r="B68" s="56"/>
      <c r="C68" s="55"/>
      <c r="D68" s="55"/>
      <c r="E68" s="61" t="s">
        <v>372</v>
      </c>
      <c r="F68" s="70" t="s">
        <v>427</v>
      </c>
      <c r="G68" s="70" t="s">
        <v>428</v>
      </c>
      <c r="H68" s="62"/>
      <c r="I68" s="62"/>
      <c r="J68" s="70" t="s">
        <v>429</v>
      </c>
      <c r="K68" s="62"/>
      <c r="L68" s="62"/>
      <c r="M68" s="62"/>
      <c r="N68" s="56"/>
      <c r="O68" s="56"/>
      <c r="P68" s="5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>
      <c r="A69" s="60"/>
      <c r="B69" s="64"/>
      <c r="C69" s="60"/>
      <c r="D69" s="60"/>
      <c r="E69" s="65" t="s">
        <v>373</v>
      </c>
      <c r="F69" s="70" t="s">
        <v>66</v>
      </c>
      <c r="G69" s="70" t="s">
        <v>70</v>
      </c>
      <c r="H69" s="62"/>
      <c r="I69" s="62"/>
      <c r="J69" s="70" t="s">
        <v>74</v>
      </c>
      <c r="K69" s="62"/>
      <c r="L69" s="62"/>
      <c r="M69" s="62"/>
      <c r="N69" s="64"/>
      <c r="O69" s="64"/>
      <c r="P69" s="60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>
      <c r="A70" s="45">
        <v>13.0</v>
      </c>
      <c r="B70" s="46" t="s">
        <v>430</v>
      </c>
      <c r="C70" s="84" t="s">
        <v>431</v>
      </c>
      <c r="D70" s="79" t="s">
        <v>393</v>
      </c>
      <c r="E70" s="49" t="s">
        <v>367</v>
      </c>
      <c r="F70" s="50" t="s">
        <v>375</v>
      </c>
      <c r="G70" s="50" t="s">
        <v>432</v>
      </c>
      <c r="H70" s="50" t="s">
        <v>375</v>
      </c>
      <c r="I70" s="50" t="s">
        <v>375</v>
      </c>
      <c r="J70" s="50" t="s">
        <v>375</v>
      </c>
      <c r="K70" s="50" t="s">
        <v>375</v>
      </c>
      <c r="L70" s="50" t="s">
        <v>375</v>
      </c>
      <c r="M70" s="51">
        <f>sum(N70/M73)</f>
        <v>1.854373024</v>
      </c>
      <c r="N70" s="52">
        <f>sum(F72:L72)</f>
        <v>8799</v>
      </c>
      <c r="O70" s="53">
        <f>SUM(N70-8000)</f>
        <v>799</v>
      </c>
      <c r="P70" s="76" t="s">
        <v>433</v>
      </c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>
      <c r="A71" s="55"/>
      <c r="B71" s="56"/>
      <c r="C71" s="55"/>
      <c r="D71" s="55"/>
      <c r="E71" s="49" t="s">
        <v>369</v>
      </c>
      <c r="F71" s="57"/>
      <c r="G71" s="57"/>
      <c r="H71" s="75" t="s">
        <v>15</v>
      </c>
      <c r="I71" s="57"/>
      <c r="J71" s="50" t="s">
        <v>434</v>
      </c>
      <c r="K71" s="57"/>
      <c r="L71" s="57"/>
      <c r="M71" s="55"/>
      <c r="N71" s="56"/>
      <c r="O71" s="56"/>
      <c r="P71" s="5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>
      <c r="A72" s="55"/>
      <c r="B72" s="56"/>
      <c r="C72" s="55"/>
      <c r="D72" s="55"/>
      <c r="E72" s="58" t="s">
        <v>370</v>
      </c>
      <c r="F72" s="74"/>
      <c r="G72" s="68"/>
      <c r="H72" s="67">
        <v>4600.0</v>
      </c>
      <c r="I72" s="74"/>
      <c r="J72" s="67">
        <v>4199.0</v>
      </c>
      <c r="K72" s="74"/>
      <c r="L72" s="74"/>
      <c r="M72" s="60"/>
      <c r="N72" s="56"/>
      <c r="O72" s="56"/>
      <c r="P72" s="5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>
      <c r="A73" s="55"/>
      <c r="B73" s="56"/>
      <c r="C73" s="55"/>
      <c r="D73" s="55"/>
      <c r="E73" s="61" t="s">
        <v>371</v>
      </c>
      <c r="F73" s="62"/>
      <c r="G73" s="62"/>
      <c r="H73" s="70">
        <v>2501.0</v>
      </c>
      <c r="I73" s="62"/>
      <c r="J73" s="70">
        <v>2244.0</v>
      </c>
      <c r="K73" s="62"/>
      <c r="L73" s="62"/>
      <c r="M73" s="71">
        <f>SUM(F73:L73)</f>
        <v>4745</v>
      </c>
      <c r="N73" s="56"/>
      <c r="O73" s="56"/>
      <c r="P73" s="5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>
      <c r="A74" s="55"/>
      <c r="B74" s="56"/>
      <c r="C74" s="55"/>
      <c r="D74" s="55"/>
      <c r="E74" s="61" t="s">
        <v>372</v>
      </c>
      <c r="F74" s="62"/>
      <c r="G74" s="62"/>
      <c r="H74" s="70" t="s">
        <v>435</v>
      </c>
      <c r="I74" s="62"/>
      <c r="J74" s="90" t="s">
        <v>436</v>
      </c>
      <c r="K74" s="62"/>
      <c r="L74" s="62"/>
      <c r="M74" s="62"/>
      <c r="N74" s="56"/>
      <c r="O74" s="56"/>
      <c r="P74" s="5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>
      <c r="A75" s="60"/>
      <c r="B75" s="64"/>
      <c r="C75" s="60"/>
      <c r="D75" s="60"/>
      <c r="E75" s="65" t="s">
        <v>373</v>
      </c>
      <c r="F75" s="62"/>
      <c r="G75" s="62"/>
      <c r="H75" s="70" t="s">
        <v>18</v>
      </c>
      <c r="I75" s="62"/>
      <c r="J75" s="70" t="s">
        <v>23</v>
      </c>
      <c r="K75" s="62"/>
      <c r="L75" s="62"/>
      <c r="M75" s="62"/>
      <c r="N75" s="64"/>
      <c r="O75" s="64"/>
      <c r="P75" s="60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>
      <c r="A76" s="45">
        <v>14.0</v>
      </c>
      <c r="B76" s="46" t="s">
        <v>437</v>
      </c>
      <c r="C76" s="84" t="s">
        <v>438</v>
      </c>
      <c r="D76" s="79" t="s">
        <v>393</v>
      </c>
      <c r="E76" s="49" t="s">
        <v>367</v>
      </c>
      <c r="F76" s="50" t="s">
        <v>400</v>
      </c>
      <c r="G76" s="50" t="s">
        <v>400</v>
      </c>
      <c r="H76" s="50" t="s">
        <v>399</v>
      </c>
      <c r="I76" s="50" t="s">
        <v>375</v>
      </c>
      <c r="J76" s="50" t="s">
        <v>439</v>
      </c>
      <c r="K76" s="57"/>
      <c r="L76" s="57"/>
      <c r="M76" s="51">
        <f>sum(N76/M79)</f>
        <v>2.027027027</v>
      </c>
      <c r="N76" s="52">
        <f>sum(F78:L78)</f>
        <v>1350</v>
      </c>
      <c r="O76" s="53">
        <f>SUM(N76-8000)</f>
        <v>-6650</v>
      </c>
      <c r="P76" s="91" t="s">
        <v>440</v>
      </c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>
      <c r="A77" s="55"/>
      <c r="B77" s="56"/>
      <c r="C77" s="55"/>
      <c r="D77" s="55"/>
      <c r="E77" s="49" t="s">
        <v>369</v>
      </c>
      <c r="F77" s="57"/>
      <c r="G77" s="57"/>
      <c r="H77" s="35"/>
      <c r="I77" s="50" t="s">
        <v>441</v>
      </c>
      <c r="J77" s="57"/>
      <c r="K77" s="57"/>
      <c r="L77" s="57"/>
      <c r="M77" s="55"/>
      <c r="N77" s="56"/>
      <c r="O77" s="56"/>
      <c r="P77" s="5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>
      <c r="A78" s="55"/>
      <c r="B78" s="56"/>
      <c r="C78" s="55"/>
      <c r="D78" s="55"/>
      <c r="E78" s="58" t="s">
        <v>370</v>
      </c>
      <c r="F78" s="74"/>
      <c r="G78" s="68"/>
      <c r="H78" s="74"/>
      <c r="I78" s="67">
        <v>1350.0</v>
      </c>
      <c r="J78" s="74"/>
      <c r="K78" s="74"/>
      <c r="L78" s="74"/>
      <c r="M78" s="60"/>
      <c r="N78" s="56"/>
      <c r="O78" s="56"/>
      <c r="P78" s="5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>
      <c r="A79" s="55"/>
      <c r="B79" s="56"/>
      <c r="C79" s="55"/>
      <c r="D79" s="55"/>
      <c r="E79" s="61" t="s">
        <v>371</v>
      </c>
      <c r="F79" s="62"/>
      <c r="G79" s="62"/>
      <c r="H79" s="62"/>
      <c r="I79" s="70">
        <v>666.0</v>
      </c>
      <c r="J79" s="62"/>
      <c r="K79" s="62"/>
      <c r="L79" s="62"/>
      <c r="M79" s="63">
        <f>SUM(F79:L79)</f>
        <v>666</v>
      </c>
      <c r="N79" s="56"/>
      <c r="O79" s="56"/>
      <c r="P79" s="5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>
      <c r="A80" s="55"/>
      <c r="B80" s="56"/>
      <c r="C80" s="55"/>
      <c r="D80" s="55"/>
      <c r="E80" s="61" t="s">
        <v>372</v>
      </c>
      <c r="F80" s="62"/>
      <c r="G80" s="62"/>
      <c r="H80" s="62"/>
      <c r="I80" s="70" t="s">
        <v>442</v>
      </c>
      <c r="J80" s="62"/>
      <c r="K80" s="62"/>
      <c r="L80" s="62"/>
      <c r="M80" s="62"/>
      <c r="N80" s="56"/>
      <c r="O80" s="56"/>
      <c r="P80" s="5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>
      <c r="A81" s="60"/>
      <c r="B81" s="64"/>
      <c r="C81" s="60"/>
      <c r="D81" s="60"/>
      <c r="E81" s="65" t="s">
        <v>373</v>
      </c>
      <c r="F81" s="62"/>
      <c r="G81" s="62"/>
      <c r="H81" s="62"/>
      <c r="I81" s="70" t="s">
        <v>296</v>
      </c>
      <c r="J81" s="62"/>
      <c r="K81" s="62"/>
      <c r="L81" s="62"/>
      <c r="M81" s="62"/>
      <c r="N81" s="64"/>
      <c r="O81" s="64"/>
      <c r="P81" s="60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>
      <c r="A82" s="45">
        <v>15.0</v>
      </c>
      <c r="B82" s="46" t="s">
        <v>443</v>
      </c>
      <c r="C82" s="47">
        <v>9334.0</v>
      </c>
      <c r="D82" s="92" t="s">
        <v>444</v>
      </c>
      <c r="E82" s="49" t="s">
        <v>367</v>
      </c>
      <c r="F82" s="50" t="s">
        <v>375</v>
      </c>
      <c r="G82" s="50" t="s">
        <v>375</v>
      </c>
      <c r="H82" s="50" t="s">
        <v>375</v>
      </c>
      <c r="I82" s="50" t="s">
        <v>375</v>
      </c>
      <c r="J82" s="50" t="s">
        <v>375</v>
      </c>
      <c r="K82" s="50" t="s">
        <v>375</v>
      </c>
      <c r="L82" s="50" t="s">
        <v>375</v>
      </c>
      <c r="M82" s="51">
        <f>sum(N82/M85)</f>
        <v>1.829847909</v>
      </c>
      <c r="N82" s="52">
        <f>sum(F84:L84)</f>
        <v>7700</v>
      </c>
      <c r="O82" s="53">
        <f>SUM(N82-8000)</f>
        <v>-300</v>
      </c>
      <c r="P82" s="54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>
      <c r="A83" s="55"/>
      <c r="B83" s="56"/>
      <c r="C83" s="55"/>
      <c r="D83" s="55"/>
      <c r="E83" s="49" t="s">
        <v>369</v>
      </c>
      <c r="F83" s="50" t="s">
        <v>298</v>
      </c>
      <c r="G83" s="57"/>
      <c r="H83" s="50" t="s">
        <v>304</v>
      </c>
      <c r="I83" s="50" t="s">
        <v>445</v>
      </c>
      <c r="J83" s="83" t="s">
        <v>446</v>
      </c>
      <c r="K83" s="50" t="s">
        <v>447</v>
      </c>
      <c r="L83" s="57"/>
      <c r="M83" s="55"/>
      <c r="N83" s="56"/>
      <c r="O83" s="56"/>
      <c r="P83" s="5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>
      <c r="A84" s="55"/>
      <c r="B84" s="56"/>
      <c r="C84" s="55"/>
      <c r="D84" s="55"/>
      <c r="E84" s="58" t="s">
        <v>370</v>
      </c>
      <c r="F84" s="67">
        <v>1500.0</v>
      </c>
      <c r="G84" s="68"/>
      <c r="H84" s="67">
        <v>1350.0</v>
      </c>
      <c r="I84" s="67">
        <v>1850.0</v>
      </c>
      <c r="J84" s="69">
        <v>1500.0</v>
      </c>
      <c r="K84" s="67">
        <v>1500.0</v>
      </c>
      <c r="L84" s="74"/>
      <c r="M84" s="60"/>
      <c r="N84" s="56"/>
      <c r="O84" s="56"/>
      <c r="P84" s="5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>
      <c r="A85" s="55"/>
      <c r="B85" s="56"/>
      <c r="C85" s="55"/>
      <c r="D85" s="55"/>
      <c r="E85" s="61" t="s">
        <v>371</v>
      </c>
      <c r="F85" s="70">
        <v>1330.0</v>
      </c>
      <c r="G85" s="62"/>
      <c r="H85" s="70">
        <v>632.0</v>
      </c>
      <c r="I85" s="70">
        <v>860.0</v>
      </c>
      <c r="J85" s="70">
        <v>446.0</v>
      </c>
      <c r="K85" s="70">
        <v>940.0</v>
      </c>
      <c r="L85" s="62"/>
      <c r="M85" s="63">
        <f>SUM(F85:L85)</f>
        <v>4208</v>
      </c>
      <c r="N85" s="56"/>
      <c r="O85" s="56"/>
      <c r="P85" s="5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>
      <c r="A86" s="55"/>
      <c r="B86" s="56"/>
      <c r="C86" s="55"/>
      <c r="D86" s="55"/>
      <c r="E86" s="61" t="s">
        <v>372</v>
      </c>
      <c r="F86" s="70" t="s">
        <v>448</v>
      </c>
      <c r="G86" s="62"/>
      <c r="H86" s="70" t="s">
        <v>449</v>
      </c>
      <c r="I86" s="70" t="s">
        <v>450</v>
      </c>
      <c r="J86" s="70" t="s">
        <v>451</v>
      </c>
      <c r="K86" s="70" t="s">
        <v>452</v>
      </c>
      <c r="L86" s="62"/>
      <c r="M86" s="62"/>
      <c r="N86" s="56"/>
      <c r="O86" s="56"/>
      <c r="P86" s="5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>
      <c r="A87" s="60"/>
      <c r="B87" s="64"/>
      <c r="C87" s="60"/>
      <c r="D87" s="60"/>
      <c r="E87" s="65" t="s">
        <v>373</v>
      </c>
      <c r="F87" s="70" t="s">
        <v>301</v>
      </c>
      <c r="G87" s="62"/>
      <c r="H87" s="70" t="s">
        <v>307</v>
      </c>
      <c r="I87" s="70" t="s">
        <v>311</v>
      </c>
      <c r="J87" s="70" t="s">
        <v>314</v>
      </c>
      <c r="K87" s="70" t="s">
        <v>317</v>
      </c>
      <c r="L87" s="62"/>
      <c r="M87" s="62"/>
      <c r="N87" s="64"/>
      <c r="O87" s="64"/>
      <c r="P87" s="60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>
      <c r="A88" s="45">
        <v>16.0</v>
      </c>
      <c r="B88" s="93" t="s">
        <v>453</v>
      </c>
      <c r="C88" s="47">
        <v>6960.0</v>
      </c>
      <c r="D88" s="92" t="s">
        <v>444</v>
      </c>
      <c r="E88" s="49" t="s">
        <v>367</v>
      </c>
      <c r="F88" s="50" t="s">
        <v>375</v>
      </c>
      <c r="G88" s="50" t="s">
        <v>375</v>
      </c>
      <c r="H88" s="50" t="s">
        <v>375</v>
      </c>
      <c r="I88" s="50" t="s">
        <v>375</v>
      </c>
      <c r="J88" s="50" t="s">
        <v>375</v>
      </c>
      <c r="K88" s="50" t="s">
        <v>375</v>
      </c>
      <c r="L88" s="50" t="s">
        <v>375</v>
      </c>
      <c r="M88" s="51">
        <f>sum(N88/M91)</f>
        <v>1.869427668</v>
      </c>
      <c r="N88" s="52">
        <f>sum(F90:L90)</f>
        <v>13000</v>
      </c>
      <c r="O88" s="53">
        <f>SUM(N88-8000)</f>
        <v>5000</v>
      </c>
      <c r="P88" s="54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>
      <c r="A89" s="55"/>
      <c r="B89" s="56"/>
      <c r="C89" s="55"/>
      <c r="D89" s="55"/>
      <c r="E89" s="49" t="s">
        <v>369</v>
      </c>
      <c r="F89" s="94" t="s">
        <v>454</v>
      </c>
      <c r="G89" s="50" t="s">
        <v>455</v>
      </c>
      <c r="H89" s="70">
        <v>216982.0</v>
      </c>
      <c r="I89" s="50" t="s">
        <v>456</v>
      </c>
      <c r="J89" s="50" t="s">
        <v>457</v>
      </c>
      <c r="K89" s="50" t="s">
        <v>241</v>
      </c>
      <c r="L89" s="57"/>
      <c r="M89" s="55"/>
      <c r="N89" s="56"/>
      <c r="O89" s="56"/>
      <c r="P89" s="5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>
      <c r="A90" s="55"/>
      <c r="B90" s="56"/>
      <c r="C90" s="55"/>
      <c r="D90" s="55"/>
      <c r="E90" s="58" t="s">
        <v>370</v>
      </c>
      <c r="F90" s="69">
        <v>1800.0</v>
      </c>
      <c r="G90" s="69">
        <v>1800.0</v>
      </c>
      <c r="H90" s="67">
        <v>2800.0</v>
      </c>
      <c r="I90" s="69">
        <v>2300.0</v>
      </c>
      <c r="J90" s="69">
        <v>2300.0</v>
      </c>
      <c r="K90" s="67">
        <v>2000.0</v>
      </c>
      <c r="L90" s="74"/>
      <c r="M90" s="60"/>
      <c r="N90" s="56"/>
      <c r="O90" s="56"/>
      <c r="P90" s="5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>
      <c r="A91" s="55"/>
      <c r="B91" s="56"/>
      <c r="C91" s="55"/>
      <c r="D91" s="55"/>
      <c r="E91" s="61" t="s">
        <v>371</v>
      </c>
      <c r="F91" s="70">
        <v>1019.0</v>
      </c>
      <c r="G91" s="70">
        <v>959.0</v>
      </c>
      <c r="H91" s="70">
        <v>1147.0</v>
      </c>
      <c r="I91" s="70">
        <v>1350.0</v>
      </c>
      <c r="J91" s="70">
        <v>1295.0</v>
      </c>
      <c r="K91" s="70">
        <v>1184.0</v>
      </c>
      <c r="L91" s="62"/>
      <c r="M91" s="63">
        <f>SUM(F91:L91)</f>
        <v>6954</v>
      </c>
      <c r="N91" s="56"/>
      <c r="O91" s="56"/>
      <c r="P91" s="5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>
      <c r="A92" s="55"/>
      <c r="B92" s="56"/>
      <c r="C92" s="55"/>
      <c r="D92" s="55"/>
      <c r="E92" s="61" t="s">
        <v>372</v>
      </c>
      <c r="F92" s="95" t="s">
        <v>458</v>
      </c>
      <c r="G92" s="70" t="s">
        <v>459</v>
      </c>
      <c r="H92" s="70" t="s">
        <v>460</v>
      </c>
      <c r="I92" s="70" t="s">
        <v>461</v>
      </c>
      <c r="J92" s="70" t="s">
        <v>462</v>
      </c>
      <c r="K92" s="70" t="s">
        <v>463</v>
      </c>
      <c r="L92" s="62"/>
      <c r="M92" s="62"/>
      <c r="N92" s="56"/>
      <c r="O92" s="56"/>
      <c r="P92" s="5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>
      <c r="A93" s="60"/>
      <c r="B93" s="64"/>
      <c r="C93" s="60"/>
      <c r="D93" s="60"/>
      <c r="E93" s="65" t="s">
        <v>373</v>
      </c>
      <c r="F93" s="95" t="s">
        <v>464</v>
      </c>
      <c r="G93" s="70" t="s">
        <v>227</v>
      </c>
      <c r="H93" s="70" t="s">
        <v>231</v>
      </c>
      <c r="I93" s="70" t="s">
        <v>235</v>
      </c>
      <c r="J93" s="70" t="s">
        <v>239</v>
      </c>
      <c r="K93" s="70" t="s">
        <v>244</v>
      </c>
      <c r="L93" s="62"/>
      <c r="M93" s="62"/>
      <c r="N93" s="64"/>
      <c r="O93" s="64"/>
      <c r="P93" s="60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>
      <c r="A94" s="45">
        <v>17.0</v>
      </c>
      <c r="B94" s="46" t="s">
        <v>465</v>
      </c>
      <c r="C94" s="47">
        <v>890.0</v>
      </c>
      <c r="D94" s="92" t="s">
        <v>444</v>
      </c>
      <c r="E94" s="49" t="s">
        <v>367</v>
      </c>
      <c r="F94" s="50" t="s">
        <v>375</v>
      </c>
      <c r="G94" s="50" t="s">
        <v>375</v>
      </c>
      <c r="H94" s="50" t="s">
        <v>375</v>
      </c>
      <c r="I94" s="50" t="s">
        <v>375</v>
      </c>
      <c r="J94" s="50" t="s">
        <v>375</v>
      </c>
      <c r="K94" s="50" t="s">
        <v>375</v>
      </c>
      <c r="L94" s="50" t="s">
        <v>375</v>
      </c>
      <c r="M94" s="51">
        <f>sum(N94/M97)</f>
        <v>2.060737527</v>
      </c>
      <c r="N94" s="52">
        <f>sum(F96:L96)</f>
        <v>9500</v>
      </c>
      <c r="O94" s="53">
        <f>SUM(N94-8000)</f>
        <v>1500</v>
      </c>
      <c r="P94" s="54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>
      <c r="A95" s="55"/>
      <c r="B95" s="56"/>
      <c r="C95" s="55"/>
      <c r="D95" s="55"/>
      <c r="E95" s="49" t="s">
        <v>369</v>
      </c>
      <c r="F95" s="50" t="s">
        <v>466</v>
      </c>
      <c r="G95" s="57"/>
      <c r="H95" s="66" t="s">
        <v>467</v>
      </c>
      <c r="I95" s="50" t="s">
        <v>468</v>
      </c>
      <c r="J95" s="57"/>
      <c r="K95" s="57"/>
      <c r="L95" s="57"/>
      <c r="M95" s="55"/>
      <c r="N95" s="56"/>
      <c r="O95" s="56"/>
      <c r="P95" s="5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>
      <c r="A96" s="55"/>
      <c r="B96" s="56"/>
      <c r="C96" s="55"/>
      <c r="D96" s="55"/>
      <c r="E96" s="58" t="s">
        <v>370</v>
      </c>
      <c r="F96" s="67">
        <v>2200.0</v>
      </c>
      <c r="G96" s="68"/>
      <c r="H96" s="67">
        <v>1800.0</v>
      </c>
      <c r="I96" s="67">
        <v>5500.0</v>
      </c>
      <c r="J96" s="68"/>
      <c r="K96" s="74"/>
      <c r="L96" s="74"/>
      <c r="M96" s="60"/>
      <c r="N96" s="56"/>
      <c r="O96" s="56"/>
      <c r="P96" s="5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>
      <c r="A97" s="55"/>
      <c r="B97" s="56"/>
      <c r="C97" s="55"/>
      <c r="D97" s="55"/>
      <c r="E97" s="61" t="s">
        <v>371</v>
      </c>
      <c r="F97" s="70">
        <v>1139.0</v>
      </c>
      <c r="G97" s="62"/>
      <c r="H97" s="70">
        <v>783.0</v>
      </c>
      <c r="I97" s="70">
        <v>2688.0</v>
      </c>
      <c r="J97" s="62"/>
      <c r="K97" s="62"/>
      <c r="L97" s="62"/>
      <c r="M97" s="63">
        <f>SUM(F97:L97)</f>
        <v>4610</v>
      </c>
      <c r="N97" s="56"/>
      <c r="O97" s="56"/>
      <c r="P97" s="5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>
      <c r="A98" s="55"/>
      <c r="B98" s="56"/>
      <c r="C98" s="55"/>
      <c r="D98" s="55"/>
      <c r="E98" s="61" t="s">
        <v>372</v>
      </c>
      <c r="F98" s="70" t="s">
        <v>469</v>
      </c>
      <c r="G98" s="62"/>
      <c r="H98" s="70" t="s">
        <v>470</v>
      </c>
      <c r="I98" s="70" t="s">
        <v>471</v>
      </c>
      <c r="J98" s="62"/>
      <c r="K98" s="62"/>
      <c r="L98" s="62"/>
      <c r="M98" s="62"/>
      <c r="N98" s="56"/>
      <c r="O98" s="56"/>
      <c r="P98" s="5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>
      <c r="A99" s="60"/>
      <c r="B99" s="64"/>
      <c r="C99" s="60"/>
      <c r="D99" s="60"/>
      <c r="E99" s="65" t="s">
        <v>373</v>
      </c>
      <c r="F99" s="70" t="s">
        <v>131</v>
      </c>
      <c r="G99" s="62"/>
      <c r="H99" s="70" t="s">
        <v>135</v>
      </c>
      <c r="I99" s="70" t="s">
        <v>138</v>
      </c>
      <c r="J99" s="62"/>
      <c r="K99" s="62"/>
      <c r="L99" s="62"/>
      <c r="M99" s="62"/>
      <c r="N99" s="64"/>
      <c r="O99" s="64"/>
      <c r="P99" s="60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>
      <c r="A100" s="45">
        <v>18.0</v>
      </c>
      <c r="B100" s="46" t="s">
        <v>472</v>
      </c>
      <c r="C100" s="47">
        <v>2316.0</v>
      </c>
      <c r="D100" s="92" t="s">
        <v>444</v>
      </c>
      <c r="E100" s="49" t="s">
        <v>367</v>
      </c>
      <c r="F100" s="50" t="s">
        <v>368</v>
      </c>
      <c r="G100" s="50" t="s">
        <v>375</v>
      </c>
      <c r="H100" s="50" t="s">
        <v>375</v>
      </c>
      <c r="I100" s="50" t="s">
        <v>375</v>
      </c>
      <c r="J100" s="50" t="s">
        <v>375</v>
      </c>
      <c r="K100" s="50" t="s">
        <v>375</v>
      </c>
      <c r="L100" s="50" t="s">
        <v>375</v>
      </c>
      <c r="M100" s="51">
        <f>sum(N100/M103)</f>
        <v>1.864048338</v>
      </c>
      <c r="N100" s="52">
        <f>sum(F102:L102)</f>
        <v>6787</v>
      </c>
      <c r="O100" s="53">
        <f>SUM(N100-8000)</f>
        <v>-1213</v>
      </c>
      <c r="P100" s="54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>
      <c r="A101" s="55"/>
      <c r="B101" s="56"/>
      <c r="C101" s="55"/>
      <c r="D101" s="55"/>
      <c r="E101" s="49" t="s">
        <v>369</v>
      </c>
      <c r="F101" s="57"/>
      <c r="G101" s="50" t="s">
        <v>473</v>
      </c>
      <c r="H101" s="50" t="s">
        <v>474</v>
      </c>
      <c r="I101" s="50" t="s">
        <v>475</v>
      </c>
      <c r="J101" s="96" t="s">
        <v>476</v>
      </c>
      <c r="K101" s="57"/>
      <c r="L101" s="57"/>
      <c r="M101" s="55"/>
      <c r="N101" s="56"/>
      <c r="O101" s="56"/>
      <c r="P101" s="5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>
      <c r="A102" s="55"/>
      <c r="B102" s="56"/>
      <c r="C102" s="55"/>
      <c r="D102" s="55"/>
      <c r="E102" s="58" t="s">
        <v>370</v>
      </c>
      <c r="F102" s="74"/>
      <c r="G102" s="69">
        <v>500.0</v>
      </c>
      <c r="H102" s="67">
        <v>1000.0</v>
      </c>
      <c r="I102" s="67">
        <v>1887.0</v>
      </c>
      <c r="J102" s="69">
        <v>3400.0</v>
      </c>
      <c r="K102" s="74"/>
      <c r="L102" s="74"/>
      <c r="M102" s="60"/>
      <c r="N102" s="56"/>
      <c r="O102" s="56"/>
      <c r="P102" s="5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>
      <c r="A103" s="55"/>
      <c r="B103" s="56"/>
      <c r="C103" s="55"/>
      <c r="D103" s="55"/>
      <c r="E103" s="61" t="s">
        <v>371</v>
      </c>
      <c r="F103" s="62"/>
      <c r="G103" s="70">
        <v>427.0</v>
      </c>
      <c r="H103" s="70">
        <v>500.0</v>
      </c>
      <c r="I103" s="97">
        <v>915.0</v>
      </c>
      <c r="J103" s="70">
        <v>1799.0</v>
      </c>
      <c r="K103" s="62"/>
      <c r="L103" s="62"/>
      <c r="M103" s="63">
        <f>SUM(F103:L103)</f>
        <v>3641</v>
      </c>
      <c r="N103" s="56"/>
      <c r="O103" s="56"/>
      <c r="P103" s="5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>
      <c r="A104" s="55"/>
      <c r="B104" s="56"/>
      <c r="C104" s="55"/>
      <c r="D104" s="55"/>
      <c r="E104" s="61" t="s">
        <v>372</v>
      </c>
      <c r="F104" s="62"/>
      <c r="G104" s="70" t="s">
        <v>477</v>
      </c>
      <c r="H104" s="70" t="s">
        <v>478</v>
      </c>
      <c r="I104" s="98" t="s">
        <v>479</v>
      </c>
      <c r="J104" s="70" t="s">
        <v>480</v>
      </c>
      <c r="K104" s="62"/>
      <c r="L104" s="62"/>
      <c r="M104" s="62"/>
      <c r="N104" s="56"/>
      <c r="O104" s="56"/>
      <c r="P104" s="5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>
      <c r="A105" s="60"/>
      <c r="B105" s="64"/>
      <c r="C105" s="60"/>
      <c r="D105" s="60"/>
      <c r="E105" s="65" t="s">
        <v>373</v>
      </c>
      <c r="F105" s="62"/>
      <c r="G105" s="95" t="s">
        <v>78</v>
      </c>
      <c r="H105" s="70" t="s">
        <v>83</v>
      </c>
      <c r="I105" s="70" t="s">
        <v>86</v>
      </c>
      <c r="J105" s="70" t="s">
        <v>90</v>
      </c>
      <c r="K105" s="62"/>
      <c r="L105" s="62"/>
      <c r="M105" s="62"/>
      <c r="N105" s="64"/>
      <c r="O105" s="64"/>
      <c r="P105" s="60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>
      <c r="A106" s="99">
        <v>19.0</v>
      </c>
      <c r="B106" s="100" t="s">
        <v>481</v>
      </c>
      <c r="C106" s="47">
        <v>8775.0</v>
      </c>
      <c r="D106" s="92" t="s">
        <v>444</v>
      </c>
      <c r="E106" s="49" t="s">
        <v>367</v>
      </c>
      <c r="F106" s="50" t="s">
        <v>368</v>
      </c>
      <c r="G106" s="50" t="s">
        <v>368</v>
      </c>
      <c r="H106" s="50" t="s">
        <v>368</v>
      </c>
      <c r="I106" s="50" t="s">
        <v>368</v>
      </c>
      <c r="J106" s="50" t="s">
        <v>368</v>
      </c>
      <c r="K106" s="50" t="s">
        <v>368</v>
      </c>
      <c r="L106" s="50" t="s">
        <v>368</v>
      </c>
      <c r="M106" s="51" t="str">
        <f>sum(N106/M109)</f>
        <v>#DIV/0!</v>
      </c>
      <c r="N106" s="101">
        <f>sum(F108:L108)</f>
        <v>0</v>
      </c>
      <c r="O106" s="53">
        <f>SUM(N106-8000)</f>
        <v>-8000</v>
      </c>
      <c r="P106" s="54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>
      <c r="A107" s="55"/>
      <c r="B107" s="55"/>
      <c r="C107" s="55"/>
      <c r="D107" s="55"/>
      <c r="E107" s="49" t="s">
        <v>369</v>
      </c>
      <c r="F107" s="62"/>
      <c r="G107" s="62"/>
      <c r="H107" s="62"/>
      <c r="I107" s="62"/>
      <c r="J107" s="57"/>
      <c r="K107" s="57"/>
      <c r="L107" s="62"/>
      <c r="M107" s="55"/>
      <c r="N107" s="55"/>
      <c r="O107" s="56"/>
      <c r="P107" s="5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>
      <c r="A108" s="55"/>
      <c r="B108" s="55"/>
      <c r="C108" s="55"/>
      <c r="D108" s="55"/>
      <c r="E108" s="58" t="s">
        <v>370</v>
      </c>
      <c r="F108" s="74"/>
      <c r="G108" s="74"/>
      <c r="H108" s="74"/>
      <c r="I108" s="74"/>
      <c r="J108" s="74"/>
      <c r="K108" s="74"/>
      <c r="L108" s="74"/>
      <c r="M108" s="60"/>
      <c r="N108" s="55"/>
      <c r="O108" s="56"/>
      <c r="P108" s="5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>
      <c r="A109" s="55"/>
      <c r="B109" s="55"/>
      <c r="C109" s="55"/>
      <c r="D109" s="55"/>
      <c r="E109" s="61" t="s">
        <v>371</v>
      </c>
      <c r="F109" s="62"/>
      <c r="G109" s="62"/>
      <c r="H109" s="62"/>
      <c r="I109" s="62"/>
      <c r="J109" s="62"/>
      <c r="K109" s="62"/>
      <c r="L109" s="62"/>
      <c r="M109" s="63">
        <f>SUM(F109:L109)</f>
        <v>0</v>
      </c>
      <c r="N109" s="55"/>
      <c r="O109" s="56"/>
      <c r="P109" s="5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>
      <c r="A110" s="55"/>
      <c r="B110" s="55"/>
      <c r="C110" s="55"/>
      <c r="D110" s="55"/>
      <c r="E110" s="61" t="s">
        <v>372</v>
      </c>
      <c r="F110" s="62"/>
      <c r="G110" s="62"/>
      <c r="H110" s="62"/>
      <c r="I110" s="62"/>
      <c r="J110" s="62"/>
      <c r="K110" s="62"/>
      <c r="L110" s="62"/>
      <c r="M110" s="62"/>
      <c r="N110" s="55"/>
      <c r="O110" s="56"/>
      <c r="P110" s="5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>
      <c r="A111" s="60"/>
      <c r="B111" s="60"/>
      <c r="C111" s="60"/>
      <c r="D111" s="60"/>
      <c r="E111" s="65" t="s">
        <v>373</v>
      </c>
      <c r="F111" s="62"/>
      <c r="G111" s="62"/>
      <c r="H111" s="62"/>
      <c r="I111" s="62"/>
      <c r="J111" s="62"/>
      <c r="K111" s="62"/>
      <c r="L111" s="62"/>
      <c r="M111" s="62"/>
      <c r="N111" s="60"/>
      <c r="O111" s="64"/>
      <c r="P111" s="60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>
      <c r="A112" s="45">
        <v>20.0</v>
      </c>
      <c r="B112" s="46" t="s">
        <v>482</v>
      </c>
      <c r="C112" s="47">
        <v>2774.0</v>
      </c>
      <c r="D112" s="92" t="s">
        <v>444</v>
      </c>
      <c r="E112" s="49" t="s">
        <v>367</v>
      </c>
      <c r="F112" s="50" t="s">
        <v>375</v>
      </c>
      <c r="G112" s="50" t="s">
        <v>375</v>
      </c>
      <c r="H112" s="50" t="s">
        <v>375</v>
      </c>
      <c r="I112" s="50" t="s">
        <v>375</v>
      </c>
      <c r="J112" s="50" t="s">
        <v>423</v>
      </c>
      <c r="K112" s="50" t="s">
        <v>423</v>
      </c>
      <c r="L112" s="50" t="s">
        <v>375</v>
      </c>
      <c r="M112" s="51">
        <f>sum(N112/M115)</f>
        <v>1.864640884</v>
      </c>
      <c r="N112" s="52">
        <f>sum(F114:L114)</f>
        <v>5400</v>
      </c>
      <c r="O112" s="53">
        <f>SUM(N112-8000)</f>
        <v>-2600</v>
      </c>
      <c r="P112" s="54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>
      <c r="A113" s="55"/>
      <c r="B113" s="56"/>
      <c r="C113" s="55"/>
      <c r="D113" s="55"/>
      <c r="E113" s="49" t="s">
        <v>369</v>
      </c>
      <c r="F113" s="50" t="s">
        <v>483</v>
      </c>
      <c r="G113" s="50" t="s">
        <v>484</v>
      </c>
      <c r="H113" s="57"/>
      <c r="I113" s="57"/>
      <c r="J113" s="57"/>
      <c r="K113" s="57"/>
      <c r="L113" s="50" t="s">
        <v>485</v>
      </c>
      <c r="M113" s="55"/>
      <c r="N113" s="56"/>
      <c r="O113" s="56"/>
      <c r="P113" s="5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>
      <c r="A114" s="55"/>
      <c r="B114" s="56"/>
      <c r="C114" s="55"/>
      <c r="D114" s="55"/>
      <c r="E114" s="58" t="s">
        <v>370</v>
      </c>
      <c r="F114" s="67">
        <v>800.0</v>
      </c>
      <c r="G114" s="69">
        <v>3100.0</v>
      </c>
      <c r="H114" s="68"/>
      <c r="I114" s="74"/>
      <c r="J114" s="74"/>
      <c r="K114" s="74"/>
      <c r="L114" s="67">
        <v>1500.0</v>
      </c>
      <c r="M114" s="60"/>
      <c r="N114" s="56"/>
      <c r="O114" s="56"/>
      <c r="P114" s="5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>
      <c r="A115" s="55"/>
      <c r="B115" s="56"/>
      <c r="C115" s="55"/>
      <c r="D115" s="55"/>
      <c r="E115" s="61" t="s">
        <v>371</v>
      </c>
      <c r="F115" s="70">
        <v>400.0</v>
      </c>
      <c r="G115" s="70">
        <v>1721.0</v>
      </c>
      <c r="H115" s="62"/>
      <c r="I115" s="62"/>
      <c r="J115" s="62"/>
      <c r="K115" s="102"/>
      <c r="L115" s="89">
        <v>775.0</v>
      </c>
      <c r="M115" s="63">
        <f>SUM(F115:L115)</f>
        <v>2896</v>
      </c>
      <c r="N115" s="56"/>
      <c r="O115" s="56"/>
      <c r="P115" s="5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>
      <c r="A116" s="55"/>
      <c r="B116" s="56"/>
      <c r="C116" s="55"/>
      <c r="D116" s="55"/>
      <c r="E116" s="61" t="s">
        <v>372</v>
      </c>
      <c r="F116" s="70" t="s">
        <v>486</v>
      </c>
      <c r="G116" s="70" t="s">
        <v>487</v>
      </c>
      <c r="H116" s="62"/>
      <c r="I116" s="62"/>
      <c r="J116" s="62"/>
      <c r="K116" s="62"/>
      <c r="L116" s="70" t="s">
        <v>488</v>
      </c>
      <c r="M116" s="62"/>
      <c r="N116" s="56"/>
      <c r="O116" s="56"/>
      <c r="P116" s="5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>
      <c r="A117" s="60"/>
      <c r="B117" s="64"/>
      <c r="C117" s="60"/>
      <c r="D117" s="60"/>
      <c r="E117" s="65" t="s">
        <v>373</v>
      </c>
      <c r="F117" s="70" t="s">
        <v>118</v>
      </c>
      <c r="G117" s="70" t="s">
        <v>123</v>
      </c>
      <c r="H117" s="62"/>
      <c r="I117" s="62"/>
      <c r="J117" s="62"/>
      <c r="K117" s="62"/>
      <c r="L117" s="103" t="s">
        <v>127</v>
      </c>
      <c r="M117" s="62"/>
      <c r="N117" s="64"/>
      <c r="O117" s="64"/>
      <c r="P117" s="60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>
      <c r="A118" s="45">
        <v>21.0</v>
      </c>
      <c r="B118" s="46" t="s">
        <v>489</v>
      </c>
      <c r="C118" s="84" t="s">
        <v>490</v>
      </c>
      <c r="D118" s="92" t="s">
        <v>444</v>
      </c>
      <c r="E118" s="49" t="s">
        <v>367</v>
      </c>
      <c r="F118" s="50" t="s">
        <v>400</v>
      </c>
      <c r="G118" s="50" t="s">
        <v>400</v>
      </c>
      <c r="H118" s="50" t="s">
        <v>375</v>
      </c>
      <c r="I118" s="83" t="s">
        <v>375</v>
      </c>
      <c r="J118" s="50" t="s">
        <v>368</v>
      </c>
      <c r="K118" s="50" t="s">
        <v>368</v>
      </c>
      <c r="L118" s="50" t="s">
        <v>368</v>
      </c>
      <c r="M118" s="51">
        <f>sum(N118/M121)</f>
        <v>1.838879159</v>
      </c>
      <c r="N118" s="52">
        <f>sum(F120:L120)</f>
        <v>2100</v>
      </c>
      <c r="O118" s="53">
        <f>SUM(N118-8000)</f>
        <v>-5900</v>
      </c>
      <c r="P118" s="104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>
      <c r="A119" s="55"/>
      <c r="B119" s="56"/>
      <c r="C119" s="55"/>
      <c r="D119" s="55"/>
      <c r="E119" s="49" t="s">
        <v>369</v>
      </c>
      <c r="F119" s="57"/>
      <c r="G119" s="57"/>
      <c r="H119" s="50" t="s">
        <v>491</v>
      </c>
      <c r="I119" s="50" t="s">
        <v>492</v>
      </c>
      <c r="J119" s="57"/>
      <c r="K119" s="57"/>
      <c r="L119" s="57"/>
      <c r="M119" s="55"/>
      <c r="N119" s="56"/>
      <c r="O119" s="56"/>
      <c r="P119" s="5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>
      <c r="A120" s="55"/>
      <c r="B120" s="56"/>
      <c r="C120" s="55"/>
      <c r="D120" s="55"/>
      <c r="E120" s="58" t="s">
        <v>370</v>
      </c>
      <c r="F120" s="74"/>
      <c r="G120" s="74"/>
      <c r="H120" s="67">
        <v>800.0</v>
      </c>
      <c r="I120" s="69">
        <v>1300.0</v>
      </c>
      <c r="J120" s="74"/>
      <c r="K120" s="74"/>
      <c r="L120" s="74"/>
      <c r="M120" s="60"/>
      <c r="N120" s="56"/>
      <c r="O120" s="56"/>
      <c r="P120" s="5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>
      <c r="A121" s="55"/>
      <c r="B121" s="56"/>
      <c r="C121" s="55"/>
      <c r="D121" s="55"/>
      <c r="E121" s="61" t="s">
        <v>371</v>
      </c>
      <c r="F121" s="62"/>
      <c r="G121" s="35"/>
      <c r="H121" s="70">
        <v>433.0</v>
      </c>
      <c r="I121" s="70">
        <v>709.0</v>
      </c>
      <c r="J121" s="62"/>
      <c r="K121" s="62"/>
      <c r="L121" s="62"/>
      <c r="M121" s="63">
        <f>SUM(F121:L121)</f>
        <v>1142</v>
      </c>
      <c r="N121" s="56"/>
      <c r="O121" s="56"/>
      <c r="P121" s="5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>
      <c r="A122" s="55"/>
      <c r="B122" s="56"/>
      <c r="C122" s="55"/>
      <c r="D122" s="55"/>
      <c r="E122" s="61" t="s">
        <v>372</v>
      </c>
      <c r="F122" s="62"/>
      <c r="G122" s="62"/>
      <c r="H122" s="70" t="s">
        <v>493</v>
      </c>
      <c r="I122" s="70" t="s">
        <v>494</v>
      </c>
      <c r="J122" s="62"/>
      <c r="K122" s="62"/>
      <c r="L122" s="62"/>
      <c r="M122" s="62"/>
      <c r="N122" s="56"/>
      <c r="O122" s="56"/>
      <c r="P122" s="5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>
      <c r="A123" s="60"/>
      <c r="B123" s="64"/>
      <c r="C123" s="60"/>
      <c r="D123" s="60"/>
      <c r="E123" s="65" t="s">
        <v>373</v>
      </c>
      <c r="F123" s="62"/>
      <c r="G123" s="62"/>
      <c r="H123" s="70" t="s">
        <v>27</v>
      </c>
      <c r="I123" s="70" t="s">
        <v>32</v>
      </c>
      <c r="J123" s="62"/>
      <c r="K123" s="62"/>
      <c r="L123" s="62"/>
      <c r="M123" s="62"/>
      <c r="N123" s="64"/>
      <c r="O123" s="64"/>
      <c r="P123" s="60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>
      <c r="A124" s="45">
        <v>22.0</v>
      </c>
      <c r="B124" s="46" t="s">
        <v>495</v>
      </c>
      <c r="C124" s="47" t="s">
        <v>496</v>
      </c>
      <c r="D124" s="105" t="s">
        <v>497</v>
      </c>
      <c r="E124" s="49" t="s">
        <v>367</v>
      </c>
      <c r="F124" s="50" t="s">
        <v>498</v>
      </c>
      <c r="G124" s="50" t="s">
        <v>498</v>
      </c>
      <c r="H124" s="50" t="s">
        <v>375</v>
      </c>
      <c r="I124" s="50" t="s">
        <v>375</v>
      </c>
      <c r="J124" s="50" t="s">
        <v>375</v>
      </c>
      <c r="K124" s="50" t="s">
        <v>375</v>
      </c>
      <c r="L124" s="50" t="s">
        <v>375</v>
      </c>
      <c r="M124" s="51">
        <f>sum(N124/M127)</f>
        <v>1.862390067</v>
      </c>
      <c r="N124" s="52">
        <f>sum(F126:L126)</f>
        <v>7200</v>
      </c>
      <c r="O124" s="53">
        <f>SUM(N124-8000)</f>
        <v>-800</v>
      </c>
      <c r="P124" s="54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>
      <c r="A125" s="55"/>
      <c r="B125" s="56"/>
      <c r="C125" s="55"/>
      <c r="D125" s="55"/>
      <c r="E125" s="49" t="s">
        <v>369</v>
      </c>
      <c r="F125" s="62"/>
      <c r="G125" s="57"/>
      <c r="H125" s="50" t="s">
        <v>499</v>
      </c>
      <c r="I125" s="62"/>
      <c r="J125" s="69" t="s">
        <v>500</v>
      </c>
      <c r="K125" s="68"/>
      <c r="L125" s="57"/>
      <c r="M125" s="55"/>
      <c r="N125" s="56"/>
      <c r="O125" s="56"/>
      <c r="P125" s="5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>
      <c r="A126" s="55"/>
      <c r="B126" s="56"/>
      <c r="C126" s="55"/>
      <c r="D126" s="55"/>
      <c r="E126" s="58" t="s">
        <v>370</v>
      </c>
      <c r="F126" s="59"/>
      <c r="G126" s="68"/>
      <c r="H126" s="67">
        <v>3000.0</v>
      </c>
      <c r="I126" s="59"/>
      <c r="J126" s="69">
        <v>4200.0</v>
      </c>
      <c r="K126" s="68"/>
      <c r="L126" s="74"/>
      <c r="M126" s="60"/>
      <c r="N126" s="56"/>
      <c r="O126" s="56"/>
      <c r="P126" s="5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>
      <c r="A127" s="55"/>
      <c r="B127" s="56"/>
      <c r="C127" s="55"/>
      <c r="D127" s="55"/>
      <c r="E127" s="61" t="s">
        <v>371</v>
      </c>
      <c r="F127" s="62"/>
      <c r="G127" s="62"/>
      <c r="H127" s="70">
        <v>1625.0</v>
      </c>
      <c r="I127" s="62"/>
      <c r="J127" s="70">
        <v>2241.0</v>
      </c>
      <c r="K127" s="62"/>
      <c r="L127" s="62"/>
      <c r="M127" s="63">
        <f>SUM(F127:L127)</f>
        <v>3866</v>
      </c>
      <c r="N127" s="56"/>
      <c r="O127" s="56"/>
      <c r="P127" s="5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>
      <c r="A128" s="55"/>
      <c r="B128" s="56"/>
      <c r="C128" s="55"/>
      <c r="D128" s="55"/>
      <c r="E128" s="61" t="s">
        <v>372</v>
      </c>
      <c r="F128" s="62"/>
      <c r="G128" s="62"/>
      <c r="H128" s="62"/>
      <c r="I128" s="62"/>
      <c r="J128" s="62"/>
      <c r="K128" s="62"/>
      <c r="L128" s="62"/>
      <c r="M128" s="62"/>
      <c r="N128" s="56"/>
      <c r="O128" s="56"/>
      <c r="P128" s="5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>
      <c r="A129" s="60"/>
      <c r="B129" s="64"/>
      <c r="C129" s="60"/>
      <c r="D129" s="60"/>
      <c r="E129" s="65" t="s">
        <v>373</v>
      </c>
      <c r="F129" s="62"/>
      <c r="G129" s="62"/>
      <c r="H129" s="70" t="s">
        <v>57</v>
      </c>
      <c r="I129" s="62"/>
      <c r="J129" s="70" t="s">
        <v>62</v>
      </c>
      <c r="K129" s="62"/>
      <c r="L129" s="62"/>
      <c r="M129" s="62"/>
      <c r="N129" s="64"/>
      <c r="O129" s="64"/>
      <c r="P129" s="60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>
      <c r="A130" s="45">
        <v>23.0</v>
      </c>
      <c r="B130" s="46" t="s">
        <v>501</v>
      </c>
      <c r="C130" s="47">
        <v>2693.0</v>
      </c>
      <c r="D130" s="105" t="s">
        <v>497</v>
      </c>
      <c r="E130" s="49" t="s">
        <v>367</v>
      </c>
      <c r="F130" s="50" t="s">
        <v>375</v>
      </c>
      <c r="G130" s="50" t="s">
        <v>375</v>
      </c>
      <c r="H130" s="50" t="s">
        <v>432</v>
      </c>
      <c r="I130" s="50" t="s">
        <v>432</v>
      </c>
      <c r="J130" s="50" t="s">
        <v>375</v>
      </c>
      <c r="K130" s="50" t="s">
        <v>375</v>
      </c>
      <c r="L130" s="50" t="s">
        <v>375</v>
      </c>
      <c r="M130" s="51">
        <f>sum(N130/M133)</f>
        <v>2.283609576</v>
      </c>
      <c r="N130" s="52">
        <f>sum(F132:L132)</f>
        <v>6200</v>
      </c>
      <c r="O130" s="53">
        <f>SUM(N130-8000)</f>
        <v>-1800</v>
      </c>
      <c r="P130" s="91" t="s">
        <v>502</v>
      </c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>
      <c r="A131" s="55"/>
      <c r="B131" s="56"/>
      <c r="C131" s="55"/>
      <c r="D131" s="55"/>
      <c r="E131" s="49" t="s">
        <v>369</v>
      </c>
      <c r="F131" s="57"/>
      <c r="G131" s="68"/>
      <c r="H131" s="50" t="s">
        <v>503</v>
      </c>
      <c r="I131" s="50" t="s">
        <v>503</v>
      </c>
      <c r="J131" s="50" t="s">
        <v>111</v>
      </c>
      <c r="K131" s="57"/>
      <c r="L131" s="57"/>
      <c r="M131" s="55"/>
      <c r="N131" s="56"/>
      <c r="O131" s="56"/>
      <c r="P131" s="5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>
      <c r="A132" s="55"/>
      <c r="B132" s="56"/>
      <c r="C132" s="55"/>
      <c r="D132" s="55"/>
      <c r="E132" s="58" t="s">
        <v>370</v>
      </c>
      <c r="F132" s="74"/>
      <c r="G132" s="68"/>
      <c r="H132" s="67" t="s">
        <v>504</v>
      </c>
      <c r="I132" s="67" t="s">
        <v>504</v>
      </c>
      <c r="J132" s="69">
        <v>6200.0</v>
      </c>
      <c r="K132" s="74"/>
      <c r="L132" s="74"/>
      <c r="M132" s="60"/>
      <c r="N132" s="56"/>
      <c r="O132" s="56"/>
      <c r="P132" s="5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>
      <c r="A133" s="55"/>
      <c r="B133" s="56"/>
      <c r="C133" s="55"/>
      <c r="D133" s="55"/>
      <c r="E133" s="61" t="s">
        <v>371</v>
      </c>
      <c r="F133" s="62"/>
      <c r="G133" s="62"/>
      <c r="H133" s="70" t="s">
        <v>505</v>
      </c>
      <c r="I133" s="70" t="s">
        <v>505</v>
      </c>
      <c r="J133" s="70">
        <v>2715.0</v>
      </c>
      <c r="K133" s="62"/>
      <c r="L133" s="62"/>
      <c r="M133" s="63">
        <f>SUM(F133:L133)</f>
        <v>2715</v>
      </c>
      <c r="N133" s="56"/>
      <c r="O133" s="56"/>
      <c r="P133" s="5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>
      <c r="A134" s="55"/>
      <c r="B134" s="56"/>
      <c r="C134" s="55"/>
      <c r="D134" s="55"/>
      <c r="E134" s="61" t="s">
        <v>372</v>
      </c>
      <c r="F134" s="62"/>
      <c r="G134" s="106"/>
      <c r="H134" s="62"/>
      <c r="I134" s="62"/>
      <c r="J134" s="62"/>
      <c r="K134" s="62"/>
      <c r="L134" s="62"/>
      <c r="M134" s="62"/>
      <c r="N134" s="56"/>
      <c r="O134" s="56"/>
      <c r="P134" s="5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>
      <c r="A135" s="60"/>
      <c r="B135" s="64"/>
      <c r="C135" s="60"/>
      <c r="D135" s="60"/>
      <c r="E135" s="65" t="s">
        <v>373</v>
      </c>
      <c r="F135" s="62"/>
      <c r="G135" s="107"/>
      <c r="H135" s="62"/>
      <c r="I135" s="62"/>
      <c r="J135" s="70" t="s">
        <v>114</v>
      </c>
      <c r="K135" s="62"/>
      <c r="L135" s="62"/>
      <c r="M135" s="62"/>
      <c r="N135" s="64"/>
      <c r="O135" s="64"/>
      <c r="P135" s="60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>
      <c r="A136" s="45">
        <v>24.0</v>
      </c>
      <c r="B136" s="46" t="s">
        <v>506</v>
      </c>
      <c r="C136" s="47">
        <v>7048.0</v>
      </c>
      <c r="D136" s="105" t="s">
        <v>497</v>
      </c>
      <c r="E136" s="49" t="s">
        <v>367</v>
      </c>
      <c r="F136" s="50" t="s">
        <v>375</v>
      </c>
      <c r="G136" s="50" t="s">
        <v>375</v>
      </c>
      <c r="H136" s="50" t="s">
        <v>375</v>
      </c>
      <c r="I136" s="50" t="s">
        <v>375</v>
      </c>
      <c r="J136" s="50" t="s">
        <v>375</v>
      </c>
      <c r="K136" s="50" t="s">
        <v>375</v>
      </c>
      <c r="L136" s="50" t="s">
        <v>375</v>
      </c>
      <c r="M136" s="51">
        <f>sum(N136/M139)</f>
        <v>2.139101338</v>
      </c>
      <c r="N136" s="52">
        <f>sum(F138:L138)</f>
        <v>8950</v>
      </c>
      <c r="O136" s="53">
        <f>SUM(N136-8000)</f>
        <v>950</v>
      </c>
      <c r="P136" s="91" t="s">
        <v>507</v>
      </c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>
      <c r="A137" s="55"/>
      <c r="B137" s="56"/>
      <c r="C137" s="55"/>
      <c r="D137" s="55"/>
      <c r="E137" s="49" t="s">
        <v>369</v>
      </c>
      <c r="F137" s="50" t="s">
        <v>508</v>
      </c>
      <c r="G137" s="57"/>
      <c r="H137" s="50" t="s">
        <v>509</v>
      </c>
      <c r="I137" s="50" t="s">
        <v>510</v>
      </c>
      <c r="J137" s="57"/>
      <c r="K137" s="57"/>
      <c r="L137" s="57"/>
      <c r="M137" s="55"/>
      <c r="N137" s="56"/>
      <c r="O137" s="56"/>
      <c r="P137" s="5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>
      <c r="A138" s="55"/>
      <c r="B138" s="56"/>
      <c r="C138" s="55"/>
      <c r="D138" s="55"/>
      <c r="E138" s="58" t="s">
        <v>370</v>
      </c>
      <c r="F138" s="67">
        <v>2450.0</v>
      </c>
      <c r="G138" s="68"/>
      <c r="H138" s="69">
        <v>1300.0</v>
      </c>
      <c r="I138" s="73">
        <v>5200.0</v>
      </c>
      <c r="J138" s="68"/>
      <c r="K138" s="74"/>
      <c r="L138" s="74"/>
      <c r="M138" s="60"/>
      <c r="N138" s="56"/>
      <c r="O138" s="56"/>
      <c r="P138" s="5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>
      <c r="A139" s="55"/>
      <c r="B139" s="56"/>
      <c r="C139" s="55"/>
      <c r="D139" s="55"/>
      <c r="E139" s="61" t="s">
        <v>371</v>
      </c>
      <c r="F139" s="70">
        <v>1141.0</v>
      </c>
      <c r="G139" s="62"/>
      <c r="H139" s="70">
        <v>673.0</v>
      </c>
      <c r="I139" s="70">
        <v>2370.0</v>
      </c>
      <c r="J139" s="62"/>
      <c r="K139" s="62"/>
      <c r="L139" s="62"/>
      <c r="M139" s="63">
        <f>SUM(F139:L139)</f>
        <v>4184</v>
      </c>
      <c r="N139" s="56"/>
      <c r="O139" s="56"/>
      <c r="P139" s="5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>
      <c r="A140" s="55"/>
      <c r="B140" s="56"/>
      <c r="C140" s="55"/>
      <c r="D140" s="55"/>
      <c r="E140" s="61" t="s">
        <v>372</v>
      </c>
      <c r="F140" s="62"/>
      <c r="G140" s="62"/>
      <c r="H140" s="62"/>
      <c r="I140" s="62"/>
      <c r="J140" s="62"/>
      <c r="K140" s="62"/>
      <c r="L140" s="62"/>
      <c r="M140" s="62"/>
      <c r="N140" s="56"/>
      <c r="O140" s="56"/>
      <c r="P140" s="5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>
      <c r="A141" s="60"/>
      <c r="B141" s="64"/>
      <c r="C141" s="60"/>
      <c r="D141" s="60"/>
      <c r="E141" s="65" t="s">
        <v>373</v>
      </c>
      <c r="F141" s="108" t="s">
        <v>511</v>
      </c>
      <c r="G141" s="62"/>
      <c r="H141" s="70" t="s">
        <v>255</v>
      </c>
      <c r="I141" s="70" t="s">
        <v>252</v>
      </c>
      <c r="J141" s="62"/>
      <c r="K141" s="62"/>
      <c r="L141" s="62"/>
      <c r="M141" s="62"/>
      <c r="N141" s="64"/>
      <c r="O141" s="64"/>
      <c r="P141" s="60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>
      <c r="A142" s="45">
        <v>25.0</v>
      </c>
      <c r="B142" s="46" t="s">
        <v>512</v>
      </c>
      <c r="C142" s="84" t="s">
        <v>513</v>
      </c>
      <c r="D142" s="105" t="s">
        <v>497</v>
      </c>
      <c r="E142" s="49" t="s">
        <v>367</v>
      </c>
      <c r="F142" s="50" t="s">
        <v>368</v>
      </c>
      <c r="G142" s="50" t="s">
        <v>368</v>
      </c>
      <c r="H142" s="50" t="s">
        <v>368</v>
      </c>
      <c r="I142" s="50" t="s">
        <v>368</v>
      </c>
      <c r="J142" s="50" t="s">
        <v>375</v>
      </c>
      <c r="K142" s="50" t="s">
        <v>375</v>
      </c>
      <c r="L142" s="50" t="s">
        <v>375</v>
      </c>
      <c r="M142" s="51">
        <f>sum(N142/M145)</f>
        <v>2.022352315</v>
      </c>
      <c r="N142" s="52">
        <f>sum(F144:L144)</f>
        <v>3800</v>
      </c>
      <c r="O142" s="53">
        <f>SUM(N142-8000)</f>
        <v>-4200</v>
      </c>
      <c r="P142" s="54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>
      <c r="A143" s="55"/>
      <c r="B143" s="56"/>
      <c r="C143" s="55"/>
      <c r="D143" s="55"/>
      <c r="E143" s="49" t="s">
        <v>369</v>
      </c>
      <c r="F143" s="57"/>
      <c r="G143" s="57"/>
      <c r="H143" s="57"/>
      <c r="I143" s="57"/>
      <c r="J143" s="50" t="s">
        <v>514</v>
      </c>
      <c r="K143" s="57"/>
      <c r="L143" s="57"/>
      <c r="M143" s="55"/>
      <c r="N143" s="56"/>
      <c r="O143" s="56"/>
      <c r="P143" s="5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>
      <c r="A144" s="55"/>
      <c r="B144" s="56"/>
      <c r="C144" s="55"/>
      <c r="D144" s="55"/>
      <c r="E144" s="58" t="s">
        <v>370</v>
      </c>
      <c r="F144" s="74"/>
      <c r="G144" s="68"/>
      <c r="H144" s="74"/>
      <c r="I144" s="74"/>
      <c r="J144" s="73">
        <v>3800.0</v>
      </c>
      <c r="K144" s="59"/>
      <c r="L144" s="74"/>
      <c r="M144" s="60"/>
      <c r="N144" s="56"/>
      <c r="O144" s="56"/>
      <c r="P144" s="5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>
      <c r="A145" s="55"/>
      <c r="B145" s="56"/>
      <c r="C145" s="55"/>
      <c r="D145" s="55"/>
      <c r="E145" s="61" t="s">
        <v>371</v>
      </c>
      <c r="F145" s="62"/>
      <c r="G145" s="62"/>
      <c r="H145" s="62"/>
      <c r="I145" s="62"/>
      <c r="J145" s="70">
        <v>1879.0</v>
      </c>
      <c r="K145" s="62"/>
      <c r="L145" s="62"/>
      <c r="M145" s="63">
        <f>SUM(F145:L145)</f>
        <v>1879</v>
      </c>
      <c r="N145" s="56"/>
      <c r="O145" s="56"/>
      <c r="P145" s="5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>
      <c r="A146" s="55"/>
      <c r="B146" s="56"/>
      <c r="C146" s="55"/>
      <c r="D146" s="55"/>
      <c r="E146" s="61" t="s">
        <v>372</v>
      </c>
      <c r="F146" s="62"/>
      <c r="G146" s="62"/>
      <c r="H146" s="62"/>
      <c r="I146" s="62"/>
      <c r="J146" s="62"/>
      <c r="K146" s="62"/>
      <c r="L146" s="62"/>
      <c r="M146" s="62"/>
      <c r="N146" s="56"/>
      <c r="O146" s="56"/>
      <c r="P146" s="5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>
      <c r="A147" s="60"/>
      <c r="B147" s="64"/>
      <c r="C147" s="60"/>
      <c r="D147" s="60"/>
      <c r="E147" s="65" t="s">
        <v>373</v>
      </c>
      <c r="F147" s="62"/>
      <c r="G147" s="62"/>
      <c r="H147" s="62"/>
      <c r="I147" s="62"/>
      <c r="J147" s="72" t="s">
        <v>52</v>
      </c>
      <c r="K147" s="62"/>
      <c r="L147" s="62"/>
      <c r="M147" s="62"/>
      <c r="N147" s="64"/>
      <c r="O147" s="64"/>
      <c r="P147" s="60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>
      <c r="A148" s="45">
        <v>26.0</v>
      </c>
      <c r="B148" s="46" t="s">
        <v>515</v>
      </c>
      <c r="C148" s="47">
        <v>7265.0</v>
      </c>
      <c r="D148" s="105" t="s">
        <v>497</v>
      </c>
      <c r="E148" s="49" t="s">
        <v>367</v>
      </c>
      <c r="F148" s="50" t="s">
        <v>375</v>
      </c>
      <c r="G148" s="50" t="s">
        <v>375</v>
      </c>
      <c r="H148" s="50" t="s">
        <v>375</v>
      </c>
      <c r="I148" s="50" t="s">
        <v>375</v>
      </c>
      <c r="J148" s="50" t="s">
        <v>375</v>
      </c>
      <c r="K148" s="50" t="s">
        <v>375</v>
      </c>
      <c r="L148" s="50" t="s">
        <v>375</v>
      </c>
      <c r="M148" s="51">
        <f>sum(N148/M151)</f>
        <v>2.267065272</v>
      </c>
      <c r="N148" s="52">
        <f>sum(F150:L150)</f>
        <v>9100</v>
      </c>
      <c r="O148" s="53">
        <f>SUM(N148-8000)</f>
        <v>1100</v>
      </c>
      <c r="P148" s="54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>
      <c r="A149" s="55"/>
      <c r="B149" s="56"/>
      <c r="C149" s="55"/>
      <c r="D149" s="55"/>
      <c r="E149" s="49" t="s">
        <v>369</v>
      </c>
      <c r="F149" s="70" t="s">
        <v>516</v>
      </c>
      <c r="G149" s="87" t="s">
        <v>517</v>
      </c>
      <c r="H149" s="57"/>
      <c r="I149" s="62"/>
      <c r="J149" s="109" t="s">
        <v>518</v>
      </c>
      <c r="K149" s="57"/>
      <c r="L149" s="57"/>
      <c r="M149" s="55"/>
      <c r="N149" s="56"/>
      <c r="O149" s="56"/>
      <c r="P149" s="5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>
      <c r="A150" s="55"/>
      <c r="B150" s="56"/>
      <c r="C150" s="55"/>
      <c r="D150" s="55"/>
      <c r="E150" s="58" t="s">
        <v>370</v>
      </c>
      <c r="F150" s="69">
        <v>800.0</v>
      </c>
      <c r="G150" s="73">
        <v>3800.0</v>
      </c>
      <c r="H150" s="59"/>
      <c r="I150" s="59"/>
      <c r="J150" s="73">
        <v>4500.0</v>
      </c>
      <c r="K150" s="59"/>
      <c r="L150" s="59"/>
      <c r="M150" s="60"/>
      <c r="N150" s="56"/>
      <c r="O150" s="56"/>
      <c r="P150" s="5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>
      <c r="A151" s="55"/>
      <c r="B151" s="56"/>
      <c r="C151" s="55"/>
      <c r="D151" s="55"/>
      <c r="E151" s="61" t="s">
        <v>371</v>
      </c>
      <c r="F151" s="70">
        <v>453.0</v>
      </c>
      <c r="G151" s="75">
        <v>2064.0</v>
      </c>
      <c r="H151" s="62"/>
      <c r="I151" s="62"/>
      <c r="J151" s="70">
        <v>1497.0</v>
      </c>
      <c r="K151" s="62"/>
      <c r="L151" s="62"/>
      <c r="M151" s="63">
        <f>SUM(F151:L151)</f>
        <v>4014</v>
      </c>
      <c r="N151" s="56"/>
      <c r="O151" s="56"/>
      <c r="P151" s="5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>
      <c r="A152" s="55"/>
      <c r="B152" s="56"/>
      <c r="C152" s="55"/>
      <c r="D152" s="55"/>
      <c r="E152" s="61" t="s">
        <v>372</v>
      </c>
      <c r="F152" s="62"/>
      <c r="G152" s="62"/>
      <c r="H152" s="62"/>
      <c r="I152" s="62"/>
      <c r="J152" s="62"/>
      <c r="K152" s="62"/>
      <c r="L152" s="62"/>
      <c r="M152" s="62"/>
      <c r="N152" s="56"/>
      <c r="O152" s="56"/>
      <c r="P152" s="5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>
      <c r="A153" s="60"/>
      <c r="B153" s="64"/>
      <c r="C153" s="60"/>
      <c r="D153" s="60"/>
      <c r="E153" s="65" t="s">
        <v>373</v>
      </c>
      <c r="F153" s="70" t="s">
        <v>270</v>
      </c>
      <c r="G153" s="70" t="s">
        <v>261</v>
      </c>
      <c r="H153" s="62"/>
      <c r="I153" s="62"/>
      <c r="J153" s="70" t="s">
        <v>265</v>
      </c>
      <c r="K153" s="62"/>
      <c r="L153" s="62"/>
      <c r="M153" s="62"/>
      <c r="N153" s="64"/>
      <c r="O153" s="64"/>
      <c r="P153" s="60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>
      <c r="A154" s="45">
        <v>27.0</v>
      </c>
      <c r="B154" s="46" t="s">
        <v>519</v>
      </c>
      <c r="C154" s="47">
        <v>6813.0</v>
      </c>
      <c r="D154" s="105" t="s">
        <v>497</v>
      </c>
      <c r="E154" s="49" t="s">
        <v>367</v>
      </c>
      <c r="F154" s="50" t="s">
        <v>375</v>
      </c>
      <c r="G154" s="50" t="s">
        <v>375</v>
      </c>
      <c r="H154" s="50" t="s">
        <v>375</v>
      </c>
      <c r="I154" s="50" t="s">
        <v>375</v>
      </c>
      <c r="J154" s="73" t="s">
        <v>375</v>
      </c>
      <c r="K154" s="73" t="s">
        <v>423</v>
      </c>
      <c r="L154" s="73" t="s">
        <v>375</v>
      </c>
      <c r="M154" s="51">
        <f>sum(N154/M157)</f>
        <v>2.38374365</v>
      </c>
      <c r="N154" s="52">
        <f>sum(F156:L156)</f>
        <v>6100</v>
      </c>
      <c r="O154" s="53">
        <f>SUM(N154-8000)</f>
        <v>-1900</v>
      </c>
      <c r="P154" s="76" t="s">
        <v>520</v>
      </c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>
      <c r="A155" s="55"/>
      <c r="B155" s="56"/>
      <c r="C155" s="55"/>
      <c r="D155" s="55"/>
      <c r="E155" s="49" t="s">
        <v>369</v>
      </c>
      <c r="F155" s="70">
        <v>37564.0</v>
      </c>
      <c r="G155" s="70">
        <v>8945946.0</v>
      </c>
      <c r="H155" s="62"/>
      <c r="I155" s="70">
        <v>2882310.0</v>
      </c>
      <c r="J155" s="70" t="s">
        <v>521</v>
      </c>
      <c r="K155" s="62"/>
      <c r="L155" s="70" t="s">
        <v>522</v>
      </c>
      <c r="M155" s="55"/>
      <c r="N155" s="56"/>
      <c r="O155" s="56"/>
      <c r="P155" s="5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>
      <c r="A156" s="55"/>
      <c r="B156" s="56"/>
      <c r="C156" s="55"/>
      <c r="D156" s="55"/>
      <c r="E156" s="58" t="s">
        <v>370</v>
      </c>
      <c r="F156" s="73">
        <v>250.0</v>
      </c>
      <c r="G156" s="73">
        <v>3250.0</v>
      </c>
      <c r="H156" s="59"/>
      <c r="I156" s="73">
        <v>1000.0</v>
      </c>
      <c r="J156" s="59"/>
      <c r="K156" s="62"/>
      <c r="L156" s="70">
        <v>1600.0</v>
      </c>
      <c r="M156" s="60"/>
      <c r="N156" s="56"/>
      <c r="O156" s="56"/>
      <c r="P156" s="5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>
      <c r="A157" s="55"/>
      <c r="B157" s="56"/>
      <c r="C157" s="55"/>
      <c r="D157" s="55"/>
      <c r="E157" s="61" t="s">
        <v>371</v>
      </c>
      <c r="F157" s="70">
        <v>7.0</v>
      </c>
      <c r="G157" s="70">
        <v>1620.0</v>
      </c>
      <c r="H157" s="62"/>
      <c r="I157" s="70">
        <v>351.0</v>
      </c>
      <c r="J157" s="62"/>
      <c r="K157" s="62"/>
      <c r="L157" s="70">
        <v>581.0</v>
      </c>
      <c r="M157" s="63">
        <f>SUM(F157:L157)</f>
        <v>2559</v>
      </c>
      <c r="N157" s="56"/>
      <c r="O157" s="56"/>
      <c r="P157" s="5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>
      <c r="A158" s="55"/>
      <c r="B158" s="56"/>
      <c r="C158" s="55"/>
      <c r="D158" s="55"/>
      <c r="E158" s="61" t="s">
        <v>372</v>
      </c>
      <c r="F158" s="62"/>
      <c r="G158" s="62"/>
      <c r="H158" s="62"/>
      <c r="I158" s="62"/>
      <c r="J158" s="62"/>
      <c r="K158" s="62"/>
      <c r="L158" s="62"/>
      <c r="M158" s="62"/>
      <c r="N158" s="56"/>
      <c r="O158" s="56"/>
      <c r="P158" s="5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>
      <c r="A159" s="60"/>
      <c r="B159" s="64"/>
      <c r="C159" s="60"/>
      <c r="D159" s="60"/>
      <c r="E159" s="65" t="s">
        <v>373</v>
      </c>
      <c r="F159" s="70" t="s">
        <v>346</v>
      </c>
      <c r="G159" s="70" t="s">
        <v>343</v>
      </c>
      <c r="H159" s="62"/>
      <c r="I159" s="70" t="s">
        <v>349</v>
      </c>
      <c r="J159" s="62"/>
      <c r="K159" s="62"/>
      <c r="L159" s="72" t="s">
        <v>214</v>
      </c>
      <c r="M159" s="62"/>
      <c r="N159" s="64"/>
      <c r="O159" s="64"/>
      <c r="P159" s="60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>
      <c r="A160" s="45">
        <v>28.0</v>
      </c>
      <c r="B160" s="46" t="s">
        <v>523</v>
      </c>
      <c r="C160" s="47">
        <v>3881.0</v>
      </c>
      <c r="D160" s="110" t="s">
        <v>524</v>
      </c>
      <c r="E160" s="49" t="s">
        <v>367</v>
      </c>
      <c r="F160" s="50" t="s">
        <v>368</v>
      </c>
      <c r="G160" s="50" t="s">
        <v>368</v>
      </c>
      <c r="H160" s="50" t="s">
        <v>375</v>
      </c>
      <c r="I160" s="50" t="s">
        <v>375</v>
      </c>
      <c r="J160" s="73" t="s">
        <v>375</v>
      </c>
      <c r="K160" s="73" t="s">
        <v>375</v>
      </c>
      <c r="L160" s="73" t="s">
        <v>375</v>
      </c>
      <c r="M160" s="51">
        <f>sum(N160/M163)</f>
        <v>2.258635961</v>
      </c>
      <c r="N160" s="52">
        <f>sum(F162:L162)</f>
        <v>5100</v>
      </c>
      <c r="O160" s="53">
        <f>SUM(N160-8000)</f>
        <v>-2900</v>
      </c>
      <c r="P160" s="54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>
      <c r="A161" s="55"/>
      <c r="B161" s="56"/>
      <c r="C161" s="55"/>
      <c r="D161" s="55"/>
      <c r="E161" s="49" t="s">
        <v>369</v>
      </c>
      <c r="F161" s="62"/>
      <c r="G161" s="62"/>
      <c r="H161" s="70" t="s">
        <v>525</v>
      </c>
      <c r="I161" s="75">
        <v>5.33722804E8</v>
      </c>
      <c r="J161" s="75">
        <v>5.35069323E8</v>
      </c>
      <c r="K161" s="62"/>
      <c r="L161" s="62"/>
      <c r="M161" s="55"/>
      <c r="N161" s="56"/>
      <c r="O161" s="56"/>
      <c r="P161" s="5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>
      <c r="A162" s="55"/>
      <c r="B162" s="56"/>
      <c r="C162" s="55"/>
      <c r="D162" s="55"/>
      <c r="E162" s="58" t="s">
        <v>370</v>
      </c>
      <c r="F162" s="62"/>
      <c r="G162" s="59"/>
      <c r="H162" s="73">
        <v>1200.0</v>
      </c>
      <c r="I162" s="73">
        <v>1400.0</v>
      </c>
      <c r="J162" s="73">
        <v>2500.0</v>
      </c>
      <c r="K162" s="62"/>
      <c r="L162" s="62"/>
      <c r="M162" s="60"/>
      <c r="N162" s="56"/>
      <c r="O162" s="56"/>
      <c r="P162" s="5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>
      <c r="A163" s="55"/>
      <c r="B163" s="56"/>
      <c r="C163" s="55"/>
      <c r="D163" s="55"/>
      <c r="E163" s="61" t="s">
        <v>371</v>
      </c>
      <c r="F163" s="62"/>
      <c r="G163" s="62"/>
      <c r="H163" s="70">
        <v>644.0</v>
      </c>
      <c r="I163" s="70">
        <v>507.0</v>
      </c>
      <c r="J163" s="70">
        <v>1107.0</v>
      </c>
      <c r="K163" s="62"/>
      <c r="L163" s="62"/>
      <c r="M163" s="63">
        <f>SUM(F163:L163)</f>
        <v>2258</v>
      </c>
      <c r="N163" s="56"/>
      <c r="O163" s="56"/>
      <c r="P163" s="5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>
      <c r="A164" s="55"/>
      <c r="B164" s="56"/>
      <c r="C164" s="55"/>
      <c r="D164" s="55"/>
      <c r="E164" s="61" t="s">
        <v>372</v>
      </c>
      <c r="F164" s="62"/>
      <c r="G164" s="62"/>
      <c r="H164" s="62"/>
      <c r="I164" s="70" t="s">
        <v>526</v>
      </c>
      <c r="J164" s="70" t="s">
        <v>527</v>
      </c>
      <c r="K164" s="62"/>
      <c r="L164" s="62"/>
      <c r="M164" s="62"/>
      <c r="N164" s="56"/>
      <c r="O164" s="56"/>
      <c r="P164" s="5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>
      <c r="A165" s="60"/>
      <c r="B165" s="64"/>
      <c r="C165" s="60"/>
      <c r="D165" s="60"/>
      <c r="E165" s="65" t="s">
        <v>373</v>
      </c>
      <c r="F165" s="62"/>
      <c r="G165" s="62"/>
      <c r="H165" s="70" t="s">
        <v>184</v>
      </c>
      <c r="I165" s="70" t="s">
        <v>189</v>
      </c>
      <c r="J165" s="70" t="s">
        <v>192</v>
      </c>
      <c r="K165" s="62"/>
      <c r="L165" s="62"/>
      <c r="M165" s="62"/>
      <c r="N165" s="64"/>
      <c r="O165" s="64"/>
      <c r="P165" s="60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>
      <c r="A166" s="45">
        <v>29.0</v>
      </c>
      <c r="B166" s="102"/>
      <c r="C166" s="47">
        <v>9308.0</v>
      </c>
      <c r="D166" s="110" t="s">
        <v>524</v>
      </c>
      <c r="E166" s="49" t="s">
        <v>367</v>
      </c>
      <c r="F166" s="50" t="s">
        <v>498</v>
      </c>
      <c r="G166" s="50" t="s">
        <v>498</v>
      </c>
      <c r="H166" s="50" t="s">
        <v>498</v>
      </c>
      <c r="I166" s="50" t="s">
        <v>498</v>
      </c>
      <c r="J166" s="50" t="s">
        <v>498</v>
      </c>
      <c r="K166" s="50" t="s">
        <v>498</v>
      </c>
      <c r="L166" s="50" t="s">
        <v>498</v>
      </c>
      <c r="M166" s="51" t="str">
        <f>sum(N166/M169)</f>
        <v>#DIV/0!</v>
      </c>
      <c r="N166" s="52">
        <f>sum(F168:L168)</f>
        <v>0</v>
      </c>
      <c r="O166" s="53">
        <f>SUM(N166-8000)</f>
        <v>-8000</v>
      </c>
      <c r="P166" s="54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>
      <c r="A167" s="55"/>
      <c r="B167" s="56"/>
      <c r="C167" s="55"/>
      <c r="D167" s="55"/>
      <c r="E167" s="49" t="s">
        <v>369</v>
      </c>
      <c r="F167" s="62"/>
      <c r="G167" s="62"/>
      <c r="H167" s="62"/>
      <c r="I167" s="35"/>
      <c r="J167" s="35"/>
      <c r="K167" s="62"/>
      <c r="L167" s="62"/>
      <c r="M167" s="55"/>
      <c r="N167" s="56"/>
      <c r="O167" s="56"/>
      <c r="P167" s="5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>
      <c r="A168" s="55"/>
      <c r="B168" s="56"/>
      <c r="C168" s="55"/>
      <c r="D168" s="55"/>
      <c r="E168" s="58" t="s">
        <v>370</v>
      </c>
      <c r="F168" s="62"/>
      <c r="G168" s="59"/>
      <c r="H168" s="59"/>
      <c r="I168" s="59"/>
      <c r="J168" s="59"/>
      <c r="K168" s="62"/>
      <c r="L168" s="62"/>
      <c r="M168" s="60"/>
      <c r="N168" s="56"/>
      <c r="O168" s="56"/>
      <c r="P168" s="5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>
      <c r="A169" s="55"/>
      <c r="B169" s="56"/>
      <c r="C169" s="55"/>
      <c r="D169" s="55"/>
      <c r="E169" s="61" t="s">
        <v>371</v>
      </c>
      <c r="F169" s="62"/>
      <c r="G169" s="62"/>
      <c r="H169" s="62"/>
      <c r="I169" s="62"/>
      <c r="J169" s="62"/>
      <c r="K169" s="62"/>
      <c r="L169" s="62"/>
      <c r="M169" s="63">
        <f>SUM(F169:L169)</f>
        <v>0</v>
      </c>
      <c r="N169" s="56"/>
      <c r="O169" s="56"/>
      <c r="P169" s="5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>
      <c r="A170" s="55"/>
      <c r="B170" s="56"/>
      <c r="C170" s="55"/>
      <c r="D170" s="55"/>
      <c r="E170" s="61" t="s">
        <v>372</v>
      </c>
      <c r="F170" s="62"/>
      <c r="G170" s="62"/>
      <c r="H170" s="62"/>
      <c r="I170" s="62"/>
      <c r="J170" s="62"/>
      <c r="K170" s="62"/>
      <c r="L170" s="62"/>
      <c r="M170" s="62"/>
      <c r="N170" s="56"/>
      <c r="O170" s="56"/>
      <c r="P170" s="5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>
      <c r="A171" s="60"/>
      <c r="B171" s="64"/>
      <c r="C171" s="60"/>
      <c r="D171" s="60"/>
      <c r="E171" s="65" t="s">
        <v>373</v>
      </c>
      <c r="F171" s="62"/>
      <c r="G171" s="62"/>
      <c r="H171" s="62"/>
      <c r="I171" s="62"/>
      <c r="J171" s="62"/>
      <c r="K171" s="62"/>
      <c r="L171" s="62"/>
      <c r="M171" s="62"/>
      <c r="N171" s="64"/>
      <c r="O171" s="64"/>
      <c r="P171" s="60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>
      <c r="A172" s="45">
        <v>30.0</v>
      </c>
      <c r="B172" s="46" t="s">
        <v>528</v>
      </c>
      <c r="C172" s="47">
        <v>9348.0</v>
      </c>
      <c r="D172" s="111" t="s">
        <v>529</v>
      </c>
      <c r="E172" s="49" t="s">
        <v>367</v>
      </c>
      <c r="F172" s="50" t="s">
        <v>375</v>
      </c>
      <c r="G172" s="50" t="s">
        <v>375</v>
      </c>
      <c r="H172" s="50" t="s">
        <v>375</v>
      </c>
      <c r="I172" s="50" t="s">
        <v>375</v>
      </c>
      <c r="J172" s="50" t="s">
        <v>375</v>
      </c>
      <c r="K172" s="50" t="s">
        <v>375</v>
      </c>
      <c r="L172" s="50" t="s">
        <v>375</v>
      </c>
      <c r="M172" s="51">
        <f>sum(N172/M175)</f>
        <v>1.710563183</v>
      </c>
      <c r="N172" s="52">
        <f>sum(F174:L174)</f>
        <v>6105</v>
      </c>
      <c r="O172" s="53">
        <f>SUM(N172-8000)</f>
        <v>-1895</v>
      </c>
      <c r="P172" s="112" t="s">
        <v>530</v>
      </c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>
      <c r="A173" s="55"/>
      <c r="B173" s="56"/>
      <c r="C173" s="55"/>
      <c r="D173" s="55"/>
      <c r="E173" s="49" t="s">
        <v>369</v>
      </c>
      <c r="F173" s="50" t="s">
        <v>531</v>
      </c>
      <c r="G173" s="57"/>
      <c r="H173" s="50" t="s">
        <v>532</v>
      </c>
      <c r="I173" s="113" t="s">
        <v>533</v>
      </c>
      <c r="J173" s="113" t="s">
        <v>534</v>
      </c>
      <c r="K173" s="57"/>
      <c r="L173" s="57"/>
      <c r="M173" s="55"/>
      <c r="N173" s="56"/>
      <c r="O173" s="56"/>
      <c r="P173" s="5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>
      <c r="A174" s="55"/>
      <c r="B174" s="56"/>
      <c r="C174" s="55"/>
      <c r="D174" s="55"/>
      <c r="E174" s="58" t="s">
        <v>370</v>
      </c>
      <c r="F174" s="78">
        <v>1285.0</v>
      </c>
      <c r="G174" s="68"/>
      <c r="H174" s="114">
        <v>1500.0</v>
      </c>
      <c r="I174" s="67">
        <v>420.0</v>
      </c>
      <c r="J174" s="115">
        <v>2900.0</v>
      </c>
      <c r="K174" s="74"/>
      <c r="L174" s="74"/>
      <c r="M174" s="60"/>
      <c r="N174" s="56"/>
      <c r="O174" s="56"/>
      <c r="P174" s="5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>
      <c r="A175" s="55"/>
      <c r="B175" s="56"/>
      <c r="C175" s="55"/>
      <c r="D175" s="55"/>
      <c r="E175" s="61" t="s">
        <v>371</v>
      </c>
      <c r="F175" s="70">
        <v>959.0</v>
      </c>
      <c r="G175" s="62"/>
      <c r="H175" s="70">
        <v>799.0</v>
      </c>
      <c r="I175" s="70">
        <v>222.0</v>
      </c>
      <c r="J175" s="70">
        <v>1589.0</v>
      </c>
      <c r="K175" s="62"/>
      <c r="L175" s="62"/>
      <c r="M175" s="63">
        <f>SUM(F175:L175)</f>
        <v>3569</v>
      </c>
      <c r="N175" s="56"/>
      <c r="O175" s="56"/>
      <c r="P175" s="5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>
      <c r="A176" s="55"/>
      <c r="B176" s="56"/>
      <c r="C176" s="55"/>
      <c r="D176" s="55"/>
      <c r="E176" s="61" t="s">
        <v>372</v>
      </c>
      <c r="F176" s="70" t="s">
        <v>535</v>
      </c>
      <c r="G176" s="62"/>
      <c r="H176" s="70" t="s">
        <v>536</v>
      </c>
      <c r="I176" s="70" t="s">
        <v>537</v>
      </c>
      <c r="J176" s="70" t="s">
        <v>538</v>
      </c>
      <c r="K176" s="62"/>
      <c r="L176" s="62"/>
      <c r="M176" s="62"/>
      <c r="N176" s="56"/>
      <c r="O176" s="56"/>
      <c r="P176" s="5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46.5" customHeight="1">
      <c r="A177" s="60"/>
      <c r="B177" s="64"/>
      <c r="C177" s="60"/>
      <c r="D177" s="60"/>
      <c r="E177" s="65" t="s">
        <v>373</v>
      </c>
      <c r="F177" s="70" t="s">
        <v>319</v>
      </c>
      <c r="G177" s="62"/>
      <c r="H177" s="70" t="s">
        <v>324</v>
      </c>
      <c r="I177" s="70" t="s">
        <v>328</v>
      </c>
      <c r="J177" s="70" t="s">
        <v>332</v>
      </c>
      <c r="K177" s="62"/>
      <c r="L177" s="62"/>
      <c r="M177" s="62"/>
      <c r="N177" s="64"/>
      <c r="O177" s="64"/>
      <c r="P177" s="60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>
      <c r="A178" s="99">
        <v>31.0</v>
      </c>
      <c r="B178" s="46" t="s">
        <v>539</v>
      </c>
      <c r="C178" s="84" t="s">
        <v>540</v>
      </c>
      <c r="D178" s="111" t="s">
        <v>529</v>
      </c>
      <c r="E178" s="49" t="s">
        <v>367</v>
      </c>
      <c r="F178" s="50" t="s">
        <v>400</v>
      </c>
      <c r="G178" s="50" t="s">
        <v>400</v>
      </c>
      <c r="H178" s="50" t="s">
        <v>400</v>
      </c>
      <c r="I178" s="50" t="s">
        <v>400</v>
      </c>
      <c r="J178" s="50" t="s">
        <v>400</v>
      </c>
      <c r="K178" s="50" t="s">
        <v>400</v>
      </c>
      <c r="L178" s="50" t="s">
        <v>400</v>
      </c>
      <c r="M178" s="51" t="str">
        <f>sum(N178/M181)</f>
        <v>#DIV/0!</v>
      </c>
      <c r="N178" s="52">
        <f>sum(F180:L180)</f>
        <v>0</v>
      </c>
      <c r="O178" s="53">
        <f>SUM(N178-8000)</f>
        <v>-8000</v>
      </c>
      <c r="P178" s="76" t="s">
        <v>541</v>
      </c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>
      <c r="A179" s="55"/>
      <c r="B179" s="56"/>
      <c r="C179" s="55"/>
      <c r="D179" s="55"/>
      <c r="E179" s="49" t="s">
        <v>369</v>
      </c>
      <c r="F179" s="57"/>
      <c r="G179" s="57"/>
      <c r="H179" s="35"/>
      <c r="I179" s="57"/>
      <c r="J179" s="57"/>
      <c r="K179" s="57"/>
      <c r="L179" s="57"/>
      <c r="M179" s="55"/>
      <c r="N179" s="56"/>
      <c r="O179" s="56"/>
      <c r="P179" s="5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>
      <c r="A180" s="55"/>
      <c r="B180" s="56"/>
      <c r="C180" s="55"/>
      <c r="D180" s="55"/>
      <c r="E180" s="58" t="s">
        <v>370</v>
      </c>
      <c r="F180" s="74"/>
      <c r="G180" s="68"/>
      <c r="H180" s="74"/>
      <c r="I180" s="74"/>
      <c r="J180" s="74"/>
      <c r="K180" s="74"/>
      <c r="L180" s="74"/>
      <c r="M180" s="60"/>
      <c r="N180" s="56"/>
      <c r="O180" s="56"/>
      <c r="P180" s="5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>
      <c r="A181" s="55"/>
      <c r="B181" s="56"/>
      <c r="C181" s="55"/>
      <c r="D181" s="55"/>
      <c r="E181" s="61" t="s">
        <v>371</v>
      </c>
      <c r="F181" s="62"/>
      <c r="G181" s="62"/>
      <c r="H181" s="62"/>
      <c r="I181" s="62"/>
      <c r="J181" s="62"/>
      <c r="K181" s="62"/>
      <c r="L181" s="62"/>
      <c r="M181" s="63">
        <f>SUM(F181:L181)</f>
        <v>0</v>
      </c>
      <c r="N181" s="56"/>
      <c r="O181" s="56"/>
      <c r="P181" s="5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>
      <c r="A182" s="55"/>
      <c r="B182" s="56"/>
      <c r="C182" s="55"/>
      <c r="D182" s="55"/>
      <c r="E182" s="61" t="s">
        <v>372</v>
      </c>
      <c r="F182" s="62"/>
      <c r="G182" s="62"/>
      <c r="H182" s="62"/>
      <c r="I182" s="62"/>
      <c r="J182" s="62"/>
      <c r="K182" s="62"/>
      <c r="L182" s="62"/>
      <c r="M182" s="62"/>
      <c r="N182" s="56"/>
      <c r="O182" s="56"/>
      <c r="P182" s="5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>
      <c r="A183" s="60"/>
      <c r="B183" s="64"/>
      <c r="C183" s="60"/>
      <c r="D183" s="60"/>
      <c r="E183" s="65" t="s">
        <v>373</v>
      </c>
      <c r="F183" s="62"/>
      <c r="G183" s="62"/>
      <c r="H183" s="62"/>
      <c r="I183" s="62"/>
      <c r="J183" s="62"/>
      <c r="K183" s="62"/>
      <c r="L183" s="62"/>
      <c r="M183" s="62"/>
      <c r="N183" s="64"/>
      <c r="O183" s="64"/>
      <c r="P183" s="60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>
      <c r="A184" s="45">
        <v>32.0</v>
      </c>
      <c r="B184" s="46" t="s">
        <v>542</v>
      </c>
      <c r="C184" s="84" t="s">
        <v>543</v>
      </c>
      <c r="D184" s="111" t="s">
        <v>529</v>
      </c>
      <c r="E184" s="49" t="s">
        <v>367</v>
      </c>
      <c r="F184" s="50" t="s">
        <v>375</v>
      </c>
      <c r="G184" s="50" t="s">
        <v>375</v>
      </c>
      <c r="H184" s="50" t="s">
        <v>375</v>
      </c>
      <c r="I184" s="50" t="s">
        <v>375</v>
      </c>
      <c r="J184" s="50" t="s">
        <v>375</v>
      </c>
      <c r="K184" s="50" t="s">
        <v>375</v>
      </c>
      <c r="L184" s="50" t="s">
        <v>375</v>
      </c>
      <c r="M184" s="51">
        <f>sum(N184/M187)</f>
        <v>1.737677527</v>
      </c>
      <c r="N184" s="52">
        <f>sum(F186:L186)</f>
        <v>8320</v>
      </c>
      <c r="O184" s="53">
        <f>SUM(N184-8000)</f>
        <v>320</v>
      </c>
      <c r="P184" s="112" t="s">
        <v>544</v>
      </c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>
      <c r="A185" s="55"/>
      <c r="B185" s="56"/>
      <c r="C185" s="55"/>
      <c r="D185" s="55"/>
      <c r="E185" s="49" t="s">
        <v>369</v>
      </c>
      <c r="F185" s="50" t="s">
        <v>545</v>
      </c>
      <c r="G185" s="116"/>
      <c r="H185" s="77">
        <v>269578.0</v>
      </c>
      <c r="I185" s="77">
        <v>9389500.0</v>
      </c>
      <c r="J185" s="117" t="s">
        <v>546</v>
      </c>
      <c r="K185" s="62"/>
      <c r="L185" s="62"/>
      <c r="M185" s="55"/>
      <c r="N185" s="56"/>
      <c r="O185" s="56"/>
      <c r="P185" s="5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>
      <c r="A186" s="55"/>
      <c r="B186" s="56"/>
      <c r="C186" s="55"/>
      <c r="D186" s="55"/>
      <c r="E186" s="58" t="s">
        <v>370</v>
      </c>
      <c r="F186" s="67">
        <v>1100.0</v>
      </c>
      <c r="G186" s="118"/>
      <c r="H186" s="119">
        <v>1300.0</v>
      </c>
      <c r="I186" s="119">
        <v>870.0</v>
      </c>
      <c r="J186" s="119">
        <v>5050.0</v>
      </c>
      <c r="K186" s="62"/>
      <c r="L186" s="62"/>
      <c r="M186" s="60"/>
      <c r="N186" s="56"/>
      <c r="O186" s="56"/>
      <c r="P186" s="5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>
      <c r="A187" s="55"/>
      <c r="B187" s="56"/>
      <c r="C187" s="55"/>
      <c r="D187" s="55"/>
      <c r="E187" s="61" t="s">
        <v>371</v>
      </c>
      <c r="F187" s="70">
        <v>1012.0</v>
      </c>
      <c r="G187" s="116"/>
      <c r="H187" s="77">
        <v>718.0</v>
      </c>
      <c r="I187" s="77">
        <v>460.0</v>
      </c>
      <c r="J187" s="77">
        <v>2598.0</v>
      </c>
      <c r="K187" s="62"/>
      <c r="L187" s="62"/>
      <c r="M187" s="63">
        <f>SUM(F187:L187)</f>
        <v>4788</v>
      </c>
      <c r="N187" s="56"/>
      <c r="O187" s="56"/>
      <c r="P187" s="5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>
      <c r="A188" s="55"/>
      <c r="B188" s="56"/>
      <c r="C188" s="55"/>
      <c r="D188" s="55"/>
      <c r="E188" s="61" t="s">
        <v>372</v>
      </c>
      <c r="F188" s="70" t="s">
        <v>547</v>
      </c>
      <c r="G188" s="62"/>
      <c r="H188" s="70" t="s">
        <v>548</v>
      </c>
      <c r="I188" s="70" t="s">
        <v>549</v>
      </c>
      <c r="J188" s="70" t="s">
        <v>550</v>
      </c>
      <c r="K188" s="62"/>
      <c r="L188" s="62"/>
      <c r="M188" s="62"/>
      <c r="N188" s="56"/>
      <c r="O188" s="56"/>
      <c r="P188" s="5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>
      <c r="A189" s="60"/>
      <c r="B189" s="64"/>
      <c r="C189" s="60"/>
      <c r="D189" s="60"/>
      <c r="E189" s="65" t="s">
        <v>373</v>
      </c>
      <c r="F189" s="70" t="s">
        <v>36</v>
      </c>
      <c r="G189" s="62"/>
      <c r="H189" s="70" t="s">
        <v>41</v>
      </c>
      <c r="I189" s="70" t="s">
        <v>551</v>
      </c>
      <c r="J189" s="70" t="s">
        <v>49</v>
      </c>
      <c r="K189" s="62"/>
      <c r="L189" s="62"/>
      <c r="M189" s="62"/>
      <c r="N189" s="64"/>
      <c r="O189" s="64"/>
      <c r="P189" s="60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>
      <c r="A190" s="45">
        <v>33.0</v>
      </c>
      <c r="B190" s="46" t="s">
        <v>552</v>
      </c>
      <c r="C190" s="47">
        <v>7807.0</v>
      </c>
      <c r="D190" s="111" t="s">
        <v>529</v>
      </c>
      <c r="E190" s="49" t="s">
        <v>367</v>
      </c>
      <c r="F190" s="50" t="s">
        <v>375</v>
      </c>
      <c r="G190" s="50" t="s">
        <v>375</v>
      </c>
      <c r="H190" s="50" t="s">
        <v>375</v>
      </c>
      <c r="I190" s="50" t="s">
        <v>375</v>
      </c>
      <c r="J190" s="50" t="s">
        <v>375</v>
      </c>
      <c r="K190" s="50" t="s">
        <v>375</v>
      </c>
      <c r="L190" s="50" t="s">
        <v>375</v>
      </c>
      <c r="M190" s="51">
        <f>sum(N190/M193)</f>
        <v>1.597627119</v>
      </c>
      <c r="N190" s="52">
        <f>sum(F192:L192)</f>
        <v>4713</v>
      </c>
      <c r="O190" s="53">
        <f>SUM(N190-8000)</f>
        <v>-3287</v>
      </c>
      <c r="P190" s="76" t="s">
        <v>553</v>
      </c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>
      <c r="A191" s="55"/>
      <c r="B191" s="56"/>
      <c r="C191" s="55"/>
      <c r="D191" s="55"/>
      <c r="E191" s="49" t="s">
        <v>369</v>
      </c>
      <c r="F191" s="50" t="s">
        <v>554</v>
      </c>
      <c r="G191" s="57"/>
      <c r="H191" s="50" t="s">
        <v>555</v>
      </c>
      <c r="I191" s="120"/>
      <c r="J191" s="113" t="s">
        <v>556</v>
      </c>
      <c r="K191" s="57"/>
      <c r="L191" s="57"/>
      <c r="M191" s="55"/>
      <c r="N191" s="56"/>
      <c r="O191" s="56"/>
      <c r="P191" s="5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>
      <c r="A192" s="55"/>
      <c r="B192" s="56"/>
      <c r="C192" s="55"/>
      <c r="D192" s="55"/>
      <c r="E192" s="58" t="s">
        <v>370</v>
      </c>
      <c r="F192" s="67">
        <v>1240.0</v>
      </c>
      <c r="G192" s="68"/>
      <c r="H192" s="67">
        <v>1023.0</v>
      </c>
      <c r="I192" s="121"/>
      <c r="J192" s="78">
        <v>2450.0</v>
      </c>
      <c r="K192" s="59"/>
      <c r="L192" s="74"/>
      <c r="M192" s="60"/>
      <c r="N192" s="56"/>
      <c r="O192" s="56"/>
      <c r="P192" s="5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>
      <c r="A193" s="55"/>
      <c r="B193" s="56"/>
      <c r="C193" s="55"/>
      <c r="D193" s="55"/>
      <c r="E193" s="61" t="s">
        <v>371</v>
      </c>
      <c r="F193" s="70">
        <v>1257.0</v>
      </c>
      <c r="G193" s="62"/>
      <c r="H193" s="70">
        <v>667.0</v>
      </c>
      <c r="I193" s="116"/>
      <c r="J193" s="77">
        <v>1026.0</v>
      </c>
      <c r="K193" s="62"/>
      <c r="L193" s="62"/>
      <c r="M193" s="63">
        <f>SUM(F193:L193)</f>
        <v>2950</v>
      </c>
      <c r="N193" s="56"/>
      <c r="O193" s="56"/>
      <c r="P193" s="5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>
      <c r="A194" s="55"/>
      <c r="B194" s="56"/>
      <c r="C194" s="55"/>
      <c r="D194" s="55"/>
      <c r="E194" s="61" t="s">
        <v>372</v>
      </c>
      <c r="F194" s="70" t="s">
        <v>557</v>
      </c>
      <c r="G194" s="62"/>
      <c r="H194" s="70" t="s">
        <v>558</v>
      </c>
      <c r="I194" s="62"/>
      <c r="J194" s="70" t="s">
        <v>559</v>
      </c>
      <c r="K194" s="62"/>
      <c r="L194" s="62"/>
      <c r="M194" s="62"/>
      <c r="N194" s="56"/>
      <c r="O194" s="56"/>
      <c r="P194" s="5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>
      <c r="A195" s="60"/>
      <c r="B195" s="64"/>
      <c r="C195" s="60"/>
      <c r="D195" s="60"/>
      <c r="E195" s="65" t="s">
        <v>373</v>
      </c>
      <c r="F195" s="70" t="s">
        <v>286</v>
      </c>
      <c r="G195" s="62"/>
      <c r="H195" s="70" t="s">
        <v>290</v>
      </c>
      <c r="I195" s="62"/>
      <c r="J195" s="70" t="s">
        <v>293</v>
      </c>
      <c r="K195" s="62"/>
      <c r="L195" s="62"/>
      <c r="M195" s="62"/>
      <c r="N195" s="64"/>
      <c r="O195" s="64"/>
      <c r="P195" s="60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>
      <c r="A196" s="45">
        <v>34.0</v>
      </c>
      <c r="B196" s="46" t="s">
        <v>560</v>
      </c>
      <c r="C196" s="47">
        <v>3866.0</v>
      </c>
      <c r="D196" s="111" t="s">
        <v>529</v>
      </c>
      <c r="E196" s="49" t="s">
        <v>367</v>
      </c>
      <c r="F196" s="50" t="s">
        <v>375</v>
      </c>
      <c r="G196" s="50" t="s">
        <v>375</v>
      </c>
      <c r="H196" s="50" t="s">
        <v>375</v>
      </c>
      <c r="I196" s="50" t="s">
        <v>399</v>
      </c>
      <c r="J196" s="73" t="s">
        <v>375</v>
      </c>
      <c r="K196" s="73" t="s">
        <v>375</v>
      </c>
      <c r="L196" s="73" t="s">
        <v>375</v>
      </c>
      <c r="M196" s="51">
        <f>sum(N196/M199)</f>
        <v>1.70212766</v>
      </c>
      <c r="N196" s="52">
        <f>sum(F198:L198)</f>
        <v>3600</v>
      </c>
      <c r="O196" s="53">
        <f>SUM(N196-8000)</f>
        <v>-4400</v>
      </c>
      <c r="P196" s="76" t="s">
        <v>561</v>
      </c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>
      <c r="A197" s="55"/>
      <c r="B197" s="56"/>
      <c r="C197" s="55"/>
      <c r="D197" s="55"/>
      <c r="E197" s="49" t="s">
        <v>369</v>
      </c>
      <c r="F197" s="62"/>
      <c r="G197" s="62"/>
      <c r="H197" s="70">
        <v>5540738.0</v>
      </c>
      <c r="I197" s="122" t="s">
        <v>562</v>
      </c>
      <c r="J197" s="113" t="s">
        <v>280</v>
      </c>
      <c r="K197" s="62"/>
      <c r="L197" s="62"/>
      <c r="M197" s="55"/>
      <c r="N197" s="56"/>
      <c r="O197" s="56"/>
      <c r="P197" s="5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>
      <c r="A198" s="55"/>
      <c r="B198" s="56"/>
      <c r="C198" s="55"/>
      <c r="D198" s="55"/>
      <c r="E198" s="58" t="s">
        <v>370</v>
      </c>
      <c r="F198" s="62"/>
      <c r="G198" s="59"/>
      <c r="H198" s="78">
        <v>900.0</v>
      </c>
      <c r="I198" s="123" t="s">
        <v>563</v>
      </c>
      <c r="J198" s="67">
        <v>2700.0</v>
      </c>
      <c r="K198" s="62"/>
      <c r="L198" s="62"/>
      <c r="M198" s="60"/>
      <c r="N198" s="56"/>
      <c r="O198" s="56"/>
      <c r="P198" s="5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>
      <c r="A199" s="55"/>
      <c r="B199" s="56"/>
      <c r="C199" s="55"/>
      <c r="D199" s="55"/>
      <c r="E199" s="61" t="s">
        <v>371</v>
      </c>
      <c r="F199" s="62"/>
      <c r="G199" s="62"/>
      <c r="H199" s="77">
        <v>864.0</v>
      </c>
      <c r="I199" s="116"/>
      <c r="J199" s="70">
        <v>1251.0</v>
      </c>
      <c r="K199" s="62"/>
      <c r="L199" s="62"/>
      <c r="M199" s="63">
        <f>SUM(F199:L199)</f>
        <v>2115</v>
      </c>
      <c r="N199" s="56"/>
      <c r="O199" s="56"/>
      <c r="P199" s="5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>
      <c r="A200" s="55"/>
      <c r="B200" s="56"/>
      <c r="C200" s="55"/>
      <c r="D200" s="55"/>
      <c r="E200" s="61" t="s">
        <v>372</v>
      </c>
      <c r="F200" s="62"/>
      <c r="G200" s="62"/>
      <c r="H200" s="77" t="s">
        <v>564</v>
      </c>
      <c r="I200" s="77" t="s">
        <v>565</v>
      </c>
      <c r="J200" s="70" t="s">
        <v>538</v>
      </c>
      <c r="K200" s="62"/>
      <c r="L200" s="62"/>
      <c r="M200" s="62"/>
      <c r="N200" s="56"/>
      <c r="O200" s="56"/>
      <c r="P200" s="5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>
      <c r="A201" s="60"/>
      <c r="B201" s="64"/>
      <c r="C201" s="60"/>
      <c r="D201" s="60"/>
      <c r="E201" s="65" t="s">
        <v>373</v>
      </c>
      <c r="F201" s="62"/>
      <c r="G201" s="62"/>
      <c r="H201" s="70" t="s">
        <v>277</v>
      </c>
      <c r="I201" s="62"/>
      <c r="J201" s="70" t="s">
        <v>283</v>
      </c>
      <c r="K201" s="62"/>
      <c r="L201" s="62"/>
      <c r="M201" s="62"/>
      <c r="N201" s="64"/>
      <c r="O201" s="64"/>
      <c r="P201" s="60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6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75">
        <f>SUM(M199+M193+M187+M181+M175+M169+M163+M157+M151+M145+M139+M133+M127+M121+M115+M109+M103+M97+M91+M85+M79+M73+M67+M61+M55+M49+M43+M37+M31+M25+M19+M13+M7)</f>
        <v>103433</v>
      </c>
      <c r="N203" s="124">
        <f>SUM(N4:N201)</f>
        <v>206407</v>
      </c>
      <c r="O203" s="35"/>
      <c r="P203" s="36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124">
        <f>SUM(N203/M203)</f>
        <v>1.995562345</v>
      </c>
      <c r="N204" s="35"/>
      <c r="O204" s="35"/>
      <c r="P204" s="36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6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6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6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6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6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6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6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6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6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6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6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6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6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6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6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6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6"/>
      <c r="Q221" s="35"/>
      <c r="R221" s="35"/>
      <c r="S221" s="35"/>
      <c r="T221" s="35"/>
      <c r="U221" s="35"/>
      <c r="V221" s="35"/>
      <c r="W221" s="35"/>
      <c r="X221" s="35"/>
      <c r="Y221" s="35"/>
      <c r="Z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6"/>
      <c r="Q222" s="35"/>
      <c r="R222" s="35"/>
      <c r="S222" s="35"/>
      <c r="T222" s="35"/>
      <c r="U222" s="35"/>
      <c r="V222" s="35"/>
      <c r="W222" s="35"/>
      <c r="X222" s="35"/>
      <c r="Y222" s="35"/>
      <c r="Z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6"/>
      <c r="Q223" s="35"/>
      <c r="R223" s="35"/>
      <c r="S223" s="35"/>
      <c r="T223" s="35"/>
      <c r="U223" s="35"/>
      <c r="V223" s="35"/>
      <c r="W223" s="35"/>
      <c r="X223" s="35"/>
      <c r="Y223" s="35"/>
      <c r="Z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6"/>
      <c r="Q224" s="35"/>
      <c r="R224" s="35"/>
      <c r="S224" s="35"/>
      <c r="T224" s="35"/>
      <c r="U224" s="35"/>
      <c r="V224" s="35"/>
      <c r="W224" s="35"/>
      <c r="X224" s="35"/>
      <c r="Y224" s="35"/>
      <c r="Z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6"/>
      <c r="Q225" s="35"/>
      <c r="R225" s="35"/>
      <c r="S225" s="35"/>
      <c r="T225" s="35"/>
      <c r="U225" s="35"/>
      <c r="V225" s="35"/>
      <c r="W225" s="35"/>
      <c r="X225" s="35"/>
      <c r="Y225" s="35"/>
      <c r="Z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6"/>
      <c r="Q226" s="35"/>
      <c r="R226" s="35"/>
      <c r="S226" s="35"/>
      <c r="T226" s="35"/>
      <c r="U226" s="35"/>
      <c r="V226" s="35"/>
      <c r="W226" s="35"/>
      <c r="X226" s="35"/>
      <c r="Y226" s="35"/>
      <c r="Z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6"/>
      <c r="Q227" s="35"/>
      <c r="R227" s="35"/>
      <c r="S227" s="35"/>
      <c r="T227" s="35"/>
      <c r="U227" s="35"/>
      <c r="V227" s="35"/>
      <c r="W227" s="35"/>
      <c r="X227" s="35"/>
      <c r="Y227" s="35"/>
      <c r="Z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6"/>
      <c r="Q228" s="35"/>
      <c r="R228" s="35"/>
      <c r="S228" s="35"/>
      <c r="T228" s="35"/>
      <c r="U228" s="35"/>
      <c r="V228" s="35"/>
      <c r="W228" s="35"/>
      <c r="X228" s="35"/>
      <c r="Y228" s="35"/>
      <c r="Z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6"/>
      <c r="Q229" s="35"/>
      <c r="R229" s="35"/>
      <c r="S229" s="35"/>
      <c r="T229" s="35"/>
      <c r="U229" s="35"/>
      <c r="V229" s="35"/>
      <c r="W229" s="35"/>
      <c r="X229" s="35"/>
      <c r="Y229" s="35"/>
      <c r="Z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6"/>
      <c r="Q230" s="35"/>
      <c r="R230" s="35"/>
      <c r="S230" s="35"/>
      <c r="T230" s="35"/>
      <c r="U230" s="35"/>
      <c r="V230" s="35"/>
      <c r="W230" s="35"/>
      <c r="X230" s="35"/>
      <c r="Y230" s="35"/>
      <c r="Z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6"/>
      <c r="Q231" s="35"/>
      <c r="R231" s="35"/>
      <c r="S231" s="35"/>
      <c r="T231" s="35"/>
      <c r="U231" s="35"/>
      <c r="V231" s="35"/>
      <c r="W231" s="35"/>
      <c r="X231" s="35"/>
      <c r="Y231" s="35"/>
      <c r="Z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6"/>
      <c r="Q232" s="35"/>
      <c r="R232" s="35"/>
      <c r="S232" s="35"/>
      <c r="T232" s="35"/>
      <c r="U232" s="35"/>
      <c r="V232" s="35"/>
      <c r="W232" s="35"/>
      <c r="X232" s="35"/>
      <c r="Y232" s="35"/>
      <c r="Z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6"/>
      <c r="Q233" s="35"/>
      <c r="R233" s="35"/>
      <c r="S233" s="35"/>
      <c r="T233" s="35"/>
      <c r="U233" s="35"/>
      <c r="V233" s="35"/>
      <c r="W233" s="35"/>
      <c r="X233" s="35"/>
      <c r="Y233" s="35"/>
      <c r="Z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6"/>
      <c r="Q234" s="35"/>
      <c r="R234" s="35"/>
      <c r="S234" s="35"/>
      <c r="T234" s="35"/>
      <c r="U234" s="35"/>
      <c r="V234" s="35"/>
      <c r="W234" s="35"/>
      <c r="X234" s="35"/>
      <c r="Y234" s="35"/>
      <c r="Z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6"/>
      <c r="Q235" s="35"/>
      <c r="R235" s="35"/>
      <c r="S235" s="35"/>
      <c r="T235" s="35"/>
      <c r="U235" s="35"/>
      <c r="V235" s="35"/>
      <c r="W235" s="35"/>
      <c r="X235" s="35"/>
      <c r="Y235" s="35"/>
      <c r="Z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6"/>
      <c r="Q236" s="35"/>
      <c r="R236" s="35"/>
      <c r="S236" s="35"/>
      <c r="T236" s="35"/>
      <c r="U236" s="35"/>
      <c r="V236" s="35"/>
      <c r="W236" s="35"/>
      <c r="X236" s="35"/>
      <c r="Y236" s="35"/>
      <c r="Z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6"/>
      <c r="Q237" s="35"/>
      <c r="R237" s="35"/>
      <c r="S237" s="35"/>
      <c r="T237" s="35"/>
      <c r="U237" s="35"/>
      <c r="V237" s="35"/>
      <c r="W237" s="35"/>
      <c r="X237" s="35"/>
      <c r="Y237" s="35"/>
      <c r="Z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6"/>
      <c r="Q238" s="35"/>
      <c r="R238" s="35"/>
      <c r="S238" s="35"/>
      <c r="T238" s="35"/>
      <c r="U238" s="35"/>
      <c r="V238" s="35"/>
      <c r="W238" s="35"/>
      <c r="X238" s="35"/>
      <c r="Y238" s="35"/>
      <c r="Z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6"/>
      <c r="Q239" s="35"/>
      <c r="R239" s="35"/>
      <c r="S239" s="35"/>
      <c r="T239" s="35"/>
      <c r="U239" s="35"/>
      <c r="V239" s="35"/>
      <c r="W239" s="35"/>
      <c r="X239" s="35"/>
      <c r="Y239" s="35"/>
      <c r="Z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6"/>
      <c r="Q240" s="35"/>
      <c r="R240" s="35"/>
      <c r="S240" s="35"/>
      <c r="T240" s="35"/>
      <c r="U240" s="35"/>
      <c r="V240" s="35"/>
      <c r="W240" s="35"/>
      <c r="X240" s="35"/>
      <c r="Y240" s="35"/>
      <c r="Z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6"/>
      <c r="Q241" s="35"/>
      <c r="R241" s="35"/>
      <c r="S241" s="35"/>
      <c r="T241" s="35"/>
      <c r="U241" s="35"/>
      <c r="V241" s="35"/>
      <c r="W241" s="35"/>
      <c r="X241" s="35"/>
      <c r="Y241" s="35"/>
      <c r="Z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6"/>
      <c r="Q242" s="35"/>
      <c r="R242" s="35"/>
      <c r="S242" s="35"/>
      <c r="T242" s="35"/>
      <c r="U242" s="35"/>
      <c r="V242" s="35"/>
      <c r="W242" s="35"/>
      <c r="X242" s="35"/>
      <c r="Y242" s="35"/>
      <c r="Z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6"/>
      <c r="Q243" s="35"/>
      <c r="R243" s="35"/>
      <c r="S243" s="35"/>
      <c r="T243" s="35"/>
      <c r="U243" s="35"/>
      <c r="V243" s="35"/>
      <c r="W243" s="35"/>
      <c r="X243" s="35"/>
      <c r="Y243" s="35"/>
      <c r="Z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6"/>
      <c r="Q244" s="35"/>
      <c r="R244" s="35"/>
      <c r="S244" s="35"/>
      <c r="T244" s="35"/>
      <c r="U244" s="35"/>
      <c r="V244" s="35"/>
      <c r="W244" s="35"/>
      <c r="X244" s="35"/>
      <c r="Y244" s="35"/>
      <c r="Z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6"/>
      <c r="Q245" s="35"/>
      <c r="R245" s="35"/>
      <c r="S245" s="35"/>
      <c r="T245" s="35"/>
      <c r="U245" s="35"/>
      <c r="V245" s="35"/>
      <c r="W245" s="35"/>
      <c r="X245" s="35"/>
      <c r="Y245" s="35"/>
      <c r="Z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6"/>
      <c r="Q246" s="35"/>
      <c r="R246" s="35"/>
      <c r="S246" s="35"/>
      <c r="T246" s="35"/>
      <c r="U246" s="35"/>
      <c r="V246" s="35"/>
      <c r="W246" s="35"/>
      <c r="X246" s="35"/>
      <c r="Y246" s="35"/>
      <c r="Z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6"/>
      <c r="Q247" s="35"/>
      <c r="R247" s="35"/>
      <c r="S247" s="35"/>
      <c r="T247" s="35"/>
      <c r="U247" s="35"/>
      <c r="V247" s="35"/>
      <c r="W247" s="35"/>
      <c r="X247" s="35"/>
      <c r="Y247" s="35"/>
      <c r="Z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6"/>
      <c r="Q248" s="35"/>
      <c r="R248" s="35"/>
      <c r="S248" s="35"/>
      <c r="T248" s="35"/>
      <c r="U248" s="35"/>
      <c r="V248" s="35"/>
      <c r="W248" s="35"/>
      <c r="X248" s="35"/>
      <c r="Y248" s="35"/>
      <c r="Z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6"/>
      <c r="Q249" s="35"/>
      <c r="R249" s="35"/>
      <c r="S249" s="35"/>
      <c r="T249" s="35"/>
      <c r="U249" s="35"/>
      <c r="V249" s="35"/>
      <c r="W249" s="35"/>
      <c r="X249" s="35"/>
      <c r="Y249" s="35"/>
      <c r="Z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6"/>
      <c r="Q250" s="35"/>
      <c r="R250" s="35"/>
      <c r="S250" s="35"/>
      <c r="T250" s="35"/>
      <c r="U250" s="35"/>
      <c r="V250" s="35"/>
      <c r="W250" s="35"/>
      <c r="X250" s="35"/>
      <c r="Y250" s="35"/>
      <c r="Z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6"/>
      <c r="Q251" s="35"/>
      <c r="R251" s="35"/>
      <c r="S251" s="35"/>
      <c r="T251" s="35"/>
      <c r="U251" s="35"/>
      <c r="V251" s="35"/>
      <c r="W251" s="35"/>
      <c r="X251" s="35"/>
      <c r="Y251" s="35"/>
      <c r="Z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6"/>
      <c r="Q252" s="35"/>
      <c r="R252" s="35"/>
      <c r="S252" s="35"/>
      <c r="T252" s="35"/>
      <c r="U252" s="35"/>
      <c r="V252" s="35"/>
      <c r="W252" s="35"/>
      <c r="X252" s="35"/>
      <c r="Y252" s="35"/>
      <c r="Z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6"/>
      <c r="Q253" s="35"/>
      <c r="R253" s="35"/>
      <c r="S253" s="35"/>
      <c r="T253" s="35"/>
      <c r="U253" s="35"/>
      <c r="V253" s="35"/>
      <c r="W253" s="35"/>
      <c r="X253" s="35"/>
      <c r="Y253" s="35"/>
      <c r="Z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6"/>
      <c r="Q254" s="35"/>
      <c r="R254" s="35"/>
      <c r="S254" s="35"/>
      <c r="T254" s="35"/>
      <c r="U254" s="35"/>
      <c r="V254" s="35"/>
      <c r="W254" s="35"/>
      <c r="X254" s="35"/>
      <c r="Y254" s="35"/>
      <c r="Z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6"/>
      <c r="Q255" s="35"/>
      <c r="R255" s="35"/>
      <c r="S255" s="35"/>
      <c r="T255" s="35"/>
      <c r="U255" s="35"/>
      <c r="V255" s="35"/>
      <c r="W255" s="35"/>
      <c r="X255" s="35"/>
      <c r="Y255" s="35"/>
      <c r="Z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6"/>
      <c r="Q256" s="35"/>
      <c r="R256" s="35"/>
      <c r="S256" s="35"/>
      <c r="T256" s="35"/>
      <c r="U256" s="35"/>
      <c r="V256" s="35"/>
      <c r="W256" s="35"/>
      <c r="X256" s="35"/>
      <c r="Y256" s="35"/>
      <c r="Z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6"/>
      <c r="Q257" s="35"/>
      <c r="R257" s="35"/>
      <c r="S257" s="35"/>
      <c r="T257" s="35"/>
      <c r="U257" s="35"/>
      <c r="V257" s="35"/>
      <c r="W257" s="35"/>
      <c r="X257" s="35"/>
      <c r="Y257" s="35"/>
      <c r="Z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6"/>
      <c r="Q258" s="35"/>
      <c r="R258" s="35"/>
      <c r="S258" s="35"/>
      <c r="T258" s="35"/>
      <c r="U258" s="35"/>
      <c r="V258" s="35"/>
      <c r="W258" s="35"/>
      <c r="X258" s="35"/>
      <c r="Y258" s="35"/>
      <c r="Z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6"/>
      <c r="Q259" s="35"/>
      <c r="R259" s="35"/>
      <c r="S259" s="35"/>
      <c r="T259" s="35"/>
      <c r="U259" s="35"/>
      <c r="V259" s="35"/>
      <c r="W259" s="35"/>
      <c r="X259" s="35"/>
      <c r="Y259" s="35"/>
      <c r="Z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6"/>
      <c r="Q260" s="35"/>
      <c r="R260" s="35"/>
      <c r="S260" s="35"/>
      <c r="T260" s="35"/>
      <c r="U260" s="35"/>
      <c r="V260" s="35"/>
      <c r="W260" s="35"/>
      <c r="X260" s="35"/>
      <c r="Y260" s="35"/>
      <c r="Z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6"/>
      <c r="Q261" s="35"/>
      <c r="R261" s="35"/>
      <c r="S261" s="35"/>
      <c r="T261" s="35"/>
      <c r="U261" s="35"/>
      <c r="V261" s="35"/>
      <c r="W261" s="35"/>
      <c r="X261" s="35"/>
      <c r="Y261" s="35"/>
      <c r="Z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6"/>
      <c r="Q262" s="35"/>
      <c r="R262" s="35"/>
      <c r="S262" s="35"/>
      <c r="T262" s="35"/>
      <c r="U262" s="35"/>
      <c r="V262" s="35"/>
      <c r="W262" s="35"/>
      <c r="X262" s="35"/>
      <c r="Y262" s="35"/>
      <c r="Z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6"/>
      <c r="Q263" s="35"/>
      <c r="R263" s="35"/>
      <c r="S263" s="35"/>
      <c r="T263" s="35"/>
      <c r="U263" s="35"/>
      <c r="V263" s="35"/>
      <c r="W263" s="35"/>
      <c r="X263" s="35"/>
      <c r="Y263" s="35"/>
      <c r="Z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6"/>
      <c r="Q264" s="35"/>
      <c r="R264" s="35"/>
      <c r="S264" s="35"/>
      <c r="T264" s="35"/>
      <c r="U264" s="35"/>
      <c r="V264" s="35"/>
      <c r="W264" s="35"/>
      <c r="X264" s="35"/>
      <c r="Y264" s="35"/>
      <c r="Z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6"/>
      <c r="Q265" s="35"/>
      <c r="R265" s="35"/>
      <c r="S265" s="35"/>
      <c r="T265" s="35"/>
      <c r="U265" s="35"/>
      <c r="V265" s="35"/>
      <c r="W265" s="35"/>
      <c r="X265" s="35"/>
      <c r="Y265" s="35"/>
      <c r="Z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6"/>
      <c r="Q266" s="35"/>
      <c r="R266" s="35"/>
      <c r="S266" s="35"/>
      <c r="T266" s="35"/>
      <c r="U266" s="35"/>
      <c r="V266" s="35"/>
      <c r="W266" s="35"/>
      <c r="X266" s="35"/>
      <c r="Y266" s="35"/>
      <c r="Z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6"/>
      <c r="Q267" s="35"/>
      <c r="R267" s="35"/>
      <c r="S267" s="35"/>
      <c r="T267" s="35"/>
      <c r="U267" s="35"/>
      <c r="V267" s="35"/>
      <c r="W267" s="35"/>
      <c r="X267" s="35"/>
      <c r="Y267" s="35"/>
      <c r="Z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6"/>
      <c r="Q268" s="35"/>
      <c r="R268" s="35"/>
      <c r="S268" s="35"/>
      <c r="T268" s="35"/>
      <c r="U268" s="35"/>
      <c r="V268" s="35"/>
      <c r="W268" s="35"/>
      <c r="X268" s="35"/>
      <c r="Y268" s="35"/>
      <c r="Z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6"/>
      <c r="Q269" s="35"/>
      <c r="R269" s="35"/>
      <c r="S269" s="35"/>
      <c r="T269" s="35"/>
      <c r="U269" s="35"/>
      <c r="V269" s="35"/>
      <c r="W269" s="35"/>
      <c r="X269" s="35"/>
      <c r="Y269" s="35"/>
      <c r="Z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6"/>
      <c r="Q270" s="35"/>
      <c r="R270" s="35"/>
      <c r="S270" s="35"/>
      <c r="T270" s="35"/>
      <c r="U270" s="35"/>
      <c r="V270" s="35"/>
      <c r="W270" s="35"/>
      <c r="X270" s="35"/>
      <c r="Y270" s="35"/>
      <c r="Z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6"/>
      <c r="Q271" s="35"/>
      <c r="R271" s="35"/>
      <c r="S271" s="35"/>
      <c r="T271" s="35"/>
      <c r="U271" s="35"/>
      <c r="V271" s="35"/>
      <c r="W271" s="35"/>
      <c r="X271" s="35"/>
      <c r="Y271" s="35"/>
      <c r="Z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6"/>
      <c r="Q272" s="35"/>
      <c r="R272" s="35"/>
      <c r="S272" s="35"/>
      <c r="T272" s="35"/>
      <c r="U272" s="35"/>
      <c r="V272" s="35"/>
      <c r="W272" s="35"/>
      <c r="X272" s="35"/>
      <c r="Y272" s="35"/>
      <c r="Z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6"/>
      <c r="Q273" s="35"/>
      <c r="R273" s="35"/>
      <c r="S273" s="35"/>
      <c r="T273" s="35"/>
      <c r="U273" s="35"/>
      <c r="V273" s="35"/>
      <c r="W273" s="35"/>
      <c r="X273" s="35"/>
      <c r="Y273" s="35"/>
      <c r="Z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6"/>
      <c r="Q274" s="35"/>
      <c r="R274" s="35"/>
      <c r="S274" s="35"/>
      <c r="T274" s="35"/>
      <c r="U274" s="35"/>
      <c r="V274" s="35"/>
      <c r="W274" s="35"/>
      <c r="X274" s="35"/>
      <c r="Y274" s="35"/>
      <c r="Z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6"/>
      <c r="Q275" s="35"/>
      <c r="R275" s="35"/>
      <c r="S275" s="35"/>
      <c r="T275" s="35"/>
      <c r="U275" s="35"/>
      <c r="V275" s="35"/>
      <c r="W275" s="35"/>
      <c r="X275" s="35"/>
      <c r="Y275" s="35"/>
      <c r="Z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6"/>
      <c r="Q276" s="35"/>
      <c r="R276" s="35"/>
      <c r="S276" s="35"/>
      <c r="T276" s="35"/>
      <c r="U276" s="35"/>
      <c r="V276" s="35"/>
      <c r="W276" s="35"/>
      <c r="X276" s="35"/>
      <c r="Y276" s="35"/>
      <c r="Z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6"/>
      <c r="Q277" s="35"/>
      <c r="R277" s="35"/>
      <c r="S277" s="35"/>
      <c r="T277" s="35"/>
      <c r="U277" s="35"/>
      <c r="V277" s="35"/>
      <c r="W277" s="35"/>
      <c r="X277" s="35"/>
      <c r="Y277" s="35"/>
      <c r="Z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6"/>
      <c r="Q278" s="35"/>
      <c r="R278" s="35"/>
      <c r="S278" s="35"/>
      <c r="T278" s="35"/>
      <c r="U278" s="35"/>
      <c r="V278" s="35"/>
      <c r="W278" s="35"/>
      <c r="X278" s="35"/>
      <c r="Y278" s="35"/>
      <c r="Z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6"/>
      <c r="Q279" s="35"/>
      <c r="R279" s="35"/>
      <c r="S279" s="35"/>
      <c r="T279" s="35"/>
      <c r="U279" s="35"/>
      <c r="V279" s="35"/>
      <c r="W279" s="35"/>
      <c r="X279" s="35"/>
      <c r="Y279" s="35"/>
      <c r="Z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6"/>
      <c r="Q280" s="35"/>
      <c r="R280" s="35"/>
      <c r="S280" s="35"/>
      <c r="T280" s="35"/>
      <c r="U280" s="35"/>
      <c r="V280" s="35"/>
      <c r="W280" s="35"/>
      <c r="X280" s="35"/>
      <c r="Y280" s="35"/>
      <c r="Z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6"/>
      <c r="Q281" s="35"/>
      <c r="R281" s="35"/>
      <c r="S281" s="35"/>
      <c r="T281" s="35"/>
      <c r="U281" s="35"/>
      <c r="V281" s="35"/>
      <c r="W281" s="35"/>
      <c r="X281" s="35"/>
      <c r="Y281" s="35"/>
      <c r="Z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6"/>
      <c r="Q282" s="35"/>
      <c r="R282" s="35"/>
      <c r="S282" s="35"/>
      <c r="T282" s="35"/>
      <c r="U282" s="35"/>
      <c r="V282" s="35"/>
      <c r="W282" s="35"/>
      <c r="X282" s="35"/>
      <c r="Y282" s="35"/>
      <c r="Z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6"/>
      <c r="Q283" s="35"/>
      <c r="R283" s="35"/>
      <c r="S283" s="35"/>
      <c r="T283" s="35"/>
      <c r="U283" s="35"/>
      <c r="V283" s="35"/>
      <c r="W283" s="35"/>
      <c r="X283" s="35"/>
      <c r="Y283" s="35"/>
      <c r="Z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6"/>
      <c r="Q284" s="35"/>
      <c r="R284" s="35"/>
      <c r="S284" s="35"/>
      <c r="T284" s="35"/>
      <c r="U284" s="35"/>
      <c r="V284" s="35"/>
      <c r="W284" s="35"/>
      <c r="X284" s="35"/>
      <c r="Y284" s="35"/>
      <c r="Z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6"/>
      <c r="Q285" s="35"/>
      <c r="R285" s="35"/>
      <c r="S285" s="35"/>
      <c r="T285" s="35"/>
      <c r="U285" s="35"/>
      <c r="V285" s="35"/>
      <c r="W285" s="35"/>
      <c r="X285" s="35"/>
      <c r="Y285" s="35"/>
      <c r="Z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6"/>
      <c r="Q286" s="35"/>
      <c r="R286" s="35"/>
      <c r="S286" s="35"/>
      <c r="T286" s="35"/>
      <c r="U286" s="35"/>
      <c r="V286" s="35"/>
      <c r="W286" s="35"/>
      <c r="X286" s="35"/>
      <c r="Y286" s="35"/>
      <c r="Z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6"/>
      <c r="Q287" s="35"/>
      <c r="R287" s="35"/>
      <c r="S287" s="35"/>
      <c r="T287" s="35"/>
      <c r="U287" s="35"/>
      <c r="V287" s="35"/>
      <c r="W287" s="35"/>
      <c r="X287" s="35"/>
      <c r="Y287" s="35"/>
      <c r="Z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6"/>
      <c r="Q288" s="35"/>
      <c r="R288" s="35"/>
      <c r="S288" s="35"/>
      <c r="T288" s="35"/>
      <c r="U288" s="35"/>
      <c r="V288" s="35"/>
      <c r="W288" s="35"/>
      <c r="X288" s="35"/>
      <c r="Y288" s="35"/>
      <c r="Z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6"/>
      <c r="Q289" s="35"/>
      <c r="R289" s="35"/>
      <c r="S289" s="35"/>
      <c r="T289" s="35"/>
      <c r="U289" s="35"/>
      <c r="V289" s="35"/>
      <c r="W289" s="35"/>
      <c r="X289" s="35"/>
      <c r="Y289" s="35"/>
      <c r="Z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6"/>
      <c r="Q290" s="35"/>
      <c r="R290" s="35"/>
      <c r="S290" s="35"/>
      <c r="T290" s="35"/>
      <c r="U290" s="35"/>
      <c r="V290" s="35"/>
      <c r="W290" s="35"/>
      <c r="X290" s="35"/>
      <c r="Y290" s="35"/>
      <c r="Z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6"/>
      <c r="Q291" s="35"/>
      <c r="R291" s="35"/>
      <c r="S291" s="35"/>
      <c r="T291" s="35"/>
      <c r="U291" s="35"/>
      <c r="V291" s="35"/>
      <c r="W291" s="35"/>
      <c r="X291" s="35"/>
      <c r="Y291" s="35"/>
      <c r="Z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6"/>
      <c r="Q292" s="35"/>
      <c r="R292" s="35"/>
      <c r="S292" s="35"/>
      <c r="T292" s="35"/>
      <c r="U292" s="35"/>
      <c r="V292" s="35"/>
      <c r="W292" s="35"/>
      <c r="X292" s="35"/>
      <c r="Y292" s="35"/>
      <c r="Z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6"/>
      <c r="Q293" s="35"/>
      <c r="R293" s="35"/>
      <c r="S293" s="35"/>
      <c r="T293" s="35"/>
      <c r="U293" s="35"/>
      <c r="V293" s="35"/>
      <c r="W293" s="35"/>
      <c r="X293" s="35"/>
      <c r="Y293" s="35"/>
      <c r="Z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6"/>
      <c r="Q294" s="35"/>
      <c r="R294" s="35"/>
      <c r="S294" s="35"/>
      <c r="T294" s="35"/>
      <c r="U294" s="35"/>
      <c r="V294" s="35"/>
      <c r="W294" s="35"/>
      <c r="X294" s="35"/>
      <c r="Y294" s="35"/>
      <c r="Z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6"/>
      <c r="Q295" s="35"/>
      <c r="R295" s="35"/>
      <c r="S295" s="35"/>
      <c r="T295" s="35"/>
      <c r="U295" s="35"/>
      <c r="V295" s="35"/>
      <c r="W295" s="35"/>
      <c r="X295" s="35"/>
      <c r="Y295" s="35"/>
      <c r="Z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6"/>
      <c r="Q296" s="35"/>
      <c r="R296" s="35"/>
      <c r="S296" s="35"/>
      <c r="T296" s="35"/>
      <c r="U296" s="35"/>
      <c r="V296" s="35"/>
      <c r="W296" s="35"/>
      <c r="X296" s="35"/>
      <c r="Y296" s="35"/>
      <c r="Z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6"/>
      <c r="Q297" s="35"/>
      <c r="R297" s="35"/>
      <c r="S297" s="35"/>
      <c r="T297" s="35"/>
      <c r="U297" s="35"/>
      <c r="V297" s="35"/>
      <c r="W297" s="35"/>
      <c r="X297" s="35"/>
      <c r="Y297" s="35"/>
      <c r="Z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6"/>
      <c r="Q298" s="35"/>
      <c r="R298" s="35"/>
      <c r="S298" s="35"/>
      <c r="T298" s="35"/>
      <c r="U298" s="35"/>
      <c r="V298" s="35"/>
      <c r="W298" s="35"/>
      <c r="X298" s="35"/>
      <c r="Y298" s="35"/>
      <c r="Z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6"/>
      <c r="Q299" s="35"/>
      <c r="R299" s="35"/>
      <c r="S299" s="35"/>
      <c r="T299" s="35"/>
      <c r="U299" s="35"/>
      <c r="V299" s="35"/>
      <c r="W299" s="35"/>
      <c r="X299" s="35"/>
      <c r="Y299" s="35"/>
      <c r="Z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6"/>
      <c r="Q300" s="35"/>
      <c r="R300" s="35"/>
      <c r="S300" s="35"/>
      <c r="T300" s="35"/>
      <c r="U300" s="35"/>
      <c r="V300" s="35"/>
      <c r="W300" s="35"/>
      <c r="X300" s="35"/>
      <c r="Y300" s="35"/>
      <c r="Z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6"/>
      <c r="Q301" s="35"/>
      <c r="R301" s="35"/>
      <c r="S301" s="35"/>
      <c r="T301" s="35"/>
      <c r="U301" s="35"/>
      <c r="V301" s="35"/>
      <c r="W301" s="35"/>
      <c r="X301" s="35"/>
      <c r="Y301" s="35"/>
      <c r="Z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6"/>
      <c r="Q302" s="35"/>
      <c r="R302" s="35"/>
      <c r="S302" s="35"/>
      <c r="T302" s="35"/>
      <c r="U302" s="35"/>
      <c r="V302" s="35"/>
      <c r="W302" s="35"/>
      <c r="X302" s="35"/>
      <c r="Y302" s="35"/>
      <c r="Z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6"/>
      <c r="Q303" s="35"/>
      <c r="R303" s="35"/>
      <c r="S303" s="35"/>
      <c r="T303" s="35"/>
      <c r="U303" s="35"/>
      <c r="V303" s="35"/>
      <c r="W303" s="35"/>
      <c r="X303" s="35"/>
      <c r="Y303" s="35"/>
      <c r="Z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6"/>
      <c r="Q304" s="35"/>
      <c r="R304" s="35"/>
      <c r="S304" s="35"/>
      <c r="T304" s="35"/>
      <c r="U304" s="35"/>
      <c r="V304" s="35"/>
      <c r="W304" s="35"/>
      <c r="X304" s="35"/>
      <c r="Y304" s="35"/>
      <c r="Z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6"/>
      <c r="Q305" s="35"/>
      <c r="R305" s="35"/>
      <c r="S305" s="35"/>
      <c r="T305" s="35"/>
      <c r="U305" s="35"/>
      <c r="V305" s="35"/>
      <c r="W305" s="35"/>
      <c r="X305" s="35"/>
      <c r="Y305" s="35"/>
      <c r="Z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6"/>
      <c r="Q306" s="35"/>
      <c r="R306" s="35"/>
      <c r="S306" s="35"/>
      <c r="T306" s="35"/>
      <c r="U306" s="35"/>
      <c r="V306" s="35"/>
      <c r="W306" s="35"/>
      <c r="X306" s="35"/>
      <c r="Y306" s="35"/>
      <c r="Z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6"/>
      <c r="Q307" s="35"/>
      <c r="R307" s="35"/>
      <c r="S307" s="35"/>
      <c r="T307" s="35"/>
      <c r="U307" s="35"/>
      <c r="V307" s="35"/>
      <c r="W307" s="35"/>
      <c r="X307" s="35"/>
      <c r="Y307" s="35"/>
      <c r="Z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6"/>
      <c r="Q308" s="35"/>
      <c r="R308" s="35"/>
      <c r="S308" s="35"/>
      <c r="T308" s="35"/>
      <c r="U308" s="35"/>
      <c r="V308" s="35"/>
      <c r="W308" s="35"/>
      <c r="X308" s="35"/>
      <c r="Y308" s="35"/>
      <c r="Z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6"/>
      <c r="Q309" s="35"/>
      <c r="R309" s="35"/>
      <c r="S309" s="35"/>
      <c r="T309" s="35"/>
      <c r="U309" s="35"/>
      <c r="V309" s="35"/>
      <c r="W309" s="35"/>
      <c r="X309" s="35"/>
      <c r="Y309" s="35"/>
      <c r="Z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6"/>
      <c r="Q310" s="35"/>
      <c r="R310" s="35"/>
      <c r="S310" s="35"/>
      <c r="T310" s="35"/>
      <c r="U310" s="35"/>
      <c r="V310" s="35"/>
      <c r="W310" s="35"/>
      <c r="X310" s="35"/>
      <c r="Y310" s="35"/>
      <c r="Z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6"/>
      <c r="Q311" s="35"/>
      <c r="R311" s="35"/>
      <c r="S311" s="35"/>
      <c r="T311" s="35"/>
      <c r="U311" s="35"/>
      <c r="V311" s="35"/>
      <c r="W311" s="35"/>
      <c r="X311" s="35"/>
      <c r="Y311" s="35"/>
      <c r="Z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6"/>
      <c r="Q312" s="35"/>
      <c r="R312" s="35"/>
      <c r="S312" s="35"/>
      <c r="T312" s="35"/>
      <c r="U312" s="35"/>
      <c r="V312" s="35"/>
      <c r="W312" s="35"/>
      <c r="X312" s="35"/>
      <c r="Y312" s="35"/>
      <c r="Z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6"/>
      <c r="Q313" s="35"/>
      <c r="R313" s="35"/>
      <c r="S313" s="35"/>
      <c r="T313" s="35"/>
      <c r="U313" s="35"/>
      <c r="V313" s="35"/>
      <c r="W313" s="35"/>
      <c r="X313" s="35"/>
      <c r="Y313" s="35"/>
      <c r="Z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6"/>
      <c r="Q314" s="35"/>
      <c r="R314" s="35"/>
      <c r="S314" s="35"/>
      <c r="T314" s="35"/>
      <c r="U314" s="35"/>
      <c r="V314" s="35"/>
      <c r="W314" s="35"/>
      <c r="X314" s="35"/>
      <c r="Y314" s="35"/>
      <c r="Z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6"/>
      <c r="Q315" s="35"/>
      <c r="R315" s="35"/>
      <c r="S315" s="35"/>
      <c r="T315" s="35"/>
      <c r="U315" s="35"/>
      <c r="V315" s="35"/>
      <c r="W315" s="35"/>
      <c r="X315" s="35"/>
      <c r="Y315" s="35"/>
      <c r="Z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6"/>
      <c r="Q316" s="35"/>
      <c r="R316" s="35"/>
      <c r="S316" s="35"/>
      <c r="T316" s="35"/>
      <c r="U316" s="35"/>
      <c r="V316" s="35"/>
      <c r="W316" s="35"/>
      <c r="X316" s="35"/>
      <c r="Y316" s="35"/>
      <c r="Z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6"/>
      <c r="Q317" s="35"/>
      <c r="R317" s="35"/>
      <c r="S317" s="35"/>
      <c r="T317" s="35"/>
      <c r="U317" s="35"/>
      <c r="V317" s="35"/>
      <c r="W317" s="35"/>
      <c r="X317" s="35"/>
      <c r="Y317" s="35"/>
      <c r="Z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6"/>
      <c r="Q318" s="35"/>
      <c r="R318" s="35"/>
      <c r="S318" s="35"/>
      <c r="T318" s="35"/>
      <c r="U318" s="35"/>
      <c r="V318" s="35"/>
      <c r="W318" s="35"/>
      <c r="X318" s="35"/>
      <c r="Y318" s="35"/>
      <c r="Z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6"/>
      <c r="Q319" s="35"/>
      <c r="R319" s="35"/>
      <c r="S319" s="35"/>
      <c r="T319" s="35"/>
      <c r="U319" s="35"/>
      <c r="V319" s="35"/>
      <c r="W319" s="35"/>
      <c r="X319" s="35"/>
      <c r="Y319" s="35"/>
      <c r="Z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6"/>
      <c r="Q320" s="35"/>
      <c r="R320" s="35"/>
      <c r="S320" s="35"/>
      <c r="T320" s="35"/>
      <c r="U320" s="35"/>
      <c r="V320" s="35"/>
      <c r="W320" s="35"/>
      <c r="X320" s="35"/>
      <c r="Y320" s="35"/>
      <c r="Z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6"/>
      <c r="Q321" s="35"/>
      <c r="R321" s="35"/>
      <c r="S321" s="35"/>
      <c r="T321" s="35"/>
      <c r="U321" s="35"/>
      <c r="V321" s="35"/>
      <c r="W321" s="35"/>
      <c r="X321" s="35"/>
      <c r="Y321" s="35"/>
      <c r="Z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6"/>
      <c r="Q322" s="35"/>
      <c r="R322" s="35"/>
      <c r="S322" s="35"/>
      <c r="T322" s="35"/>
      <c r="U322" s="35"/>
      <c r="V322" s="35"/>
      <c r="W322" s="35"/>
      <c r="X322" s="35"/>
      <c r="Y322" s="35"/>
      <c r="Z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6"/>
      <c r="Q323" s="35"/>
      <c r="R323" s="35"/>
      <c r="S323" s="35"/>
      <c r="T323" s="35"/>
      <c r="U323" s="35"/>
      <c r="V323" s="35"/>
      <c r="W323" s="35"/>
      <c r="X323" s="35"/>
      <c r="Y323" s="35"/>
      <c r="Z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6"/>
      <c r="Q324" s="35"/>
      <c r="R324" s="35"/>
      <c r="S324" s="35"/>
      <c r="T324" s="35"/>
      <c r="U324" s="35"/>
      <c r="V324" s="35"/>
      <c r="W324" s="35"/>
      <c r="X324" s="35"/>
      <c r="Y324" s="35"/>
      <c r="Z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6"/>
      <c r="Q325" s="35"/>
      <c r="R325" s="35"/>
      <c r="S325" s="35"/>
      <c r="T325" s="35"/>
      <c r="U325" s="35"/>
      <c r="V325" s="35"/>
      <c r="W325" s="35"/>
      <c r="X325" s="35"/>
      <c r="Y325" s="35"/>
      <c r="Z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6"/>
      <c r="Q326" s="35"/>
      <c r="R326" s="35"/>
      <c r="S326" s="35"/>
      <c r="T326" s="35"/>
      <c r="U326" s="35"/>
      <c r="V326" s="35"/>
      <c r="W326" s="35"/>
      <c r="X326" s="35"/>
      <c r="Y326" s="35"/>
      <c r="Z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6"/>
      <c r="Q327" s="35"/>
      <c r="R327" s="35"/>
      <c r="S327" s="35"/>
      <c r="T327" s="35"/>
      <c r="U327" s="35"/>
      <c r="V327" s="35"/>
      <c r="W327" s="35"/>
      <c r="X327" s="35"/>
      <c r="Y327" s="35"/>
      <c r="Z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6"/>
      <c r="Q328" s="35"/>
      <c r="R328" s="35"/>
      <c r="S328" s="35"/>
      <c r="T328" s="35"/>
      <c r="U328" s="35"/>
      <c r="V328" s="35"/>
      <c r="W328" s="35"/>
      <c r="X328" s="35"/>
      <c r="Y328" s="35"/>
      <c r="Z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6"/>
      <c r="Q329" s="35"/>
      <c r="R329" s="35"/>
      <c r="S329" s="35"/>
      <c r="T329" s="35"/>
      <c r="U329" s="35"/>
      <c r="V329" s="35"/>
      <c r="W329" s="35"/>
      <c r="X329" s="35"/>
      <c r="Y329" s="35"/>
      <c r="Z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6"/>
      <c r="Q330" s="35"/>
      <c r="R330" s="35"/>
      <c r="S330" s="35"/>
      <c r="T330" s="35"/>
      <c r="U330" s="35"/>
      <c r="V330" s="35"/>
      <c r="W330" s="35"/>
      <c r="X330" s="35"/>
      <c r="Y330" s="35"/>
      <c r="Z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6"/>
      <c r="Q331" s="35"/>
      <c r="R331" s="35"/>
      <c r="S331" s="35"/>
      <c r="T331" s="35"/>
      <c r="U331" s="35"/>
      <c r="V331" s="35"/>
      <c r="W331" s="35"/>
      <c r="X331" s="35"/>
      <c r="Y331" s="35"/>
      <c r="Z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6"/>
      <c r="Q332" s="35"/>
      <c r="R332" s="35"/>
      <c r="S332" s="35"/>
      <c r="T332" s="35"/>
      <c r="U332" s="35"/>
      <c r="V332" s="35"/>
      <c r="W332" s="35"/>
      <c r="X332" s="35"/>
      <c r="Y332" s="35"/>
      <c r="Z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6"/>
      <c r="Q333" s="35"/>
      <c r="R333" s="35"/>
      <c r="S333" s="35"/>
      <c r="T333" s="35"/>
      <c r="U333" s="35"/>
      <c r="V333" s="35"/>
      <c r="W333" s="35"/>
      <c r="X333" s="35"/>
      <c r="Y333" s="35"/>
      <c r="Z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6"/>
      <c r="Q334" s="35"/>
      <c r="R334" s="35"/>
      <c r="S334" s="35"/>
      <c r="T334" s="35"/>
      <c r="U334" s="35"/>
      <c r="V334" s="35"/>
      <c r="W334" s="35"/>
      <c r="X334" s="35"/>
      <c r="Y334" s="35"/>
      <c r="Z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6"/>
      <c r="Q335" s="35"/>
      <c r="R335" s="35"/>
      <c r="S335" s="35"/>
      <c r="T335" s="35"/>
      <c r="U335" s="35"/>
      <c r="V335" s="35"/>
      <c r="W335" s="35"/>
      <c r="X335" s="35"/>
      <c r="Y335" s="35"/>
      <c r="Z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6"/>
      <c r="Q336" s="35"/>
      <c r="R336" s="35"/>
      <c r="S336" s="35"/>
      <c r="T336" s="35"/>
      <c r="U336" s="35"/>
      <c r="V336" s="35"/>
      <c r="W336" s="35"/>
      <c r="X336" s="35"/>
      <c r="Y336" s="35"/>
      <c r="Z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6"/>
      <c r="Q337" s="35"/>
      <c r="R337" s="35"/>
      <c r="S337" s="35"/>
      <c r="T337" s="35"/>
      <c r="U337" s="35"/>
      <c r="V337" s="35"/>
      <c r="W337" s="35"/>
      <c r="X337" s="35"/>
      <c r="Y337" s="35"/>
      <c r="Z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6"/>
      <c r="Q338" s="35"/>
      <c r="R338" s="35"/>
      <c r="S338" s="35"/>
      <c r="T338" s="35"/>
      <c r="U338" s="35"/>
      <c r="V338" s="35"/>
      <c r="W338" s="35"/>
      <c r="X338" s="35"/>
      <c r="Y338" s="35"/>
      <c r="Z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6"/>
      <c r="Q339" s="35"/>
      <c r="R339" s="35"/>
      <c r="S339" s="35"/>
      <c r="T339" s="35"/>
      <c r="U339" s="35"/>
      <c r="V339" s="35"/>
      <c r="W339" s="35"/>
      <c r="X339" s="35"/>
      <c r="Y339" s="35"/>
      <c r="Z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6"/>
      <c r="Q340" s="35"/>
      <c r="R340" s="35"/>
      <c r="S340" s="35"/>
      <c r="T340" s="35"/>
      <c r="U340" s="35"/>
      <c r="V340" s="35"/>
      <c r="W340" s="35"/>
      <c r="X340" s="35"/>
      <c r="Y340" s="35"/>
      <c r="Z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6"/>
      <c r="Q341" s="35"/>
      <c r="R341" s="35"/>
      <c r="S341" s="35"/>
      <c r="T341" s="35"/>
      <c r="U341" s="35"/>
      <c r="V341" s="35"/>
      <c r="W341" s="35"/>
      <c r="X341" s="35"/>
      <c r="Y341" s="35"/>
      <c r="Z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6"/>
      <c r="Q342" s="35"/>
      <c r="R342" s="35"/>
      <c r="S342" s="35"/>
      <c r="T342" s="35"/>
      <c r="U342" s="35"/>
      <c r="V342" s="35"/>
      <c r="W342" s="35"/>
      <c r="X342" s="35"/>
      <c r="Y342" s="35"/>
      <c r="Z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6"/>
      <c r="Q343" s="35"/>
      <c r="R343" s="35"/>
      <c r="S343" s="35"/>
      <c r="T343" s="35"/>
      <c r="U343" s="35"/>
      <c r="V343" s="35"/>
      <c r="W343" s="35"/>
      <c r="X343" s="35"/>
      <c r="Y343" s="35"/>
      <c r="Z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6"/>
      <c r="Q344" s="35"/>
      <c r="R344" s="35"/>
      <c r="S344" s="35"/>
      <c r="T344" s="35"/>
      <c r="U344" s="35"/>
      <c r="V344" s="35"/>
      <c r="W344" s="35"/>
      <c r="X344" s="35"/>
      <c r="Y344" s="35"/>
      <c r="Z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6"/>
      <c r="Q345" s="35"/>
      <c r="R345" s="35"/>
      <c r="S345" s="35"/>
      <c r="T345" s="35"/>
      <c r="U345" s="35"/>
      <c r="V345" s="35"/>
      <c r="W345" s="35"/>
      <c r="X345" s="35"/>
      <c r="Y345" s="35"/>
      <c r="Z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6"/>
      <c r="Q346" s="35"/>
      <c r="R346" s="35"/>
      <c r="S346" s="35"/>
      <c r="T346" s="35"/>
      <c r="U346" s="35"/>
      <c r="V346" s="35"/>
      <c r="W346" s="35"/>
      <c r="X346" s="35"/>
      <c r="Y346" s="35"/>
      <c r="Z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6"/>
      <c r="Q347" s="35"/>
      <c r="R347" s="35"/>
      <c r="S347" s="35"/>
      <c r="T347" s="35"/>
      <c r="U347" s="35"/>
      <c r="V347" s="35"/>
      <c r="W347" s="35"/>
      <c r="X347" s="35"/>
      <c r="Y347" s="35"/>
      <c r="Z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6"/>
      <c r="Q348" s="35"/>
      <c r="R348" s="35"/>
      <c r="S348" s="35"/>
      <c r="T348" s="35"/>
      <c r="U348" s="35"/>
      <c r="V348" s="35"/>
      <c r="W348" s="35"/>
      <c r="X348" s="35"/>
      <c r="Y348" s="35"/>
      <c r="Z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6"/>
      <c r="Q349" s="35"/>
      <c r="R349" s="35"/>
      <c r="S349" s="35"/>
      <c r="T349" s="35"/>
      <c r="U349" s="35"/>
      <c r="V349" s="35"/>
      <c r="W349" s="35"/>
      <c r="X349" s="35"/>
      <c r="Y349" s="35"/>
      <c r="Z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6"/>
      <c r="Q350" s="35"/>
      <c r="R350" s="35"/>
      <c r="S350" s="35"/>
      <c r="T350" s="35"/>
      <c r="U350" s="35"/>
      <c r="V350" s="35"/>
      <c r="W350" s="35"/>
      <c r="X350" s="35"/>
      <c r="Y350" s="35"/>
      <c r="Z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6"/>
      <c r="Q351" s="35"/>
      <c r="R351" s="35"/>
      <c r="S351" s="35"/>
      <c r="T351" s="35"/>
      <c r="U351" s="35"/>
      <c r="V351" s="35"/>
      <c r="W351" s="35"/>
      <c r="X351" s="35"/>
      <c r="Y351" s="35"/>
      <c r="Z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6"/>
      <c r="Q352" s="35"/>
      <c r="R352" s="35"/>
      <c r="S352" s="35"/>
      <c r="T352" s="35"/>
      <c r="U352" s="35"/>
      <c r="V352" s="35"/>
      <c r="W352" s="35"/>
      <c r="X352" s="35"/>
      <c r="Y352" s="35"/>
      <c r="Z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6"/>
      <c r="Q353" s="35"/>
      <c r="R353" s="35"/>
      <c r="S353" s="35"/>
      <c r="T353" s="35"/>
      <c r="U353" s="35"/>
      <c r="V353" s="35"/>
      <c r="W353" s="35"/>
      <c r="X353" s="35"/>
      <c r="Y353" s="35"/>
      <c r="Z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6"/>
      <c r="Q354" s="35"/>
      <c r="R354" s="35"/>
      <c r="S354" s="35"/>
      <c r="T354" s="35"/>
      <c r="U354" s="35"/>
      <c r="V354" s="35"/>
      <c r="W354" s="35"/>
      <c r="X354" s="35"/>
      <c r="Y354" s="35"/>
      <c r="Z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6"/>
      <c r="Q355" s="35"/>
      <c r="R355" s="35"/>
      <c r="S355" s="35"/>
      <c r="T355" s="35"/>
      <c r="U355" s="35"/>
      <c r="V355" s="35"/>
      <c r="W355" s="35"/>
      <c r="X355" s="35"/>
      <c r="Y355" s="35"/>
      <c r="Z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6"/>
      <c r="Q356" s="35"/>
      <c r="R356" s="35"/>
      <c r="S356" s="35"/>
      <c r="T356" s="35"/>
      <c r="U356" s="35"/>
      <c r="V356" s="35"/>
      <c r="W356" s="35"/>
      <c r="X356" s="35"/>
      <c r="Y356" s="35"/>
      <c r="Z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6"/>
      <c r="Q357" s="35"/>
      <c r="R357" s="35"/>
      <c r="S357" s="35"/>
      <c r="T357" s="35"/>
      <c r="U357" s="35"/>
      <c r="V357" s="35"/>
      <c r="W357" s="35"/>
      <c r="X357" s="35"/>
      <c r="Y357" s="35"/>
      <c r="Z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6"/>
      <c r="Q358" s="35"/>
      <c r="R358" s="35"/>
      <c r="S358" s="35"/>
      <c r="T358" s="35"/>
      <c r="U358" s="35"/>
      <c r="V358" s="35"/>
      <c r="W358" s="35"/>
      <c r="X358" s="35"/>
      <c r="Y358" s="35"/>
      <c r="Z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6"/>
      <c r="Q359" s="35"/>
      <c r="R359" s="35"/>
      <c r="S359" s="35"/>
      <c r="T359" s="35"/>
      <c r="U359" s="35"/>
      <c r="V359" s="35"/>
      <c r="W359" s="35"/>
      <c r="X359" s="35"/>
      <c r="Y359" s="35"/>
      <c r="Z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6"/>
      <c r="Q360" s="35"/>
      <c r="R360" s="35"/>
      <c r="S360" s="35"/>
      <c r="T360" s="35"/>
      <c r="U360" s="35"/>
      <c r="V360" s="35"/>
      <c r="W360" s="35"/>
      <c r="X360" s="35"/>
      <c r="Y360" s="35"/>
      <c r="Z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6"/>
      <c r="Q361" s="35"/>
      <c r="R361" s="35"/>
      <c r="S361" s="35"/>
      <c r="T361" s="35"/>
      <c r="U361" s="35"/>
      <c r="V361" s="35"/>
      <c r="W361" s="35"/>
      <c r="X361" s="35"/>
      <c r="Y361" s="35"/>
      <c r="Z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6"/>
      <c r="Q362" s="35"/>
      <c r="R362" s="35"/>
      <c r="S362" s="35"/>
      <c r="T362" s="35"/>
      <c r="U362" s="35"/>
      <c r="V362" s="35"/>
      <c r="W362" s="35"/>
      <c r="X362" s="35"/>
      <c r="Y362" s="35"/>
      <c r="Z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6"/>
      <c r="Q363" s="35"/>
      <c r="R363" s="35"/>
      <c r="S363" s="35"/>
      <c r="T363" s="35"/>
      <c r="U363" s="35"/>
      <c r="V363" s="35"/>
      <c r="W363" s="35"/>
      <c r="X363" s="35"/>
      <c r="Y363" s="35"/>
      <c r="Z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6"/>
      <c r="Q364" s="35"/>
      <c r="R364" s="35"/>
      <c r="S364" s="35"/>
      <c r="T364" s="35"/>
      <c r="U364" s="35"/>
      <c r="V364" s="35"/>
      <c r="W364" s="35"/>
      <c r="X364" s="35"/>
      <c r="Y364" s="35"/>
      <c r="Z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6"/>
      <c r="Q365" s="35"/>
      <c r="R365" s="35"/>
      <c r="S365" s="35"/>
      <c r="T365" s="35"/>
      <c r="U365" s="35"/>
      <c r="V365" s="35"/>
      <c r="W365" s="35"/>
      <c r="X365" s="35"/>
      <c r="Y365" s="35"/>
      <c r="Z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6"/>
      <c r="Q366" s="35"/>
      <c r="R366" s="35"/>
      <c r="S366" s="35"/>
      <c r="T366" s="35"/>
      <c r="U366" s="35"/>
      <c r="V366" s="35"/>
      <c r="W366" s="35"/>
      <c r="X366" s="35"/>
      <c r="Y366" s="35"/>
      <c r="Z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6"/>
      <c r="Q367" s="35"/>
      <c r="R367" s="35"/>
      <c r="S367" s="35"/>
      <c r="T367" s="35"/>
      <c r="U367" s="35"/>
      <c r="V367" s="35"/>
      <c r="W367" s="35"/>
      <c r="X367" s="35"/>
      <c r="Y367" s="35"/>
      <c r="Z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6"/>
      <c r="Q368" s="35"/>
      <c r="R368" s="35"/>
      <c r="S368" s="35"/>
      <c r="T368" s="35"/>
      <c r="U368" s="35"/>
      <c r="V368" s="35"/>
      <c r="W368" s="35"/>
      <c r="X368" s="35"/>
      <c r="Y368" s="35"/>
      <c r="Z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6"/>
      <c r="Q369" s="35"/>
      <c r="R369" s="35"/>
      <c r="S369" s="35"/>
      <c r="T369" s="35"/>
      <c r="U369" s="35"/>
      <c r="V369" s="35"/>
      <c r="W369" s="35"/>
      <c r="X369" s="35"/>
      <c r="Y369" s="35"/>
      <c r="Z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6"/>
      <c r="Q370" s="35"/>
      <c r="R370" s="35"/>
      <c r="S370" s="35"/>
      <c r="T370" s="35"/>
      <c r="U370" s="35"/>
      <c r="V370" s="35"/>
      <c r="W370" s="35"/>
      <c r="X370" s="35"/>
      <c r="Y370" s="35"/>
      <c r="Z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6"/>
      <c r="Q371" s="35"/>
      <c r="R371" s="35"/>
      <c r="S371" s="35"/>
      <c r="T371" s="35"/>
      <c r="U371" s="35"/>
      <c r="V371" s="35"/>
      <c r="W371" s="35"/>
      <c r="X371" s="35"/>
      <c r="Y371" s="35"/>
      <c r="Z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6"/>
      <c r="Q372" s="35"/>
      <c r="R372" s="35"/>
      <c r="S372" s="35"/>
      <c r="T372" s="35"/>
      <c r="U372" s="35"/>
      <c r="V372" s="35"/>
      <c r="W372" s="35"/>
      <c r="X372" s="35"/>
      <c r="Y372" s="35"/>
      <c r="Z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6"/>
      <c r="Q373" s="35"/>
      <c r="R373" s="35"/>
      <c r="S373" s="35"/>
      <c r="T373" s="35"/>
      <c r="U373" s="35"/>
      <c r="V373" s="35"/>
      <c r="W373" s="35"/>
      <c r="X373" s="35"/>
      <c r="Y373" s="35"/>
      <c r="Z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6"/>
      <c r="Q374" s="35"/>
      <c r="R374" s="35"/>
      <c r="S374" s="35"/>
      <c r="T374" s="35"/>
      <c r="U374" s="35"/>
      <c r="V374" s="35"/>
      <c r="W374" s="35"/>
      <c r="X374" s="35"/>
      <c r="Y374" s="35"/>
      <c r="Z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6"/>
      <c r="Q375" s="35"/>
      <c r="R375" s="35"/>
      <c r="S375" s="35"/>
      <c r="T375" s="35"/>
      <c r="U375" s="35"/>
      <c r="V375" s="35"/>
      <c r="W375" s="35"/>
      <c r="X375" s="35"/>
      <c r="Y375" s="35"/>
      <c r="Z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6"/>
      <c r="Q376" s="35"/>
      <c r="R376" s="35"/>
      <c r="S376" s="35"/>
      <c r="T376" s="35"/>
      <c r="U376" s="35"/>
      <c r="V376" s="35"/>
      <c r="W376" s="35"/>
      <c r="X376" s="35"/>
      <c r="Y376" s="35"/>
      <c r="Z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6"/>
      <c r="Q377" s="35"/>
      <c r="R377" s="35"/>
      <c r="S377" s="35"/>
      <c r="T377" s="35"/>
      <c r="U377" s="35"/>
      <c r="V377" s="35"/>
      <c r="W377" s="35"/>
      <c r="X377" s="35"/>
      <c r="Y377" s="35"/>
      <c r="Z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6"/>
      <c r="Q378" s="35"/>
      <c r="R378" s="35"/>
      <c r="S378" s="35"/>
      <c r="T378" s="35"/>
      <c r="U378" s="35"/>
      <c r="V378" s="35"/>
      <c r="W378" s="35"/>
      <c r="X378" s="35"/>
      <c r="Y378" s="35"/>
      <c r="Z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6"/>
      <c r="Q379" s="35"/>
      <c r="R379" s="35"/>
      <c r="S379" s="35"/>
      <c r="T379" s="35"/>
      <c r="U379" s="35"/>
      <c r="V379" s="35"/>
      <c r="W379" s="35"/>
      <c r="X379" s="35"/>
      <c r="Y379" s="35"/>
      <c r="Z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6"/>
      <c r="Q380" s="35"/>
      <c r="R380" s="35"/>
      <c r="S380" s="35"/>
      <c r="T380" s="35"/>
      <c r="U380" s="35"/>
      <c r="V380" s="35"/>
      <c r="W380" s="35"/>
      <c r="X380" s="35"/>
      <c r="Y380" s="35"/>
      <c r="Z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6"/>
      <c r="Q381" s="35"/>
      <c r="R381" s="35"/>
      <c r="S381" s="35"/>
      <c r="T381" s="35"/>
      <c r="U381" s="35"/>
      <c r="V381" s="35"/>
      <c r="W381" s="35"/>
      <c r="X381" s="35"/>
      <c r="Y381" s="35"/>
      <c r="Z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6"/>
      <c r="Q382" s="35"/>
      <c r="R382" s="35"/>
      <c r="S382" s="35"/>
      <c r="T382" s="35"/>
      <c r="U382" s="35"/>
      <c r="V382" s="35"/>
      <c r="W382" s="35"/>
      <c r="X382" s="35"/>
      <c r="Y382" s="35"/>
      <c r="Z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6"/>
      <c r="Q383" s="35"/>
      <c r="R383" s="35"/>
      <c r="S383" s="35"/>
      <c r="T383" s="35"/>
      <c r="U383" s="35"/>
      <c r="V383" s="35"/>
      <c r="W383" s="35"/>
      <c r="X383" s="35"/>
      <c r="Y383" s="35"/>
      <c r="Z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6"/>
      <c r="Q384" s="35"/>
      <c r="R384" s="35"/>
      <c r="S384" s="35"/>
      <c r="T384" s="35"/>
      <c r="U384" s="35"/>
      <c r="V384" s="35"/>
      <c r="W384" s="35"/>
      <c r="X384" s="35"/>
      <c r="Y384" s="35"/>
      <c r="Z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6"/>
      <c r="Q385" s="35"/>
      <c r="R385" s="35"/>
      <c r="S385" s="35"/>
      <c r="T385" s="35"/>
      <c r="U385" s="35"/>
      <c r="V385" s="35"/>
      <c r="W385" s="35"/>
      <c r="X385" s="35"/>
      <c r="Y385" s="35"/>
      <c r="Z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6"/>
      <c r="Q386" s="35"/>
      <c r="R386" s="35"/>
      <c r="S386" s="35"/>
      <c r="T386" s="35"/>
      <c r="U386" s="35"/>
      <c r="V386" s="35"/>
      <c r="W386" s="35"/>
      <c r="X386" s="35"/>
      <c r="Y386" s="35"/>
      <c r="Z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6"/>
      <c r="Q387" s="35"/>
      <c r="R387" s="35"/>
      <c r="S387" s="35"/>
      <c r="T387" s="35"/>
      <c r="U387" s="35"/>
      <c r="V387" s="35"/>
      <c r="W387" s="35"/>
      <c r="X387" s="35"/>
      <c r="Y387" s="35"/>
      <c r="Z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6"/>
      <c r="Q388" s="35"/>
      <c r="R388" s="35"/>
      <c r="S388" s="35"/>
      <c r="T388" s="35"/>
      <c r="U388" s="35"/>
      <c r="V388" s="35"/>
      <c r="W388" s="35"/>
      <c r="X388" s="35"/>
      <c r="Y388" s="35"/>
      <c r="Z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6"/>
      <c r="Q389" s="35"/>
      <c r="R389" s="35"/>
      <c r="S389" s="35"/>
      <c r="T389" s="35"/>
      <c r="U389" s="35"/>
      <c r="V389" s="35"/>
      <c r="W389" s="35"/>
      <c r="X389" s="35"/>
      <c r="Y389" s="35"/>
      <c r="Z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6"/>
      <c r="Q390" s="35"/>
      <c r="R390" s="35"/>
      <c r="S390" s="35"/>
      <c r="T390" s="35"/>
      <c r="U390" s="35"/>
      <c r="V390" s="35"/>
      <c r="W390" s="35"/>
      <c r="X390" s="35"/>
      <c r="Y390" s="35"/>
      <c r="Z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6"/>
      <c r="Q391" s="35"/>
      <c r="R391" s="35"/>
      <c r="S391" s="35"/>
      <c r="T391" s="35"/>
      <c r="U391" s="35"/>
      <c r="V391" s="35"/>
      <c r="W391" s="35"/>
      <c r="X391" s="35"/>
      <c r="Y391" s="35"/>
      <c r="Z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6"/>
      <c r="Q392" s="35"/>
      <c r="R392" s="35"/>
      <c r="S392" s="35"/>
      <c r="T392" s="35"/>
      <c r="U392" s="35"/>
      <c r="V392" s="35"/>
      <c r="W392" s="35"/>
      <c r="X392" s="35"/>
      <c r="Y392" s="35"/>
      <c r="Z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6"/>
      <c r="Q393" s="35"/>
      <c r="R393" s="35"/>
      <c r="S393" s="35"/>
      <c r="T393" s="35"/>
      <c r="U393" s="35"/>
      <c r="V393" s="35"/>
      <c r="W393" s="35"/>
      <c r="X393" s="35"/>
      <c r="Y393" s="35"/>
      <c r="Z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6"/>
      <c r="Q394" s="35"/>
      <c r="R394" s="35"/>
      <c r="S394" s="35"/>
      <c r="T394" s="35"/>
      <c r="U394" s="35"/>
      <c r="V394" s="35"/>
      <c r="W394" s="35"/>
      <c r="X394" s="35"/>
      <c r="Y394" s="35"/>
      <c r="Z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6"/>
      <c r="Q395" s="35"/>
      <c r="R395" s="35"/>
      <c r="S395" s="35"/>
      <c r="T395" s="35"/>
      <c r="U395" s="35"/>
      <c r="V395" s="35"/>
      <c r="W395" s="35"/>
      <c r="X395" s="35"/>
      <c r="Y395" s="35"/>
      <c r="Z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6"/>
      <c r="Q396" s="35"/>
      <c r="R396" s="35"/>
      <c r="S396" s="35"/>
      <c r="T396" s="35"/>
      <c r="U396" s="35"/>
      <c r="V396" s="35"/>
      <c r="W396" s="35"/>
      <c r="X396" s="35"/>
      <c r="Y396" s="35"/>
      <c r="Z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6"/>
      <c r="Q397" s="35"/>
      <c r="R397" s="35"/>
      <c r="S397" s="35"/>
      <c r="T397" s="35"/>
      <c r="U397" s="35"/>
      <c r="V397" s="35"/>
      <c r="W397" s="35"/>
      <c r="X397" s="35"/>
      <c r="Y397" s="35"/>
      <c r="Z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6"/>
      <c r="Q398" s="35"/>
      <c r="R398" s="35"/>
      <c r="S398" s="35"/>
      <c r="T398" s="35"/>
      <c r="U398" s="35"/>
      <c r="V398" s="35"/>
      <c r="W398" s="35"/>
      <c r="X398" s="35"/>
      <c r="Y398" s="35"/>
      <c r="Z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6"/>
      <c r="Q399" s="35"/>
      <c r="R399" s="35"/>
      <c r="S399" s="35"/>
      <c r="T399" s="35"/>
      <c r="U399" s="35"/>
      <c r="V399" s="35"/>
      <c r="W399" s="35"/>
      <c r="X399" s="35"/>
      <c r="Y399" s="35"/>
      <c r="Z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6"/>
      <c r="Q400" s="35"/>
      <c r="R400" s="35"/>
      <c r="S400" s="35"/>
      <c r="T400" s="35"/>
      <c r="U400" s="35"/>
      <c r="V400" s="35"/>
      <c r="W400" s="35"/>
      <c r="X400" s="35"/>
      <c r="Y400" s="35"/>
      <c r="Z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6"/>
      <c r="Q401" s="35"/>
      <c r="R401" s="35"/>
      <c r="S401" s="35"/>
      <c r="T401" s="35"/>
      <c r="U401" s="35"/>
      <c r="V401" s="35"/>
      <c r="W401" s="35"/>
      <c r="X401" s="35"/>
      <c r="Y401" s="35"/>
      <c r="Z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6"/>
      <c r="Q402" s="35"/>
      <c r="R402" s="35"/>
      <c r="S402" s="35"/>
      <c r="T402" s="35"/>
      <c r="U402" s="35"/>
      <c r="V402" s="35"/>
      <c r="W402" s="35"/>
      <c r="X402" s="35"/>
      <c r="Y402" s="35"/>
      <c r="Z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6"/>
      <c r="Q403" s="35"/>
      <c r="R403" s="35"/>
      <c r="S403" s="35"/>
      <c r="T403" s="35"/>
      <c r="U403" s="35"/>
      <c r="V403" s="35"/>
      <c r="W403" s="35"/>
      <c r="X403" s="35"/>
      <c r="Y403" s="35"/>
      <c r="Z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6"/>
      <c r="Q404" s="35"/>
      <c r="R404" s="35"/>
      <c r="S404" s="35"/>
      <c r="T404" s="35"/>
      <c r="U404" s="35"/>
      <c r="V404" s="35"/>
      <c r="W404" s="35"/>
      <c r="X404" s="35"/>
      <c r="Y404" s="35"/>
      <c r="Z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6"/>
      <c r="Q405" s="35"/>
      <c r="R405" s="35"/>
      <c r="S405" s="35"/>
      <c r="T405" s="35"/>
      <c r="U405" s="35"/>
      <c r="V405" s="35"/>
      <c r="W405" s="35"/>
      <c r="X405" s="35"/>
      <c r="Y405" s="35"/>
      <c r="Z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6"/>
      <c r="Q406" s="35"/>
      <c r="R406" s="35"/>
      <c r="S406" s="35"/>
      <c r="T406" s="35"/>
      <c r="U406" s="35"/>
      <c r="V406" s="35"/>
      <c r="W406" s="35"/>
      <c r="X406" s="35"/>
      <c r="Y406" s="35"/>
      <c r="Z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6"/>
      <c r="Q407" s="35"/>
      <c r="R407" s="35"/>
      <c r="S407" s="35"/>
      <c r="T407" s="35"/>
      <c r="U407" s="35"/>
      <c r="V407" s="35"/>
      <c r="W407" s="35"/>
      <c r="X407" s="35"/>
      <c r="Y407" s="35"/>
      <c r="Z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6"/>
      <c r="Q408" s="35"/>
      <c r="R408" s="35"/>
      <c r="S408" s="35"/>
      <c r="T408" s="35"/>
      <c r="U408" s="35"/>
      <c r="V408" s="35"/>
      <c r="W408" s="35"/>
      <c r="X408" s="35"/>
      <c r="Y408" s="35"/>
      <c r="Z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6"/>
      <c r="Q409" s="35"/>
      <c r="R409" s="35"/>
      <c r="S409" s="35"/>
      <c r="T409" s="35"/>
      <c r="U409" s="35"/>
      <c r="V409" s="35"/>
      <c r="W409" s="35"/>
      <c r="X409" s="35"/>
      <c r="Y409" s="35"/>
      <c r="Z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6"/>
      <c r="Q410" s="35"/>
      <c r="R410" s="35"/>
      <c r="S410" s="35"/>
      <c r="T410" s="35"/>
      <c r="U410" s="35"/>
      <c r="V410" s="35"/>
      <c r="W410" s="35"/>
      <c r="X410" s="35"/>
      <c r="Y410" s="35"/>
      <c r="Z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6"/>
      <c r="Q411" s="35"/>
      <c r="R411" s="35"/>
      <c r="S411" s="35"/>
      <c r="T411" s="35"/>
      <c r="U411" s="35"/>
      <c r="V411" s="35"/>
      <c r="W411" s="35"/>
      <c r="X411" s="35"/>
      <c r="Y411" s="35"/>
      <c r="Z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6"/>
      <c r="Q412" s="35"/>
      <c r="R412" s="35"/>
      <c r="S412" s="35"/>
      <c r="T412" s="35"/>
      <c r="U412" s="35"/>
      <c r="V412" s="35"/>
      <c r="W412" s="35"/>
      <c r="X412" s="35"/>
      <c r="Y412" s="35"/>
      <c r="Z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6"/>
      <c r="Q413" s="35"/>
      <c r="R413" s="35"/>
      <c r="S413" s="35"/>
      <c r="T413" s="35"/>
      <c r="U413" s="35"/>
      <c r="V413" s="35"/>
      <c r="W413" s="35"/>
      <c r="X413" s="35"/>
      <c r="Y413" s="35"/>
      <c r="Z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6"/>
      <c r="Q414" s="35"/>
      <c r="R414" s="35"/>
      <c r="S414" s="35"/>
      <c r="T414" s="35"/>
      <c r="U414" s="35"/>
      <c r="V414" s="35"/>
      <c r="W414" s="35"/>
      <c r="X414" s="35"/>
      <c r="Y414" s="35"/>
      <c r="Z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6"/>
      <c r="Q415" s="35"/>
      <c r="R415" s="35"/>
      <c r="S415" s="35"/>
      <c r="T415" s="35"/>
      <c r="U415" s="35"/>
      <c r="V415" s="35"/>
      <c r="W415" s="35"/>
      <c r="X415" s="35"/>
      <c r="Y415" s="35"/>
      <c r="Z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6"/>
      <c r="Q416" s="35"/>
      <c r="R416" s="35"/>
      <c r="S416" s="35"/>
      <c r="T416" s="35"/>
      <c r="U416" s="35"/>
      <c r="V416" s="35"/>
      <c r="W416" s="35"/>
      <c r="X416" s="35"/>
      <c r="Y416" s="35"/>
      <c r="Z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6"/>
      <c r="Q417" s="35"/>
      <c r="R417" s="35"/>
      <c r="S417" s="35"/>
      <c r="T417" s="35"/>
      <c r="U417" s="35"/>
      <c r="V417" s="35"/>
      <c r="W417" s="35"/>
      <c r="X417" s="35"/>
      <c r="Y417" s="35"/>
      <c r="Z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6"/>
      <c r="Q418" s="35"/>
      <c r="R418" s="35"/>
      <c r="S418" s="35"/>
      <c r="T418" s="35"/>
      <c r="U418" s="35"/>
      <c r="V418" s="35"/>
      <c r="W418" s="35"/>
      <c r="X418" s="35"/>
      <c r="Y418" s="35"/>
      <c r="Z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6"/>
      <c r="Q419" s="35"/>
      <c r="R419" s="35"/>
      <c r="S419" s="35"/>
      <c r="T419" s="35"/>
      <c r="U419" s="35"/>
      <c r="V419" s="35"/>
      <c r="W419" s="35"/>
      <c r="X419" s="35"/>
      <c r="Y419" s="35"/>
      <c r="Z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6"/>
      <c r="Q420" s="35"/>
      <c r="R420" s="35"/>
      <c r="S420" s="35"/>
      <c r="T420" s="35"/>
      <c r="U420" s="35"/>
      <c r="V420" s="35"/>
      <c r="W420" s="35"/>
      <c r="X420" s="35"/>
      <c r="Y420" s="35"/>
      <c r="Z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6"/>
      <c r="Q421" s="35"/>
      <c r="R421" s="35"/>
      <c r="S421" s="35"/>
      <c r="T421" s="35"/>
      <c r="U421" s="35"/>
      <c r="V421" s="35"/>
      <c r="W421" s="35"/>
      <c r="X421" s="35"/>
      <c r="Y421" s="35"/>
      <c r="Z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6"/>
      <c r="Q422" s="35"/>
      <c r="R422" s="35"/>
      <c r="S422" s="35"/>
      <c r="T422" s="35"/>
      <c r="U422" s="35"/>
      <c r="V422" s="35"/>
      <c r="W422" s="35"/>
      <c r="X422" s="35"/>
      <c r="Y422" s="35"/>
      <c r="Z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6"/>
      <c r="Q423" s="35"/>
      <c r="R423" s="35"/>
      <c r="S423" s="35"/>
      <c r="T423" s="35"/>
      <c r="U423" s="35"/>
      <c r="V423" s="35"/>
      <c r="W423" s="35"/>
      <c r="X423" s="35"/>
      <c r="Y423" s="35"/>
      <c r="Z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6"/>
      <c r="Q424" s="35"/>
      <c r="R424" s="35"/>
      <c r="S424" s="35"/>
      <c r="T424" s="35"/>
      <c r="U424" s="35"/>
      <c r="V424" s="35"/>
      <c r="W424" s="35"/>
      <c r="X424" s="35"/>
      <c r="Y424" s="35"/>
      <c r="Z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6"/>
      <c r="Q425" s="35"/>
      <c r="R425" s="35"/>
      <c r="S425" s="35"/>
      <c r="T425" s="35"/>
      <c r="U425" s="35"/>
      <c r="V425" s="35"/>
      <c r="W425" s="35"/>
      <c r="X425" s="35"/>
      <c r="Y425" s="35"/>
      <c r="Z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6"/>
      <c r="Q426" s="35"/>
      <c r="R426" s="35"/>
      <c r="S426" s="35"/>
      <c r="T426" s="35"/>
      <c r="U426" s="35"/>
      <c r="V426" s="35"/>
      <c r="W426" s="35"/>
      <c r="X426" s="35"/>
      <c r="Y426" s="35"/>
      <c r="Z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6"/>
      <c r="Q427" s="35"/>
      <c r="R427" s="35"/>
      <c r="S427" s="35"/>
      <c r="T427" s="35"/>
      <c r="U427" s="35"/>
      <c r="V427" s="35"/>
      <c r="W427" s="35"/>
      <c r="X427" s="35"/>
      <c r="Y427" s="35"/>
      <c r="Z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6"/>
      <c r="Q428" s="35"/>
      <c r="R428" s="35"/>
      <c r="S428" s="35"/>
      <c r="T428" s="35"/>
      <c r="U428" s="35"/>
      <c r="V428" s="35"/>
      <c r="W428" s="35"/>
      <c r="X428" s="35"/>
      <c r="Y428" s="35"/>
      <c r="Z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6"/>
      <c r="Q429" s="35"/>
      <c r="R429" s="35"/>
      <c r="S429" s="35"/>
      <c r="T429" s="35"/>
      <c r="U429" s="35"/>
      <c r="V429" s="35"/>
      <c r="W429" s="35"/>
      <c r="X429" s="35"/>
      <c r="Y429" s="35"/>
      <c r="Z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6"/>
      <c r="Q430" s="35"/>
      <c r="R430" s="35"/>
      <c r="S430" s="35"/>
      <c r="T430" s="35"/>
      <c r="U430" s="35"/>
      <c r="V430" s="35"/>
      <c r="W430" s="35"/>
      <c r="X430" s="35"/>
      <c r="Y430" s="35"/>
      <c r="Z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6"/>
      <c r="Q431" s="35"/>
      <c r="R431" s="35"/>
      <c r="S431" s="35"/>
      <c r="T431" s="35"/>
      <c r="U431" s="35"/>
      <c r="V431" s="35"/>
      <c r="W431" s="35"/>
      <c r="X431" s="35"/>
      <c r="Y431" s="35"/>
      <c r="Z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6"/>
      <c r="Q432" s="35"/>
      <c r="R432" s="35"/>
      <c r="S432" s="35"/>
      <c r="T432" s="35"/>
      <c r="U432" s="35"/>
      <c r="V432" s="35"/>
      <c r="W432" s="35"/>
      <c r="X432" s="35"/>
      <c r="Y432" s="35"/>
      <c r="Z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6"/>
      <c r="Q433" s="35"/>
      <c r="R433" s="35"/>
      <c r="S433" s="35"/>
      <c r="T433" s="35"/>
      <c r="U433" s="35"/>
      <c r="V433" s="35"/>
      <c r="W433" s="35"/>
      <c r="X433" s="35"/>
      <c r="Y433" s="35"/>
      <c r="Z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6"/>
      <c r="Q434" s="35"/>
      <c r="R434" s="35"/>
      <c r="S434" s="35"/>
      <c r="T434" s="35"/>
      <c r="U434" s="35"/>
      <c r="V434" s="35"/>
      <c r="W434" s="35"/>
      <c r="X434" s="35"/>
      <c r="Y434" s="35"/>
      <c r="Z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6"/>
      <c r="Q435" s="35"/>
      <c r="R435" s="35"/>
      <c r="S435" s="35"/>
      <c r="T435" s="35"/>
      <c r="U435" s="35"/>
      <c r="V435" s="35"/>
      <c r="W435" s="35"/>
      <c r="X435" s="35"/>
      <c r="Y435" s="35"/>
      <c r="Z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6"/>
      <c r="Q436" s="35"/>
      <c r="R436" s="35"/>
      <c r="S436" s="35"/>
      <c r="T436" s="35"/>
      <c r="U436" s="35"/>
      <c r="V436" s="35"/>
      <c r="W436" s="35"/>
      <c r="X436" s="35"/>
      <c r="Y436" s="35"/>
      <c r="Z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6"/>
      <c r="Q437" s="35"/>
      <c r="R437" s="35"/>
      <c r="S437" s="35"/>
      <c r="T437" s="35"/>
      <c r="U437" s="35"/>
      <c r="V437" s="35"/>
      <c r="W437" s="35"/>
      <c r="X437" s="35"/>
      <c r="Y437" s="35"/>
      <c r="Z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6"/>
      <c r="Q438" s="35"/>
      <c r="R438" s="35"/>
      <c r="S438" s="35"/>
      <c r="T438" s="35"/>
      <c r="U438" s="35"/>
      <c r="V438" s="35"/>
      <c r="W438" s="35"/>
      <c r="X438" s="35"/>
      <c r="Y438" s="35"/>
      <c r="Z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6"/>
      <c r="Q439" s="35"/>
      <c r="R439" s="35"/>
      <c r="S439" s="35"/>
      <c r="T439" s="35"/>
      <c r="U439" s="35"/>
      <c r="V439" s="35"/>
      <c r="W439" s="35"/>
      <c r="X439" s="35"/>
      <c r="Y439" s="35"/>
      <c r="Z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6"/>
      <c r="Q440" s="35"/>
      <c r="R440" s="35"/>
      <c r="S440" s="35"/>
      <c r="T440" s="35"/>
      <c r="U440" s="35"/>
      <c r="V440" s="35"/>
      <c r="W440" s="35"/>
      <c r="X440" s="35"/>
      <c r="Y440" s="35"/>
      <c r="Z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6"/>
      <c r="Q441" s="35"/>
      <c r="R441" s="35"/>
      <c r="S441" s="35"/>
      <c r="T441" s="35"/>
      <c r="U441" s="35"/>
      <c r="V441" s="35"/>
      <c r="W441" s="35"/>
      <c r="X441" s="35"/>
      <c r="Y441" s="35"/>
      <c r="Z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6"/>
      <c r="Q442" s="35"/>
      <c r="R442" s="35"/>
      <c r="S442" s="35"/>
      <c r="T442" s="35"/>
      <c r="U442" s="35"/>
      <c r="V442" s="35"/>
      <c r="W442" s="35"/>
      <c r="X442" s="35"/>
      <c r="Y442" s="35"/>
      <c r="Z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6"/>
      <c r="Q443" s="35"/>
      <c r="R443" s="35"/>
      <c r="S443" s="35"/>
      <c r="T443" s="35"/>
      <c r="U443" s="35"/>
      <c r="V443" s="35"/>
      <c r="W443" s="35"/>
      <c r="X443" s="35"/>
      <c r="Y443" s="35"/>
      <c r="Z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6"/>
      <c r="Q444" s="35"/>
      <c r="R444" s="35"/>
      <c r="S444" s="35"/>
      <c r="T444" s="35"/>
      <c r="U444" s="35"/>
      <c r="V444" s="35"/>
      <c r="W444" s="35"/>
      <c r="X444" s="35"/>
      <c r="Y444" s="35"/>
      <c r="Z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6"/>
      <c r="Q445" s="35"/>
      <c r="R445" s="35"/>
      <c r="S445" s="35"/>
      <c r="T445" s="35"/>
      <c r="U445" s="35"/>
      <c r="V445" s="35"/>
      <c r="W445" s="35"/>
      <c r="X445" s="35"/>
      <c r="Y445" s="35"/>
      <c r="Z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6"/>
      <c r="Q446" s="35"/>
      <c r="R446" s="35"/>
      <c r="S446" s="35"/>
      <c r="T446" s="35"/>
      <c r="U446" s="35"/>
      <c r="V446" s="35"/>
      <c r="W446" s="35"/>
      <c r="X446" s="35"/>
      <c r="Y446" s="35"/>
      <c r="Z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6"/>
      <c r="Q447" s="35"/>
      <c r="R447" s="35"/>
      <c r="S447" s="35"/>
      <c r="T447" s="35"/>
      <c r="U447" s="35"/>
      <c r="V447" s="35"/>
      <c r="W447" s="35"/>
      <c r="X447" s="35"/>
      <c r="Y447" s="35"/>
      <c r="Z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6"/>
      <c r="Q448" s="35"/>
      <c r="R448" s="35"/>
      <c r="S448" s="35"/>
      <c r="T448" s="35"/>
      <c r="U448" s="35"/>
      <c r="V448" s="35"/>
      <c r="W448" s="35"/>
      <c r="X448" s="35"/>
      <c r="Y448" s="35"/>
      <c r="Z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6"/>
      <c r="Q449" s="35"/>
      <c r="R449" s="35"/>
      <c r="S449" s="35"/>
      <c r="T449" s="35"/>
      <c r="U449" s="35"/>
      <c r="V449" s="35"/>
      <c r="W449" s="35"/>
      <c r="X449" s="35"/>
      <c r="Y449" s="35"/>
      <c r="Z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6"/>
      <c r="Q450" s="35"/>
      <c r="R450" s="35"/>
      <c r="S450" s="35"/>
      <c r="T450" s="35"/>
      <c r="U450" s="35"/>
      <c r="V450" s="35"/>
      <c r="W450" s="35"/>
      <c r="X450" s="35"/>
      <c r="Y450" s="35"/>
      <c r="Z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6"/>
      <c r="Q451" s="35"/>
      <c r="R451" s="35"/>
      <c r="S451" s="35"/>
      <c r="T451" s="35"/>
      <c r="U451" s="35"/>
      <c r="V451" s="35"/>
      <c r="W451" s="35"/>
      <c r="X451" s="35"/>
      <c r="Y451" s="35"/>
      <c r="Z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6"/>
      <c r="Q452" s="35"/>
      <c r="R452" s="35"/>
      <c r="S452" s="35"/>
      <c r="T452" s="35"/>
      <c r="U452" s="35"/>
      <c r="V452" s="35"/>
      <c r="W452" s="35"/>
      <c r="X452" s="35"/>
      <c r="Y452" s="35"/>
      <c r="Z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6"/>
      <c r="Q453" s="35"/>
      <c r="R453" s="35"/>
      <c r="S453" s="35"/>
      <c r="T453" s="35"/>
      <c r="U453" s="35"/>
      <c r="V453" s="35"/>
      <c r="W453" s="35"/>
      <c r="X453" s="35"/>
      <c r="Y453" s="35"/>
      <c r="Z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6"/>
      <c r="Q454" s="35"/>
      <c r="R454" s="35"/>
      <c r="S454" s="35"/>
      <c r="T454" s="35"/>
      <c r="U454" s="35"/>
      <c r="V454" s="35"/>
      <c r="W454" s="35"/>
      <c r="X454" s="35"/>
      <c r="Y454" s="35"/>
      <c r="Z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6"/>
      <c r="Q455" s="35"/>
      <c r="R455" s="35"/>
      <c r="S455" s="35"/>
      <c r="T455" s="35"/>
      <c r="U455" s="35"/>
      <c r="V455" s="35"/>
      <c r="W455" s="35"/>
      <c r="X455" s="35"/>
      <c r="Y455" s="35"/>
      <c r="Z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6"/>
      <c r="Q456" s="35"/>
      <c r="R456" s="35"/>
      <c r="S456" s="35"/>
      <c r="T456" s="35"/>
      <c r="U456" s="35"/>
      <c r="V456" s="35"/>
      <c r="W456" s="35"/>
      <c r="X456" s="35"/>
      <c r="Y456" s="35"/>
      <c r="Z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6"/>
      <c r="Q457" s="35"/>
      <c r="R457" s="35"/>
      <c r="S457" s="35"/>
      <c r="T457" s="35"/>
      <c r="U457" s="35"/>
      <c r="V457" s="35"/>
      <c r="W457" s="35"/>
      <c r="X457" s="35"/>
      <c r="Y457" s="35"/>
      <c r="Z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6"/>
      <c r="Q458" s="35"/>
      <c r="R458" s="35"/>
      <c r="S458" s="35"/>
      <c r="T458" s="35"/>
      <c r="U458" s="35"/>
      <c r="V458" s="35"/>
      <c r="W458" s="35"/>
      <c r="X458" s="35"/>
      <c r="Y458" s="35"/>
      <c r="Z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6"/>
      <c r="Q459" s="35"/>
      <c r="R459" s="35"/>
      <c r="S459" s="35"/>
      <c r="T459" s="35"/>
      <c r="U459" s="35"/>
      <c r="V459" s="35"/>
      <c r="W459" s="35"/>
      <c r="X459" s="35"/>
      <c r="Y459" s="35"/>
      <c r="Z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6"/>
      <c r="Q460" s="35"/>
      <c r="R460" s="35"/>
      <c r="S460" s="35"/>
      <c r="T460" s="35"/>
      <c r="U460" s="35"/>
      <c r="V460" s="35"/>
      <c r="W460" s="35"/>
      <c r="X460" s="35"/>
      <c r="Y460" s="35"/>
      <c r="Z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6"/>
      <c r="Q461" s="35"/>
      <c r="R461" s="35"/>
      <c r="S461" s="35"/>
      <c r="T461" s="35"/>
      <c r="U461" s="35"/>
      <c r="V461" s="35"/>
      <c r="W461" s="35"/>
      <c r="X461" s="35"/>
      <c r="Y461" s="35"/>
      <c r="Z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6"/>
      <c r="Q462" s="35"/>
      <c r="R462" s="35"/>
      <c r="S462" s="35"/>
      <c r="T462" s="35"/>
      <c r="U462" s="35"/>
      <c r="V462" s="35"/>
      <c r="W462" s="35"/>
      <c r="X462" s="35"/>
      <c r="Y462" s="35"/>
      <c r="Z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6"/>
      <c r="Q463" s="35"/>
      <c r="R463" s="35"/>
      <c r="S463" s="35"/>
      <c r="T463" s="35"/>
      <c r="U463" s="35"/>
      <c r="V463" s="35"/>
      <c r="W463" s="35"/>
      <c r="X463" s="35"/>
      <c r="Y463" s="35"/>
      <c r="Z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6"/>
      <c r="Q464" s="35"/>
      <c r="R464" s="35"/>
      <c r="S464" s="35"/>
      <c r="T464" s="35"/>
      <c r="U464" s="35"/>
      <c r="V464" s="35"/>
      <c r="W464" s="35"/>
      <c r="X464" s="35"/>
      <c r="Y464" s="35"/>
      <c r="Z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6"/>
      <c r="Q465" s="35"/>
      <c r="R465" s="35"/>
      <c r="S465" s="35"/>
      <c r="T465" s="35"/>
      <c r="U465" s="35"/>
      <c r="V465" s="35"/>
      <c r="W465" s="35"/>
      <c r="X465" s="35"/>
      <c r="Y465" s="35"/>
      <c r="Z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6"/>
      <c r="Q466" s="35"/>
      <c r="R466" s="35"/>
      <c r="S466" s="35"/>
      <c r="T466" s="35"/>
      <c r="U466" s="35"/>
      <c r="V466" s="35"/>
      <c r="W466" s="35"/>
      <c r="X466" s="35"/>
      <c r="Y466" s="35"/>
      <c r="Z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6"/>
      <c r="Q467" s="35"/>
      <c r="R467" s="35"/>
      <c r="S467" s="35"/>
      <c r="T467" s="35"/>
      <c r="U467" s="35"/>
      <c r="V467" s="35"/>
      <c r="W467" s="35"/>
      <c r="X467" s="35"/>
      <c r="Y467" s="35"/>
      <c r="Z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6"/>
      <c r="Q468" s="35"/>
      <c r="R468" s="35"/>
      <c r="S468" s="35"/>
      <c r="T468" s="35"/>
      <c r="U468" s="35"/>
      <c r="V468" s="35"/>
      <c r="W468" s="35"/>
      <c r="X468" s="35"/>
      <c r="Y468" s="35"/>
      <c r="Z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6"/>
      <c r="Q469" s="35"/>
      <c r="R469" s="35"/>
      <c r="S469" s="35"/>
      <c r="T469" s="35"/>
      <c r="U469" s="35"/>
      <c r="V469" s="35"/>
      <c r="W469" s="35"/>
      <c r="X469" s="35"/>
      <c r="Y469" s="35"/>
      <c r="Z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6"/>
      <c r="Q470" s="35"/>
      <c r="R470" s="35"/>
      <c r="S470" s="35"/>
      <c r="T470" s="35"/>
      <c r="U470" s="35"/>
      <c r="V470" s="35"/>
      <c r="W470" s="35"/>
      <c r="X470" s="35"/>
      <c r="Y470" s="35"/>
      <c r="Z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6"/>
      <c r="Q471" s="35"/>
      <c r="R471" s="35"/>
      <c r="S471" s="35"/>
      <c r="T471" s="35"/>
      <c r="U471" s="35"/>
      <c r="V471" s="35"/>
      <c r="W471" s="35"/>
      <c r="X471" s="35"/>
      <c r="Y471" s="35"/>
      <c r="Z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6"/>
      <c r="Q472" s="35"/>
      <c r="R472" s="35"/>
      <c r="S472" s="35"/>
      <c r="T472" s="35"/>
      <c r="U472" s="35"/>
      <c r="V472" s="35"/>
      <c r="W472" s="35"/>
      <c r="X472" s="35"/>
      <c r="Y472" s="35"/>
      <c r="Z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6"/>
      <c r="Q473" s="35"/>
      <c r="R473" s="35"/>
      <c r="S473" s="35"/>
      <c r="T473" s="35"/>
      <c r="U473" s="35"/>
      <c r="V473" s="35"/>
      <c r="W473" s="35"/>
      <c r="X473" s="35"/>
      <c r="Y473" s="35"/>
      <c r="Z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6"/>
      <c r="Q474" s="35"/>
      <c r="R474" s="35"/>
      <c r="S474" s="35"/>
      <c r="T474" s="35"/>
      <c r="U474" s="35"/>
      <c r="V474" s="35"/>
      <c r="W474" s="35"/>
      <c r="X474" s="35"/>
      <c r="Y474" s="35"/>
      <c r="Z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6"/>
      <c r="Q475" s="35"/>
      <c r="R475" s="35"/>
      <c r="S475" s="35"/>
      <c r="T475" s="35"/>
      <c r="U475" s="35"/>
      <c r="V475" s="35"/>
      <c r="W475" s="35"/>
      <c r="X475" s="35"/>
      <c r="Y475" s="35"/>
      <c r="Z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6"/>
      <c r="Q476" s="35"/>
      <c r="R476" s="35"/>
      <c r="S476" s="35"/>
      <c r="T476" s="35"/>
      <c r="U476" s="35"/>
      <c r="V476" s="35"/>
      <c r="W476" s="35"/>
      <c r="X476" s="35"/>
      <c r="Y476" s="35"/>
      <c r="Z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6"/>
      <c r="Q477" s="35"/>
      <c r="R477" s="35"/>
      <c r="S477" s="35"/>
      <c r="T477" s="35"/>
      <c r="U477" s="35"/>
      <c r="V477" s="35"/>
      <c r="W477" s="35"/>
      <c r="X477" s="35"/>
      <c r="Y477" s="35"/>
      <c r="Z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6"/>
      <c r="Q478" s="35"/>
      <c r="R478" s="35"/>
      <c r="S478" s="35"/>
      <c r="T478" s="35"/>
      <c r="U478" s="35"/>
      <c r="V478" s="35"/>
      <c r="W478" s="35"/>
      <c r="X478" s="35"/>
      <c r="Y478" s="35"/>
      <c r="Z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6"/>
      <c r="Q479" s="35"/>
      <c r="R479" s="35"/>
      <c r="S479" s="35"/>
      <c r="T479" s="35"/>
      <c r="U479" s="35"/>
      <c r="V479" s="35"/>
      <c r="W479" s="35"/>
      <c r="X479" s="35"/>
      <c r="Y479" s="35"/>
      <c r="Z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6"/>
      <c r="Q480" s="35"/>
      <c r="R480" s="35"/>
      <c r="S480" s="35"/>
      <c r="T480" s="35"/>
      <c r="U480" s="35"/>
      <c r="V480" s="35"/>
      <c r="W480" s="35"/>
      <c r="X480" s="35"/>
      <c r="Y480" s="35"/>
      <c r="Z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6"/>
      <c r="Q481" s="35"/>
      <c r="R481" s="35"/>
      <c r="S481" s="35"/>
      <c r="T481" s="35"/>
      <c r="U481" s="35"/>
      <c r="V481" s="35"/>
      <c r="W481" s="35"/>
      <c r="X481" s="35"/>
      <c r="Y481" s="35"/>
      <c r="Z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6"/>
      <c r="Q482" s="35"/>
      <c r="R482" s="35"/>
      <c r="S482" s="35"/>
      <c r="T482" s="35"/>
      <c r="U482" s="35"/>
      <c r="V482" s="35"/>
      <c r="W482" s="35"/>
      <c r="X482" s="35"/>
      <c r="Y482" s="35"/>
      <c r="Z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6"/>
      <c r="Q483" s="35"/>
      <c r="R483" s="35"/>
      <c r="S483" s="35"/>
      <c r="T483" s="35"/>
      <c r="U483" s="35"/>
      <c r="V483" s="35"/>
      <c r="W483" s="35"/>
      <c r="X483" s="35"/>
      <c r="Y483" s="35"/>
      <c r="Z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6"/>
      <c r="Q484" s="35"/>
      <c r="R484" s="35"/>
      <c r="S484" s="35"/>
      <c r="T484" s="35"/>
      <c r="U484" s="35"/>
      <c r="V484" s="35"/>
      <c r="W484" s="35"/>
      <c r="X484" s="35"/>
      <c r="Y484" s="35"/>
      <c r="Z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6"/>
      <c r="Q485" s="35"/>
      <c r="R485" s="35"/>
      <c r="S485" s="35"/>
      <c r="T485" s="35"/>
      <c r="U485" s="35"/>
      <c r="V485" s="35"/>
      <c r="W485" s="35"/>
      <c r="X485" s="35"/>
      <c r="Y485" s="35"/>
      <c r="Z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6"/>
      <c r="Q486" s="35"/>
      <c r="R486" s="35"/>
      <c r="S486" s="35"/>
      <c r="T486" s="35"/>
      <c r="U486" s="35"/>
      <c r="V486" s="35"/>
      <c r="W486" s="35"/>
      <c r="X486" s="35"/>
      <c r="Y486" s="35"/>
      <c r="Z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6"/>
      <c r="Q487" s="35"/>
      <c r="R487" s="35"/>
      <c r="S487" s="35"/>
      <c r="T487" s="35"/>
      <c r="U487" s="35"/>
      <c r="V487" s="35"/>
      <c r="W487" s="35"/>
      <c r="X487" s="35"/>
      <c r="Y487" s="35"/>
      <c r="Z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6"/>
      <c r="Q488" s="35"/>
      <c r="R488" s="35"/>
      <c r="S488" s="35"/>
      <c r="T488" s="35"/>
      <c r="U488" s="35"/>
      <c r="V488" s="35"/>
      <c r="W488" s="35"/>
      <c r="X488" s="35"/>
      <c r="Y488" s="35"/>
      <c r="Z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6"/>
      <c r="Q489" s="35"/>
      <c r="R489" s="35"/>
      <c r="S489" s="35"/>
      <c r="T489" s="35"/>
      <c r="U489" s="35"/>
      <c r="V489" s="35"/>
      <c r="W489" s="35"/>
      <c r="X489" s="35"/>
      <c r="Y489" s="35"/>
      <c r="Z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6"/>
      <c r="Q490" s="35"/>
      <c r="R490" s="35"/>
      <c r="S490" s="35"/>
      <c r="T490" s="35"/>
      <c r="U490" s="35"/>
      <c r="V490" s="35"/>
      <c r="W490" s="35"/>
      <c r="X490" s="35"/>
      <c r="Y490" s="35"/>
      <c r="Z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6"/>
      <c r="Q491" s="35"/>
      <c r="R491" s="35"/>
      <c r="S491" s="35"/>
      <c r="T491" s="35"/>
      <c r="U491" s="35"/>
      <c r="V491" s="35"/>
      <c r="W491" s="35"/>
      <c r="X491" s="35"/>
      <c r="Y491" s="35"/>
      <c r="Z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6"/>
      <c r="Q492" s="35"/>
      <c r="R492" s="35"/>
      <c r="S492" s="35"/>
      <c r="T492" s="35"/>
      <c r="U492" s="35"/>
      <c r="V492" s="35"/>
      <c r="W492" s="35"/>
      <c r="X492" s="35"/>
      <c r="Y492" s="35"/>
      <c r="Z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6"/>
      <c r="Q493" s="35"/>
      <c r="R493" s="35"/>
      <c r="S493" s="35"/>
      <c r="T493" s="35"/>
      <c r="U493" s="35"/>
      <c r="V493" s="35"/>
      <c r="W493" s="35"/>
      <c r="X493" s="35"/>
      <c r="Y493" s="35"/>
      <c r="Z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6"/>
      <c r="Q494" s="35"/>
      <c r="R494" s="35"/>
      <c r="S494" s="35"/>
      <c r="T494" s="35"/>
      <c r="U494" s="35"/>
      <c r="V494" s="35"/>
      <c r="W494" s="35"/>
      <c r="X494" s="35"/>
      <c r="Y494" s="35"/>
      <c r="Z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6"/>
      <c r="Q495" s="35"/>
      <c r="R495" s="35"/>
      <c r="S495" s="35"/>
      <c r="T495" s="35"/>
      <c r="U495" s="35"/>
      <c r="V495" s="35"/>
      <c r="W495" s="35"/>
      <c r="X495" s="35"/>
      <c r="Y495" s="35"/>
      <c r="Z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6"/>
      <c r="Q496" s="35"/>
      <c r="R496" s="35"/>
      <c r="S496" s="35"/>
      <c r="T496" s="35"/>
      <c r="U496" s="35"/>
      <c r="V496" s="35"/>
      <c r="W496" s="35"/>
      <c r="X496" s="35"/>
      <c r="Y496" s="35"/>
      <c r="Z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6"/>
      <c r="Q497" s="35"/>
      <c r="R497" s="35"/>
      <c r="S497" s="35"/>
      <c r="T497" s="35"/>
      <c r="U497" s="35"/>
      <c r="V497" s="35"/>
      <c r="W497" s="35"/>
      <c r="X497" s="35"/>
      <c r="Y497" s="35"/>
      <c r="Z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6"/>
      <c r="Q498" s="35"/>
      <c r="R498" s="35"/>
      <c r="S498" s="35"/>
      <c r="T498" s="35"/>
      <c r="U498" s="35"/>
      <c r="V498" s="35"/>
      <c r="W498" s="35"/>
      <c r="X498" s="35"/>
      <c r="Y498" s="35"/>
      <c r="Z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6"/>
      <c r="Q499" s="35"/>
      <c r="R499" s="35"/>
      <c r="S499" s="35"/>
      <c r="T499" s="35"/>
      <c r="U499" s="35"/>
      <c r="V499" s="35"/>
      <c r="W499" s="35"/>
      <c r="X499" s="35"/>
      <c r="Y499" s="35"/>
      <c r="Z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6"/>
      <c r="Q500" s="35"/>
      <c r="R500" s="35"/>
      <c r="S500" s="35"/>
      <c r="T500" s="35"/>
      <c r="U500" s="35"/>
      <c r="V500" s="35"/>
      <c r="W500" s="35"/>
      <c r="X500" s="35"/>
      <c r="Y500" s="35"/>
      <c r="Z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6"/>
      <c r="Q501" s="35"/>
      <c r="R501" s="35"/>
      <c r="S501" s="35"/>
      <c r="T501" s="35"/>
      <c r="U501" s="35"/>
      <c r="V501" s="35"/>
      <c r="W501" s="35"/>
      <c r="X501" s="35"/>
      <c r="Y501" s="35"/>
      <c r="Z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6"/>
      <c r="Q502" s="35"/>
      <c r="R502" s="35"/>
      <c r="S502" s="35"/>
      <c r="T502" s="35"/>
      <c r="U502" s="35"/>
      <c r="V502" s="35"/>
      <c r="W502" s="35"/>
      <c r="X502" s="35"/>
      <c r="Y502" s="35"/>
      <c r="Z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6"/>
      <c r="Q503" s="35"/>
      <c r="R503" s="35"/>
      <c r="S503" s="35"/>
      <c r="T503" s="35"/>
      <c r="U503" s="35"/>
      <c r="V503" s="35"/>
      <c r="W503" s="35"/>
      <c r="X503" s="35"/>
      <c r="Y503" s="35"/>
      <c r="Z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6"/>
      <c r="Q504" s="35"/>
      <c r="R504" s="35"/>
      <c r="S504" s="35"/>
      <c r="T504" s="35"/>
      <c r="U504" s="35"/>
      <c r="V504" s="35"/>
      <c r="W504" s="35"/>
      <c r="X504" s="35"/>
      <c r="Y504" s="35"/>
      <c r="Z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6"/>
      <c r="Q505" s="35"/>
      <c r="R505" s="35"/>
      <c r="S505" s="35"/>
      <c r="T505" s="35"/>
      <c r="U505" s="35"/>
      <c r="V505" s="35"/>
      <c r="W505" s="35"/>
      <c r="X505" s="35"/>
      <c r="Y505" s="35"/>
      <c r="Z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6"/>
      <c r="Q506" s="35"/>
      <c r="R506" s="35"/>
      <c r="S506" s="35"/>
      <c r="T506" s="35"/>
      <c r="U506" s="35"/>
      <c r="V506" s="35"/>
      <c r="W506" s="35"/>
      <c r="X506" s="35"/>
      <c r="Y506" s="35"/>
      <c r="Z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6"/>
      <c r="Q507" s="35"/>
      <c r="R507" s="35"/>
      <c r="S507" s="35"/>
      <c r="T507" s="35"/>
      <c r="U507" s="35"/>
      <c r="V507" s="35"/>
      <c r="W507" s="35"/>
      <c r="X507" s="35"/>
      <c r="Y507" s="35"/>
      <c r="Z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6"/>
      <c r="Q508" s="35"/>
      <c r="R508" s="35"/>
      <c r="S508" s="35"/>
      <c r="T508" s="35"/>
      <c r="U508" s="35"/>
      <c r="V508" s="35"/>
      <c r="W508" s="35"/>
      <c r="X508" s="35"/>
      <c r="Y508" s="35"/>
      <c r="Z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6"/>
      <c r="Q509" s="35"/>
      <c r="R509" s="35"/>
      <c r="S509" s="35"/>
      <c r="T509" s="35"/>
      <c r="U509" s="35"/>
      <c r="V509" s="35"/>
      <c r="W509" s="35"/>
      <c r="X509" s="35"/>
      <c r="Y509" s="35"/>
      <c r="Z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6"/>
      <c r="Q510" s="35"/>
      <c r="R510" s="35"/>
      <c r="S510" s="35"/>
      <c r="T510" s="35"/>
      <c r="U510" s="35"/>
      <c r="V510" s="35"/>
      <c r="W510" s="35"/>
      <c r="X510" s="35"/>
      <c r="Y510" s="35"/>
      <c r="Z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6"/>
      <c r="Q511" s="35"/>
      <c r="R511" s="35"/>
      <c r="S511" s="35"/>
      <c r="T511" s="35"/>
      <c r="U511" s="35"/>
      <c r="V511" s="35"/>
      <c r="W511" s="35"/>
      <c r="X511" s="35"/>
      <c r="Y511" s="35"/>
      <c r="Z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6"/>
      <c r="Q512" s="35"/>
      <c r="R512" s="35"/>
      <c r="S512" s="35"/>
      <c r="T512" s="35"/>
      <c r="U512" s="35"/>
      <c r="V512" s="35"/>
      <c r="W512" s="35"/>
      <c r="X512" s="35"/>
      <c r="Y512" s="35"/>
      <c r="Z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6"/>
      <c r="Q513" s="35"/>
      <c r="R513" s="35"/>
      <c r="S513" s="35"/>
      <c r="T513" s="35"/>
      <c r="U513" s="35"/>
      <c r="V513" s="35"/>
      <c r="W513" s="35"/>
      <c r="X513" s="35"/>
      <c r="Y513" s="35"/>
      <c r="Z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6"/>
      <c r="Q514" s="35"/>
      <c r="R514" s="35"/>
      <c r="S514" s="35"/>
      <c r="T514" s="35"/>
      <c r="U514" s="35"/>
      <c r="V514" s="35"/>
      <c r="W514" s="35"/>
      <c r="X514" s="35"/>
      <c r="Y514" s="35"/>
      <c r="Z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6"/>
      <c r="Q515" s="35"/>
      <c r="R515" s="35"/>
      <c r="S515" s="35"/>
      <c r="T515" s="35"/>
      <c r="U515" s="35"/>
      <c r="V515" s="35"/>
      <c r="W515" s="35"/>
      <c r="X515" s="35"/>
      <c r="Y515" s="35"/>
      <c r="Z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6"/>
      <c r="Q516" s="35"/>
      <c r="R516" s="35"/>
      <c r="S516" s="35"/>
      <c r="T516" s="35"/>
      <c r="U516" s="35"/>
      <c r="V516" s="35"/>
      <c r="W516" s="35"/>
      <c r="X516" s="35"/>
      <c r="Y516" s="35"/>
      <c r="Z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6"/>
      <c r="Q517" s="35"/>
      <c r="R517" s="35"/>
      <c r="S517" s="35"/>
      <c r="T517" s="35"/>
      <c r="U517" s="35"/>
      <c r="V517" s="35"/>
      <c r="W517" s="35"/>
      <c r="X517" s="35"/>
      <c r="Y517" s="35"/>
      <c r="Z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6"/>
      <c r="Q518" s="35"/>
      <c r="R518" s="35"/>
      <c r="S518" s="35"/>
      <c r="T518" s="35"/>
      <c r="U518" s="35"/>
      <c r="V518" s="35"/>
      <c r="W518" s="35"/>
      <c r="X518" s="35"/>
      <c r="Y518" s="35"/>
      <c r="Z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6"/>
      <c r="Q519" s="35"/>
      <c r="R519" s="35"/>
      <c r="S519" s="35"/>
      <c r="T519" s="35"/>
      <c r="U519" s="35"/>
      <c r="V519" s="35"/>
      <c r="W519" s="35"/>
      <c r="X519" s="35"/>
      <c r="Y519" s="35"/>
      <c r="Z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6"/>
      <c r="Q520" s="35"/>
      <c r="R520" s="35"/>
      <c r="S520" s="35"/>
      <c r="T520" s="35"/>
      <c r="U520" s="35"/>
      <c r="V520" s="35"/>
      <c r="W520" s="35"/>
      <c r="X520" s="35"/>
      <c r="Y520" s="35"/>
      <c r="Z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6"/>
      <c r="Q521" s="35"/>
      <c r="R521" s="35"/>
      <c r="S521" s="35"/>
      <c r="T521" s="35"/>
      <c r="U521" s="35"/>
      <c r="V521" s="35"/>
      <c r="W521" s="35"/>
      <c r="X521" s="35"/>
      <c r="Y521" s="35"/>
      <c r="Z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6"/>
      <c r="Q522" s="35"/>
      <c r="R522" s="35"/>
      <c r="S522" s="35"/>
      <c r="T522" s="35"/>
      <c r="U522" s="35"/>
      <c r="V522" s="35"/>
      <c r="W522" s="35"/>
      <c r="X522" s="35"/>
      <c r="Y522" s="35"/>
      <c r="Z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6"/>
      <c r="Q523" s="35"/>
      <c r="R523" s="35"/>
      <c r="S523" s="35"/>
      <c r="T523" s="35"/>
      <c r="U523" s="35"/>
      <c r="V523" s="35"/>
      <c r="W523" s="35"/>
      <c r="X523" s="35"/>
      <c r="Y523" s="35"/>
      <c r="Z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6"/>
      <c r="Q524" s="35"/>
      <c r="R524" s="35"/>
      <c r="S524" s="35"/>
      <c r="T524" s="35"/>
      <c r="U524" s="35"/>
      <c r="V524" s="35"/>
      <c r="W524" s="35"/>
      <c r="X524" s="35"/>
      <c r="Y524" s="35"/>
      <c r="Z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6"/>
      <c r="Q525" s="35"/>
      <c r="R525" s="35"/>
      <c r="S525" s="35"/>
      <c r="T525" s="35"/>
      <c r="U525" s="35"/>
      <c r="V525" s="35"/>
      <c r="W525" s="35"/>
      <c r="X525" s="35"/>
      <c r="Y525" s="35"/>
      <c r="Z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6"/>
      <c r="Q526" s="35"/>
      <c r="R526" s="35"/>
      <c r="S526" s="35"/>
      <c r="T526" s="35"/>
      <c r="U526" s="35"/>
      <c r="V526" s="35"/>
      <c r="W526" s="35"/>
      <c r="X526" s="35"/>
      <c r="Y526" s="35"/>
      <c r="Z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6"/>
      <c r="Q527" s="35"/>
      <c r="R527" s="35"/>
      <c r="S527" s="35"/>
      <c r="T527" s="35"/>
      <c r="U527" s="35"/>
      <c r="V527" s="35"/>
      <c r="W527" s="35"/>
      <c r="X527" s="35"/>
      <c r="Y527" s="35"/>
      <c r="Z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6"/>
      <c r="Q528" s="35"/>
      <c r="R528" s="35"/>
      <c r="S528" s="35"/>
      <c r="T528" s="35"/>
      <c r="U528" s="35"/>
      <c r="V528" s="35"/>
      <c r="W528" s="35"/>
      <c r="X528" s="35"/>
      <c r="Y528" s="35"/>
      <c r="Z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6"/>
      <c r="Q529" s="35"/>
      <c r="R529" s="35"/>
      <c r="S529" s="35"/>
      <c r="T529" s="35"/>
      <c r="U529" s="35"/>
      <c r="V529" s="35"/>
      <c r="W529" s="35"/>
      <c r="X529" s="35"/>
      <c r="Y529" s="35"/>
      <c r="Z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6"/>
      <c r="Q530" s="35"/>
      <c r="R530" s="35"/>
      <c r="S530" s="35"/>
      <c r="T530" s="35"/>
      <c r="U530" s="35"/>
      <c r="V530" s="35"/>
      <c r="W530" s="35"/>
      <c r="X530" s="35"/>
      <c r="Y530" s="35"/>
      <c r="Z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6"/>
      <c r="Q531" s="35"/>
      <c r="R531" s="35"/>
      <c r="S531" s="35"/>
      <c r="T531" s="35"/>
      <c r="U531" s="35"/>
      <c r="V531" s="35"/>
      <c r="W531" s="35"/>
      <c r="X531" s="35"/>
      <c r="Y531" s="35"/>
      <c r="Z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6"/>
      <c r="Q532" s="35"/>
      <c r="R532" s="35"/>
      <c r="S532" s="35"/>
      <c r="T532" s="35"/>
      <c r="U532" s="35"/>
      <c r="V532" s="35"/>
      <c r="W532" s="35"/>
      <c r="X532" s="35"/>
      <c r="Y532" s="35"/>
      <c r="Z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6"/>
      <c r="Q533" s="35"/>
      <c r="R533" s="35"/>
      <c r="S533" s="35"/>
      <c r="T533" s="35"/>
      <c r="U533" s="35"/>
      <c r="V533" s="35"/>
      <c r="W533" s="35"/>
      <c r="X533" s="35"/>
      <c r="Y533" s="35"/>
      <c r="Z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6"/>
      <c r="Q534" s="35"/>
      <c r="R534" s="35"/>
      <c r="S534" s="35"/>
      <c r="T534" s="35"/>
      <c r="U534" s="35"/>
      <c r="V534" s="35"/>
      <c r="W534" s="35"/>
      <c r="X534" s="35"/>
      <c r="Y534" s="35"/>
      <c r="Z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6"/>
      <c r="Q535" s="35"/>
      <c r="R535" s="35"/>
      <c r="S535" s="35"/>
      <c r="T535" s="35"/>
      <c r="U535" s="35"/>
      <c r="V535" s="35"/>
      <c r="W535" s="35"/>
      <c r="X535" s="35"/>
      <c r="Y535" s="35"/>
      <c r="Z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6"/>
      <c r="Q536" s="35"/>
      <c r="R536" s="35"/>
      <c r="S536" s="35"/>
      <c r="T536" s="35"/>
      <c r="U536" s="35"/>
      <c r="V536" s="35"/>
      <c r="W536" s="35"/>
      <c r="X536" s="35"/>
      <c r="Y536" s="35"/>
      <c r="Z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6"/>
      <c r="Q537" s="35"/>
      <c r="R537" s="35"/>
      <c r="S537" s="35"/>
      <c r="T537" s="35"/>
      <c r="U537" s="35"/>
      <c r="V537" s="35"/>
      <c r="W537" s="35"/>
      <c r="X537" s="35"/>
      <c r="Y537" s="35"/>
      <c r="Z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6"/>
      <c r="Q538" s="35"/>
      <c r="R538" s="35"/>
      <c r="S538" s="35"/>
      <c r="T538" s="35"/>
      <c r="U538" s="35"/>
      <c r="V538" s="35"/>
      <c r="W538" s="35"/>
      <c r="X538" s="35"/>
      <c r="Y538" s="35"/>
      <c r="Z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6"/>
      <c r="Q539" s="35"/>
      <c r="R539" s="35"/>
      <c r="S539" s="35"/>
      <c r="T539" s="35"/>
      <c r="U539" s="35"/>
      <c r="V539" s="35"/>
      <c r="W539" s="35"/>
      <c r="X539" s="35"/>
      <c r="Y539" s="35"/>
      <c r="Z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6"/>
      <c r="Q540" s="35"/>
      <c r="R540" s="35"/>
      <c r="S540" s="35"/>
      <c r="T540" s="35"/>
      <c r="U540" s="35"/>
      <c r="V540" s="35"/>
      <c r="W540" s="35"/>
      <c r="X540" s="35"/>
      <c r="Y540" s="35"/>
      <c r="Z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6"/>
      <c r="Q541" s="35"/>
      <c r="R541" s="35"/>
      <c r="S541" s="35"/>
      <c r="T541" s="35"/>
      <c r="U541" s="35"/>
      <c r="V541" s="35"/>
      <c r="W541" s="35"/>
      <c r="X541" s="35"/>
      <c r="Y541" s="35"/>
      <c r="Z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6"/>
      <c r="Q542" s="35"/>
      <c r="R542" s="35"/>
      <c r="S542" s="35"/>
      <c r="T542" s="35"/>
      <c r="U542" s="35"/>
      <c r="V542" s="35"/>
      <c r="W542" s="35"/>
      <c r="X542" s="35"/>
      <c r="Y542" s="35"/>
      <c r="Z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6"/>
      <c r="Q543" s="35"/>
      <c r="R543" s="35"/>
      <c r="S543" s="35"/>
      <c r="T543" s="35"/>
      <c r="U543" s="35"/>
      <c r="V543" s="35"/>
      <c r="W543" s="35"/>
      <c r="X543" s="35"/>
      <c r="Y543" s="35"/>
      <c r="Z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6"/>
      <c r="Q544" s="35"/>
      <c r="R544" s="35"/>
      <c r="S544" s="35"/>
      <c r="T544" s="35"/>
      <c r="U544" s="35"/>
      <c r="V544" s="35"/>
      <c r="W544" s="35"/>
      <c r="X544" s="35"/>
      <c r="Y544" s="35"/>
      <c r="Z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6"/>
      <c r="Q545" s="35"/>
      <c r="R545" s="35"/>
      <c r="S545" s="35"/>
      <c r="T545" s="35"/>
      <c r="U545" s="35"/>
      <c r="V545" s="35"/>
      <c r="W545" s="35"/>
      <c r="X545" s="35"/>
      <c r="Y545" s="35"/>
      <c r="Z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6"/>
      <c r="Q546" s="35"/>
      <c r="R546" s="35"/>
      <c r="S546" s="35"/>
      <c r="T546" s="35"/>
      <c r="U546" s="35"/>
      <c r="V546" s="35"/>
      <c r="W546" s="35"/>
      <c r="X546" s="35"/>
      <c r="Y546" s="35"/>
      <c r="Z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6"/>
      <c r="Q547" s="35"/>
      <c r="R547" s="35"/>
      <c r="S547" s="35"/>
      <c r="T547" s="35"/>
      <c r="U547" s="35"/>
      <c r="V547" s="35"/>
      <c r="W547" s="35"/>
      <c r="X547" s="35"/>
      <c r="Y547" s="35"/>
      <c r="Z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6"/>
      <c r="Q548" s="35"/>
      <c r="R548" s="35"/>
      <c r="S548" s="35"/>
      <c r="T548" s="35"/>
      <c r="U548" s="35"/>
      <c r="V548" s="35"/>
      <c r="W548" s="35"/>
      <c r="X548" s="35"/>
      <c r="Y548" s="35"/>
      <c r="Z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6"/>
      <c r="Q549" s="35"/>
      <c r="R549" s="35"/>
      <c r="S549" s="35"/>
      <c r="T549" s="35"/>
      <c r="U549" s="35"/>
      <c r="V549" s="35"/>
      <c r="W549" s="35"/>
      <c r="X549" s="35"/>
      <c r="Y549" s="35"/>
      <c r="Z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6"/>
      <c r="Q550" s="35"/>
      <c r="R550" s="35"/>
      <c r="S550" s="35"/>
      <c r="T550" s="35"/>
      <c r="U550" s="35"/>
      <c r="V550" s="35"/>
      <c r="W550" s="35"/>
      <c r="X550" s="35"/>
      <c r="Y550" s="35"/>
      <c r="Z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6"/>
      <c r="Q551" s="35"/>
      <c r="R551" s="35"/>
      <c r="S551" s="35"/>
      <c r="T551" s="35"/>
      <c r="U551" s="35"/>
      <c r="V551" s="35"/>
      <c r="W551" s="35"/>
      <c r="X551" s="35"/>
      <c r="Y551" s="35"/>
      <c r="Z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6"/>
      <c r="Q552" s="35"/>
      <c r="R552" s="35"/>
      <c r="S552" s="35"/>
      <c r="T552" s="35"/>
      <c r="U552" s="35"/>
      <c r="V552" s="35"/>
      <c r="W552" s="35"/>
      <c r="X552" s="35"/>
      <c r="Y552" s="35"/>
      <c r="Z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6"/>
      <c r="Q553" s="35"/>
      <c r="R553" s="35"/>
      <c r="S553" s="35"/>
      <c r="T553" s="35"/>
      <c r="U553" s="35"/>
      <c r="V553" s="35"/>
      <c r="W553" s="35"/>
      <c r="X553" s="35"/>
      <c r="Y553" s="35"/>
      <c r="Z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6"/>
      <c r="Q554" s="35"/>
      <c r="R554" s="35"/>
      <c r="S554" s="35"/>
      <c r="T554" s="35"/>
      <c r="U554" s="35"/>
      <c r="V554" s="35"/>
      <c r="W554" s="35"/>
      <c r="X554" s="35"/>
      <c r="Y554" s="35"/>
      <c r="Z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6"/>
      <c r="Q555" s="35"/>
      <c r="R555" s="35"/>
      <c r="S555" s="35"/>
      <c r="T555" s="35"/>
      <c r="U555" s="35"/>
      <c r="V555" s="35"/>
      <c r="W555" s="35"/>
      <c r="X555" s="35"/>
      <c r="Y555" s="35"/>
      <c r="Z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6"/>
      <c r="Q556" s="35"/>
      <c r="R556" s="35"/>
      <c r="S556" s="35"/>
      <c r="T556" s="35"/>
      <c r="U556" s="35"/>
      <c r="V556" s="35"/>
      <c r="W556" s="35"/>
      <c r="X556" s="35"/>
      <c r="Y556" s="35"/>
      <c r="Z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6"/>
      <c r="Q557" s="35"/>
      <c r="R557" s="35"/>
      <c r="S557" s="35"/>
      <c r="T557" s="35"/>
      <c r="U557" s="35"/>
      <c r="V557" s="35"/>
      <c r="W557" s="35"/>
      <c r="X557" s="35"/>
      <c r="Y557" s="35"/>
      <c r="Z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6"/>
      <c r="Q558" s="35"/>
      <c r="R558" s="35"/>
      <c r="S558" s="35"/>
      <c r="T558" s="35"/>
      <c r="U558" s="35"/>
      <c r="V558" s="35"/>
      <c r="W558" s="35"/>
      <c r="X558" s="35"/>
      <c r="Y558" s="35"/>
      <c r="Z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6"/>
      <c r="Q559" s="35"/>
      <c r="R559" s="35"/>
      <c r="S559" s="35"/>
      <c r="T559" s="35"/>
      <c r="U559" s="35"/>
      <c r="V559" s="35"/>
      <c r="W559" s="35"/>
      <c r="X559" s="35"/>
      <c r="Y559" s="35"/>
      <c r="Z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6"/>
      <c r="Q560" s="35"/>
      <c r="R560" s="35"/>
      <c r="S560" s="35"/>
      <c r="T560" s="35"/>
      <c r="U560" s="35"/>
      <c r="V560" s="35"/>
      <c r="W560" s="35"/>
      <c r="X560" s="35"/>
      <c r="Y560" s="35"/>
      <c r="Z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6"/>
      <c r="Q561" s="35"/>
      <c r="R561" s="35"/>
      <c r="S561" s="35"/>
      <c r="T561" s="35"/>
      <c r="U561" s="35"/>
      <c r="V561" s="35"/>
      <c r="W561" s="35"/>
      <c r="X561" s="35"/>
      <c r="Y561" s="35"/>
      <c r="Z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6"/>
      <c r="Q562" s="35"/>
      <c r="R562" s="35"/>
      <c r="S562" s="35"/>
      <c r="T562" s="35"/>
      <c r="U562" s="35"/>
      <c r="V562" s="35"/>
      <c r="W562" s="35"/>
      <c r="X562" s="35"/>
      <c r="Y562" s="35"/>
      <c r="Z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6"/>
      <c r="Q563" s="35"/>
      <c r="R563" s="35"/>
      <c r="S563" s="35"/>
      <c r="T563" s="35"/>
      <c r="U563" s="35"/>
      <c r="V563" s="35"/>
      <c r="W563" s="35"/>
      <c r="X563" s="35"/>
      <c r="Y563" s="35"/>
      <c r="Z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6"/>
      <c r="Q564" s="35"/>
      <c r="R564" s="35"/>
      <c r="S564" s="35"/>
      <c r="T564" s="35"/>
      <c r="U564" s="35"/>
      <c r="V564" s="35"/>
      <c r="W564" s="35"/>
      <c r="X564" s="35"/>
      <c r="Y564" s="35"/>
      <c r="Z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6"/>
      <c r="Q565" s="35"/>
      <c r="R565" s="35"/>
      <c r="S565" s="35"/>
      <c r="T565" s="35"/>
      <c r="U565" s="35"/>
      <c r="V565" s="35"/>
      <c r="W565" s="35"/>
      <c r="X565" s="35"/>
      <c r="Y565" s="35"/>
      <c r="Z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6"/>
      <c r="Q566" s="35"/>
      <c r="R566" s="35"/>
      <c r="S566" s="35"/>
      <c r="T566" s="35"/>
      <c r="U566" s="35"/>
      <c r="V566" s="35"/>
      <c r="W566" s="35"/>
      <c r="X566" s="35"/>
      <c r="Y566" s="35"/>
      <c r="Z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6"/>
      <c r="Q567" s="35"/>
      <c r="R567" s="35"/>
      <c r="S567" s="35"/>
      <c r="T567" s="35"/>
      <c r="U567" s="35"/>
      <c r="V567" s="35"/>
      <c r="W567" s="35"/>
      <c r="X567" s="35"/>
      <c r="Y567" s="35"/>
      <c r="Z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6"/>
      <c r="Q568" s="35"/>
      <c r="R568" s="35"/>
      <c r="S568" s="35"/>
      <c r="T568" s="35"/>
      <c r="U568" s="35"/>
      <c r="V568" s="35"/>
      <c r="W568" s="35"/>
      <c r="X568" s="35"/>
      <c r="Y568" s="35"/>
      <c r="Z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6"/>
      <c r="Q569" s="35"/>
      <c r="R569" s="35"/>
      <c r="S569" s="35"/>
      <c r="T569" s="35"/>
      <c r="U569" s="35"/>
      <c r="V569" s="35"/>
      <c r="W569" s="35"/>
      <c r="X569" s="35"/>
      <c r="Y569" s="35"/>
      <c r="Z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6"/>
      <c r="Q570" s="35"/>
      <c r="R570" s="35"/>
      <c r="S570" s="35"/>
      <c r="T570" s="35"/>
      <c r="U570" s="35"/>
      <c r="V570" s="35"/>
      <c r="W570" s="35"/>
      <c r="X570" s="35"/>
      <c r="Y570" s="35"/>
      <c r="Z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6"/>
      <c r="Q571" s="35"/>
      <c r="R571" s="35"/>
      <c r="S571" s="35"/>
      <c r="T571" s="35"/>
      <c r="U571" s="35"/>
      <c r="V571" s="35"/>
      <c r="W571" s="35"/>
      <c r="X571" s="35"/>
      <c r="Y571" s="35"/>
      <c r="Z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6"/>
      <c r="Q572" s="35"/>
      <c r="R572" s="35"/>
      <c r="S572" s="35"/>
      <c r="T572" s="35"/>
      <c r="U572" s="35"/>
      <c r="V572" s="35"/>
      <c r="W572" s="35"/>
      <c r="X572" s="35"/>
      <c r="Y572" s="35"/>
      <c r="Z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6"/>
      <c r="Q573" s="35"/>
      <c r="R573" s="35"/>
      <c r="S573" s="35"/>
      <c r="T573" s="35"/>
      <c r="U573" s="35"/>
      <c r="V573" s="35"/>
      <c r="W573" s="35"/>
      <c r="X573" s="35"/>
      <c r="Y573" s="35"/>
      <c r="Z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6"/>
      <c r="Q574" s="35"/>
      <c r="R574" s="35"/>
      <c r="S574" s="35"/>
      <c r="T574" s="35"/>
      <c r="U574" s="35"/>
      <c r="V574" s="35"/>
      <c r="W574" s="35"/>
      <c r="X574" s="35"/>
      <c r="Y574" s="35"/>
      <c r="Z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6"/>
      <c r="Q575" s="35"/>
      <c r="R575" s="35"/>
      <c r="S575" s="35"/>
      <c r="T575" s="35"/>
      <c r="U575" s="35"/>
      <c r="V575" s="35"/>
      <c r="W575" s="35"/>
      <c r="X575" s="35"/>
      <c r="Y575" s="35"/>
      <c r="Z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6"/>
      <c r="Q576" s="35"/>
      <c r="R576" s="35"/>
      <c r="S576" s="35"/>
      <c r="T576" s="35"/>
      <c r="U576" s="35"/>
      <c r="V576" s="35"/>
      <c r="W576" s="35"/>
      <c r="X576" s="35"/>
      <c r="Y576" s="35"/>
      <c r="Z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6"/>
      <c r="Q577" s="35"/>
      <c r="R577" s="35"/>
      <c r="S577" s="35"/>
      <c r="T577" s="35"/>
      <c r="U577" s="35"/>
      <c r="V577" s="35"/>
      <c r="W577" s="35"/>
      <c r="X577" s="35"/>
      <c r="Y577" s="35"/>
      <c r="Z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6"/>
      <c r="Q578" s="35"/>
      <c r="R578" s="35"/>
      <c r="S578" s="35"/>
      <c r="T578" s="35"/>
      <c r="U578" s="35"/>
      <c r="V578" s="35"/>
      <c r="W578" s="35"/>
      <c r="X578" s="35"/>
      <c r="Y578" s="35"/>
      <c r="Z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6"/>
      <c r="Q579" s="35"/>
      <c r="R579" s="35"/>
      <c r="S579" s="35"/>
      <c r="T579" s="35"/>
      <c r="U579" s="35"/>
      <c r="V579" s="35"/>
      <c r="W579" s="35"/>
      <c r="X579" s="35"/>
      <c r="Y579" s="35"/>
      <c r="Z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6"/>
      <c r="Q580" s="35"/>
      <c r="R580" s="35"/>
      <c r="S580" s="35"/>
      <c r="T580" s="35"/>
      <c r="U580" s="35"/>
      <c r="V580" s="35"/>
      <c r="W580" s="35"/>
      <c r="X580" s="35"/>
      <c r="Y580" s="35"/>
      <c r="Z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6"/>
      <c r="Q581" s="35"/>
      <c r="R581" s="35"/>
      <c r="S581" s="35"/>
      <c r="T581" s="35"/>
      <c r="U581" s="35"/>
      <c r="V581" s="35"/>
      <c r="W581" s="35"/>
      <c r="X581" s="35"/>
      <c r="Y581" s="35"/>
      <c r="Z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6"/>
      <c r="Q582" s="35"/>
      <c r="R582" s="35"/>
      <c r="S582" s="35"/>
      <c r="T582" s="35"/>
      <c r="U582" s="35"/>
      <c r="V582" s="35"/>
      <c r="W582" s="35"/>
      <c r="X582" s="35"/>
      <c r="Y582" s="35"/>
      <c r="Z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6"/>
      <c r="Q583" s="35"/>
      <c r="R583" s="35"/>
      <c r="S583" s="35"/>
      <c r="T583" s="35"/>
      <c r="U583" s="35"/>
      <c r="V583" s="35"/>
      <c r="W583" s="35"/>
      <c r="X583" s="35"/>
      <c r="Y583" s="35"/>
      <c r="Z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6"/>
      <c r="Q584" s="35"/>
      <c r="R584" s="35"/>
      <c r="S584" s="35"/>
      <c r="T584" s="35"/>
      <c r="U584" s="35"/>
      <c r="V584" s="35"/>
      <c r="W584" s="35"/>
      <c r="X584" s="35"/>
      <c r="Y584" s="35"/>
      <c r="Z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6"/>
      <c r="Q585" s="35"/>
      <c r="R585" s="35"/>
      <c r="S585" s="35"/>
      <c r="T585" s="35"/>
      <c r="U585" s="35"/>
      <c r="V585" s="35"/>
      <c r="W585" s="35"/>
      <c r="X585" s="35"/>
      <c r="Y585" s="35"/>
      <c r="Z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6"/>
      <c r="Q586" s="35"/>
      <c r="R586" s="35"/>
      <c r="S586" s="35"/>
      <c r="T586" s="35"/>
      <c r="U586" s="35"/>
      <c r="V586" s="35"/>
      <c r="W586" s="35"/>
      <c r="X586" s="35"/>
      <c r="Y586" s="35"/>
      <c r="Z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6"/>
      <c r="Q587" s="35"/>
      <c r="R587" s="35"/>
      <c r="S587" s="35"/>
      <c r="T587" s="35"/>
      <c r="U587" s="35"/>
      <c r="V587" s="35"/>
      <c r="W587" s="35"/>
      <c r="X587" s="35"/>
      <c r="Y587" s="35"/>
      <c r="Z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6"/>
      <c r="Q588" s="35"/>
      <c r="R588" s="35"/>
      <c r="S588" s="35"/>
      <c r="T588" s="35"/>
      <c r="U588" s="35"/>
      <c r="V588" s="35"/>
      <c r="W588" s="35"/>
      <c r="X588" s="35"/>
      <c r="Y588" s="35"/>
      <c r="Z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6"/>
      <c r="Q589" s="35"/>
      <c r="R589" s="35"/>
      <c r="S589" s="35"/>
      <c r="T589" s="35"/>
      <c r="U589" s="35"/>
      <c r="V589" s="35"/>
      <c r="W589" s="35"/>
      <c r="X589" s="35"/>
      <c r="Y589" s="35"/>
      <c r="Z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6"/>
      <c r="Q590" s="35"/>
      <c r="R590" s="35"/>
      <c r="S590" s="35"/>
      <c r="T590" s="35"/>
      <c r="U590" s="35"/>
      <c r="V590" s="35"/>
      <c r="W590" s="35"/>
      <c r="X590" s="35"/>
      <c r="Y590" s="35"/>
      <c r="Z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6"/>
      <c r="Q591" s="35"/>
      <c r="R591" s="35"/>
      <c r="S591" s="35"/>
      <c r="T591" s="35"/>
      <c r="U591" s="35"/>
      <c r="V591" s="35"/>
      <c r="W591" s="35"/>
      <c r="X591" s="35"/>
      <c r="Y591" s="35"/>
      <c r="Z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6"/>
      <c r="Q592" s="35"/>
      <c r="R592" s="35"/>
      <c r="S592" s="35"/>
      <c r="T592" s="35"/>
      <c r="U592" s="35"/>
      <c r="V592" s="35"/>
      <c r="W592" s="35"/>
      <c r="X592" s="35"/>
      <c r="Y592" s="35"/>
      <c r="Z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6"/>
      <c r="Q593" s="35"/>
      <c r="R593" s="35"/>
      <c r="S593" s="35"/>
      <c r="T593" s="35"/>
      <c r="U593" s="35"/>
      <c r="V593" s="35"/>
      <c r="W593" s="35"/>
      <c r="X593" s="35"/>
      <c r="Y593" s="35"/>
      <c r="Z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6"/>
      <c r="Q594" s="35"/>
      <c r="R594" s="35"/>
      <c r="S594" s="35"/>
      <c r="T594" s="35"/>
      <c r="U594" s="35"/>
      <c r="V594" s="35"/>
      <c r="W594" s="35"/>
      <c r="X594" s="35"/>
      <c r="Y594" s="35"/>
      <c r="Z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6"/>
      <c r="Q595" s="35"/>
      <c r="R595" s="35"/>
      <c r="S595" s="35"/>
      <c r="T595" s="35"/>
      <c r="U595" s="35"/>
      <c r="V595" s="35"/>
      <c r="W595" s="35"/>
      <c r="X595" s="35"/>
      <c r="Y595" s="35"/>
      <c r="Z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6"/>
      <c r="Q596" s="35"/>
      <c r="R596" s="35"/>
      <c r="S596" s="35"/>
      <c r="T596" s="35"/>
      <c r="U596" s="35"/>
      <c r="V596" s="35"/>
      <c r="W596" s="35"/>
      <c r="X596" s="35"/>
      <c r="Y596" s="35"/>
      <c r="Z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6"/>
      <c r="Q597" s="35"/>
      <c r="R597" s="35"/>
      <c r="S597" s="35"/>
      <c r="T597" s="35"/>
      <c r="U597" s="35"/>
      <c r="V597" s="35"/>
      <c r="W597" s="35"/>
      <c r="X597" s="35"/>
      <c r="Y597" s="35"/>
      <c r="Z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6"/>
      <c r="Q598" s="35"/>
      <c r="R598" s="35"/>
      <c r="S598" s="35"/>
      <c r="T598" s="35"/>
      <c r="U598" s="35"/>
      <c r="V598" s="35"/>
      <c r="W598" s="35"/>
      <c r="X598" s="35"/>
      <c r="Y598" s="35"/>
      <c r="Z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6"/>
      <c r="Q599" s="35"/>
      <c r="R599" s="35"/>
      <c r="S599" s="35"/>
      <c r="T599" s="35"/>
      <c r="U599" s="35"/>
      <c r="V599" s="35"/>
      <c r="W599" s="35"/>
      <c r="X599" s="35"/>
      <c r="Y599" s="35"/>
      <c r="Z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6"/>
      <c r="Q600" s="35"/>
      <c r="R600" s="35"/>
      <c r="S600" s="35"/>
      <c r="T600" s="35"/>
      <c r="U600" s="35"/>
      <c r="V600" s="35"/>
      <c r="W600" s="35"/>
      <c r="X600" s="35"/>
      <c r="Y600" s="35"/>
      <c r="Z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6"/>
      <c r="Q601" s="35"/>
      <c r="R601" s="35"/>
      <c r="S601" s="35"/>
      <c r="T601" s="35"/>
      <c r="U601" s="35"/>
      <c r="V601" s="35"/>
      <c r="W601" s="35"/>
      <c r="X601" s="35"/>
      <c r="Y601" s="35"/>
      <c r="Z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6"/>
      <c r="Q602" s="35"/>
      <c r="R602" s="35"/>
      <c r="S602" s="35"/>
      <c r="T602" s="35"/>
      <c r="U602" s="35"/>
      <c r="V602" s="35"/>
      <c r="W602" s="35"/>
      <c r="X602" s="35"/>
      <c r="Y602" s="35"/>
      <c r="Z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6"/>
      <c r="Q603" s="35"/>
      <c r="R603" s="35"/>
      <c r="S603" s="35"/>
      <c r="T603" s="35"/>
      <c r="U603" s="35"/>
      <c r="V603" s="35"/>
      <c r="W603" s="35"/>
      <c r="X603" s="35"/>
      <c r="Y603" s="35"/>
      <c r="Z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6"/>
      <c r="Q604" s="35"/>
      <c r="R604" s="35"/>
      <c r="S604" s="35"/>
      <c r="T604" s="35"/>
      <c r="U604" s="35"/>
      <c r="V604" s="35"/>
      <c r="W604" s="35"/>
      <c r="X604" s="35"/>
      <c r="Y604" s="35"/>
      <c r="Z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6"/>
      <c r="Q605" s="35"/>
      <c r="R605" s="35"/>
      <c r="S605" s="35"/>
      <c r="T605" s="35"/>
      <c r="U605" s="35"/>
      <c r="V605" s="35"/>
      <c r="W605" s="35"/>
      <c r="X605" s="35"/>
      <c r="Y605" s="35"/>
      <c r="Z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6"/>
      <c r="Q606" s="35"/>
      <c r="R606" s="35"/>
      <c r="S606" s="35"/>
      <c r="T606" s="35"/>
      <c r="U606" s="35"/>
      <c r="V606" s="35"/>
      <c r="W606" s="35"/>
      <c r="X606" s="35"/>
      <c r="Y606" s="35"/>
      <c r="Z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6"/>
      <c r="Q607" s="35"/>
      <c r="R607" s="35"/>
      <c r="S607" s="35"/>
      <c r="T607" s="35"/>
      <c r="U607" s="35"/>
      <c r="V607" s="35"/>
      <c r="W607" s="35"/>
      <c r="X607" s="35"/>
      <c r="Y607" s="35"/>
      <c r="Z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6"/>
      <c r="Q608" s="35"/>
      <c r="R608" s="35"/>
      <c r="S608" s="35"/>
      <c r="T608" s="35"/>
      <c r="U608" s="35"/>
      <c r="V608" s="35"/>
      <c r="W608" s="35"/>
      <c r="X608" s="35"/>
      <c r="Y608" s="35"/>
      <c r="Z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6"/>
      <c r="Q609" s="35"/>
      <c r="R609" s="35"/>
      <c r="S609" s="35"/>
      <c r="T609" s="35"/>
      <c r="U609" s="35"/>
      <c r="V609" s="35"/>
      <c r="W609" s="35"/>
      <c r="X609" s="35"/>
      <c r="Y609" s="35"/>
      <c r="Z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6"/>
      <c r="Q610" s="35"/>
      <c r="R610" s="35"/>
      <c r="S610" s="35"/>
      <c r="T610" s="35"/>
      <c r="U610" s="35"/>
      <c r="V610" s="35"/>
      <c r="W610" s="35"/>
      <c r="X610" s="35"/>
      <c r="Y610" s="35"/>
      <c r="Z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6"/>
      <c r="Q611" s="35"/>
      <c r="R611" s="35"/>
      <c r="S611" s="35"/>
      <c r="T611" s="35"/>
      <c r="U611" s="35"/>
      <c r="V611" s="35"/>
      <c r="W611" s="35"/>
      <c r="X611" s="35"/>
      <c r="Y611" s="35"/>
      <c r="Z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6"/>
      <c r="Q612" s="35"/>
      <c r="R612" s="35"/>
      <c r="S612" s="35"/>
      <c r="T612" s="35"/>
      <c r="U612" s="35"/>
      <c r="V612" s="35"/>
      <c r="W612" s="35"/>
      <c r="X612" s="35"/>
      <c r="Y612" s="35"/>
      <c r="Z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6"/>
      <c r="Q613" s="35"/>
      <c r="R613" s="35"/>
      <c r="S613" s="35"/>
      <c r="T613" s="35"/>
      <c r="U613" s="35"/>
      <c r="V613" s="35"/>
      <c r="W613" s="35"/>
      <c r="X613" s="35"/>
      <c r="Y613" s="35"/>
      <c r="Z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6"/>
      <c r="Q614" s="35"/>
      <c r="R614" s="35"/>
      <c r="S614" s="35"/>
      <c r="T614" s="35"/>
      <c r="U614" s="35"/>
      <c r="V614" s="35"/>
      <c r="W614" s="35"/>
      <c r="X614" s="35"/>
      <c r="Y614" s="35"/>
      <c r="Z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6"/>
      <c r="Q615" s="35"/>
      <c r="R615" s="35"/>
      <c r="S615" s="35"/>
      <c r="T615" s="35"/>
      <c r="U615" s="35"/>
      <c r="V615" s="35"/>
      <c r="W615" s="35"/>
      <c r="X615" s="35"/>
      <c r="Y615" s="35"/>
      <c r="Z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6"/>
      <c r="Q616" s="35"/>
      <c r="R616" s="35"/>
      <c r="S616" s="35"/>
      <c r="T616" s="35"/>
      <c r="U616" s="35"/>
      <c r="V616" s="35"/>
      <c r="W616" s="35"/>
      <c r="X616" s="35"/>
      <c r="Y616" s="35"/>
      <c r="Z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6"/>
      <c r="Q617" s="35"/>
      <c r="R617" s="35"/>
      <c r="S617" s="35"/>
      <c r="T617" s="35"/>
      <c r="U617" s="35"/>
      <c r="V617" s="35"/>
      <c r="W617" s="35"/>
      <c r="X617" s="35"/>
      <c r="Y617" s="35"/>
      <c r="Z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6"/>
      <c r="Q618" s="35"/>
      <c r="R618" s="35"/>
      <c r="S618" s="35"/>
      <c r="T618" s="35"/>
      <c r="U618" s="35"/>
      <c r="V618" s="35"/>
      <c r="W618" s="35"/>
      <c r="X618" s="35"/>
      <c r="Y618" s="35"/>
      <c r="Z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6"/>
      <c r="Q619" s="35"/>
      <c r="R619" s="35"/>
      <c r="S619" s="35"/>
      <c r="T619" s="35"/>
      <c r="U619" s="35"/>
      <c r="V619" s="35"/>
      <c r="W619" s="35"/>
      <c r="X619" s="35"/>
      <c r="Y619" s="35"/>
      <c r="Z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6"/>
      <c r="Q620" s="35"/>
      <c r="R620" s="35"/>
      <c r="S620" s="35"/>
      <c r="T620" s="35"/>
      <c r="U620" s="35"/>
      <c r="V620" s="35"/>
      <c r="W620" s="35"/>
      <c r="X620" s="35"/>
      <c r="Y620" s="35"/>
      <c r="Z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6"/>
      <c r="Q621" s="35"/>
      <c r="R621" s="35"/>
      <c r="S621" s="35"/>
      <c r="T621" s="35"/>
      <c r="U621" s="35"/>
      <c r="V621" s="35"/>
      <c r="W621" s="35"/>
      <c r="X621" s="35"/>
      <c r="Y621" s="35"/>
      <c r="Z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6"/>
      <c r="Q622" s="35"/>
      <c r="R622" s="35"/>
      <c r="S622" s="35"/>
      <c r="T622" s="35"/>
      <c r="U622" s="35"/>
      <c r="V622" s="35"/>
      <c r="W622" s="35"/>
      <c r="X622" s="35"/>
      <c r="Y622" s="35"/>
      <c r="Z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6"/>
      <c r="Q623" s="35"/>
      <c r="R623" s="35"/>
      <c r="S623" s="35"/>
      <c r="T623" s="35"/>
      <c r="U623" s="35"/>
      <c r="V623" s="35"/>
      <c r="W623" s="35"/>
      <c r="X623" s="35"/>
      <c r="Y623" s="35"/>
      <c r="Z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6"/>
      <c r="Q624" s="35"/>
      <c r="R624" s="35"/>
      <c r="S624" s="35"/>
      <c r="T624" s="35"/>
      <c r="U624" s="35"/>
      <c r="V624" s="35"/>
      <c r="W624" s="35"/>
      <c r="X624" s="35"/>
      <c r="Y624" s="35"/>
      <c r="Z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6"/>
      <c r="Q625" s="35"/>
      <c r="R625" s="35"/>
      <c r="S625" s="35"/>
      <c r="T625" s="35"/>
      <c r="U625" s="35"/>
      <c r="V625" s="35"/>
      <c r="W625" s="35"/>
      <c r="X625" s="35"/>
      <c r="Y625" s="35"/>
      <c r="Z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6"/>
      <c r="Q626" s="35"/>
      <c r="R626" s="35"/>
      <c r="S626" s="35"/>
      <c r="T626" s="35"/>
      <c r="U626" s="35"/>
      <c r="V626" s="35"/>
      <c r="W626" s="35"/>
      <c r="X626" s="35"/>
      <c r="Y626" s="35"/>
      <c r="Z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6"/>
      <c r="Q627" s="35"/>
      <c r="R627" s="35"/>
      <c r="S627" s="35"/>
      <c r="T627" s="35"/>
      <c r="U627" s="35"/>
      <c r="V627" s="35"/>
      <c r="W627" s="35"/>
      <c r="X627" s="35"/>
      <c r="Y627" s="35"/>
      <c r="Z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6"/>
      <c r="Q628" s="35"/>
      <c r="R628" s="35"/>
      <c r="S628" s="35"/>
      <c r="T628" s="35"/>
      <c r="U628" s="35"/>
      <c r="V628" s="35"/>
      <c r="W628" s="35"/>
      <c r="X628" s="35"/>
      <c r="Y628" s="35"/>
      <c r="Z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6"/>
      <c r="Q629" s="35"/>
      <c r="R629" s="35"/>
      <c r="S629" s="35"/>
      <c r="T629" s="35"/>
      <c r="U629" s="35"/>
      <c r="V629" s="35"/>
      <c r="W629" s="35"/>
      <c r="X629" s="35"/>
      <c r="Y629" s="35"/>
      <c r="Z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6"/>
      <c r="Q630" s="35"/>
      <c r="R630" s="35"/>
      <c r="S630" s="35"/>
      <c r="T630" s="35"/>
      <c r="U630" s="35"/>
      <c r="V630" s="35"/>
      <c r="W630" s="35"/>
      <c r="X630" s="35"/>
      <c r="Y630" s="35"/>
      <c r="Z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6"/>
      <c r="Q631" s="35"/>
      <c r="R631" s="35"/>
      <c r="S631" s="35"/>
      <c r="T631" s="35"/>
      <c r="U631" s="35"/>
      <c r="V631" s="35"/>
      <c r="W631" s="35"/>
      <c r="X631" s="35"/>
      <c r="Y631" s="35"/>
      <c r="Z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6"/>
      <c r="Q632" s="35"/>
      <c r="R632" s="35"/>
      <c r="S632" s="35"/>
      <c r="T632" s="35"/>
      <c r="U632" s="35"/>
      <c r="V632" s="35"/>
      <c r="W632" s="35"/>
      <c r="X632" s="35"/>
      <c r="Y632" s="35"/>
      <c r="Z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6"/>
      <c r="Q633" s="35"/>
      <c r="R633" s="35"/>
      <c r="S633" s="35"/>
      <c r="T633" s="35"/>
      <c r="U633" s="35"/>
      <c r="V633" s="35"/>
      <c r="W633" s="35"/>
      <c r="X633" s="35"/>
      <c r="Y633" s="35"/>
      <c r="Z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6"/>
      <c r="Q634" s="35"/>
      <c r="R634" s="35"/>
      <c r="S634" s="35"/>
      <c r="T634" s="35"/>
      <c r="U634" s="35"/>
      <c r="V634" s="35"/>
      <c r="W634" s="35"/>
      <c r="X634" s="35"/>
      <c r="Y634" s="35"/>
      <c r="Z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6"/>
      <c r="Q635" s="35"/>
      <c r="R635" s="35"/>
      <c r="S635" s="35"/>
      <c r="T635" s="35"/>
      <c r="U635" s="35"/>
      <c r="V635" s="35"/>
      <c r="W635" s="35"/>
      <c r="X635" s="35"/>
      <c r="Y635" s="35"/>
      <c r="Z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6"/>
      <c r="Q636" s="35"/>
      <c r="R636" s="35"/>
      <c r="S636" s="35"/>
      <c r="T636" s="35"/>
      <c r="U636" s="35"/>
      <c r="V636" s="35"/>
      <c r="W636" s="35"/>
      <c r="X636" s="35"/>
      <c r="Y636" s="35"/>
      <c r="Z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6"/>
      <c r="Q637" s="35"/>
      <c r="R637" s="35"/>
      <c r="S637" s="35"/>
      <c r="T637" s="35"/>
      <c r="U637" s="35"/>
      <c r="V637" s="35"/>
      <c r="W637" s="35"/>
      <c r="X637" s="35"/>
      <c r="Y637" s="35"/>
      <c r="Z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6"/>
      <c r="Q638" s="35"/>
      <c r="R638" s="35"/>
      <c r="S638" s="35"/>
      <c r="T638" s="35"/>
      <c r="U638" s="35"/>
      <c r="V638" s="35"/>
      <c r="W638" s="35"/>
      <c r="X638" s="35"/>
      <c r="Y638" s="35"/>
      <c r="Z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6"/>
      <c r="Q639" s="35"/>
      <c r="R639" s="35"/>
      <c r="S639" s="35"/>
      <c r="T639" s="35"/>
      <c r="U639" s="35"/>
      <c r="V639" s="35"/>
      <c r="W639" s="35"/>
      <c r="X639" s="35"/>
      <c r="Y639" s="35"/>
      <c r="Z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6"/>
      <c r="Q640" s="35"/>
      <c r="R640" s="35"/>
      <c r="S640" s="35"/>
      <c r="T640" s="35"/>
      <c r="U640" s="35"/>
      <c r="V640" s="35"/>
      <c r="W640" s="35"/>
      <c r="X640" s="35"/>
      <c r="Y640" s="35"/>
      <c r="Z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6"/>
      <c r="Q641" s="35"/>
      <c r="R641" s="35"/>
      <c r="S641" s="35"/>
      <c r="T641" s="35"/>
      <c r="U641" s="35"/>
      <c r="V641" s="35"/>
      <c r="W641" s="35"/>
      <c r="X641" s="35"/>
      <c r="Y641" s="35"/>
      <c r="Z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6"/>
      <c r="Q642" s="35"/>
      <c r="R642" s="35"/>
      <c r="S642" s="35"/>
      <c r="T642" s="35"/>
      <c r="U642" s="35"/>
      <c r="V642" s="35"/>
      <c r="W642" s="35"/>
      <c r="X642" s="35"/>
      <c r="Y642" s="35"/>
      <c r="Z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6"/>
      <c r="Q643" s="35"/>
      <c r="R643" s="35"/>
      <c r="S643" s="35"/>
      <c r="T643" s="35"/>
      <c r="U643" s="35"/>
      <c r="V643" s="35"/>
      <c r="W643" s="35"/>
      <c r="X643" s="35"/>
      <c r="Y643" s="35"/>
      <c r="Z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6"/>
      <c r="Q644" s="35"/>
      <c r="R644" s="35"/>
      <c r="S644" s="35"/>
      <c r="T644" s="35"/>
      <c r="U644" s="35"/>
      <c r="V644" s="35"/>
      <c r="W644" s="35"/>
      <c r="X644" s="35"/>
      <c r="Y644" s="35"/>
      <c r="Z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6"/>
      <c r="Q645" s="35"/>
      <c r="R645" s="35"/>
      <c r="S645" s="35"/>
      <c r="T645" s="35"/>
      <c r="U645" s="35"/>
      <c r="V645" s="35"/>
      <c r="W645" s="35"/>
      <c r="X645" s="35"/>
      <c r="Y645" s="35"/>
      <c r="Z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6"/>
      <c r="Q646" s="35"/>
      <c r="R646" s="35"/>
      <c r="S646" s="35"/>
      <c r="T646" s="35"/>
      <c r="U646" s="35"/>
      <c r="V646" s="35"/>
      <c r="W646" s="35"/>
      <c r="X646" s="35"/>
      <c r="Y646" s="35"/>
      <c r="Z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6"/>
      <c r="Q647" s="35"/>
      <c r="R647" s="35"/>
      <c r="S647" s="35"/>
      <c r="T647" s="35"/>
      <c r="U647" s="35"/>
      <c r="V647" s="35"/>
      <c r="W647" s="35"/>
      <c r="X647" s="35"/>
      <c r="Y647" s="35"/>
      <c r="Z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6"/>
      <c r="Q648" s="35"/>
      <c r="R648" s="35"/>
      <c r="S648" s="35"/>
      <c r="T648" s="35"/>
      <c r="U648" s="35"/>
      <c r="V648" s="35"/>
      <c r="W648" s="35"/>
      <c r="X648" s="35"/>
      <c r="Y648" s="35"/>
      <c r="Z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6"/>
      <c r="Q649" s="35"/>
      <c r="R649" s="35"/>
      <c r="S649" s="35"/>
      <c r="T649" s="35"/>
      <c r="U649" s="35"/>
      <c r="V649" s="35"/>
      <c r="W649" s="35"/>
      <c r="X649" s="35"/>
      <c r="Y649" s="35"/>
      <c r="Z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6"/>
      <c r="Q650" s="35"/>
      <c r="R650" s="35"/>
      <c r="S650" s="35"/>
      <c r="T650" s="35"/>
      <c r="U650" s="35"/>
      <c r="V650" s="35"/>
      <c r="W650" s="35"/>
      <c r="X650" s="35"/>
      <c r="Y650" s="35"/>
      <c r="Z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6"/>
      <c r="Q651" s="35"/>
      <c r="R651" s="35"/>
      <c r="S651" s="35"/>
      <c r="T651" s="35"/>
      <c r="U651" s="35"/>
      <c r="V651" s="35"/>
      <c r="W651" s="35"/>
      <c r="X651" s="35"/>
      <c r="Y651" s="35"/>
      <c r="Z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6"/>
      <c r="Q652" s="35"/>
      <c r="R652" s="35"/>
      <c r="S652" s="35"/>
      <c r="T652" s="35"/>
      <c r="U652" s="35"/>
      <c r="V652" s="35"/>
      <c r="W652" s="35"/>
      <c r="X652" s="35"/>
      <c r="Y652" s="35"/>
      <c r="Z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6"/>
      <c r="Q653" s="35"/>
      <c r="R653" s="35"/>
      <c r="S653" s="35"/>
      <c r="T653" s="35"/>
      <c r="U653" s="35"/>
      <c r="V653" s="35"/>
      <c r="W653" s="35"/>
      <c r="X653" s="35"/>
      <c r="Y653" s="35"/>
      <c r="Z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6"/>
      <c r="Q654" s="35"/>
      <c r="R654" s="35"/>
      <c r="S654" s="35"/>
      <c r="T654" s="35"/>
      <c r="U654" s="35"/>
      <c r="V654" s="35"/>
      <c r="W654" s="35"/>
      <c r="X654" s="35"/>
      <c r="Y654" s="35"/>
      <c r="Z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6"/>
      <c r="Q655" s="35"/>
      <c r="R655" s="35"/>
      <c r="S655" s="35"/>
      <c r="T655" s="35"/>
      <c r="U655" s="35"/>
      <c r="V655" s="35"/>
      <c r="W655" s="35"/>
      <c r="X655" s="35"/>
      <c r="Y655" s="35"/>
      <c r="Z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6"/>
      <c r="Q656" s="35"/>
      <c r="R656" s="35"/>
      <c r="S656" s="35"/>
      <c r="T656" s="35"/>
      <c r="U656" s="35"/>
      <c r="V656" s="35"/>
      <c r="W656" s="35"/>
      <c r="X656" s="35"/>
      <c r="Y656" s="35"/>
      <c r="Z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6"/>
      <c r="Q657" s="35"/>
      <c r="R657" s="35"/>
      <c r="S657" s="35"/>
      <c r="T657" s="35"/>
      <c r="U657" s="35"/>
      <c r="V657" s="35"/>
      <c r="W657" s="35"/>
      <c r="X657" s="35"/>
      <c r="Y657" s="35"/>
      <c r="Z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6"/>
      <c r="Q658" s="35"/>
      <c r="R658" s="35"/>
      <c r="S658" s="35"/>
      <c r="T658" s="35"/>
      <c r="U658" s="35"/>
      <c r="V658" s="35"/>
      <c r="W658" s="35"/>
      <c r="X658" s="35"/>
      <c r="Y658" s="35"/>
      <c r="Z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6"/>
      <c r="Q659" s="35"/>
      <c r="R659" s="35"/>
      <c r="S659" s="35"/>
      <c r="T659" s="35"/>
      <c r="U659" s="35"/>
      <c r="V659" s="35"/>
      <c r="W659" s="35"/>
      <c r="X659" s="35"/>
      <c r="Y659" s="35"/>
      <c r="Z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6"/>
      <c r="Q660" s="35"/>
      <c r="R660" s="35"/>
      <c r="S660" s="35"/>
      <c r="T660" s="35"/>
      <c r="U660" s="35"/>
      <c r="V660" s="35"/>
      <c r="W660" s="35"/>
      <c r="X660" s="35"/>
      <c r="Y660" s="35"/>
      <c r="Z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6"/>
      <c r="Q661" s="35"/>
      <c r="R661" s="35"/>
      <c r="S661" s="35"/>
      <c r="T661" s="35"/>
      <c r="U661" s="35"/>
      <c r="V661" s="35"/>
      <c r="W661" s="35"/>
      <c r="X661" s="35"/>
      <c r="Y661" s="35"/>
      <c r="Z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6"/>
      <c r="Q662" s="35"/>
      <c r="R662" s="35"/>
      <c r="S662" s="35"/>
      <c r="T662" s="35"/>
      <c r="U662" s="35"/>
      <c r="V662" s="35"/>
      <c r="W662" s="35"/>
      <c r="X662" s="35"/>
      <c r="Y662" s="35"/>
      <c r="Z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6"/>
      <c r="Q663" s="35"/>
      <c r="R663" s="35"/>
      <c r="S663" s="35"/>
      <c r="T663" s="35"/>
      <c r="U663" s="35"/>
      <c r="V663" s="35"/>
      <c r="W663" s="35"/>
      <c r="X663" s="35"/>
      <c r="Y663" s="35"/>
      <c r="Z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6"/>
      <c r="Q664" s="35"/>
      <c r="R664" s="35"/>
      <c r="S664" s="35"/>
      <c r="T664" s="35"/>
      <c r="U664" s="35"/>
      <c r="V664" s="35"/>
      <c r="W664" s="35"/>
      <c r="X664" s="35"/>
      <c r="Y664" s="35"/>
      <c r="Z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6"/>
      <c r="Q665" s="35"/>
      <c r="R665" s="35"/>
      <c r="S665" s="35"/>
      <c r="T665" s="35"/>
      <c r="U665" s="35"/>
      <c r="V665" s="35"/>
      <c r="W665" s="35"/>
      <c r="X665" s="35"/>
      <c r="Y665" s="35"/>
      <c r="Z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6"/>
      <c r="Q666" s="35"/>
      <c r="R666" s="35"/>
      <c r="S666" s="35"/>
      <c r="T666" s="35"/>
      <c r="U666" s="35"/>
      <c r="V666" s="35"/>
      <c r="W666" s="35"/>
      <c r="X666" s="35"/>
      <c r="Y666" s="35"/>
      <c r="Z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6"/>
      <c r="Q667" s="35"/>
      <c r="R667" s="35"/>
      <c r="S667" s="35"/>
      <c r="T667" s="35"/>
      <c r="U667" s="35"/>
      <c r="V667" s="35"/>
      <c r="W667" s="35"/>
      <c r="X667" s="35"/>
      <c r="Y667" s="35"/>
      <c r="Z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6"/>
      <c r="Q668" s="35"/>
      <c r="R668" s="35"/>
      <c r="S668" s="35"/>
      <c r="T668" s="35"/>
      <c r="U668" s="35"/>
      <c r="V668" s="35"/>
      <c r="W668" s="35"/>
      <c r="X668" s="35"/>
      <c r="Y668" s="35"/>
      <c r="Z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6"/>
      <c r="Q669" s="35"/>
      <c r="R669" s="35"/>
      <c r="S669" s="35"/>
      <c r="T669" s="35"/>
      <c r="U669" s="35"/>
      <c r="V669" s="35"/>
      <c r="W669" s="35"/>
      <c r="X669" s="35"/>
      <c r="Y669" s="35"/>
      <c r="Z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6"/>
      <c r="Q670" s="35"/>
      <c r="R670" s="35"/>
      <c r="S670" s="35"/>
      <c r="T670" s="35"/>
      <c r="U670" s="35"/>
      <c r="V670" s="35"/>
      <c r="W670" s="35"/>
      <c r="X670" s="35"/>
      <c r="Y670" s="35"/>
      <c r="Z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6"/>
      <c r="Q671" s="35"/>
      <c r="R671" s="35"/>
      <c r="S671" s="35"/>
      <c r="T671" s="35"/>
      <c r="U671" s="35"/>
      <c r="V671" s="35"/>
      <c r="W671" s="35"/>
      <c r="X671" s="35"/>
      <c r="Y671" s="35"/>
      <c r="Z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6"/>
      <c r="Q672" s="35"/>
      <c r="R672" s="35"/>
      <c r="S672" s="35"/>
      <c r="T672" s="35"/>
      <c r="U672" s="35"/>
      <c r="V672" s="35"/>
      <c r="W672" s="35"/>
      <c r="X672" s="35"/>
      <c r="Y672" s="35"/>
      <c r="Z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6"/>
      <c r="Q673" s="35"/>
      <c r="R673" s="35"/>
      <c r="S673" s="35"/>
      <c r="T673" s="35"/>
      <c r="U673" s="35"/>
      <c r="V673" s="35"/>
      <c r="W673" s="35"/>
      <c r="X673" s="35"/>
      <c r="Y673" s="35"/>
      <c r="Z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6"/>
      <c r="Q674" s="35"/>
      <c r="R674" s="35"/>
      <c r="S674" s="35"/>
      <c r="T674" s="35"/>
      <c r="U674" s="35"/>
      <c r="V674" s="35"/>
      <c r="W674" s="35"/>
      <c r="X674" s="35"/>
      <c r="Y674" s="35"/>
      <c r="Z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6"/>
      <c r="Q675" s="35"/>
      <c r="R675" s="35"/>
      <c r="S675" s="35"/>
      <c r="T675" s="35"/>
      <c r="U675" s="35"/>
      <c r="V675" s="35"/>
      <c r="W675" s="35"/>
      <c r="X675" s="35"/>
      <c r="Y675" s="35"/>
      <c r="Z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6"/>
      <c r="Q676" s="35"/>
      <c r="R676" s="35"/>
      <c r="S676" s="35"/>
      <c r="T676" s="35"/>
      <c r="U676" s="35"/>
      <c r="V676" s="35"/>
      <c r="W676" s="35"/>
      <c r="X676" s="35"/>
      <c r="Y676" s="35"/>
      <c r="Z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6"/>
      <c r="Q677" s="35"/>
      <c r="R677" s="35"/>
      <c r="S677" s="35"/>
      <c r="T677" s="35"/>
      <c r="U677" s="35"/>
      <c r="V677" s="35"/>
      <c r="W677" s="35"/>
      <c r="X677" s="35"/>
      <c r="Y677" s="35"/>
      <c r="Z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6"/>
      <c r="Q678" s="35"/>
      <c r="R678" s="35"/>
      <c r="S678" s="35"/>
      <c r="T678" s="35"/>
      <c r="U678" s="35"/>
      <c r="V678" s="35"/>
      <c r="W678" s="35"/>
      <c r="X678" s="35"/>
      <c r="Y678" s="35"/>
      <c r="Z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6"/>
      <c r="Q679" s="35"/>
      <c r="R679" s="35"/>
      <c r="S679" s="35"/>
      <c r="T679" s="35"/>
      <c r="U679" s="35"/>
      <c r="V679" s="35"/>
      <c r="W679" s="35"/>
      <c r="X679" s="35"/>
      <c r="Y679" s="35"/>
      <c r="Z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6"/>
      <c r="Q680" s="35"/>
      <c r="R680" s="35"/>
      <c r="S680" s="35"/>
      <c r="T680" s="35"/>
      <c r="U680" s="35"/>
      <c r="V680" s="35"/>
      <c r="W680" s="35"/>
      <c r="X680" s="35"/>
      <c r="Y680" s="35"/>
      <c r="Z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6"/>
      <c r="Q681" s="35"/>
      <c r="R681" s="35"/>
      <c r="S681" s="35"/>
      <c r="T681" s="35"/>
      <c r="U681" s="35"/>
      <c r="V681" s="35"/>
      <c r="W681" s="35"/>
      <c r="X681" s="35"/>
      <c r="Y681" s="35"/>
      <c r="Z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6"/>
      <c r="Q682" s="35"/>
      <c r="R682" s="35"/>
      <c r="S682" s="35"/>
      <c r="T682" s="35"/>
      <c r="U682" s="35"/>
      <c r="V682" s="35"/>
      <c r="W682" s="35"/>
      <c r="X682" s="35"/>
      <c r="Y682" s="35"/>
      <c r="Z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6"/>
      <c r="Q683" s="35"/>
      <c r="R683" s="35"/>
      <c r="S683" s="35"/>
      <c r="T683" s="35"/>
      <c r="U683" s="35"/>
      <c r="V683" s="35"/>
      <c r="W683" s="35"/>
      <c r="X683" s="35"/>
      <c r="Y683" s="35"/>
      <c r="Z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6"/>
      <c r="Q684" s="35"/>
      <c r="R684" s="35"/>
      <c r="S684" s="35"/>
      <c r="T684" s="35"/>
      <c r="U684" s="35"/>
      <c r="V684" s="35"/>
      <c r="W684" s="35"/>
      <c r="X684" s="35"/>
      <c r="Y684" s="35"/>
      <c r="Z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6"/>
      <c r="Q685" s="35"/>
      <c r="R685" s="35"/>
      <c r="S685" s="35"/>
      <c r="T685" s="35"/>
      <c r="U685" s="35"/>
      <c r="V685" s="35"/>
      <c r="W685" s="35"/>
      <c r="X685" s="35"/>
      <c r="Y685" s="35"/>
      <c r="Z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6"/>
      <c r="Q686" s="35"/>
      <c r="R686" s="35"/>
      <c r="S686" s="35"/>
      <c r="T686" s="35"/>
      <c r="U686" s="35"/>
      <c r="V686" s="35"/>
      <c r="W686" s="35"/>
      <c r="X686" s="35"/>
      <c r="Y686" s="35"/>
      <c r="Z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6"/>
      <c r="Q687" s="35"/>
      <c r="R687" s="35"/>
      <c r="S687" s="35"/>
      <c r="T687" s="35"/>
      <c r="U687" s="35"/>
      <c r="V687" s="35"/>
      <c r="W687" s="35"/>
      <c r="X687" s="35"/>
      <c r="Y687" s="35"/>
      <c r="Z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6"/>
      <c r="Q688" s="35"/>
      <c r="R688" s="35"/>
      <c r="S688" s="35"/>
      <c r="T688" s="35"/>
      <c r="U688" s="35"/>
      <c r="V688" s="35"/>
      <c r="W688" s="35"/>
      <c r="X688" s="35"/>
      <c r="Y688" s="35"/>
      <c r="Z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6"/>
      <c r="Q689" s="35"/>
      <c r="R689" s="35"/>
      <c r="S689" s="35"/>
      <c r="T689" s="35"/>
      <c r="U689" s="35"/>
      <c r="V689" s="35"/>
      <c r="W689" s="35"/>
      <c r="X689" s="35"/>
      <c r="Y689" s="35"/>
      <c r="Z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6"/>
      <c r="Q690" s="35"/>
      <c r="R690" s="35"/>
      <c r="S690" s="35"/>
      <c r="T690" s="35"/>
      <c r="U690" s="35"/>
      <c r="V690" s="35"/>
      <c r="W690" s="35"/>
      <c r="X690" s="35"/>
      <c r="Y690" s="35"/>
      <c r="Z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6"/>
      <c r="Q691" s="35"/>
      <c r="R691" s="35"/>
      <c r="S691" s="35"/>
      <c r="T691" s="35"/>
      <c r="U691" s="35"/>
      <c r="V691" s="35"/>
      <c r="W691" s="35"/>
      <c r="X691" s="35"/>
      <c r="Y691" s="35"/>
      <c r="Z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6"/>
      <c r="Q692" s="35"/>
      <c r="R692" s="35"/>
      <c r="S692" s="35"/>
      <c r="T692" s="35"/>
      <c r="U692" s="35"/>
      <c r="V692" s="35"/>
      <c r="W692" s="35"/>
      <c r="X692" s="35"/>
      <c r="Y692" s="35"/>
      <c r="Z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6"/>
      <c r="Q693" s="35"/>
      <c r="R693" s="35"/>
      <c r="S693" s="35"/>
      <c r="T693" s="35"/>
      <c r="U693" s="35"/>
      <c r="V693" s="35"/>
      <c r="W693" s="35"/>
      <c r="X693" s="35"/>
      <c r="Y693" s="35"/>
      <c r="Z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6"/>
      <c r="Q694" s="35"/>
      <c r="R694" s="35"/>
      <c r="S694" s="35"/>
      <c r="T694" s="35"/>
      <c r="U694" s="35"/>
      <c r="V694" s="35"/>
      <c r="W694" s="35"/>
      <c r="X694" s="35"/>
      <c r="Y694" s="35"/>
      <c r="Z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6"/>
      <c r="Q695" s="35"/>
      <c r="R695" s="35"/>
      <c r="S695" s="35"/>
      <c r="T695" s="35"/>
      <c r="U695" s="35"/>
      <c r="V695" s="35"/>
      <c r="W695" s="35"/>
      <c r="X695" s="35"/>
      <c r="Y695" s="35"/>
      <c r="Z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6"/>
      <c r="Q696" s="35"/>
      <c r="R696" s="35"/>
      <c r="S696" s="35"/>
      <c r="T696" s="35"/>
      <c r="U696" s="35"/>
      <c r="V696" s="35"/>
      <c r="W696" s="35"/>
      <c r="X696" s="35"/>
      <c r="Y696" s="35"/>
      <c r="Z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6"/>
      <c r="Q697" s="35"/>
      <c r="R697" s="35"/>
      <c r="S697" s="35"/>
      <c r="T697" s="35"/>
      <c r="U697" s="35"/>
      <c r="V697" s="35"/>
      <c r="W697" s="35"/>
      <c r="X697" s="35"/>
      <c r="Y697" s="35"/>
      <c r="Z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6"/>
      <c r="Q698" s="35"/>
      <c r="R698" s="35"/>
      <c r="S698" s="35"/>
      <c r="T698" s="35"/>
      <c r="U698" s="35"/>
      <c r="V698" s="35"/>
      <c r="W698" s="35"/>
      <c r="X698" s="35"/>
      <c r="Y698" s="35"/>
      <c r="Z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6"/>
      <c r="Q699" s="35"/>
      <c r="R699" s="35"/>
      <c r="S699" s="35"/>
      <c r="T699" s="35"/>
      <c r="U699" s="35"/>
      <c r="V699" s="35"/>
      <c r="W699" s="35"/>
      <c r="X699" s="35"/>
      <c r="Y699" s="35"/>
      <c r="Z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6"/>
      <c r="Q700" s="35"/>
      <c r="R700" s="35"/>
      <c r="S700" s="35"/>
      <c r="T700" s="35"/>
      <c r="U700" s="35"/>
      <c r="V700" s="35"/>
      <c r="W700" s="35"/>
      <c r="X700" s="35"/>
      <c r="Y700" s="35"/>
      <c r="Z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6"/>
      <c r="Q701" s="35"/>
      <c r="R701" s="35"/>
      <c r="S701" s="35"/>
      <c r="T701" s="35"/>
      <c r="U701" s="35"/>
      <c r="V701" s="35"/>
      <c r="W701" s="35"/>
      <c r="X701" s="35"/>
      <c r="Y701" s="35"/>
      <c r="Z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6"/>
      <c r="Q702" s="35"/>
      <c r="R702" s="35"/>
      <c r="S702" s="35"/>
      <c r="T702" s="35"/>
      <c r="U702" s="35"/>
      <c r="V702" s="35"/>
      <c r="W702" s="35"/>
      <c r="X702" s="35"/>
      <c r="Y702" s="35"/>
      <c r="Z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6"/>
      <c r="Q703" s="35"/>
      <c r="R703" s="35"/>
      <c r="S703" s="35"/>
      <c r="T703" s="35"/>
      <c r="U703" s="35"/>
      <c r="V703" s="35"/>
      <c r="W703" s="35"/>
      <c r="X703" s="35"/>
      <c r="Y703" s="35"/>
      <c r="Z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6"/>
      <c r="Q704" s="35"/>
      <c r="R704" s="35"/>
      <c r="S704" s="35"/>
      <c r="T704" s="35"/>
      <c r="U704" s="35"/>
      <c r="V704" s="35"/>
      <c r="W704" s="35"/>
      <c r="X704" s="35"/>
      <c r="Y704" s="35"/>
      <c r="Z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6"/>
      <c r="Q705" s="35"/>
      <c r="R705" s="35"/>
      <c r="S705" s="35"/>
      <c r="T705" s="35"/>
      <c r="U705" s="35"/>
      <c r="V705" s="35"/>
      <c r="W705" s="35"/>
      <c r="X705" s="35"/>
      <c r="Y705" s="35"/>
      <c r="Z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6"/>
      <c r="Q706" s="35"/>
      <c r="R706" s="35"/>
      <c r="S706" s="35"/>
      <c r="T706" s="35"/>
      <c r="U706" s="35"/>
      <c r="V706" s="35"/>
      <c r="W706" s="35"/>
      <c r="X706" s="35"/>
      <c r="Y706" s="35"/>
      <c r="Z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6"/>
      <c r="Q707" s="35"/>
      <c r="R707" s="35"/>
      <c r="S707" s="35"/>
      <c r="T707" s="35"/>
      <c r="U707" s="35"/>
      <c r="V707" s="35"/>
      <c r="W707" s="35"/>
      <c r="X707" s="35"/>
      <c r="Y707" s="35"/>
      <c r="Z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6"/>
      <c r="Q708" s="35"/>
      <c r="R708" s="35"/>
      <c r="S708" s="35"/>
      <c r="T708" s="35"/>
      <c r="U708" s="35"/>
      <c r="V708" s="35"/>
      <c r="W708" s="35"/>
      <c r="X708" s="35"/>
      <c r="Y708" s="35"/>
      <c r="Z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6"/>
      <c r="Q709" s="35"/>
      <c r="R709" s="35"/>
      <c r="S709" s="35"/>
      <c r="T709" s="35"/>
      <c r="U709" s="35"/>
      <c r="V709" s="35"/>
      <c r="W709" s="35"/>
      <c r="X709" s="35"/>
      <c r="Y709" s="35"/>
      <c r="Z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6"/>
      <c r="Q710" s="35"/>
      <c r="R710" s="35"/>
      <c r="S710" s="35"/>
      <c r="T710" s="35"/>
      <c r="U710" s="35"/>
      <c r="V710" s="35"/>
      <c r="W710" s="35"/>
      <c r="X710" s="35"/>
      <c r="Y710" s="35"/>
      <c r="Z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6"/>
      <c r="Q711" s="35"/>
      <c r="R711" s="35"/>
      <c r="S711" s="35"/>
      <c r="T711" s="35"/>
      <c r="U711" s="35"/>
      <c r="V711" s="35"/>
      <c r="W711" s="35"/>
      <c r="X711" s="35"/>
      <c r="Y711" s="35"/>
      <c r="Z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6"/>
      <c r="Q712" s="35"/>
      <c r="R712" s="35"/>
      <c r="S712" s="35"/>
      <c r="T712" s="35"/>
      <c r="U712" s="35"/>
      <c r="V712" s="35"/>
      <c r="W712" s="35"/>
      <c r="X712" s="35"/>
      <c r="Y712" s="35"/>
      <c r="Z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6"/>
      <c r="Q713" s="35"/>
      <c r="R713" s="35"/>
      <c r="S713" s="35"/>
      <c r="T713" s="35"/>
      <c r="U713" s="35"/>
      <c r="V713" s="35"/>
      <c r="W713" s="35"/>
      <c r="X713" s="35"/>
      <c r="Y713" s="35"/>
      <c r="Z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6"/>
      <c r="Q714" s="35"/>
      <c r="R714" s="35"/>
      <c r="S714" s="35"/>
      <c r="T714" s="35"/>
      <c r="U714" s="35"/>
      <c r="V714" s="35"/>
      <c r="W714" s="35"/>
      <c r="X714" s="35"/>
      <c r="Y714" s="35"/>
      <c r="Z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6"/>
      <c r="Q715" s="35"/>
      <c r="R715" s="35"/>
      <c r="S715" s="35"/>
      <c r="T715" s="35"/>
      <c r="U715" s="35"/>
      <c r="V715" s="35"/>
      <c r="W715" s="35"/>
      <c r="X715" s="35"/>
      <c r="Y715" s="35"/>
      <c r="Z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6"/>
      <c r="Q716" s="35"/>
      <c r="R716" s="35"/>
      <c r="S716" s="35"/>
      <c r="T716" s="35"/>
      <c r="U716" s="35"/>
      <c r="V716" s="35"/>
      <c r="W716" s="35"/>
      <c r="X716" s="35"/>
      <c r="Y716" s="35"/>
      <c r="Z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6"/>
      <c r="Q717" s="35"/>
      <c r="R717" s="35"/>
      <c r="S717" s="35"/>
      <c r="T717" s="35"/>
      <c r="U717" s="35"/>
      <c r="V717" s="35"/>
      <c r="W717" s="35"/>
      <c r="X717" s="35"/>
      <c r="Y717" s="35"/>
      <c r="Z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6"/>
      <c r="Q718" s="35"/>
      <c r="R718" s="35"/>
      <c r="S718" s="35"/>
      <c r="T718" s="35"/>
      <c r="U718" s="35"/>
      <c r="V718" s="35"/>
      <c r="W718" s="35"/>
      <c r="X718" s="35"/>
      <c r="Y718" s="35"/>
      <c r="Z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6"/>
      <c r="Q719" s="35"/>
      <c r="R719" s="35"/>
      <c r="S719" s="35"/>
      <c r="T719" s="35"/>
      <c r="U719" s="35"/>
      <c r="V719" s="35"/>
      <c r="W719" s="35"/>
      <c r="X719" s="35"/>
      <c r="Y719" s="35"/>
      <c r="Z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6"/>
      <c r="Q720" s="35"/>
      <c r="R720" s="35"/>
      <c r="S720" s="35"/>
      <c r="T720" s="35"/>
      <c r="U720" s="35"/>
      <c r="V720" s="35"/>
      <c r="W720" s="35"/>
      <c r="X720" s="35"/>
      <c r="Y720" s="35"/>
      <c r="Z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6"/>
      <c r="Q721" s="35"/>
      <c r="R721" s="35"/>
      <c r="S721" s="35"/>
      <c r="T721" s="35"/>
      <c r="U721" s="35"/>
      <c r="V721" s="35"/>
      <c r="W721" s="35"/>
      <c r="X721" s="35"/>
      <c r="Y721" s="35"/>
      <c r="Z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6"/>
      <c r="Q722" s="35"/>
      <c r="R722" s="35"/>
      <c r="S722" s="35"/>
      <c r="T722" s="35"/>
      <c r="U722" s="35"/>
      <c r="V722" s="35"/>
      <c r="W722" s="35"/>
      <c r="X722" s="35"/>
      <c r="Y722" s="35"/>
      <c r="Z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6"/>
      <c r="Q723" s="35"/>
      <c r="R723" s="35"/>
      <c r="S723" s="35"/>
      <c r="T723" s="35"/>
      <c r="U723" s="35"/>
      <c r="V723" s="35"/>
      <c r="W723" s="35"/>
      <c r="X723" s="35"/>
      <c r="Y723" s="35"/>
      <c r="Z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6"/>
      <c r="Q724" s="35"/>
      <c r="R724" s="35"/>
      <c r="S724" s="35"/>
      <c r="T724" s="35"/>
      <c r="U724" s="35"/>
      <c r="V724" s="35"/>
      <c r="W724" s="35"/>
      <c r="X724" s="35"/>
      <c r="Y724" s="35"/>
      <c r="Z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6"/>
      <c r="Q725" s="35"/>
      <c r="R725" s="35"/>
      <c r="S725" s="35"/>
      <c r="T725" s="35"/>
      <c r="U725" s="35"/>
      <c r="V725" s="35"/>
      <c r="W725" s="35"/>
      <c r="X725" s="35"/>
      <c r="Y725" s="35"/>
      <c r="Z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6"/>
      <c r="Q726" s="35"/>
      <c r="R726" s="35"/>
      <c r="S726" s="35"/>
      <c r="T726" s="35"/>
      <c r="U726" s="35"/>
      <c r="V726" s="35"/>
      <c r="W726" s="35"/>
      <c r="X726" s="35"/>
      <c r="Y726" s="35"/>
      <c r="Z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6"/>
      <c r="Q727" s="35"/>
      <c r="R727" s="35"/>
      <c r="S727" s="35"/>
      <c r="T727" s="35"/>
      <c r="U727" s="35"/>
      <c r="V727" s="35"/>
      <c r="W727" s="35"/>
      <c r="X727" s="35"/>
      <c r="Y727" s="35"/>
      <c r="Z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6"/>
      <c r="Q728" s="35"/>
      <c r="R728" s="35"/>
      <c r="S728" s="35"/>
      <c r="T728" s="35"/>
      <c r="U728" s="35"/>
      <c r="V728" s="35"/>
      <c r="W728" s="35"/>
      <c r="X728" s="35"/>
      <c r="Y728" s="35"/>
      <c r="Z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6"/>
      <c r="Q729" s="35"/>
      <c r="R729" s="35"/>
      <c r="S729" s="35"/>
      <c r="T729" s="35"/>
      <c r="U729" s="35"/>
      <c r="V729" s="35"/>
      <c r="W729" s="35"/>
      <c r="X729" s="35"/>
      <c r="Y729" s="35"/>
      <c r="Z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6"/>
      <c r="Q730" s="35"/>
      <c r="R730" s="35"/>
      <c r="S730" s="35"/>
      <c r="T730" s="35"/>
      <c r="U730" s="35"/>
      <c r="V730" s="35"/>
      <c r="W730" s="35"/>
      <c r="X730" s="35"/>
      <c r="Y730" s="35"/>
      <c r="Z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6"/>
      <c r="Q731" s="35"/>
      <c r="R731" s="35"/>
      <c r="S731" s="35"/>
      <c r="T731" s="35"/>
      <c r="U731" s="35"/>
      <c r="V731" s="35"/>
      <c r="W731" s="35"/>
      <c r="X731" s="35"/>
      <c r="Y731" s="35"/>
      <c r="Z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6"/>
      <c r="Q732" s="35"/>
      <c r="R732" s="35"/>
      <c r="S732" s="35"/>
      <c r="T732" s="35"/>
      <c r="U732" s="35"/>
      <c r="V732" s="35"/>
      <c r="W732" s="35"/>
      <c r="X732" s="35"/>
      <c r="Y732" s="35"/>
      <c r="Z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6"/>
      <c r="Q733" s="35"/>
      <c r="R733" s="35"/>
      <c r="S733" s="35"/>
      <c r="T733" s="35"/>
      <c r="U733" s="35"/>
      <c r="V733" s="35"/>
      <c r="W733" s="35"/>
      <c r="X733" s="35"/>
      <c r="Y733" s="35"/>
      <c r="Z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6"/>
      <c r="Q734" s="35"/>
      <c r="R734" s="35"/>
      <c r="S734" s="35"/>
      <c r="T734" s="35"/>
      <c r="U734" s="35"/>
      <c r="V734" s="35"/>
      <c r="W734" s="35"/>
      <c r="X734" s="35"/>
      <c r="Y734" s="35"/>
      <c r="Z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6"/>
      <c r="Q735" s="35"/>
      <c r="R735" s="35"/>
      <c r="S735" s="35"/>
      <c r="T735" s="35"/>
      <c r="U735" s="35"/>
      <c r="V735" s="35"/>
      <c r="W735" s="35"/>
      <c r="X735" s="35"/>
      <c r="Y735" s="35"/>
      <c r="Z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6"/>
      <c r="Q736" s="35"/>
      <c r="R736" s="35"/>
      <c r="S736" s="35"/>
      <c r="T736" s="35"/>
      <c r="U736" s="35"/>
      <c r="V736" s="35"/>
      <c r="W736" s="35"/>
      <c r="X736" s="35"/>
      <c r="Y736" s="35"/>
      <c r="Z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6"/>
      <c r="Q737" s="35"/>
      <c r="R737" s="35"/>
      <c r="S737" s="35"/>
      <c r="T737" s="35"/>
      <c r="U737" s="35"/>
      <c r="V737" s="35"/>
      <c r="W737" s="35"/>
      <c r="X737" s="35"/>
      <c r="Y737" s="35"/>
      <c r="Z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6"/>
      <c r="Q738" s="35"/>
      <c r="R738" s="35"/>
      <c r="S738" s="35"/>
      <c r="T738" s="35"/>
      <c r="U738" s="35"/>
      <c r="V738" s="35"/>
      <c r="W738" s="35"/>
      <c r="X738" s="35"/>
      <c r="Y738" s="35"/>
      <c r="Z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6"/>
      <c r="Q739" s="35"/>
      <c r="R739" s="35"/>
      <c r="S739" s="35"/>
      <c r="T739" s="35"/>
      <c r="U739" s="35"/>
      <c r="V739" s="35"/>
      <c r="W739" s="35"/>
      <c r="X739" s="35"/>
      <c r="Y739" s="35"/>
      <c r="Z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6"/>
      <c r="Q740" s="35"/>
      <c r="R740" s="35"/>
      <c r="S740" s="35"/>
      <c r="T740" s="35"/>
      <c r="U740" s="35"/>
      <c r="V740" s="35"/>
      <c r="W740" s="35"/>
      <c r="X740" s="35"/>
      <c r="Y740" s="35"/>
      <c r="Z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6"/>
      <c r="Q741" s="35"/>
      <c r="R741" s="35"/>
      <c r="S741" s="35"/>
      <c r="T741" s="35"/>
      <c r="U741" s="35"/>
      <c r="V741" s="35"/>
      <c r="W741" s="35"/>
      <c r="X741" s="35"/>
      <c r="Y741" s="35"/>
      <c r="Z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6"/>
      <c r="Q742" s="35"/>
      <c r="R742" s="35"/>
      <c r="S742" s="35"/>
      <c r="T742" s="35"/>
      <c r="U742" s="35"/>
      <c r="V742" s="35"/>
      <c r="W742" s="35"/>
      <c r="X742" s="35"/>
      <c r="Y742" s="35"/>
      <c r="Z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6"/>
      <c r="Q743" s="35"/>
      <c r="R743" s="35"/>
      <c r="S743" s="35"/>
      <c r="T743" s="35"/>
      <c r="U743" s="35"/>
      <c r="V743" s="35"/>
      <c r="W743" s="35"/>
      <c r="X743" s="35"/>
      <c r="Y743" s="35"/>
      <c r="Z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6"/>
      <c r="Q744" s="35"/>
      <c r="R744" s="35"/>
      <c r="S744" s="35"/>
      <c r="T744" s="35"/>
      <c r="U744" s="35"/>
      <c r="V744" s="35"/>
      <c r="W744" s="35"/>
      <c r="X744" s="35"/>
      <c r="Y744" s="35"/>
      <c r="Z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6"/>
      <c r="Q745" s="35"/>
      <c r="R745" s="35"/>
      <c r="S745" s="35"/>
      <c r="T745" s="35"/>
      <c r="U745" s="35"/>
      <c r="V745" s="35"/>
      <c r="W745" s="35"/>
      <c r="X745" s="35"/>
      <c r="Y745" s="35"/>
      <c r="Z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6"/>
      <c r="Q746" s="35"/>
      <c r="R746" s="35"/>
      <c r="S746" s="35"/>
      <c r="T746" s="35"/>
      <c r="U746" s="35"/>
      <c r="V746" s="35"/>
      <c r="W746" s="35"/>
      <c r="X746" s="35"/>
      <c r="Y746" s="35"/>
      <c r="Z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6"/>
      <c r="Q747" s="35"/>
      <c r="R747" s="35"/>
      <c r="S747" s="35"/>
      <c r="T747" s="35"/>
      <c r="U747" s="35"/>
      <c r="V747" s="35"/>
      <c r="W747" s="35"/>
      <c r="X747" s="35"/>
      <c r="Y747" s="35"/>
      <c r="Z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6"/>
      <c r="Q748" s="35"/>
      <c r="R748" s="35"/>
      <c r="S748" s="35"/>
      <c r="T748" s="35"/>
      <c r="U748" s="35"/>
      <c r="V748" s="35"/>
      <c r="W748" s="35"/>
      <c r="X748" s="35"/>
      <c r="Y748" s="35"/>
      <c r="Z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6"/>
      <c r="Q749" s="35"/>
      <c r="R749" s="35"/>
      <c r="S749" s="35"/>
      <c r="T749" s="35"/>
      <c r="U749" s="35"/>
      <c r="V749" s="35"/>
      <c r="W749" s="35"/>
      <c r="X749" s="35"/>
      <c r="Y749" s="35"/>
      <c r="Z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6"/>
      <c r="Q750" s="35"/>
      <c r="R750" s="35"/>
      <c r="S750" s="35"/>
      <c r="T750" s="35"/>
      <c r="U750" s="35"/>
      <c r="V750" s="35"/>
      <c r="W750" s="35"/>
      <c r="X750" s="35"/>
      <c r="Y750" s="35"/>
      <c r="Z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6"/>
      <c r="Q751" s="35"/>
      <c r="R751" s="35"/>
      <c r="S751" s="35"/>
      <c r="T751" s="35"/>
      <c r="U751" s="35"/>
      <c r="V751" s="35"/>
      <c r="W751" s="35"/>
      <c r="X751" s="35"/>
      <c r="Y751" s="35"/>
      <c r="Z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6"/>
      <c r="Q752" s="35"/>
      <c r="R752" s="35"/>
      <c r="S752" s="35"/>
      <c r="T752" s="35"/>
      <c r="U752" s="35"/>
      <c r="V752" s="35"/>
      <c r="W752" s="35"/>
      <c r="X752" s="35"/>
      <c r="Y752" s="35"/>
      <c r="Z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6"/>
      <c r="Q753" s="35"/>
      <c r="R753" s="35"/>
      <c r="S753" s="35"/>
      <c r="T753" s="35"/>
      <c r="U753" s="35"/>
      <c r="V753" s="35"/>
      <c r="W753" s="35"/>
      <c r="X753" s="35"/>
      <c r="Y753" s="35"/>
      <c r="Z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6"/>
      <c r="Q754" s="35"/>
      <c r="R754" s="35"/>
      <c r="S754" s="35"/>
      <c r="T754" s="35"/>
      <c r="U754" s="35"/>
      <c r="V754" s="35"/>
      <c r="W754" s="35"/>
      <c r="X754" s="35"/>
      <c r="Y754" s="35"/>
      <c r="Z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6"/>
      <c r="Q755" s="35"/>
      <c r="R755" s="35"/>
      <c r="S755" s="35"/>
      <c r="T755" s="35"/>
      <c r="U755" s="35"/>
      <c r="V755" s="35"/>
      <c r="W755" s="35"/>
      <c r="X755" s="35"/>
      <c r="Y755" s="35"/>
      <c r="Z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6"/>
      <c r="Q756" s="35"/>
      <c r="R756" s="35"/>
      <c r="S756" s="35"/>
      <c r="T756" s="35"/>
      <c r="U756" s="35"/>
      <c r="V756" s="35"/>
      <c r="W756" s="35"/>
      <c r="X756" s="35"/>
      <c r="Y756" s="35"/>
      <c r="Z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6"/>
      <c r="Q757" s="35"/>
      <c r="R757" s="35"/>
      <c r="S757" s="35"/>
      <c r="T757" s="35"/>
      <c r="U757" s="35"/>
      <c r="V757" s="35"/>
      <c r="W757" s="35"/>
      <c r="X757" s="35"/>
      <c r="Y757" s="35"/>
      <c r="Z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6"/>
      <c r="Q758" s="35"/>
      <c r="R758" s="35"/>
      <c r="S758" s="35"/>
      <c r="T758" s="35"/>
      <c r="U758" s="35"/>
      <c r="V758" s="35"/>
      <c r="W758" s="35"/>
      <c r="X758" s="35"/>
      <c r="Y758" s="35"/>
      <c r="Z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6"/>
      <c r="Q759" s="35"/>
      <c r="R759" s="35"/>
      <c r="S759" s="35"/>
      <c r="T759" s="35"/>
      <c r="U759" s="35"/>
      <c r="V759" s="35"/>
      <c r="W759" s="35"/>
      <c r="X759" s="35"/>
      <c r="Y759" s="35"/>
      <c r="Z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6"/>
      <c r="Q760" s="35"/>
      <c r="R760" s="35"/>
      <c r="S760" s="35"/>
      <c r="T760" s="35"/>
      <c r="U760" s="35"/>
      <c r="V760" s="35"/>
      <c r="W760" s="35"/>
      <c r="X760" s="35"/>
      <c r="Y760" s="35"/>
      <c r="Z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6"/>
      <c r="Q761" s="35"/>
      <c r="R761" s="35"/>
      <c r="S761" s="35"/>
      <c r="T761" s="35"/>
      <c r="U761" s="35"/>
      <c r="V761" s="35"/>
      <c r="W761" s="35"/>
      <c r="X761" s="35"/>
      <c r="Y761" s="35"/>
      <c r="Z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6"/>
      <c r="Q762" s="35"/>
      <c r="R762" s="35"/>
      <c r="S762" s="35"/>
      <c r="T762" s="35"/>
      <c r="U762" s="35"/>
      <c r="V762" s="35"/>
      <c r="W762" s="35"/>
      <c r="X762" s="35"/>
      <c r="Y762" s="35"/>
      <c r="Z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6"/>
      <c r="Q763" s="35"/>
      <c r="R763" s="35"/>
      <c r="S763" s="35"/>
      <c r="T763" s="35"/>
      <c r="U763" s="35"/>
      <c r="V763" s="35"/>
      <c r="W763" s="35"/>
      <c r="X763" s="35"/>
      <c r="Y763" s="35"/>
      <c r="Z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6"/>
      <c r="Q764" s="35"/>
      <c r="R764" s="35"/>
      <c r="S764" s="35"/>
      <c r="T764" s="35"/>
      <c r="U764" s="35"/>
      <c r="V764" s="35"/>
      <c r="W764" s="35"/>
      <c r="X764" s="35"/>
      <c r="Y764" s="35"/>
      <c r="Z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6"/>
      <c r="Q765" s="35"/>
      <c r="R765" s="35"/>
      <c r="S765" s="35"/>
      <c r="T765" s="35"/>
      <c r="U765" s="35"/>
      <c r="V765" s="35"/>
      <c r="W765" s="35"/>
      <c r="X765" s="35"/>
      <c r="Y765" s="35"/>
      <c r="Z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6"/>
      <c r="Q766" s="35"/>
      <c r="R766" s="35"/>
      <c r="S766" s="35"/>
      <c r="T766" s="35"/>
      <c r="U766" s="35"/>
      <c r="V766" s="35"/>
      <c r="W766" s="35"/>
      <c r="X766" s="35"/>
      <c r="Y766" s="35"/>
      <c r="Z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6"/>
      <c r="Q767" s="35"/>
      <c r="R767" s="35"/>
      <c r="S767" s="35"/>
      <c r="T767" s="35"/>
      <c r="U767" s="35"/>
      <c r="V767" s="35"/>
      <c r="W767" s="35"/>
      <c r="X767" s="35"/>
      <c r="Y767" s="35"/>
      <c r="Z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6"/>
      <c r="Q768" s="35"/>
      <c r="R768" s="35"/>
      <c r="S768" s="35"/>
      <c r="T768" s="35"/>
      <c r="U768" s="35"/>
      <c r="V768" s="35"/>
      <c r="W768" s="35"/>
      <c r="X768" s="35"/>
      <c r="Y768" s="35"/>
      <c r="Z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6"/>
      <c r="Q769" s="35"/>
      <c r="R769" s="35"/>
      <c r="S769" s="35"/>
      <c r="T769" s="35"/>
      <c r="U769" s="35"/>
      <c r="V769" s="35"/>
      <c r="W769" s="35"/>
      <c r="X769" s="35"/>
      <c r="Y769" s="35"/>
      <c r="Z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6"/>
      <c r="Q770" s="35"/>
      <c r="R770" s="35"/>
      <c r="S770" s="35"/>
      <c r="T770" s="35"/>
      <c r="U770" s="35"/>
      <c r="V770" s="35"/>
      <c r="W770" s="35"/>
      <c r="X770" s="35"/>
      <c r="Y770" s="35"/>
      <c r="Z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6"/>
      <c r="Q771" s="35"/>
      <c r="R771" s="35"/>
      <c r="S771" s="35"/>
      <c r="T771" s="35"/>
      <c r="U771" s="35"/>
      <c r="V771" s="35"/>
      <c r="W771" s="35"/>
      <c r="X771" s="35"/>
      <c r="Y771" s="35"/>
      <c r="Z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6"/>
      <c r="Q772" s="35"/>
      <c r="R772" s="35"/>
      <c r="S772" s="35"/>
      <c r="T772" s="35"/>
      <c r="U772" s="35"/>
      <c r="V772" s="35"/>
      <c r="W772" s="35"/>
      <c r="X772" s="35"/>
      <c r="Y772" s="35"/>
      <c r="Z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6"/>
      <c r="Q773" s="35"/>
      <c r="R773" s="35"/>
      <c r="S773" s="35"/>
      <c r="T773" s="35"/>
      <c r="U773" s="35"/>
      <c r="V773" s="35"/>
      <c r="W773" s="35"/>
      <c r="X773" s="35"/>
      <c r="Y773" s="35"/>
      <c r="Z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6"/>
      <c r="Q774" s="35"/>
      <c r="R774" s="35"/>
      <c r="S774" s="35"/>
      <c r="T774" s="35"/>
      <c r="U774" s="35"/>
      <c r="V774" s="35"/>
      <c r="W774" s="35"/>
      <c r="X774" s="35"/>
      <c r="Y774" s="35"/>
      <c r="Z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6"/>
      <c r="Q775" s="35"/>
      <c r="R775" s="35"/>
      <c r="S775" s="35"/>
      <c r="T775" s="35"/>
      <c r="U775" s="35"/>
      <c r="V775" s="35"/>
      <c r="W775" s="35"/>
      <c r="X775" s="35"/>
      <c r="Y775" s="35"/>
      <c r="Z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6"/>
      <c r="Q776" s="35"/>
      <c r="R776" s="35"/>
      <c r="S776" s="35"/>
      <c r="T776" s="35"/>
      <c r="U776" s="35"/>
      <c r="V776" s="35"/>
      <c r="W776" s="35"/>
      <c r="X776" s="35"/>
      <c r="Y776" s="35"/>
      <c r="Z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6"/>
      <c r="Q777" s="35"/>
      <c r="R777" s="35"/>
      <c r="S777" s="35"/>
      <c r="T777" s="35"/>
      <c r="U777" s="35"/>
      <c r="V777" s="35"/>
      <c r="W777" s="35"/>
      <c r="X777" s="35"/>
      <c r="Y777" s="35"/>
      <c r="Z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6"/>
      <c r="Q778" s="35"/>
      <c r="R778" s="35"/>
      <c r="S778" s="35"/>
      <c r="T778" s="35"/>
      <c r="U778" s="35"/>
      <c r="V778" s="35"/>
      <c r="W778" s="35"/>
      <c r="X778" s="35"/>
      <c r="Y778" s="35"/>
      <c r="Z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6"/>
      <c r="Q779" s="35"/>
      <c r="R779" s="35"/>
      <c r="S779" s="35"/>
      <c r="T779" s="35"/>
      <c r="U779" s="35"/>
      <c r="V779" s="35"/>
      <c r="W779" s="35"/>
      <c r="X779" s="35"/>
      <c r="Y779" s="35"/>
      <c r="Z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6"/>
      <c r="Q780" s="35"/>
      <c r="R780" s="35"/>
      <c r="S780" s="35"/>
      <c r="T780" s="35"/>
      <c r="U780" s="35"/>
      <c r="V780" s="35"/>
      <c r="W780" s="35"/>
      <c r="X780" s="35"/>
      <c r="Y780" s="35"/>
      <c r="Z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6"/>
      <c r="Q781" s="35"/>
      <c r="R781" s="35"/>
      <c r="S781" s="35"/>
      <c r="T781" s="35"/>
      <c r="U781" s="35"/>
      <c r="V781" s="35"/>
      <c r="W781" s="35"/>
      <c r="X781" s="35"/>
      <c r="Y781" s="35"/>
      <c r="Z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6"/>
      <c r="Q782" s="35"/>
      <c r="R782" s="35"/>
      <c r="S782" s="35"/>
      <c r="T782" s="35"/>
      <c r="U782" s="35"/>
      <c r="V782" s="35"/>
      <c r="W782" s="35"/>
      <c r="X782" s="35"/>
      <c r="Y782" s="35"/>
      <c r="Z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6"/>
      <c r="Q783" s="35"/>
      <c r="R783" s="35"/>
      <c r="S783" s="35"/>
      <c r="T783" s="35"/>
      <c r="U783" s="35"/>
      <c r="V783" s="35"/>
      <c r="W783" s="35"/>
      <c r="X783" s="35"/>
      <c r="Y783" s="35"/>
      <c r="Z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6"/>
      <c r="Q784" s="35"/>
      <c r="R784" s="35"/>
      <c r="S784" s="35"/>
      <c r="T784" s="35"/>
      <c r="U784" s="35"/>
      <c r="V784" s="35"/>
      <c r="W784" s="35"/>
      <c r="X784" s="35"/>
      <c r="Y784" s="35"/>
      <c r="Z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6"/>
      <c r="Q785" s="35"/>
      <c r="R785" s="35"/>
      <c r="S785" s="35"/>
      <c r="T785" s="35"/>
      <c r="U785" s="35"/>
      <c r="V785" s="35"/>
      <c r="W785" s="35"/>
      <c r="X785" s="35"/>
      <c r="Y785" s="35"/>
      <c r="Z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6"/>
      <c r="Q786" s="35"/>
      <c r="R786" s="35"/>
      <c r="S786" s="35"/>
      <c r="T786" s="35"/>
      <c r="U786" s="35"/>
      <c r="V786" s="35"/>
      <c r="W786" s="35"/>
      <c r="X786" s="35"/>
      <c r="Y786" s="35"/>
      <c r="Z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6"/>
      <c r="Q787" s="35"/>
      <c r="R787" s="35"/>
      <c r="S787" s="35"/>
      <c r="T787" s="35"/>
      <c r="U787" s="35"/>
      <c r="V787" s="35"/>
      <c r="W787" s="35"/>
      <c r="X787" s="35"/>
      <c r="Y787" s="35"/>
      <c r="Z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6"/>
      <c r="Q788" s="35"/>
      <c r="R788" s="35"/>
      <c r="S788" s="35"/>
      <c r="T788" s="35"/>
      <c r="U788" s="35"/>
      <c r="V788" s="35"/>
      <c r="W788" s="35"/>
      <c r="X788" s="35"/>
      <c r="Y788" s="35"/>
      <c r="Z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6"/>
      <c r="Q789" s="35"/>
      <c r="R789" s="35"/>
      <c r="S789" s="35"/>
      <c r="T789" s="35"/>
      <c r="U789" s="35"/>
      <c r="V789" s="35"/>
      <c r="W789" s="35"/>
      <c r="X789" s="35"/>
      <c r="Y789" s="35"/>
      <c r="Z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6"/>
      <c r="Q790" s="35"/>
      <c r="R790" s="35"/>
      <c r="S790" s="35"/>
      <c r="T790" s="35"/>
      <c r="U790" s="35"/>
      <c r="V790" s="35"/>
      <c r="W790" s="35"/>
      <c r="X790" s="35"/>
      <c r="Y790" s="35"/>
      <c r="Z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6"/>
      <c r="Q791" s="35"/>
      <c r="R791" s="35"/>
      <c r="S791" s="35"/>
      <c r="T791" s="35"/>
      <c r="U791" s="35"/>
      <c r="V791" s="35"/>
      <c r="W791" s="35"/>
      <c r="X791" s="35"/>
      <c r="Y791" s="35"/>
      <c r="Z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6"/>
      <c r="Q792" s="35"/>
      <c r="R792" s="35"/>
      <c r="S792" s="35"/>
      <c r="T792" s="35"/>
      <c r="U792" s="35"/>
      <c r="V792" s="35"/>
      <c r="W792" s="35"/>
      <c r="X792" s="35"/>
      <c r="Y792" s="35"/>
      <c r="Z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6"/>
      <c r="Q793" s="35"/>
      <c r="R793" s="35"/>
      <c r="S793" s="35"/>
      <c r="T793" s="35"/>
      <c r="U793" s="35"/>
      <c r="V793" s="35"/>
      <c r="W793" s="35"/>
      <c r="X793" s="35"/>
      <c r="Y793" s="35"/>
      <c r="Z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6"/>
      <c r="Q794" s="35"/>
      <c r="R794" s="35"/>
      <c r="S794" s="35"/>
      <c r="T794" s="35"/>
      <c r="U794" s="35"/>
      <c r="V794" s="35"/>
      <c r="W794" s="35"/>
      <c r="X794" s="35"/>
      <c r="Y794" s="35"/>
      <c r="Z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6"/>
      <c r="Q795" s="35"/>
      <c r="R795" s="35"/>
      <c r="S795" s="35"/>
      <c r="T795" s="35"/>
      <c r="U795" s="35"/>
      <c r="V795" s="35"/>
      <c r="W795" s="35"/>
      <c r="X795" s="35"/>
      <c r="Y795" s="35"/>
      <c r="Z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6"/>
      <c r="Q796" s="35"/>
      <c r="R796" s="35"/>
      <c r="S796" s="35"/>
      <c r="T796" s="35"/>
      <c r="U796" s="35"/>
      <c r="V796" s="35"/>
      <c r="W796" s="35"/>
      <c r="X796" s="35"/>
      <c r="Y796" s="35"/>
      <c r="Z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6"/>
      <c r="Q797" s="35"/>
      <c r="R797" s="35"/>
      <c r="S797" s="35"/>
      <c r="T797" s="35"/>
      <c r="U797" s="35"/>
      <c r="V797" s="35"/>
      <c r="W797" s="35"/>
      <c r="X797" s="35"/>
      <c r="Y797" s="35"/>
      <c r="Z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6"/>
      <c r="Q798" s="35"/>
      <c r="R798" s="35"/>
      <c r="S798" s="35"/>
      <c r="T798" s="35"/>
      <c r="U798" s="35"/>
      <c r="V798" s="35"/>
      <c r="W798" s="35"/>
      <c r="X798" s="35"/>
      <c r="Y798" s="35"/>
      <c r="Z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6"/>
      <c r="Q799" s="35"/>
      <c r="R799" s="35"/>
      <c r="S799" s="35"/>
      <c r="T799" s="35"/>
      <c r="U799" s="35"/>
      <c r="V799" s="35"/>
      <c r="W799" s="35"/>
      <c r="X799" s="35"/>
      <c r="Y799" s="35"/>
      <c r="Z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6"/>
      <c r="Q800" s="35"/>
      <c r="R800" s="35"/>
      <c r="S800" s="35"/>
      <c r="T800" s="35"/>
      <c r="U800" s="35"/>
      <c r="V800" s="35"/>
      <c r="W800" s="35"/>
      <c r="X800" s="35"/>
      <c r="Y800" s="35"/>
      <c r="Z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6"/>
      <c r="Q801" s="35"/>
      <c r="R801" s="35"/>
      <c r="S801" s="35"/>
      <c r="T801" s="35"/>
      <c r="U801" s="35"/>
      <c r="V801" s="35"/>
      <c r="W801" s="35"/>
      <c r="X801" s="35"/>
      <c r="Y801" s="35"/>
      <c r="Z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6"/>
      <c r="Q802" s="35"/>
      <c r="R802" s="35"/>
      <c r="S802" s="35"/>
      <c r="T802" s="35"/>
      <c r="U802" s="35"/>
      <c r="V802" s="35"/>
      <c r="W802" s="35"/>
      <c r="X802" s="35"/>
      <c r="Y802" s="35"/>
      <c r="Z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6"/>
      <c r="Q803" s="35"/>
      <c r="R803" s="35"/>
      <c r="S803" s="35"/>
      <c r="T803" s="35"/>
      <c r="U803" s="35"/>
      <c r="V803" s="35"/>
      <c r="W803" s="35"/>
      <c r="X803" s="35"/>
      <c r="Y803" s="35"/>
      <c r="Z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6"/>
      <c r="Q804" s="35"/>
      <c r="R804" s="35"/>
      <c r="S804" s="35"/>
      <c r="T804" s="35"/>
      <c r="U804" s="35"/>
      <c r="V804" s="35"/>
      <c r="W804" s="35"/>
      <c r="X804" s="35"/>
      <c r="Y804" s="35"/>
      <c r="Z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6"/>
      <c r="Q805" s="35"/>
      <c r="R805" s="35"/>
      <c r="S805" s="35"/>
      <c r="T805" s="35"/>
      <c r="U805" s="35"/>
      <c r="V805" s="35"/>
      <c r="W805" s="35"/>
      <c r="X805" s="35"/>
      <c r="Y805" s="35"/>
      <c r="Z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6"/>
      <c r="Q806" s="35"/>
      <c r="R806" s="35"/>
      <c r="S806" s="35"/>
      <c r="T806" s="35"/>
      <c r="U806" s="35"/>
      <c r="V806" s="35"/>
      <c r="W806" s="35"/>
      <c r="X806" s="35"/>
      <c r="Y806" s="35"/>
      <c r="Z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6"/>
      <c r="Q807" s="35"/>
      <c r="R807" s="35"/>
      <c r="S807" s="35"/>
      <c r="T807" s="35"/>
      <c r="U807" s="35"/>
      <c r="V807" s="35"/>
      <c r="W807" s="35"/>
      <c r="X807" s="35"/>
      <c r="Y807" s="35"/>
      <c r="Z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6"/>
      <c r="Q808" s="35"/>
      <c r="R808" s="35"/>
      <c r="S808" s="35"/>
      <c r="T808" s="35"/>
      <c r="U808" s="35"/>
      <c r="V808" s="35"/>
      <c r="W808" s="35"/>
      <c r="X808" s="35"/>
      <c r="Y808" s="35"/>
      <c r="Z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6"/>
      <c r="Q809" s="35"/>
      <c r="R809" s="35"/>
      <c r="S809" s="35"/>
      <c r="T809" s="35"/>
      <c r="U809" s="35"/>
      <c r="V809" s="35"/>
      <c r="W809" s="35"/>
      <c r="X809" s="35"/>
      <c r="Y809" s="35"/>
      <c r="Z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6"/>
      <c r="Q810" s="35"/>
      <c r="R810" s="35"/>
      <c r="S810" s="35"/>
      <c r="T810" s="35"/>
      <c r="U810" s="35"/>
      <c r="V810" s="35"/>
      <c r="W810" s="35"/>
      <c r="X810" s="35"/>
      <c r="Y810" s="35"/>
      <c r="Z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6"/>
      <c r="Q811" s="35"/>
      <c r="R811" s="35"/>
      <c r="S811" s="35"/>
      <c r="T811" s="35"/>
      <c r="U811" s="35"/>
      <c r="V811" s="35"/>
      <c r="W811" s="35"/>
      <c r="X811" s="35"/>
      <c r="Y811" s="35"/>
      <c r="Z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6"/>
      <c r="Q812" s="35"/>
      <c r="R812" s="35"/>
      <c r="S812" s="35"/>
      <c r="T812" s="35"/>
      <c r="U812" s="35"/>
      <c r="V812" s="35"/>
      <c r="W812" s="35"/>
      <c r="X812" s="35"/>
      <c r="Y812" s="35"/>
      <c r="Z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6"/>
      <c r="Q813" s="35"/>
      <c r="R813" s="35"/>
      <c r="S813" s="35"/>
      <c r="T813" s="35"/>
      <c r="U813" s="35"/>
      <c r="V813" s="35"/>
      <c r="W813" s="35"/>
      <c r="X813" s="35"/>
      <c r="Y813" s="35"/>
      <c r="Z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6"/>
      <c r="Q814" s="35"/>
      <c r="R814" s="35"/>
      <c r="S814" s="35"/>
      <c r="T814" s="35"/>
      <c r="U814" s="35"/>
      <c r="V814" s="35"/>
      <c r="W814" s="35"/>
      <c r="X814" s="35"/>
      <c r="Y814" s="35"/>
      <c r="Z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6"/>
      <c r="Q815" s="35"/>
      <c r="R815" s="35"/>
      <c r="S815" s="35"/>
      <c r="T815" s="35"/>
      <c r="U815" s="35"/>
      <c r="V815" s="35"/>
      <c r="W815" s="35"/>
      <c r="X815" s="35"/>
      <c r="Y815" s="35"/>
      <c r="Z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6"/>
      <c r="Q816" s="35"/>
      <c r="R816" s="35"/>
      <c r="S816" s="35"/>
      <c r="T816" s="35"/>
      <c r="U816" s="35"/>
      <c r="V816" s="35"/>
      <c r="W816" s="35"/>
      <c r="X816" s="35"/>
      <c r="Y816" s="35"/>
      <c r="Z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6"/>
      <c r="Q817" s="35"/>
      <c r="R817" s="35"/>
      <c r="S817" s="35"/>
      <c r="T817" s="35"/>
      <c r="U817" s="35"/>
      <c r="V817" s="35"/>
      <c r="W817" s="35"/>
      <c r="X817" s="35"/>
      <c r="Y817" s="35"/>
      <c r="Z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6"/>
      <c r="Q818" s="35"/>
      <c r="R818" s="35"/>
      <c r="S818" s="35"/>
      <c r="T818" s="35"/>
      <c r="U818" s="35"/>
      <c r="V818" s="35"/>
      <c r="W818" s="35"/>
      <c r="X818" s="35"/>
      <c r="Y818" s="35"/>
      <c r="Z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6"/>
      <c r="Q819" s="35"/>
      <c r="R819" s="35"/>
      <c r="S819" s="35"/>
      <c r="T819" s="35"/>
      <c r="U819" s="35"/>
      <c r="V819" s="35"/>
      <c r="W819" s="35"/>
      <c r="X819" s="35"/>
      <c r="Y819" s="35"/>
      <c r="Z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6"/>
      <c r="Q820" s="35"/>
      <c r="R820" s="35"/>
      <c r="S820" s="35"/>
      <c r="T820" s="35"/>
      <c r="U820" s="35"/>
      <c r="V820" s="35"/>
      <c r="W820" s="35"/>
      <c r="X820" s="35"/>
      <c r="Y820" s="35"/>
      <c r="Z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6"/>
      <c r="Q821" s="35"/>
      <c r="R821" s="35"/>
      <c r="S821" s="35"/>
      <c r="T821" s="35"/>
      <c r="U821" s="35"/>
      <c r="V821" s="35"/>
      <c r="W821" s="35"/>
      <c r="X821" s="35"/>
      <c r="Y821" s="35"/>
      <c r="Z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6"/>
      <c r="Q822" s="35"/>
      <c r="R822" s="35"/>
      <c r="S822" s="35"/>
      <c r="T822" s="35"/>
      <c r="U822" s="35"/>
      <c r="V822" s="35"/>
      <c r="W822" s="35"/>
      <c r="X822" s="35"/>
      <c r="Y822" s="35"/>
      <c r="Z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6"/>
      <c r="Q823" s="35"/>
      <c r="R823" s="35"/>
      <c r="S823" s="35"/>
      <c r="T823" s="35"/>
      <c r="U823" s="35"/>
      <c r="V823" s="35"/>
      <c r="W823" s="35"/>
      <c r="X823" s="35"/>
      <c r="Y823" s="35"/>
      <c r="Z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6"/>
      <c r="Q824" s="35"/>
      <c r="R824" s="35"/>
      <c r="S824" s="35"/>
      <c r="T824" s="35"/>
      <c r="U824" s="35"/>
      <c r="V824" s="35"/>
      <c r="W824" s="35"/>
      <c r="X824" s="35"/>
      <c r="Y824" s="35"/>
      <c r="Z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6"/>
      <c r="Q825" s="35"/>
      <c r="R825" s="35"/>
      <c r="S825" s="35"/>
      <c r="T825" s="35"/>
      <c r="U825" s="35"/>
      <c r="V825" s="35"/>
      <c r="W825" s="35"/>
      <c r="X825" s="35"/>
      <c r="Y825" s="35"/>
      <c r="Z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6"/>
      <c r="Q826" s="35"/>
      <c r="R826" s="35"/>
      <c r="S826" s="35"/>
      <c r="T826" s="35"/>
      <c r="U826" s="35"/>
      <c r="V826" s="35"/>
      <c r="W826" s="35"/>
      <c r="X826" s="35"/>
      <c r="Y826" s="35"/>
      <c r="Z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6"/>
      <c r="Q827" s="35"/>
      <c r="R827" s="35"/>
      <c r="S827" s="35"/>
      <c r="T827" s="35"/>
      <c r="U827" s="35"/>
      <c r="V827" s="35"/>
      <c r="W827" s="35"/>
      <c r="X827" s="35"/>
      <c r="Y827" s="35"/>
      <c r="Z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6"/>
      <c r="Q828" s="35"/>
      <c r="R828" s="35"/>
      <c r="S828" s="35"/>
      <c r="T828" s="35"/>
      <c r="U828" s="35"/>
      <c r="V828" s="35"/>
      <c r="W828" s="35"/>
      <c r="X828" s="35"/>
      <c r="Y828" s="35"/>
      <c r="Z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6"/>
      <c r="Q829" s="35"/>
      <c r="R829" s="35"/>
      <c r="S829" s="35"/>
      <c r="T829" s="35"/>
      <c r="U829" s="35"/>
      <c r="V829" s="35"/>
      <c r="W829" s="35"/>
      <c r="X829" s="35"/>
      <c r="Y829" s="35"/>
      <c r="Z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6"/>
      <c r="Q830" s="35"/>
      <c r="R830" s="35"/>
      <c r="S830" s="35"/>
      <c r="T830" s="35"/>
      <c r="U830" s="35"/>
      <c r="V830" s="35"/>
      <c r="W830" s="35"/>
      <c r="X830" s="35"/>
      <c r="Y830" s="35"/>
      <c r="Z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6"/>
      <c r="Q831" s="35"/>
      <c r="R831" s="35"/>
      <c r="S831" s="35"/>
      <c r="T831" s="35"/>
      <c r="U831" s="35"/>
      <c r="V831" s="35"/>
      <c r="W831" s="35"/>
      <c r="X831" s="35"/>
      <c r="Y831" s="35"/>
      <c r="Z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6"/>
      <c r="Q832" s="35"/>
      <c r="R832" s="35"/>
      <c r="S832" s="35"/>
      <c r="T832" s="35"/>
      <c r="U832" s="35"/>
      <c r="V832" s="35"/>
      <c r="W832" s="35"/>
      <c r="X832" s="35"/>
      <c r="Y832" s="35"/>
      <c r="Z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6"/>
      <c r="Q833" s="35"/>
      <c r="R833" s="35"/>
      <c r="S833" s="35"/>
      <c r="T833" s="35"/>
      <c r="U833" s="35"/>
      <c r="V833" s="35"/>
      <c r="W833" s="35"/>
      <c r="X833" s="35"/>
      <c r="Y833" s="35"/>
      <c r="Z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6"/>
      <c r="Q834" s="35"/>
      <c r="R834" s="35"/>
      <c r="S834" s="35"/>
      <c r="T834" s="35"/>
      <c r="U834" s="35"/>
      <c r="V834" s="35"/>
      <c r="W834" s="35"/>
      <c r="X834" s="35"/>
      <c r="Y834" s="35"/>
      <c r="Z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6"/>
      <c r="Q835" s="35"/>
      <c r="R835" s="35"/>
      <c r="S835" s="35"/>
      <c r="T835" s="35"/>
      <c r="U835" s="35"/>
      <c r="V835" s="35"/>
      <c r="W835" s="35"/>
      <c r="X835" s="35"/>
      <c r="Y835" s="35"/>
      <c r="Z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6"/>
      <c r="Q836" s="35"/>
      <c r="R836" s="35"/>
      <c r="S836" s="35"/>
      <c r="T836" s="35"/>
      <c r="U836" s="35"/>
      <c r="V836" s="35"/>
      <c r="W836" s="35"/>
      <c r="X836" s="35"/>
      <c r="Y836" s="35"/>
      <c r="Z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6"/>
      <c r="Q837" s="35"/>
      <c r="R837" s="35"/>
      <c r="S837" s="35"/>
      <c r="T837" s="35"/>
      <c r="U837" s="35"/>
      <c r="V837" s="35"/>
      <c r="W837" s="35"/>
      <c r="X837" s="35"/>
      <c r="Y837" s="35"/>
      <c r="Z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6"/>
      <c r="Q838" s="35"/>
      <c r="R838" s="35"/>
      <c r="S838" s="35"/>
      <c r="T838" s="35"/>
      <c r="U838" s="35"/>
      <c r="V838" s="35"/>
      <c r="W838" s="35"/>
      <c r="X838" s="35"/>
      <c r="Y838" s="35"/>
      <c r="Z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6"/>
      <c r="Q839" s="35"/>
      <c r="R839" s="35"/>
      <c r="S839" s="35"/>
      <c r="T839" s="35"/>
      <c r="U839" s="35"/>
      <c r="V839" s="35"/>
      <c r="W839" s="35"/>
      <c r="X839" s="35"/>
      <c r="Y839" s="35"/>
      <c r="Z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6"/>
      <c r="Q840" s="35"/>
      <c r="R840" s="35"/>
      <c r="S840" s="35"/>
      <c r="T840" s="35"/>
      <c r="U840" s="35"/>
      <c r="V840" s="35"/>
      <c r="W840" s="35"/>
      <c r="X840" s="35"/>
      <c r="Y840" s="35"/>
      <c r="Z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6"/>
      <c r="Q841" s="35"/>
      <c r="R841" s="35"/>
      <c r="S841" s="35"/>
      <c r="T841" s="35"/>
      <c r="U841" s="35"/>
      <c r="V841" s="35"/>
      <c r="W841" s="35"/>
      <c r="X841" s="35"/>
      <c r="Y841" s="35"/>
      <c r="Z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6"/>
      <c r="Q842" s="35"/>
      <c r="R842" s="35"/>
      <c r="S842" s="35"/>
      <c r="T842" s="35"/>
      <c r="U842" s="35"/>
      <c r="V842" s="35"/>
      <c r="W842" s="35"/>
      <c r="X842" s="35"/>
      <c r="Y842" s="35"/>
      <c r="Z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6"/>
      <c r="Q843" s="35"/>
      <c r="R843" s="35"/>
      <c r="S843" s="35"/>
      <c r="T843" s="35"/>
      <c r="U843" s="35"/>
      <c r="V843" s="35"/>
      <c r="W843" s="35"/>
      <c r="X843" s="35"/>
      <c r="Y843" s="35"/>
      <c r="Z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6"/>
      <c r="Q844" s="35"/>
      <c r="R844" s="35"/>
      <c r="S844" s="35"/>
      <c r="T844" s="35"/>
      <c r="U844" s="35"/>
      <c r="V844" s="35"/>
      <c r="W844" s="35"/>
      <c r="X844" s="35"/>
      <c r="Y844" s="35"/>
      <c r="Z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6"/>
      <c r="Q845" s="35"/>
      <c r="R845" s="35"/>
      <c r="S845" s="35"/>
      <c r="T845" s="35"/>
      <c r="U845" s="35"/>
      <c r="V845" s="35"/>
      <c r="W845" s="35"/>
      <c r="X845" s="35"/>
      <c r="Y845" s="35"/>
      <c r="Z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6"/>
      <c r="Q846" s="35"/>
      <c r="R846" s="35"/>
      <c r="S846" s="35"/>
      <c r="T846" s="35"/>
      <c r="U846" s="35"/>
      <c r="V846" s="35"/>
      <c r="W846" s="35"/>
      <c r="X846" s="35"/>
      <c r="Y846" s="35"/>
      <c r="Z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6"/>
      <c r="Q847" s="35"/>
      <c r="R847" s="35"/>
      <c r="S847" s="35"/>
      <c r="T847" s="35"/>
      <c r="U847" s="35"/>
      <c r="V847" s="35"/>
      <c r="W847" s="35"/>
      <c r="X847" s="35"/>
      <c r="Y847" s="35"/>
      <c r="Z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6"/>
      <c r="Q848" s="35"/>
      <c r="R848" s="35"/>
      <c r="S848" s="35"/>
      <c r="T848" s="35"/>
      <c r="U848" s="35"/>
      <c r="V848" s="35"/>
      <c r="W848" s="35"/>
      <c r="X848" s="35"/>
      <c r="Y848" s="35"/>
      <c r="Z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6"/>
      <c r="Q849" s="35"/>
      <c r="R849" s="35"/>
      <c r="S849" s="35"/>
      <c r="T849" s="35"/>
      <c r="U849" s="35"/>
      <c r="V849" s="35"/>
      <c r="W849" s="35"/>
      <c r="X849" s="35"/>
      <c r="Y849" s="35"/>
      <c r="Z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6"/>
      <c r="Q850" s="35"/>
      <c r="R850" s="35"/>
      <c r="S850" s="35"/>
      <c r="T850" s="35"/>
      <c r="U850" s="35"/>
      <c r="V850" s="35"/>
      <c r="W850" s="35"/>
      <c r="X850" s="35"/>
      <c r="Y850" s="35"/>
      <c r="Z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6"/>
      <c r="Q851" s="35"/>
      <c r="R851" s="35"/>
      <c r="S851" s="35"/>
      <c r="T851" s="35"/>
      <c r="U851" s="35"/>
      <c r="V851" s="35"/>
      <c r="W851" s="35"/>
      <c r="X851" s="35"/>
      <c r="Y851" s="35"/>
      <c r="Z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6"/>
      <c r="Q852" s="35"/>
      <c r="R852" s="35"/>
      <c r="S852" s="35"/>
      <c r="T852" s="35"/>
      <c r="U852" s="35"/>
      <c r="V852" s="35"/>
      <c r="W852" s="35"/>
      <c r="X852" s="35"/>
      <c r="Y852" s="35"/>
      <c r="Z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6"/>
      <c r="Q853" s="35"/>
      <c r="R853" s="35"/>
      <c r="S853" s="35"/>
      <c r="T853" s="35"/>
      <c r="U853" s="35"/>
      <c r="V853" s="35"/>
      <c r="W853" s="35"/>
      <c r="X853" s="35"/>
      <c r="Y853" s="35"/>
      <c r="Z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6"/>
      <c r="Q854" s="35"/>
      <c r="R854" s="35"/>
      <c r="S854" s="35"/>
      <c r="T854" s="35"/>
      <c r="U854" s="35"/>
      <c r="V854" s="35"/>
      <c r="W854" s="35"/>
      <c r="X854" s="35"/>
      <c r="Y854" s="35"/>
      <c r="Z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6"/>
      <c r="Q855" s="35"/>
      <c r="R855" s="35"/>
      <c r="S855" s="35"/>
      <c r="T855" s="35"/>
      <c r="U855" s="35"/>
      <c r="V855" s="35"/>
      <c r="W855" s="35"/>
      <c r="X855" s="35"/>
      <c r="Y855" s="35"/>
      <c r="Z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6"/>
      <c r="Q856" s="35"/>
      <c r="R856" s="35"/>
      <c r="S856" s="35"/>
      <c r="T856" s="35"/>
      <c r="U856" s="35"/>
      <c r="V856" s="35"/>
      <c r="W856" s="35"/>
      <c r="X856" s="35"/>
      <c r="Y856" s="35"/>
      <c r="Z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6"/>
      <c r="Q857" s="35"/>
      <c r="R857" s="35"/>
      <c r="S857" s="35"/>
      <c r="T857" s="35"/>
      <c r="U857" s="35"/>
      <c r="V857" s="35"/>
      <c r="W857" s="35"/>
      <c r="X857" s="35"/>
      <c r="Y857" s="35"/>
      <c r="Z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6"/>
      <c r="Q858" s="35"/>
      <c r="R858" s="35"/>
      <c r="S858" s="35"/>
      <c r="T858" s="35"/>
      <c r="U858" s="35"/>
      <c r="V858" s="35"/>
      <c r="W858" s="35"/>
      <c r="X858" s="35"/>
      <c r="Y858" s="35"/>
      <c r="Z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6"/>
      <c r="Q859" s="35"/>
      <c r="R859" s="35"/>
      <c r="S859" s="35"/>
      <c r="T859" s="35"/>
      <c r="U859" s="35"/>
      <c r="V859" s="35"/>
      <c r="W859" s="35"/>
      <c r="X859" s="35"/>
      <c r="Y859" s="35"/>
      <c r="Z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6"/>
      <c r="Q860" s="35"/>
      <c r="R860" s="35"/>
      <c r="S860" s="35"/>
      <c r="T860" s="35"/>
      <c r="U860" s="35"/>
      <c r="V860" s="35"/>
      <c r="W860" s="35"/>
      <c r="X860" s="35"/>
      <c r="Y860" s="35"/>
      <c r="Z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6"/>
      <c r="Q861" s="35"/>
      <c r="R861" s="35"/>
      <c r="S861" s="35"/>
      <c r="T861" s="35"/>
      <c r="U861" s="35"/>
      <c r="V861" s="35"/>
      <c r="W861" s="35"/>
      <c r="X861" s="35"/>
      <c r="Y861" s="35"/>
      <c r="Z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6"/>
      <c r="Q862" s="35"/>
      <c r="R862" s="35"/>
      <c r="S862" s="35"/>
      <c r="T862" s="35"/>
      <c r="U862" s="35"/>
      <c r="V862" s="35"/>
      <c r="W862" s="35"/>
      <c r="X862" s="35"/>
      <c r="Y862" s="35"/>
      <c r="Z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6"/>
      <c r="Q863" s="35"/>
      <c r="R863" s="35"/>
      <c r="S863" s="35"/>
      <c r="T863" s="35"/>
      <c r="U863" s="35"/>
      <c r="V863" s="35"/>
      <c r="W863" s="35"/>
      <c r="X863" s="35"/>
      <c r="Y863" s="35"/>
      <c r="Z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6"/>
      <c r="Q864" s="35"/>
      <c r="R864" s="35"/>
      <c r="S864" s="35"/>
      <c r="T864" s="35"/>
      <c r="U864" s="35"/>
      <c r="V864" s="35"/>
      <c r="W864" s="35"/>
      <c r="X864" s="35"/>
      <c r="Y864" s="35"/>
      <c r="Z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6"/>
      <c r="Q865" s="35"/>
      <c r="R865" s="35"/>
      <c r="S865" s="35"/>
      <c r="T865" s="35"/>
      <c r="U865" s="35"/>
      <c r="V865" s="35"/>
      <c r="W865" s="35"/>
      <c r="X865" s="35"/>
      <c r="Y865" s="35"/>
      <c r="Z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6"/>
      <c r="Q866" s="35"/>
      <c r="R866" s="35"/>
      <c r="S866" s="35"/>
      <c r="T866" s="35"/>
      <c r="U866" s="35"/>
      <c r="V866" s="35"/>
      <c r="W866" s="35"/>
      <c r="X866" s="35"/>
      <c r="Y866" s="35"/>
      <c r="Z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6"/>
      <c r="Q867" s="35"/>
      <c r="R867" s="35"/>
      <c r="S867" s="35"/>
      <c r="T867" s="35"/>
      <c r="U867" s="35"/>
      <c r="V867" s="35"/>
      <c r="W867" s="35"/>
      <c r="X867" s="35"/>
      <c r="Y867" s="35"/>
      <c r="Z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6"/>
      <c r="Q868" s="35"/>
      <c r="R868" s="35"/>
      <c r="S868" s="35"/>
      <c r="T868" s="35"/>
      <c r="U868" s="35"/>
      <c r="V868" s="35"/>
      <c r="W868" s="35"/>
      <c r="X868" s="35"/>
      <c r="Y868" s="35"/>
      <c r="Z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6"/>
      <c r="Q869" s="35"/>
      <c r="R869" s="35"/>
      <c r="S869" s="35"/>
      <c r="T869" s="35"/>
      <c r="U869" s="35"/>
      <c r="V869" s="35"/>
      <c r="W869" s="35"/>
      <c r="X869" s="35"/>
      <c r="Y869" s="35"/>
      <c r="Z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6"/>
      <c r="Q870" s="35"/>
      <c r="R870" s="35"/>
      <c r="S870" s="35"/>
      <c r="T870" s="35"/>
      <c r="U870" s="35"/>
      <c r="V870" s="35"/>
      <c r="W870" s="35"/>
      <c r="X870" s="35"/>
      <c r="Y870" s="35"/>
      <c r="Z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6"/>
      <c r="Q871" s="35"/>
      <c r="R871" s="35"/>
      <c r="S871" s="35"/>
      <c r="T871" s="35"/>
      <c r="U871" s="35"/>
      <c r="V871" s="35"/>
      <c r="W871" s="35"/>
      <c r="X871" s="35"/>
      <c r="Y871" s="35"/>
      <c r="Z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6"/>
      <c r="Q872" s="35"/>
      <c r="R872" s="35"/>
      <c r="S872" s="35"/>
      <c r="T872" s="35"/>
      <c r="U872" s="35"/>
      <c r="V872" s="35"/>
      <c r="W872" s="35"/>
      <c r="X872" s="35"/>
      <c r="Y872" s="35"/>
      <c r="Z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6"/>
      <c r="Q873" s="35"/>
      <c r="R873" s="35"/>
      <c r="S873" s="35"/>
      <c r="T873" s="35"/>
      <c r="U873" s="35"/>
      <c r="V873" s="35"/>
      <c r="W873" s="35"/>
      <c r="X873" s="35"/>
      <c r="Y873" s="35"/>
      <c r="Z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6"/>
      <c r="Q874" s="35"/>
      <c r="R874" s="35"/>
      <c r="S874" s="35"/>
      <c r="T874" s="35"/>
      <c r="U874" s="35"/>
      <c r="V874" s="35"/>
      <c r="W874" s="35"/>
      <c r="X874" s="35"/>
      <c r="Y874" s="35"/>
      <c r="Z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6"/>
      <c r="Q875" s="35"/>
      <c r="R875" s="35"/>
      <c r="S875" s="35"/>
      <c r="T875" s="35"/>
      <c r="U875" s="35"/>
      <c r="V875" s="35"/>
      <c r="W875" s="35"/>
      <c r="X875" s="35"/>
      <c r="Y875" s="35"/>
      <c r="Z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6"/>
      <c r="Q876" s="35"/>
      <c r="R876" s="35"/>
      <c r="S876" s="35"/>
      <c r="T876" s="35"/>
      <c r="U876" s="35"/>
      <c r="V876" s="35"/>
      <c r="W876" s="35"/>
      <c r="X876" s="35"/>
      <c r="Y876" s="35"/>
      <c r="Z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6"/>
      <c r="Q877" s="35"/>
      <c r="R877" s="35"/>
      <c r="S877" s="35"/>
      <c r="T877" s="35"/>
      <c r="U877" s="35"/>
      <c r="V877" s="35"/>
      <c r="W877" s="35"/>
      <c r="X877" s="35"/>
      <c r="Y877" s="35"/>
      <c r="Z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6"/>
      <c r="Q878" s="35"/>
      <c r="R878" s="35"/>
      <c r="S878" s="35"/>
      <c r="T878" s="35"/>
      <c r="U878" s="35"/>
      <c r="V878" s="35"/>
      <c r="W878" s="35"/>
      <c r="X878" s="35"/>
      <c r="Y878" s="35"/>
      <c r="Z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6"/>
      <c r="Q879" s="35"/>
      <c r="R879" s="35"/>
      <c r="S879" s="35"/>
      <c r="T879" s="35"/>
      <c r="U879" s="35"/>
      <c r="V879" s="35"/>
      <c r="W879" s="35"/>
      <c r="X879" s="35"/>
      <c r="Y879" s="35"/>
      <c r="Z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6"/>
      <c r="Q880" s="35"/>
      <c r="R880" s="35"/>
      <c r="S880" s="35"/>
      <c r="T880" s="35"/>
      <c r="U880" s="35"/>
      <c r="V880" s="35"/>
      <c r="W880" s="35"/>
      <c r="X880" s="35"/>
      <c r="Y880" s="35"/>
      <c r="Z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6"/>
      <c r="Q881" s="35"/>
      <c r="R881" s="35"/>
      <c r="S881" s="35"/>
      <c r="T881" s="35"/>
      <c r="U881" s="35"/>
      <c r="V881" s="35"/>
      <c r="W881" s="35"/>
      <c r="X881" s="35"/>
      <c r="Y881" s="35"/>
      <c r="Z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6"/>
      <c r="Q882" s="35"/>
      <c r="R882" s="35"/>
      <c r="S882" s="35"/>
      <c r="T882" s="35"/>
      <c r="U882" s="35"/>
      <c r="V882" s="35"/>
      <c r="W882" s="35"/>
      <c r="X882" s="35"/>
      <c r="Y882" s="35"/>
      <c r="Z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6"/>
      <c r="Q883" s="35"/>
      <c r="R883" s="35"/>
      <c r="S883" s="35"/>
      <c r="T883" s="35"/>
      <c r="U883" s="35"/>
      <c r="V883" s="35"/>
      <c r="W883" s="35"/>
      <c r="X883" s="35"/>
      <c r="Y883" s="35"/>
      <c r="Z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6"/>
      <c r="Q884" s="35"/>
      <c r="R884" s="35"/>
      <c r="S884" s="35"/>
      <c r="T884" s="35"/>
      <c r="U884" s="35"/>
      <c r="V884" s="35"/>
      <c r="W884" s="35"/>
      <c r="X884" s="35"/>
      <c r="Y884" s="35"/>
      <c r="Z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6"/>
      <c r="Q885" s="35"/>
      <c r="R885" s="35"/>
      <c r="S885" s="35"/>
      <c r="T885" s="35"/>
      <c r="U885" s="35"/>
      <c r="V885" s="35"/>
      <c r="W885" s="35"/>
      <c r="X885" s="35"/>
      <c r="Y885" s="35"/>
      <c r="Z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6"/>
      <c r="Q886" s="35"/>
      <c r="R886" s="35"/>
      <c r="S886" s="35"/>
      <c r="T886" s="35"/>
      <c r="U886" s="35"/>
      <c r="V886" s="35"/>
      <c r="W886" s="35"/>
      <c r="X886" s="35"/>
      <c r="Y886" s="35"/>
      <c r="Z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6"/>
      <c r="Q887" s="35"/>
      <c r="R887" s="35"/>
      <c r="S887" s="35"/>
      <c r="T887" s="35"/>
      <c r="U887" s="35"/>
      <c r="V887" s="35"/>
      <c r="W887" s="35"/>
      <c r="X887" s="35"/>
      <c r="Y887" s="35"/>
      <c r="Z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6"/>
      <c r="Q888" s="35"/>
      <c r="R888" s="35"/>
      <c r="S888" s="35"/>
      <c r="T888" s="35"/>
      <c r="U888" s="35"/>
      <c r="V888" s="35"/>
      <c r="W888" s="35"/>
      <c r="X888" s="35"/>
      <c r="Y888" s="35"/>
      <c r="Z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6"/>
      <c r="Q889" s="35"/>
      <c r="R889" s="35"/>
      <c r="S889" s="35"/>
      <c r="T889" s="35"/>
      <c r="U889" s="35"/>
      <c r="V889" s="35"/>
      <c r="W889" s="35"/>
      <c r="X889" s="35"/>
      <c r="Y889" s="35"/>
      <c r="Z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6"/>
      <c r="Q890" s="35"/>
      <c r="R890" s="35"/>
      <c r="S890" s="35"/>
      <c r="T890" s="35"/>
      <c r="U890" s="35"/>
      <c r="V890" s="35"/>
      <c r="W890" s="35"/>
      <c r="X890" s="35"/>
      <c r="Y890" s="35"/>
      <c r="Z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6"/>
      <c r="Q891" s="35"/>
      <c r="R891" s="35"/>
      <c r="S891" s="35"/>
      <c r="T891" s="35"/>
      <c r="U891" s="35"/>
      <c r="V891" s="35"/>
      <c r="W891" s="35"/>
      <c r="X891" s="35"/>
      <c r="Y891" s="35"/>
      <c r="Z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6"/>
      <c r="Q892" s="35"/>
      <c r="R892" s="35"/>
      <c r="S892" s="35"/>
      <c r="T892" s="35"/>
      <c r="U892" s="35"/>
      <c r="V892" s="35"/>
      <c r="W892" s="35"/>
      <c r="X892" s="35"/>
      <c r="Y892" s="35"/>
      <c r="Z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6"/>
      <c r="Q893" s="35"/>
      <c r="R893" s="35"/>
      <c r="S893" s="35"/>
      <c r="T893" s="35"/>
      <c r="U893" s="35"/>
      <c r="V893" s="35"/>
      <c r="W893" s="35"/>
      <c r="X893" s="35"/>
      <c r="Y893" s="35"/>
      <c r="Z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6"/>
      <c r="Q894" s="35"/>
      <c r="R894" s="35"/>
      <c r="S894" s="35"/>
      <c r="T894" s="35"/>
      <c r="U894" s="35"/>
      <c r="V894" s="35"/>
      <c r="W894" s="35"/>
      <c r="X894" s="35"/>
      <c r="Y894" s="35"/>
      <c r="Z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6"/>
      <c r="Q895" s="35"/>
      <c r="R895" s="35"/>
      <c r="S895" s="35"/>
      <c r="T895" s="35"/>
      <c r="U895" s="35"/>
      <c r="V895" s="35"/>
      <c r="W895" s="35"/>
      <c r="X895" s="35"/>
      <c r="Y895" s="35"/>
      <c r="Z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6"/>
      <c r="Q896" s="35"/>
      <c r="R896" s="35"/>
      <c r="S896" s="35"/>
      <c r="T896" s="35"/>
      <c r="U896" s="35"/>
      <c r="V896" s="35"/>
      <c r="W896" s="35"/>
      <c r="X896" s="35"/>
      <c r="Y896" s="35"/>
      <c r="Z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6"/>
      <c r="Q897" s="35"/>
      <c r="R897" s="35"/>
      <c r="S897" s="35"/>
      <c r="T897" s="35"/>
      <c r="U897" s="35"/>
      <c r="V897" s="35"/>
      <c r="W897" s="35"/>
      <c r="X897" s="35"/>
      <c r="Y897" s="35"/>
      <c r="Z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6"/>
      <c r="Q898" s="35"/>
      <c r="R898" s="35"/>
      <c r="S898" s="35"/>
      <c r="T898" s="35"/>
      <c r="U898" s="35"/>
      <c r="V898" s="35"/>
      <c r="W898" s="35"/>
      <c r="X898" s="35"/>
      <c r="Y898" s="35"/>
      <c r="Z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6"/>
      <c r="Q899" s="35"/>
      <c r="R899" s="35"/>
      <c r="S899" s="35"/>
      <c r="T899" s="35"/>
      <c r="U899" s="35"/>
      <c r="V899" s="35"/>
      <c r="W899" s="35"/>
      <c r="X899" s="35"/>
      <c r="Y899" s="35"/>
      <c r="Z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6"/>
      <c r="Q900" s="35"/>
      <c r="R900" s="35"/>
      <c r="S900" s="35"/>
      <c r="T900" s="35"/>
      <c r="U900" s="35"/>
      <c r="V900" s="35"/>
      <c r="W900" s="35"/>
      <c r="X900" s="35"/>
      <c r="Y900" s="35"/>
      <c r="Z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6"/>
      <c r="Q901" s="35"/>
      <c r="R901" s="35"/>
      <c r="S901" s="35"/>
      <c r="T901" s="35"/>
      <c r="U901" s="35"/>
      <c r="V901" s="35"/>
      <c r="W901" s="35"/>
      <c r="X901" s="35"/>
      <c r="Y901" s="35"/>
      <c r="Z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6"/>
      <c r="Q902" s="35"/>
      <c r="R902" s="35"/>
      <c r="S902" s="35"/>
      <c r="T902" s="35"/>
      <c r="U902" s="35"/>
      <c r="V902" s="35"/>
      <c r="W902" s="35"/>
      <c r="X902" s="35"/>
      <c r="Y902" s="35"/>
      <c r="Z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6"/>
      <c r="Q903" s="35"/>
      <c r="R903" s="35"/>
      <c r="S903" s="35"/>
      <c r="T903" s="35"/>
      <c r="U903" s="35"/>
      <c r="V903" s="35"/>
      <c r="W903" s="35"/>
      <c r="X903" s="35"/>
      <c r="Y903" s="35"/>
      <c r="Z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6"/>
      <c r="Q904" s="35"/>
      <c r="R904" s="35"/>
      <c r="S904" s="35"/>
      <c r="T904" s="35"/>
      <c r="U904" s="35"/>
      <c r="V904" s="35"/>
      <c r="W904" s="35"/>
      <c r="X904" s="35"/>
      <c r="Y904" s="35"/>
      <c r="Z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6"/>
      <c r="Q905" s="35"/>
      <c r="R905" s="35"/>
      <c r="S905" s="35"/>
      <c r="T905" s="35"/>
      <c r="U905" s="35"/>
      <c r="V905" s="35"/>
      <c r="W905" s="35"/>
      <c r="X905" s="35"/>
      <c r="Y905" s="35"/>
      <c r="Z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6"/>
      <c r="Q906" s="35"/>
      <c r="R906" s="35"/>
      <c r="S906" s="35"/>
      <c r="T906" s="35"/>
      <c r="U906" s="35"/>
      <c r="V906" s="35"/>
      <c r="W906" s="35"/>
      <c r="X906" s="35"/>
      <c r="Y906" s="35"/>
      <c r="Z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6"/>
      <c r="Q907" s="35"/>
      <c r="R907" s="35"/>
      <c r="S907" s="35"/>
      <c r="T907" s="35"/>
      <c r="U907" s="35"/>
      <c r="V907" s="35"/>
      <c r="W907" s="35"/>
      <c r="X907" s="35"/>
      <c r="Y907" s="35"/>
      <c r="Z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6"/>
      <c r="Q908" s="35"/>
      <c r="R908" s="35"/>
      <c r="S908" s="35"/>
      <c r="T908" s="35"/>
      <c r="U908" s="35"/>
      <c r="V908" s="35"/>
      <c r="W908" s="35"/>
      <c r="X908" s="35"/>
      <c r="Y908" s="35"/>
      <c r="Z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6"/>
      <c r="Q909" s="35"/>
      <c r="R909" s="35"/>
      <c r="S909" s="35"/>
      <c r="T909" s="35"/>
      <c r="U909" s="35"/>
      <c r="V909" s="35"/>
      <c r="W909" s="35"/>
      <c r="X909" s="35"/>
      <c r="Y909" s="35"/>
      <c r="Z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6"/>
      <c r="Q910" s="35"/>
      <c r="R910" s="35"/>
      <c r="S910" s="35"/>
      <c r="T910" s="35"/>
      <c r="U910" s="35"/>
      <c r="V910" s="35"/>
      <c r="W910" s="35"/>
      <c r="X910" s="35"/>
      <c r="Y910" s="35"/>
      <c r="Z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6"/>
      <c r="Q911" s="35"/>
      <c r="R911" s="35"/>
      <c r="S911" s="35"/>
      <c r="T911" s="35"/>
      <c r="U911" s="35"/>
      <c r="V911" s="35"/>
      <c r="W911" s="35"/>
      <c r="X911" s="35"/>
      <c r="Y911" s="35"/>
      <c r="Z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6"/>
      <c r="Q912" s="35"/>
      <c r="R912" s="35"/>
      <c r="S912" s="35"/>
      <c r="T912" s="35"/>
      <c r="U912" s="35"/>
      <c r="V912" s="35"/>
      <c r="W912" s="35"/>
      <c r="X912" s="35"/>
      <c r="Y912" s="35"/>
      <c r="Z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6"/>
      <c r="Q913" s="35"/>
      <c r="R913" s="35"/>
      <c r="S913" s="35"/>
      <c r="T913" s="35"/>
      <c r="U913" s="35"/>
      <c r="V913" s="35"/>
      <c r="W913" s="35"/>
      <c r="X913" s="35"/>
      <c r="Y913" s="35"/>
      <c r="Z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6"/>
      <c r="Q914" s="35"/>
      <c r="R914" s="35"/>
      <c r="S914" s="35"/>
      <c r="T914" s="35"/>
      <c r="U914" s="35"/>
      <c r="V914" s="35"/>
      <c r="W914" s="35"/>
      <c r="X914" s="35"/>
      <c r="Y914" s="35"/>
      <c r="Z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6"/>
      <c r="Q915" s="35"/>
      <c r="R915" s="35"/>
      <c r="S915" s="35"/>
      <c r="T915" s="35"/>
      <c r="U915" s="35"/>
      <c r="V915" s="35"/>
      <c r="W915" s="35"/>
      <c r="X915" s="35"/>
      <c r="Y915" s="35"/>
      <c r="Z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6"/>
      <c r="Q916" s="35"/>
      <c r="R916" s="35"/>
      <c r="S916" s="35"/>
      <c r="T916" s="35"/>
      <c r="U916" s="35"/>
      <c r="V916" s="35"/>
      <c r="W916" s="35"/>
      <c r="X916" s="35"/>
      <c r="Y916" s="35"/>
      <c r="Z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6"/>
      <c r="Q917" s="35"/>
      <c r="R917" s="35"/>
      <c r="S917" s="35"/>
      <c r="T917" s="35"/>
      <c r="U917" s="35"/>
      <c r="V917" s="35"/>
      <c r="W917" s="35"/>
      <c r="X917" s="35"/>
      <c r="Y917" s="35"/>
      <c r="Z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6"/>
      <c r="Q918" s="35"/>
      <c r="R918" s="35"/>
      <c r="S918" s="35"/>
      <c r="T918" s="35"/>
      <c r="U918" s="35"/>
      <c r="V918" s="35"/>
      <c r="W918" s="35"/>
      <c r="X918" s="35"/>
      <c r="Y918" s="35"/>
      <c r="Z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6"/>
      <c r="Q919" s="35"/>
      <c r="R919" s="35"/>
      <c r="S919" s="35"/>
      <c r="T919" s="35"/>
      <c r="U919" s="35"/>
      <c r="V919" s="35"/>
      <c r="W919" s="35"/>
      <c r="X919" s="35"/>
      <c r="Y919" s="35"/>
      <c r="Z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6"/>
      <c r="Q920" s="35"/>
      <c r="R920" s="35"/>
      <c r="S920" s="35"/>
      <c r="T920" s="35"/>
      <c r="U920" s="35"/>
      <c r="V920" s="35"/>
      <c r="W920" s="35"/>
      <c r="X920" s="35"/>
      <c r="Y920" s="35"/>
      <c r="Z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6"/>
      <c r="Q921" s="35"/>
      <c r="R921" s="35"/>
      <c r="S921" s="35"/>
      <c r="T921" s="35"/>
      <c r="U921" s="35"/>
      <c r="V921" s="35"/>
      <c r="W921" s="35"/>
      <c r="X921" s="35"/>
      <c r="Y921" s="35"/>
      <c r="Z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6"/>
      <c r="Q922" s="35"/>
      <c r="R922" s="35"/>
      <c r="S922" s="35"/>
      <c r="T922" s="35"/>
      <c r="U922" s="35"/>
      <c r="V922" s="35"/>
      <c r="W922" s="35"/>
      <c r="X922" s="35"/>
      <c r="Y922" s="35"/>
      <c r="Z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6"/>
      <c r="Q923" s="35"/>
      <c r="R923" s="35"/>
      <c r="S923" s="35"/>
      <c r="T923" s="35"/>
      <c r="U923" s="35"/>
      <c r="V923" s="35"/>
      <c r="W923" s="35"/>
      <c r="X923" s="35"/>
      <c r="Y923" s="35"/>
      <c r="Z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6"/>
      <c r="Q924" s="35"/>
      <c r="R924" s="35"/>
      <c r="S924" s="35"/>
      <c r="T924" s="35"/>
      <c r="U924" s="35"/>
      <c r="V924" s="35"/>
      <c r="W924" s="35"/>
      <c r="X924" s="35"/>
      <c r="Y924" s="35"/>
      <c r="Z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6"/>
      <c r="Q925" s="35"/>
      <c r="R925" s="35"/>
      <c r="S925" s="35"/>
      <c r="T925" s="35"/>
      <c r="U925" s="35"/>
      <c r="V925" s="35"/>
      <c r="W925" s="35"/>
      <c r="X925" s="35"/>
      <c r="Y925" s="35"/>
      <c r="Z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6"/>
      <c r="Q926" s="35"/>
      <c r="R926" s="35"/>
      <c r="S926" s="35"/>
      <c r="T926" s="35"/>
      <c r="U926" s="35"/>
      <c r="V926" s="35"/>
      <c r="W926" s="35"/>
      <c r="X926" s="35"/>
      <c r="Y926" s="35"/>
      <c r="Z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6"/>
      <c r="Q927" s="35"/>
      <c r="R927" s="35"/>
      <c r="S927" s="35"/>
      <c r="T927" s="35"/>
      <c r="U927" s="35"/>
      <c r="V927" s="35"/>
      <c r="W927" s="35"/>
      <c r="X927" s="35"/>
      <c r="Y927" s="35"/>
      <c r="Z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6"/>
      <c r="Q928" s="35"/>
      <c r="R928" s="35"/>
      <c r="S928" s="35"/>
      <c r="T928" s="35"/>
      <c r="U928" s="35"/>
      <c r="V928" s="35"/>
      <c r="W928" s="35"/>
      <c r="X928" s="35"/>
      <c r="Y928" s="35"/>
      <c r="Z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6"/>
      <c r="Q929" s="35"/>
      <c r="R929" s="35"/>
      <c r="S929" s="35"/>
      <c r="T929" s="35"/>
      <c r="U929" s="35"/>
      <c r="V929" s="35"/>
      <c r="W929" s="35"/>
      <c r="X929" s="35"/>
      <c r="Y929" s="35"/>
      <c r="Z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6"/>
      <c r="Q930" s="35"/>
      <c r="R930" s="35"/>
      <c r="S930" s="35"/>
      <c r="T930" s="35"/>
      <c r="U930" s="35"/>
      <c r="V930" s="35"/>
      <c r="W930" s="35"/>
      <c r="X930" s="35"/>
      <c r="Y930" s="35"/>
      <c r="Z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6"/>
      <c r="Q931" s="35"/>
      <c r="R931" s="35"/>
      <c r="S931" s="35"/>
      <c r="T931" s="35"/>
      <c r="U931" s="35"/>
      <c r="V931" s="35"/>
      <c r="W931" s="35"/>
      <c r="X931" s="35"/>
      <c r="Y931" s="35"/>
      <c r="Z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6"/>
      <c r="Q932" s="35"/>
      <c r="R932" s="35"/>
      <c r="S932" s="35"/>
      <c r="T932" s="35"/>
      <c r="U932" s="35"/>
      <c r="V932" s="35"/>
      <c r="W932" s="35"/>
      <c r="X932" s="35"/>
      <c r="Y932" s="35"/>
      <c r="Z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6"/>
      <c r="Q933" s="35"/>
      <c r="R933" s="35"/>
      <c r="S933" s="35"/>
      <c r="T933" s="35"/>
      <c r="U933" s="35"/>
      <c r="V933" s="35"/>
      <c r="W933" s="35"/>
      <c r="X933" s="35"/>
      <c r="Y933" s="35"/>
      <c r="Z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6"/>
      <c r="Q934" s="35"/>
      <c r="R934" s="35"/>
      <c r="S934" s="35"/>
      <c r="T934" s="35"/>
      <c r="U934" s="35"/>
      <c r="V934" s="35"/>
      <c r="W934" s="35"/>
      <c r="X934" s="35"/>
      <c r="Y934" s="35"/>
      <c r="Z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6"/>
      <c r="Q935" s="35"/>
      <c r="R935" s="35"/>
      <c r="S935" s="35"/>
      <c r="T935" s="35"/>
      <c r="U935" s="35"/>
      <c r="V935" s="35"/>
      <c r="W935" s="35"/>
      <c r="X935" s="35"/>
      <c r="Y935" s="35"/>
      <c r="Z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6"/>
      <c r="Q936" s="35"/>
      <c r="R936" s="35"/>
      <c r="S936" s="35"/>
      <c r="T936" s="35"/>
      <c r="U936" s="35"/>
      <c r="V936" s="35"/>
      <c r="W936" s="35"/>
      <c r="X936" s="35"/>
      <c r="Y936" s="35"/>
      <c r="Z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6"/>
      <c r="Q937" s="35"/>
      <c r="R937" s="35"/>
      <c r="S937" s="35"/>
      <c r="T937" s="35"/>
      <c r="U937" s="35"/>
      <c r="V937" s="35"/>
      <c r="W937" s="35"/>
      <c r="X937" s="35"/>
      <c r="Y937" s="35"/>
      <c r="Z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6"/>
      <c r="Q938" s="35"/>
      <c r="R938" s="35"/>
      <c r="S938" s="35"/>
      <c r="T938" s="35"/>
      <c r="U938" s="35"/>
      <c r="V938" s="35"/>
      <c r="W938" s="35"/>
      <c r="X938" s="35"/>
      <c r="Y938" s="35"/>
      <c r="Z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6"/>
      <c r="Q939" s="35"/>
      <c r="R939" s="35"/>
      <c r="S939" s="35"/>
      <c r="T939" s="35"/>
      <c r="U939" s="35"/>
      <c r="V939" s="35"/>
      <c r="W939" s="35"/>
      <c r="X939" s="35"/>
      <c r="Y939" s="35"/>
      <c r="Z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6"/>
      <c r="Q940" s="35"/>
      <c r="R940" s="35"/>
      <c r="S940" s="35"/>
      <c r="T940" s="35"/>
      <c r="U940" s="35"/>
      <c r="V940" s="35"/>
      <c r="W940" s="35"/>
      <c r="X940" s="35"/>
      <c r="Y940" s="35"/>
      <c r="Z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6"/>
      <c r="Q941" s="35"/>
      <c r="R941" s="35"/>
      <c r="S941" s="35"/>
      <c r="T941" s="35"/>
      <c r="U941" s="35"/>
      <c r="V941" s="35"/>
      <c r="W941" s="35"/>
      <c r="X941" s="35"/>
      <c r="Y941" s="35"/>
      <c r="Z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6"/>
      <c r="Q942" s="35"/>
      <c r="R942" s="35"/>
      <c r="S942" s="35"/>
      <c r="T942" s="35"/>
      <c r="U942" s="35"/>
      <c r="V942" s="35"/>
      <c r="W942" s="35"/>
      <c r="X942" s="35"/>
      <c r="Y942" s="35"/>
      <c r="Z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6"/>
      <c r="Q943" s="35"/>
      <c r="R943" s="35"/>
      <c r="S943" s="35"/>
      <c r="T943" s="35"/>
      <c r="U943" s="35"/>
      <c r="V943" s="35"/>
      <c r="W943" s="35"/>
      <c r="X943" s="35"/>
      <c r="Y943" s="35"/>
      <c r="Z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6"/>
      <c r="Q944" s="35"/>
      <c r="R944" s="35"/>
      <c r="S944" s="35"/>
      <c r="T944" s="35"/>
      <c r="U944" s="35"/>
      <c r="V944" s="35"/>
      <c r="W944" s="35"/>
      <c r="X944" s="35"/>
      <c r="Y944" s="35"/>
      <c r="Z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6"/>
      <c r="Q945" s="35"/>
      <c r="R945" s="35"/>
      <c r="S945" s="35"/>
      <c r="T945" s="35"/>
      <c r="U945" s="35"/>
      <c r="V945" s="35"/>
      <c r="W945" s="35"/>
      <c r="X945" s="35"/>
      <c r="Y945" s="35"/>
      <c r="Z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6"/>
      <c r="Q946" s="35"/>
      <c r="R946" s="35"/>
      <c r="S946" s="35"/>
      <c r="T946" s="35"/>
      <c r="U946" s="35"/>
      <c r="V946" s="35"/>
      <c r="W946" s="35"/>
      <c r="X946" s="35"/>
      <c r="Y946" s="35"/>
      <c r="Z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6"/>
      <c r="Q947" s="35"/>
      <c r="R947" s="35"/>
      <c r="S947" s="35"/>
      <c r="T947" s="35"/>
      <c r="U947" s="35"/>
      <c r="V947" s="35"/>
      <c r="W947" s="35"/>
      <c r="X947" s="35"/>
      <c r="Y947" s="35"/>
      <c r="Z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6"/>
      <c r="Q948" s="35"/>
      <c r="R948" s="35"/>
      <c r="S948" s="35"/>
      <c r="T948" s="35"/>
      <c r="U948" s="35"/>
      <c r="V948" s="35"/>
      <c r="W948" s="35"/>
      <c r="X948" s="35"/>
      <c r="Y948" s="35"/>
      <c r="Z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6"/>
      <c r="Q949" s="35"/>
      <c r="R949" s="35"/>
      <c r="S949" s="35"/>
      <c r="T949" s="35"/>
      <c r="U949" s="35"/>
      <c r="V949" s="35"/>
      <c r="W949" s="35"/>
      <c r="X949" s="35"/>
      <c r="Y949" s="35"/>
      <c r="Z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6"/>
      <c r="Q950" s="35"/>
      <c r="R950" s="35"/>
      <c r="S950" s="35"/>
      <c r="T950" s="35"/>
      <c r="U950" s="35"/>
      <c r="V950" s="35"/>
      <c r="W950" s="35"/>
      <c r="X950" s="35"/>
      <c r="Y950" s="35"/>
      <c r="Z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6"/>
      <c r="Q951" s="35"/>
      <c r="R951" s="35"/>
      <c r="S951" s="35"/>
      <c r="T951" s="35"/>
      <c r="U951" s="35"/>
      <c r="V951" s="35"/>
      <c r="W951" s="35"/>
      <c r="X951" s="35"/>
      <c r="Y951" s="35"/>
      <c r="Z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6"/>
      <c r="Q952" s="35"/>
      <c r="R952" s="35"/>
      <c r="S952" s="35"/>
      <c r="T952" s="35"/>
      <c r="U952" s="35"/>
      <c r="V952" s="35"/>
      <c r="W952" s="35"/>
      <c r="X952" s="35"/>
      <c r="Y952" s="35"/>
      <c r="Z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6"/>
      <c r="Q953" s="35"/>
      <c r="R953" s="35"/>
      <c r="S953" s="35"/>
      <c r="T953" s="35"/>
      <c r="U953" s="35"/>
      <c r="V953" s="35"/>
      <c r="W953" s="35"/>
      <c r="X953" s="35"/>
      <c r="Y953" s="35"/>
      <c r="Z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6"/>
      <c r="Q954" s="35"/>
      <c r="R954" s="35"/>
      <c r="S954" s="35"/>
      <c r="T954" s="35"/>
      <c r="U954" s="35"/>
      <c r="V954" s="35"/>
      <c r="W954" s="35"/>
      <c r="X954" s="35"/>
      <c r="Y954" s="35"/>
      <c r="Z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6"/>
      <c r="Q955" s="35"/>
      <c r="R955" s="35"/>
      <c r="S955" s="35"/>
      <c r="T955" s="35"/>
      <c r="U955" s="35"/>
      <c r="V955" s="35"/>
      <c r="W955" s="35"/>
      <c r="X955" s="35"/>
      <c r="Y955" s="35"/>
      <c r="Z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6"/>
      <c r="Q956" s="35"/>
      <c r="R956" s="35"/>
      <c r="S956" s="35"/>
      <c r="T956" s="35"/>
      <c r="U956" s="35"/>
      <c r="V956" s="35"/>
      <c r="W956" s="35"/>
      <c r="X956" s="35"/>
      <c r="Y956" s="35"/>
      <c r="Z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6"/>
      <c r="Q957" s="35"/>
      <c r="R957" s="35"/>
      <c r="S957" s="35"/>
      <c r="T957" s="35"/>
      <c r="U957" s="35"/>
      <c r="V957" s="35"/>
      <c r="W957" s="35"/>
      <c r="X957" s="35"/>
      <c r="Y957" s="35"/>
      <c r="Z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6"/>
      <c r="Q958" s="35"/>
      <c r="R958" s="35"/>
      <c r="S958" s="35"/>
      <c r="T958" s="35"/>
      <c r="U958" s="35"/>
      <c r="V958" s="35"/>
      <c r="W958" s="35"/>
      <c r="X958" s="35"/>
      <c r="Y958" s="35"/>
      <c r="Z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6"/>
      <c r="Q959" s="35"/>
      <c r="R959" s="35"/>
      <c r="S959" s="35"/>
      <c r="T959" s="35"/>
      <c r="U959" s="35"/>
      <c r="V959" s="35"/>
      <c r="W959" s="35"/>
      <c r="X959" s="35"/>
      <c r="Y959" s="35"/>
      <c r="Z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6"/>
      <c r="Q960" s="35"/>
      <c r="R960" s="35"/>
      <c r="S960" s="35"/>
      <c r="T960" s="35"/>
      <c r="U960" s="35"/>
      <c r="V960" s="35"/>
      <c r="W960" s="35"/>
      <c r="X960" s="35"/>
      <c r="Y960" s="35"/>
      <c r="Z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6"/>
      <c r="Q961" s="35"/>
      <c r="R961" s="35"/>
      <c r="S961" s="35"/>
      <c r="T961" s="35"/>
      <c r="U961" s="35"/>
      <c r="V961" s="35"/>
      <c r="W961" s="35"/>
      <c r="X961" s="35"/>
      <c r="Y961" s="35"/>
      <c r="Z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6"/>
      <c r="Q962" s="35"/>
      <c r="R962" s="35"/>
      <c r="S962" s="35"/>
      <c r="T962" s="35"/>
      <c r="U962" s="35"/>
      <c r="V962" s="35"/>
      <c r="W962" s="35"/>
      <c r="X962" s="35"/>
      <c r="Y962" s="35"/>
      <c r="Z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6"/>
      <c r="Q963" s="35"/>
      <c r="R963" s="35"/>
      <c r="S963" s="35"/>
      <c r="T963" s="35"/>
      <c r="U963" s="35"/>
      <c r="V963" s="35"/>
      <c r="W963" s="35"/>
      <c r="X963" s="35"/>
      <c r="Y963" s="35"/>
      <c r="Z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6"/>
      <c r="Q964" s="35"/>
      <c r="R964" s="35"/>
      <c r="S964" s="35"/>
      <c r="T964" s="35"/>
      <c r="U964" s="35"/>
      <c r="V964" s="35"/>
      <c r="W964" s="35"/>
      <c r="X964" s="35"/>
      <c r="Y964" s="35"/>
      <c r="Z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6"/>
      <c r="Q965" s="35"/>
      <c r="R965" s="35"/>
      <c r="S965" s="35"/>
      <c r="T965" s="35"/>
      <c r="U965" s="35"/>
      <c r="V965" s="35"/>
      <c r="W965" s="35"/>
      <c r="X965" s="35"/>
      <c r="Y965" s="35"/>
      <c r="Z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6"/>
      <c r="Q966" s="35"/>
      <c r="R966" s="35"/>
      <c r="S966" s="35"/>
      <c r="T966" s="35"/>
      <c r="U966" s="35"/>
      <c r="V966" s="35"/>
      <c r="W966" s="35"/>
      <c r="X966" s="35"/>
      <c r="Y966" s="35"/>
      <c r="Z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6"/>
      <c r="Q967" s="35"/>
      <c r="R967" s="35"/>
      <c r="S967" s="35"/>
      <c r="T967" s="35"/>
      <c r="U967" s="35"/>
      <c r="V967" s="35"/>
      <c r="W967" s="35"/>
      <c r="X967" s="35"/>
      <c r="Y967" s="35"/>
      <c r="Z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6"/>
      <c r="Q968" s="35"/>
      <c r="R968" s="35"/>
      <c r="S968" s="35"/>
      <c r="T968" s="35"/>
      <c r="U968" s="35"/>
      <c r="V968" s="35"/>
      <c r="W968" s="35"/>
      <c r="X968" s="35"/>
      <c r="Y968" s="35"/>
      <c r="Z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6"/>
      <c r="Q969" s="35"/>
      <c r="R969" s="35"/>
      <c r="S969" s="35"/>
      <c r="T969" s="35"/>
      <c r="U969" s="35"/>
      <c r="V969" s="35"/>
      <c r="W969" s="35"/>
      <c r="X969" s="35"/>
      <c r="Y969" s="35"/>
      <c r="Z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6"/>
      <c r="Q970" s="35"/>
      <c r="R970" s="35"/>
      <c r="S970" s="35"/>
      <c r="T970" s="35"/>
      <c r="U970" s="35"/>
      <c r="V970" s="35"/>
      <c r="W970" s="35"/>
      <c r="X970" s="35"/>
      <c r="Y970" s="35"/>
      <c r="Z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6"/>
      <c r="Q971" s="35"/>
      <c r="R971" s="35"/>
      <c r="S971" s="35"/>
      <c r="T971" s="35"/>
      <c r="U971" s="35"/>
      <c r="V971" s="35"/>
      <c r="W971" s="35"/>
      <c r="X971" s="35"/>
      <c r="Y971" s="35"/>
      <c r="Z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6"/>
      <c r="Q972" s="35"/>
      <c r="R972" s="35"/>
      <c r="S972" s="35"/>
      <c r="T972" s="35"/>
      <c r="U972" s="35"/>
      <c r="V972" s="35"/>
      <c r="W972" s="35"/>
      <c r="X972" s="35"/>
      <c r="Y972" s="35"/>
      <c r="Z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6"/>
      <c r="Q973" s="35"/>
      <c r="R973" s="35"/>
      <c r="S973" s="35"/>
      <c r="T973" s="35"/>
      <c r="U973" s="35"/>
      <c r="V973" s="35"/>
      <c r="W973" s="35"/>
      <c r="X973" s="35"/>
      <c r="Y973" s="35"/>
      <c r="Z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6"/>
      <c r="Q974" s="35"/>
      <c r="R974" s="35"/>
      <c r="S974" s="35"/>
      <c r="T974" s="35"/>
      <c r="U974" s="35"/>
      <c r="V974" s="35"/>
      <c r="W974" s="35"/>
      <c r="X974" s="35"/>
      <c r="Y974" s="35"/>
      <c r="Z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6"/>
      <c r="Q975" s="35"/>
      <c r="R975" s="35"/>
      <c r="S975" s="35"/>
      <c r="T975" s="35"/>
      <c r="U975" s="35"/>
      <c r="V975" s="35"/>
      <c r="W975" s="35"/>
      <c r="X975" s="35"/>
      <c r="Y975" s="35"/>
      <c r="Z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6"/>
      <c r="Q976" s="35"/>
      <c r="R976" s="35"/>
      <c r="S976" s="35"/>
      <c r="T976" s="35"/>
      <c r="U976" s="35"/>
      <c r="V976" s="35"/>
      <c r="W976" s="35"/>
      <c r="X976" s="35"/>
      <c r="Y976" s="35"/>
      <c r="Z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6"/>
      <c r="Q977" s="35"/>
      <c r="R977" s="35"/>
      <c r="S977" s="35"/>
      <c r="T977" s="35"/>
      <c r="U977" s="35"/>
      <c r="V977" s="35"/>
      <c r="W977" s="35"/>
      <c r="X977" s="35"/>
      <c r="Y977" s="35"/>
      <c r="Z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6"/>
      <c r="Q978" s="35"/>
      <c r="R978" s="35"/>
      <c r="S978" s="35"/>
      <c r="T978" s="35"/>
      <c r="U978" s="35"/>
      <c r="V978" s="35"/>
      <c r="W978" s="35"/>
      <c r="X978" s="35"/>
      <c r="Y978" s="35"/>
      <c r="Z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6"/>
      <c r="Q979" s="35"/>
      <c r="R979" s="35"/>
      <c r="S979" s="35"/>
      <c r="T979" s="35"/>
      <c r="U979" s="35"/>
      <c r="V979" s="35"/>
      <c r="W979" s="35"/>
      <c r="X979" s="35"/>
      <c r="Y979" s="35"/>
      <c r="Z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6"/>
      <c r="Q980" s="35"/>
      <c r="R980" s="35"/>
      <c r="S980" s="35"/>
      <c r="T980" s="35"/>
      <c r="U980" s="35"/>
      <c r="V980" s="35"/>
      <c r="W980" s="35"/>
      <c r="X980" s="35"/>
      <c r="Y980" s="35"/>
      <c r="Z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6"/>
      <c r="Q981" s="35"/>
      <c r="R981" s="35"/>
      <c r="S981" s="35"/>
      <c r="T981" s="35"/>
      <c r="U981" s="35"/>
      <c r="V981" s="35"/>
      <c r="W981" s="35"/>
      <c r="X981" s="35"/>
      <c r="Y981" s="35"/>
      <c r="Z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6"/>
      <c r="Q982" s="35"/>
      <c r="R982" s="35"/>
      <c r="S982" s="35"/>
      <c r="T982" s="35"/>
      <c r="U982" s="35"/>
      <c r="V982" s="35"/>
      <c r="W982" s="35"/>
      <c r="X982" s="35"/>
      <c r="Y982" s="35"/>
      <c r="Z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6"/>
      <c r="Q983" s="35"/>
      <c r="R983" s="35"/>
      <c r="S983" s="35"/>
      <c r="T983" s="35"/>
      <c r="U983" s="35"/>
      <c r="V983" s="35"/>
      <c r="W983" s="35"/>
      <c r="X983" s="35"/>
      <c r="Y983" s="35"/>
      <c r="Z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6"/>
      <c r="Q984" s="35"/>
      <c r="R984" s="35"/>
      <c r="S984" s="35"/>
      <c r="T984" s="35"/>
      <c r="U984" s="35"/>
      <c r="V984" s="35"/>
      <c r="W984" s="35"/>
      <c r="X984" s="35"/>
      <c r="Y984" s="35"/>
      <c r="Z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6"/>
      <c r="Q985" s="35"/>
      <c r="R985" s="35"/>
      <c r="S985" s="35"/>
      <c r="T985" s="35"/>
      <c r="U985" s="35"/>
      <c r="V985" s="35"/>
      <c r="W985" s="35"/>
      <c r="X985" s="35"/>
      <c r="Y985" s="35"/>
      <c r="Z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6"/>
      <c r="Q986" s="35"/>
      <c r="R986" s="35"/>
      <c r="S986" s="35"/>
      <c r="T986" s="35"/>
      <c r="U986" s="35"/>
      <c r="V986" s="35"/>
      <c r="W986" s="35"/>
      <c r="X986" s="35"/>
      <c r="Y986" s="35"/>
      <c r="Z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6"/>
      <c r="Q987" s="35"/>
      <c r="R987" s="35"/>
      <c r="S987" s="35"/>
      <c r="T987" s="35"/>
      <c r="U987" s="35"/>
      <c r="V987" s="35"/>
      <c r="W987" s="35"/>
      <c r="X987" s="35"/>
      <c r="Y987" s="35"/>
      <c r="Z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6"/>
      <c r="Q988" s="35"/>
      <c r="R988" s="35"/>
      <c r="S988" s="35"/>
      <c r="T988" s="35"/>
      <c r="U988" s="35"/>
      <c r="V988" s="35"/>
      <c r="W988" s="35"/>
      <c r="X988" s="35"/>
      <c r="Y988" s="35"/>
      <c r="Z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6"/>
      <c r="Q989" s="35"/>
      <c r="R989" s="35"/>
      <c r="S989" s="35"/>
      <c r="T989" s="35"/>
      <c r="U989" s="35"/>
      <c r="V989" s="35"/>
      <c r="W989" s="35"/>
      <c r="X989" s="35"/>
      <c r="Y989" s="35"/>
      <c r="Z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6"/>
      <c r="Q990" s="35"/>
      <c r="R990" s="35"/>
      <c r="S990" s="35"/>
      <c r="T990" s="35"/>
      <c r="U990" s="35"/>
      <c r="V990" s="35"/>
      <c r="W990" s="35"/>
      <c r="X990" s="35"/>
      <c r="Y990" s="35"/>
      <c r="Z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6"/>
      <c r="Q991" s="35"/>
      <c r="R991" s="35"/>
      <c r="S991" s="35"/>
      <c r="T991" s="35"/>
      <c r="U991" s="35"/>
      <c r="V991" s="35"/>
      <c r="W991" s="35"/>
      <c r="X991" s="35"/>
      <c r="Y991" s="35"/>
      <c r="Z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6"/>
      <c r="Q992" s="35"/>
      <c r="R992" s="35"/>
      <c r="S992" s="35"/>
      <c r="T992" s="35"/>
      <c r="U992" s="35"/>
      <c r="V992" s="35"/>
      <c r="W992" s="35"/>
      <c r="X992" s="35"/>
      <c r="Y992" s="35"/>
      <c r="Z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6"/>
      <c r="Q993" s="35"/>
      <c r="R993" s="35"/>
      <c r="S993" s="35"/>
      <c r="T993" s="35"/>
      <c r="U993" s="35"/>
      <c r="V993" s="35"/>
      <c r="W993" s="35"/>
      <c r="X993" s="35"/>
      <c r="Y993" s="35"/>
      <c r="Z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6"/>
      <c r="Q994" s="35"/>
      <c r="R994" s="35"/>
      <c r="S994" s="35"/>
      <c r="T994" s="35"/>
      <c r="U994" s="35"/>
      <c r="V994" s="35"/>
      <c r="W994" s="35"/>
      <c r="X994" s="35"/>
      <c r="Y994" s="35"/>
      <c r="Z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6"/>
      <c r="Q995" s="35"/>
      <c r="R995" s="35"/>
      <c r="S995" s="35"/>
      <c r="T995" s="35"/>
      <c r="U995" s="35"/>
      <c r="V995" s="35"/>
      <c r="W995" s="35"/>
      <c r="X995" s="35"/>
      <c r="Y995" s="35"/>
      <c r="Z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6"/>
      <c r="Q996" s="35"/>
      <c r="R996" s="35"/>
      <c r="S996" s="35"/>
      <c r="T996" s="35"/>
      <c r="U996" s="35"/>
      <c r="V996" s="35"/>
      <c r="W996" s="35"/>
      <c r="X996" s="35"/>
      <c r="Y996" s="35"/>
      <c r="Z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6"/>
      <c r="Q997" s="35"/>
      <c r="R997" s="35"/>
      <c r="S997" s="35"/>
      <c r="T997" s="35"/>
      <c r="U997" s="35"/>
      <c r="V997" s="35"/>
      <c r="W997" s="35"/>
      <c r="X997" s="35"/>
      <c r="Y997" s="35"/>
      <c r="Z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6"/>
      <c r="Q998" s="35"/>
      <c r="R998" s="35"/>
      <c r="S998" s="35"/>
      <c r="T998" s="35"/>
      <c r="U998" s="35"/>
      <c r="V998" s="35"/>
      <c r="W998" s="35"/>
      <c r="X998" s="35"/>
      <c r="Y998" s="35"/>
      <c r="Z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6"/>
      <c r="Q999" s="35"/>
      <c r="R999" s="35"/>
      <c r="S999" s="35"/>
      <c r="T999" s="35"/>
      <c r="U999" s="35"/>
      <c r="V999" s="35"/>
      <c r="W999" s="35"/>
      <c r="X999" s="35"/>
      <c r="Y999" s="35"/>
      <c r="Z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6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</row>
  </sheetData>
  <mergeCells count="264">
    <mergeCell ref="A100:A105"/>
    <mergeCell ref="B100:B105"/>
    <mergeCell ref="C100:C105"/>
    <mergeCell ref="D100:D105"/>
    <mergeCell ref="B106:B111"/>
    <mergeCell ref="C106:C111"/>
    <mergeCell ref="D106:D111"/>
    <mergeCell ref="A106:A111"/>
    <mergeCell ref="A112:A117"/>
    <mergeCell ref="B112:B117"/>
    <mergeCell ref="C112:C117"/>
    <mergeCell ref="D112:D117"/>
    <mergeCell ref="A118:A123"/>
    <mergeCell ref="B118:B123"/>
    <mergeCell ref="C142:C147"/>
    <mergeCell ref="D142:D147"/>
    <mergeCell ref="A130:A135"/>
    <mergeCell ref="A136:A141"/>
    <mergeCell ref="B136:B141"/>
    <mergeCell ref="C136:C141"/>
    <mergeCell ref="D136:D141"/>
    <mergeCell ref="A142:A147"/>
    <mergeCell ref="B142:B147"/>
    <mergeCell ref="A148:A153"/>
    <mergeCell ref="B148:B153"/>
    <mergeCell ref="C148:C153"/>
    <mergeCell ref="D148:D153"/>
    <mergeCell ref="B154:B159"/>
    <mergeCell ref="C154:C159"/>
    <mergeCell ref="D154:D159"/>
    <mergeCell ref="A154:A159"/>
    <mergeCell ref="A160:A165"/>
    <mergeCell ref="B160:B165"/>
    <mergeCell ref="C160:C165"/>
    <mergeCell ref="D160:D165"/>
    <mergeCell ref="A166:A171"/>
    <mergeCell ref="B166:B171"/>
    <mergeCell ref="B178:B183"/>
    <mergeCell ref="C178:C183"/>
    <mergeCell ref="C166:C171"/>
    <mergeCell ref="D166:D171"/>
    <mergeCell ref="A172:A177"/>
    <mergeCell ref="B172:B177"/>
    <mergeCell ref="C172:C177"/>
    <mergeCell ref="D172:D177"/>
    <mergeCell ref="D178:D183"/>
    <mergeCell ref="C190:C195"/>
    <mergeCell ref="D190:D195"/>
    <mergeCell ref="A178:A183"/>
    <mergeCell ref="A184:A189"/>
    <mergeCell ref="B184:B189"/>
    <mergeCell ref="C184:C189"/>
    <mergeCell ref="D184:D189"/>
    <mergeCell ref="A190:A195"/>
    <mergeCell ref="B190:B195"/>
    <mergeCell ref="A22:A27"/>
    <mergeCell ref="B22:B27"/>
    <mergeCell ref="C22:C27"/>
    <mergeCell ref="D22:D27"/>
    <mergeCell ref="B28:B33"/>
    <mergeCell ref="C28:C33"/>
    <mergeCell ref="D28:D33"/>
    <mergeCell ref="A28:A33"/>
    <mergeCell ref="A34:A39"/>
    <mergeCell ref="B34:B39"/>
    <mergeCell ref="C34:C39"/>
    <mergeCell ref="D34:D39"/>
    <mergeCell ref="A40:A45"/>
    <mergeCell ref="B40:B45"/>
    <mergeCell ref="A52:A57"/>
    <mergeCell ref="B52:B57"/>
    <mergeCell ref="C52:C57"/>
    <mergeCell ref="D52:D57"/>
    <mergeCell ref="B58:B63"/>
    <mergeCell ref="C58:C63"/>
    <mergeCell ref="D58:D63"/>
    <mergeCell ref="C70:C75"/>
    <mergeCell ref="D70:D75"/>
    <mergeCell ref="A58:A63"/>
    <mergeCell ref="A64:A69"/>
    <mergeCell ref="B64:B69"/>
    <mergeCell ref="C64:C69"/>
    <mergeCell ref="D64:D69"/>
    <mergeCell ref="A70:A75"/>
    <mergeCell ref="B70:B75"/>
    <mergeCell ref="C94:C99"/>
    <mergeCell ref="D94:D99"/>
    <mergeCell ref="A196:A201"/>
    <mergeCell ref="B196:B201"/>
    <mergeCell ref="C196:C201"/>
    <mergeCell ref="D196:D201"/>
    <mergeCell ref="M184:M186"/>
    <mergeCell ref="M190:M192"/>
    <mergeCell ref="M166:M168"/>
    <mergeCell ref="N166:N171"/>
    <mergeCell ref="M172:M174"/>
    <mergeCell ref="N172:N177"/>
    <mergeCell ref="M178:M180"/>
    <mergeCell ref="N178:N183"/>
    <mergeCell ref="N184:N189"/>
    <mergeCell ref="N100:N105"/>
    <mergeCell ref="N106:N111"/>
    <mergeCell ref="N82:N87"/>
    <mergeCell ref="M88:M90"/>
    <mergeCell ref="N88:N93"/>
    <mergeCell ref="M94:M96"/>
    <mergeCell ref="N94:N99"/>
    <mergeCell ref="M100:M102"/>
    <mergeCell ref="M106:M108"/>
    <mergeCell ref="M130:M132"/>
    <mergeCell ref="M136:M138"/>
    <mergeCell ref="M112:M114"/>
    <mergeCell ref="N112:N117"/>
    <mergeCell ref="M118:M120"/>
    <mergeCell ref="N118:N123"/>
    <mergeCell ref="M124:M126"/>
    <mergeCell ref="N124:N129"/>
    <mergeCell ref="N130:N135"/>
    <mergeCell ref="N154:N159"/>
    <mergeCell ref="N160:N165"/>
    <mergeCell ref="N136:N141"/>
    <mergeCell ref="M142:M144"/>
    <mergeCell ref="N142:N147"/>
    <mergeCell ref="M148:M150"/>
    <mergeCell ref="N148:N153"/>
    <mergeCell ref="M154:M156"/>
    <mergeCell ref="M160:M162"/>
    <mergeCell ref="N190:N195"/>
    <mergeCell ref="M196:M198"/>
    <mergeCell ref="N196:N201"/>
    <mergeCell ref="O28:O33"/>
    <mergeCell ref="P28:P33"/>
    <mergeCell ref="M16:M18"/>
    <mergeCell ref="M22:M24"/>
    <mergeCell ref="N22:N27"/>
    <mergeCell ref="O22:O27"/>
    <mergeCell ref="P22:P27"/>
    <mergeCell ref="M28:M30"/>
    <mergeCell ref="M34:M36"/>
    <mergeCell ref="B4:B9"/>
    <mergeCell ref="C4:C9"/>
    <mergeCell ref="D4:D9"/>
    <mergeCell ref="M4:M6"/>
    <mergeCell ref="O4:O9"/>
    <mergeCell ref="P4:P9"/>
    <mergeCell ref="M10:M12"/>
    <mergeCell ref="C16:C21"/>
    <mergeCell ref="D16:D21"/>
    <mergeCell ref="A4:A9"/>
    <mergeCell ref="A10:A15"/>
    <mergeCell ref="B10:B15"/>
    <mergeCell ref="C10:C15"/>
    <mergeCell ref="D10:D15"/>
    <mergeCell ref="A16:A21"/>
    <mergeCell ref="B16:B21"/>
    <mergeCell ref="N4:N9"/>
    <mergeCell ref="N10:N15"/>
    <mergeCell ref="O10:O15"/>
    <mergeCell ref="P10:P15"/>
    <mergeCell ref="N16:N21"/>
    <mergeCell ref="O16:O21"/>
    <mergeCell ref="P16:P21"/>
    <mergeCell ref="C40:C45"/>
    <mergeCell ref="D40:D45"/>
    <mergeCell ref="A46:A51"/>
    <mergeCell ref="B46:B51"/>
    <mergeCell ref="C46:C51"/>
    <mergeCell ref="D46:D51"/>
    <mergeCell ref="N28:N33"/>
    <mergeCell ref="N34:N39"/>
    <mergeCell ref="O34:O39"/>
    <mergeCell ref="P34:P39"/>
    <mergeCell ref="N40:N45"/>
    <mergeCell ref="O40:O45"/>
    <mergeCell ref="P40:P45"/>
    <mergeCell ref="A76:A81"/>
    <mergeCell ref="B76:B81"/>
    <mergeCell ref="C76:C81"/>
    <mergeCell ref="D76:D81"/>
    <mergeCell ref="B82:B87"/>
    <mergeCell ref="C82:C87"/>
    <mergeCell ref="D82:D87"/>
    <mergeCell ref="A82:A87"/>
    <mergeCell ref="A88:A93"/>
    <mergeCell ref="B88:B93"/>
    <mergeCell ref="C88:C93"/>
    <mergeCell ref="D88:D93"/>
    <mergeCell ref="A94:A99"/>
    <mergeCell ref="B94:B99"/>
    <mergeCell ref="P124:P129"/>
    <mergeCell ref="P130:P135"/>
    <mergeCell ref="P82:P87"/>
    <mergeCell ref="P88:P93"/>
    <mergeCell ref="P94:P99"/>
    <mergeCell ref="P100:P105"/>
    <mergeCell ref="P106:P111"/>
    <mergeCell ref="P112:P117"/>
    <mergeCell ref="P118:P123"/>
    <mergeCell ref="B130:B135"/>
    <mergeCell ref="C130:C135"/>
    <mergeCell ref="C118:C123"/>
    <mergeCell ref="D118:D123"/>
    <mergeCell ref="A124:A129"/>
    <mergeCell ref="B124:B129"/>
    <mergeCell ref="C124:C129"/>
    <mergeCell ref="D124:D129"/>
    <mergeCell ref="D130:D135"/>
    <mergeCell ref="O166:O171"/>
    <mergeCell ref="O172:O177"/>
    <mergeCell ref="O178:O183"/>
    <mergeCell ref="O184:O189"/>
    <mergeCell ref="O190:O195"/>
    <mergeCell ref="O196:O201"/>
    <mergeCell ref="P172:P177"/>
    <mergeCell ref="P178:P183"/>
    <mergeCell ref="P184:P189"/>
    <mergeCell ref="P190:P195"/>
    <mergeCell ref="P196:P201"/>
    <mergeCell ref="O148:O153"/>
    <mergeCell ref="P148:P153"/>
    <mergeCell ref="O154:O159"/>
    <mergeCell ref="P154:P159"/>
    <mergeCell ref="O160:O165"/>
    <mergeCell ref="P160:P165"/>
    <mergeCell ref="P166:P171"/>
    <mergeCell ref="O52:O57"/>
    <mergeCell ref="P52:P57"/>
    <mergeCell ref="M40:M42"/>
    <mergeCell ref="M46:M48"/>
    <mergeCell ref="N46:N51"/>
    <mergeCell ref="O46:O51"/>
    <mergeCell ref="P46:P51"/>
    <mergeCell ref="M52:M54"/>
    <mergeCell ref="M58:M60"/>
    <mergeCell ref="M76:M78"/>
    <mergeCell ref="M82:M84"/>
    <mergeCell ref="N52:N57"/>
    <mergeCell ref="N58:N63"/>
    <mergeCell ref="M64:M66"/>
    <mergeCell ref="N64:N69"/>
    <mergeCell ref="M70:M72"/>
    <mergeCell ref="N70:N75"/>
    <mergeCell ref="N76:N81"/>
    <mergeCell ref="O58:O63"/>
    <mergeCell ref="P58:P63"/>
    <mergeCell ref="O64:O69"/>
    <mergeCell ref="P64:P69"/>
    <mergeCell ref="O70:O75"/>
    <mergeCell ref="P70:P75"/>
    <mergeCell ref="P76:P81"/>
    <mergeCell ref="O76:O81"/>
    <mergeCell ref="O82:O87"/>
    <mergeCell ref="O88:O93"/>
    <mergeCell ref="O94:O99"/>
    <mergeCell ref="O100:O105"/>
    <mergeCell ref="O106:O111"/>
    <mergeCell ref="O112:O117"/>
    <mergeCell ref="O118:O123"/>
    <mergeCell ref="O124:O129"/>
    <mergeCell ref="O130:O135"/>
    <mergeCell ref="O136:O141"/>
    <mergeCell ref="P136:P141"/>
    <mergeCell ref="O142:O147"/>
    <mergeCell ref="P142:P147"/>
  </mergeCells>
  <dataValidations>
    <dataValidation type="list" allowBlank="1" showErrorMessage="1" sqref="F4:L4 F10:L10 F16:L16 F22:L22 F28:L28 F34:L34 F40:L40 F46:L46 F52:L52 F58:L58 F64:L64 F70:L70 F76:L76 F82:L82 F88:L88 F94:L94 F100:L100 F106:L106 F112:L112 F118:L118 F124:L124 F130:L130 F136:L136 F142:L142 F148:L148 F154:L154 F160:L160 F166:L166 F172:L172 F178:L178 F184:L184 F190:L190 F196:L196">
      <formula1>"ENROUTE,READY,HOME,SHOP,REST,INACTIVE,HOS,DEL LATE"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18.4"/>
    <col customWidth="1" min="2" max="3" width="9.5"/>
    <col customWidth="1" min="4" max="4" width="10.6"/>
    <col customWidth="1" min="5" max="5" width="9.5"/>
    <col customWidth="1" min="6" max="6" width="21.4"/>
    <col customWidth="1" min="7" max="10" width="9.5"/>
    <col customWidth="1" min="11" max="11" width="20.2"/>
    <col customWidth="1" min="12" max="15" width="9.5"/>
    <col customWidth="1" min="16" max="16" width="20.2"/>
    <col customWidth="1" min="17" max="105" width="9.5"/>
    <col customWidth="1" min="106" max="106" width="22.0"/>
    <col customWidth="1" min="107" max="115" width="9.5"/>
    <col customWidth="1" min="116" max="116" width="23.3"/>
    <col customWidth="1" min="117" max="120" width="9.5"/>
  </cols>
  <sheetData>
    <row r="1" ht="15.75" customHeight="1">
      <c r="A1" s="125" t="s">
        <v>566</v>
      </c>
      <c r="D1" s="126"/>
      <c r="F1" s="125" t="s">
        <v>567</v>
      </c>
      <c r="K1" s="125" t="s">
        <v>568</v>
      </c>
      <c r="P1" s="125" t="s">
        <v>569</v>
      </c>
      <c r="U1" s="125" t="s">
        <v>570</v>
      </c>
      <c r="Z1" s="125" t="s">
        <v>571</v>
      </c>
      <c r="AE1" s="125" t="s">
        <v>572</v>
      </c>
      <c r="AJ1" s="125" t="s">
        <v>573</v>
      </c>
      <c r="AO1" s="125" t="s">
        <v>574</v>
      </c>
      <c r="AT1" s="125" t="s">
        <v>575</v>
      </c>
      <c r="AY1" s="125" t="s">
        <v>576</v>
      </c>
      <c r="BD1" s="125" t="s">
        <v>577</v>
      </c>
      <c r="BI1" s="125" t="s">
        <v>578</v>
      </c>
      <c r="BN1" s="125" t="s">
        <v>579</v>
      </c>
      <c r="BS1" s="125" t="s">
        <v>580</v>
      </c>
      <c r="BX1" s="125" t="s">
        <v>581</v>
      </c>
      <c r="CC1" s="125" t="s">
        <v>582</v>
      </c>
      <c r="CH1" s="125" t="s">
        <v>583</v>
      </c>
      <c r="CM1" s="125" t="s">
        <v>584</v>
      </c>
      <c r="CR1" s="125" t="s">
        <v>585</v>
      </c>
      <c r="CW1" s="125" t="s">
        <v>586</v>
      </c>
      <c r="DB1" s="127" t="s">
        <v>587</v>
      </c>
      <c r="DG1" s="125" t="s">
        <v>588</v>
      </c>
      <c r="DL1" s="125" t="s">
        <v>589</v>
      </c>
    </row>
    <row r="2" ht="15.75" customHeight="1">
      <c r="A2" s="128"/>
      <c r="B2" s="128"/>
      <c r="C2" s="128"/>
      <c r="D2" s="128"/>
    </row>
    <row r="3" ht="15.75" customHeight="1">
      <c r="A3" s="128" t="s">
        <v>351</v>
      </c>
      <c r="B3" s="128" t="s">
        <v>352</v>
      </c>
      <c r="C3" s="128" t="s">
        <v>354</v>
      </c>
      <c r="D3" s="128" t="s">
        <v>590</v>
      </c>
      <c r="E3" s="128" t="s">
        <v>591</v>
      </c>
      <c r="F3" s="128" t="s">
        <v>351</v>
      </c>
      <c r="G3" s="128" t="s">
        <v>352</v>
      </c>
      <c r="H3" s="128" t="s">
        <v>354</v>
      </c>
      <c r="I3" s="128" t="s">
        <v>590</v>
      </c>
      <c r="J3" s="128" t="s">
        <v>591</v>
      </c>
      <c r="K3" s="128" t="s">
        <v>351</v>
      </c>
      <c r="L3" s="128" t="s">
        <v>352</v>
      </c>
      <c r="M3" s="128" t="s">
        <v>354</v>
      </c>
      <c r="N3" s="128" t="s">
        <v>590</v>
      </c>
      <c r="O3" s="128" t="s">
        <v>591</v>
      </c>
      <c r="P3" s="128"/>
      <c r="Q3" s="128" t="s">
        <v>352</v>
      </c>
      <c r="R3" s="128" t="s">
        <v>354</v>
      </c>
      <c r="S3" s="128" t="s">
        <v>590</v>
      </c>
      <c r="T3" s="128" t="s">
        <v>591</v>
      </c>
      <c r="U3" s="128" t="s">
        <v>351</v>
      </c>
      <c r="V3" s="128" t="s">
        <v>352</v>
      </c>
      <c r="W3" s="128" t="s">
        <v>354</v>
      </c>
      <c r="X3" s="128" t="s">
        <v>590</v>
      </c>
      <c r="Y3" s="128" t="s">
        <v>591</v>
      </c>
      <c r="Z3" s="128" t="s">
        <v>351</v>
      </c>
      <c r="AA3" s="128" t="s">
        <v>352</v>
      </c>
      <c r="AB3" s="128" t="s">
        <v>354</v>
      </c>
      <c r="AC3" s="128" t="s">
        <v>590</v>
      </c>
      <c r="AD3" s="128" t="s">
        <v>591</v>
      </c>
      <c r="AE3" s="128" t="s">
        <v>351</v>
      </c>
      <c r="AF3" s="128" t="s">
        <v>352</v>
      </c>
      <c r="AG3" s="128" t="s">
        <v>354</v>
      </c>
      <c r="AH3" s="128" t="s">
        <v>590</v>
      </c>
      <c r="AI3" s="128" t="s">
        <v>591</v>
      </c>
      <c r="AJ3" s="128" t="s">
        <v>351</v>
      </c>
      <c r="AK3" s="128" t="s">
        <v>352</v>
      </c>
      <c r="AL3" s="128" t="s">
        <v>354</v>
      </c>
      <c r="AM3" s="128" t="s">
        <v>590</v>
      </c>
      <c r="AN3" s="128" t="s">
        <v>591</v>
      </c>
      <c r="AO3" s="128" t="s">
        <v>351</v>
      </c>
      <c r="AP3" s="128" t="s">
        <v>352</v>
      </c>
      <c r="AQ3" s="128" t="s">
        <v>354</v>
      </c>
      <c r="AR3" s="128" t="s">
        <v>590</v>
      </c>
      <c r="AS3" s="128" t="s">
        <v>591</v>
      </c>
      <c r="AT3" s="128" t="s">
        <v>351</v>
      </c>
      <c r="AU3" s="128" t="s">
        <v>352</v>
      </c>
      <c r="AV3" s="128" t="s">
        <v>354</v>
      </c>
      <c r="AW3" s="128" t="s">
        <v>590</v>
      </c>
      <c r="AX3" s="128" t="s">
        <v>591</v>
      </c>
      <c r="AY3" s="128" t="s">
        <v>351</v>
      </c>
      <c r="AZ3" s="128" t="s">
        <v>352</v>
      </c>
      <c r="BA3" s="128" t="s">
        <v>354</v>
      </c>
      <c r="BB3" s="128" t="s">
        <v>590</v>
      </c>
      <c r="BC3" s="128" t="s">
        <v>591</v>
      </c>
      <c r="BD3" s="128" t="s">
        <v>351</v>
      </c>
      <c r="BE3" s="128" t="s">
        <v>352</v>
      </c>
      <c r="BF3" s="128" t="s">
        <v>354</v>
      </c>
      <c r="BG3" s="128" t="s">
        <v>590</v>
      </c>
      <c r="BH3" s="128" t="s">
        <v>591</v>
      </c>
      <c r="BI3" s="128" t="s">
        <v>351</v>
      </c>
      <c r="BJ3" s="128" t="s">
        <v>352</v>
      </c>
      <c r="BK3" s="128" t="s">
        <v>354</v>
      </c>
      <c r="BL3" s="128" t="s">
        <v>590</v>
      </c>
      <c r="BM3" s="128" t="s">
        <v>591</v>
      </c>
      <c r="BN3" s="128" t="s">
        <v>351</v>
      </c>
      <c r="BO3" s="128" t="s">
        <v>352</v>
      </c>
      <c r="BP3" s="128" t="s">
        <v>354</v>
      </c>
      <c r="BQ3" s="128" t="s">
        <v>590</v>
      </c>
      <c r="BR3" s="128" t="s">
        <v>591</v>
      </c>
      <c r="BS3" s="128" t="s">
        <v>351</v>
      </c>
      <c r="BT3" s="128" t="s">
        <v>352</v>
      </c>
      <c r="BU3" s="128" t="s">
        <v>354</v>
      </c>
      <c r="BV3" s="128" t="s">
        <v>590</v>
      </c>
      <c r="BW3" s="128" t="s">
        <v>591</v>
      </c>
      <c r="BX3" s="128" t="s">
        <v>351</v>
      </c>
      <c r="BY3" s="128" t="s">
        <v>352</v>
      </c>
      <c r="BZ3" s="128" t="s">
        <v>354</v>
      </c>
      <c r="CA3" s="128" t="s">
        <v>590</v>
      </c>
      <c r="CB3" s="128" t="s">
        <v>591</v>
      </c>
      <c r="CC3" s="128" t="s">
        <v>351</v>
      </c>
      <c r="CD3" s="128" t="s">
        <v>352</v>
      </c>
      <c r="CE3" s="128" t="s">
        <v>354</v>
      </c>
      <c r="CF3" s="128" t="s">
        <v>590</v>
      </c>
      <c r="CG3" s="128" t="s">
        <v>591</v>
      </c>
      <c r="CH3" s="128" t="s">
        <v>351</v>
      </c>
      <c r="CI3" s="128" t="s">
        <v>352</v>
      </c>
      <c r="CJ3" s="128" t="s">
        <v>354</v>
      </c>
      <c r="CK3" s="128" t="s">
        <v>590</v>
      </c>
      <c r="CL3" s="128" t="s">
        <v>591</v>
      </c>
      <c r="CM3" s="128" t="s">
        <v>351</v>
      </c>
      <c r="CN3" s="128" t="s">
        <v>352</v>
      </c>
      <c r="CO3" s="128" t="s">
        <v>354</v>
      </c>
      <c r="CP3" s="128" t="s">
        <v>590</v>
      </c>
      <c r="CQ3" s="128" t="s">
        <v>591</v>
      </c>
      <c r="CR3" s="128" t="s">
        <v>351</v>
      </c>
      <c r="CS3" s="128" t="s">
        <v>352</v>
      </c>
      <c r="CT3" s="128" t="s">
        <v>354</v>
      </c>
      <c r="CU3" s="128" t="s">
        <v>355</v>
      </c>
      <c r="CV3" s="128" t="s">
        <v>591</v>
      </c>
      <c r="CW3" s="128" t="s">
        <v>351</v>
      </c>
      <c r="CX3" s="128" t="s">
        <v>352</v>
      </c>
      <c r="CY3" s="128" t="s">
        <v>354</v>
      </c>
      <c r="CZ3" s="128" t="s">
        <v>355</v>
      </c>
      <c r="DA3" s="128" t="s">
        <v>591</v>
      </c>
      <c r="DB3" s="128" t="s">
        <v>351</v>
      </c>
      <c r="DC3" s="128" t="s">
        <v>352</v>
      </c>
      <c r="DD3" s="128" t="s">
        <v>354</v>
      </c>
      <c r="DE3" s="128" t="s">
        <v>355</v>
      </c>
      <c r="DF3" s="128" t="s">
        <v>591</v>
      </c>
      <c r="DG3" s="128" t="s">
        <v>351</v>
      </c>
      <c r="DH3" s="128" t="s">
        <v>352</v>
      </c>
      <c r="DI3" s="128" t="s">
        <v>354</v>
      </c>
      <c r="DJ3" s="128" t="s">
        <v>590</v>
      </c>
      <c r="DK3" s="128" t="s">
        <v>591</v>
      </c>
      <c r="DL3" s="128" t="s">
        <v>351</v>
      </c>
      <c r="DM3" s="128" t="s">
        <v>352</v>
      </c>
      <c r="DN3" s="128" t="s">
        <v>354</v>
      </c>
      <c r="DO3" s="128" t="s">
        <v>355</v>
      </c>
      <c r="DP3" s="128" t="s">
        <v>591</v>
      </c>
    </row>
    <row r="4" ht="15.75" customHeight="1">
      <c r="A4" s="125" t="s">
        <v>592</v>
      </c>
      <c r="B4" s="125">
        <v>913.0</v>
      </c>
      <c r="C4" s="126">
        <v>1.93</v>
      </c>
      <c r="D4" s="126">
        <v>7910.0</v>
      </c>
      <c r="E4" s="129">
        <v>4089.0</v>
      </c>
      <c r="F4" s="128" t="s">
        <v>592</v>
      </c>
      <c r="G4" s="125">
        <v>913.0</v>
      </c>
      <c r="H4" s="126">
        <v>1.77</v>
      </c>
      <c r="I4" s="126">
        <v>7600.0</v>
      </c>
      <c r="J4" s="129">
        <v>4293.0</v>
      </c>
      <c r="K4" s="128" t="s">
        <v>430</v>
      </c>
      <c r="L4" s="125">
        <v>8479.0</v>
      </c>
      <c r="M4" s="125">
        <v>1.76</v>
      </c>
      <c r="N4" s="129">
        <v>9800.0</v>
      </c>
      <c r="O4" s="129">
        <v>5570.0</v>
      </c>
      <c r="P4" s="128" t="s">
        <v>430</v>
      </c>
      <c r="Q4" s="125">
        <v>8479.0</v>
      </c>
      <c r="R4" s="125">
        <v>1.77</v>
      </c>
      <c r="S4" s="126">
        <v>9400.0</v>
      </c>
      <c r="T4" s="129">
        <v>5312.0</v>
      </c>
      <c r="U4" s="128" t="s">
        <v>430</v>
      </c>
      <c r="V4" s="125">
        <v>8479.0</v>
      </c>
      <c r="W4" s="125" t="s">
        <v>593</v>
      </c>
      <c r="X4" s="126">
        <v>0.0</v>
      </c>
      <c r="Y4" s="125">
        <v>0.0</v>
      </c>
      <c r="Z4" s="128" t="s">
        <v>430</v>
      </c>
      <c r="AA4" s="125">
        <v>8479.0</v>
      </c>
      <c r="AB4" s="125">
        <v>1.74</v>
      </c>
      <c r="AC4" s="126">
        <v>6000.0</v>
      </c>
      <c r="AD4" s="129">
        <v>3457.0</v>
      </c>
      <c r="AE4" s="125" t="s">
        <v>430</v>
      </c>
      <c r="AF4" s="125">
        <v>8479.0</v>
      </c>
      <c r="AG4" s="126">
        <v>1.91</v>
      </c>
      <c r="AH4" s="130">
        <v>10049.0</v>
      </c>
      <c r="AI4" s="129">
        <v>5272.0</v>
      </c>
      <c r="AJ4" s="125" t="s">
        <v>430</v>
      </c>
      <c r="AK4" s="125">
        <v>8479.0</v>
      </c>
      <c r="AL4" s="126">
        <v>1.79</v>
      </c>
      <c r="AM4" s="126">
        <v>7600.0</v>
      </c>
      <c r="AN4" s="129">
        <v>4257.0</v>
      </c>
      <c r="AO4" s="125" t="s">
        <v>430</v>
      </c>
      <c r="AP4" s="125">
        <v>8479.0</v>
      </c>
      <c r="AQ4" s="125" t="e">
        <v>#DIV/0!</v>
      </c>
      <c r="AR4" s="126">
        <v>0.0</v>
      </c>
      <c r="AS4" s="125">
        <v>0.0</v>
      </c>
      <c r="AT4" s="125" t="s">
        <v>430</v>
      </c>
      <c r="AU4" s="125">
        <v>8479.0</v>
      </c>
      <c r="AV4" s="126">
        <v>2.0</v>
      </c>
      <c r="AW4" s="126">
        <v>10800.0</v>
      </c>
      <c r="AX4" s="125">
        <v>5413.0</v>
      </c>
      <c r="AY4" s="125" t="s">
        <v>430</v>
      </c>
      <c r="AZ4" s="125">
        <v>8479.0</v>
      </c>
      <c r="BA4" s="126">
        <v>1.49</v>
      </c>
      <c r="BB4" s="126">
        <v>2600.0</v>
      </c>
      <c r="BC4" s="129">
        <v>1748.0</v>
      </c>
      <c r="BD4" s="125" t="s">
        <v>430</v>
      </c>
      <c r="BE4" s="125">
        <v>8479.0</v>
      </c>
      <c r="BF4" s="126">
        <v>2.01</v>
      </c>
      <c r="BG4" s="126">
        <v>3500.0</v>
      </c>
      <c r="BH4" s="129">
        <v>1737.0</v>
      </c>
      <c r="BI4" s="125" t="s">
        <v>594</v>
      </c>
      <c r="BJ4" s="125">
        <v>3819.0</v>
      </c>
      <c r="BK4" s="126">
        <v>1.16</v>
      </c>
      <c r="BL4" s="126">
        <v>1650.0</v>
      </c>
      <c r="BM4" s="129">
        <v>1425.0</v>
      </c>
      <c r="BN4" s="128" t="s">
        <v>594</v>
      </c>
      <c r="BO4" s="125">
        <v>3819.0</v>
      </c>
      <c r="BP4" s="126">
        <v>1.74</v>
      </c>
      <c r="BQ4" s="126">
        <v>6060.0</v>
      </c>
      <c r="BR4" s="125">
        <v>3479.0</v>
      </c>
      <c r="BS4" s="128" t="s">
        <v>594</v>
      </c>
      <c r="BT4" s="125">
        <v>3819.0</v>
      </c>
      <c r="BU4" s="126">
        <v>1.93</v>
      </c>
      <c r="BV4" s="126">
        <v>10600.0</v>
      </c>
      <c r="BW4" s="125">
        <v>5485.0</v>
      </c>
      <c r="BX4" s="128" t="s">
        <v>594</v>
      </c>
      <c r="BY4" s="125">
        <v>3819.0</v>
      </c>
      <c r="BZ4" s="126">
        <v>1.12</v>
      </c>
      <c r="CA4" s="126">
        <v>5250.0</v>
      </c>
      <c r="CB4" s="129">
        <v>4684.0</v>
      </c>
      <c r="CC4" s="128" t="s">
        <v>539</v>
      </c>
      <c r="CD4" s="125">
        <v>514.0</v>
      </c>
      <c r="CE4" s="125" t="e">
        <v>#DIV/0!</v>
      </c>
      <c r="CF4" s="126">
        <v>0.0</v>
      </c>
      <c r="CG4" s="125">
        <v>0.0</v>
      </c>
      <c r="CH4" s="128" t="s">
        <v>528</v>
      </c>
      <c r="CI4" s="125">
        <v>9348.0</v>
      </c>
      <c r="CJ4" s="126">
        <v>1.9</v>
      </c>
      <c r="CK4" s="126">
        <v>7200.0</v>
      </c>
      <c r="CL4" s="129">
        <v>3787.0</v>
      </c>
      <c r="CM4" s="125" t="s">
        <v>365</v>
      </c>
      <c r="CN4" s="125">
        <v>2319.0</v>
      </c>
      <c r="CO4" s="125">
        <v>1.84</v>
      </c>
      <c r="CP4" s="126">
        <v>9320.0</v>
      </c>
      <c r="CQ4" s="129">
        <v>5056.0</v>
      </c>
      <c r="CR4" s="125" t="s">
        <v>365</v>
      </c>
      <c r="CS4" s="125">
        <v>2319.0</v>
      </c>
      <c r="CT4" s="125">
        <v>1.86</v>
      </c>
      <c r="CU4" s="126">
        <v>6845.0</v>
      </c>
      <c r="CV4" s="129">
        <v>3685.0</v>
      </c>
      <c r="CW4" s="125" t="s">
        <v>365</v>
      </c>
      <c r="CX4" s="125">
        <v>2319.0</v>
      </c>
      <c r="CY4" s="125">
        <v>1.64</v>
      </c>
      <c r="CZ4" s="126">
        <v>5300.0</v>
      </c>
      <c r="DA4" s="129">
        <v>3234.0</v>
      </c>
      <c r="DB4" s="125" t="s">
        <v>365</v>
      </c>
      <c r="DC4" s="125">
        <v>2319.0</v>
      </c>
      <c r="DD4" s="131">
        <v>1.92</v>
      </c>
      <c r="DE4" s="131">
        <v>7765.0</v>
      </c>
      <c r="DF4" s="132">
        <v>4035.0</v>
      </c>
      <c r="DG4" s="125" t="s">
        <v>365</v>
      </c>
      <c r="DH4" s="125">
        <v>2319.0</v>
      </c>
      <c r="DI4" s="125">
        <v>1.82</v>
      </c>
      <c r="DJ4" s="130">
        <v>7439.0</v>
      </c>
      <c r="DK4" s="129">
        <v>4085.0</v>
      </c>
      <c r="DL4" s="125" t="s">
        <v>365</v>
      </c>
      <c r="DM4" s="125">
        <v>2319.0</v>
      </c>
      <c r="DN4" s="125">
        <v>2.05</v>
      </c>
      <c r="DO4" s="130">
        <v>6100.0</v>
      </c>
      <c r="DP4" s="129">
        <v>2977.0</v>
      </c>
    </row>
    <row r="5" ht="15.75" customHeight="1">
      <c r="A5" s="125" t="s">
        <v>595</v>
      </c>
      <c r="B5" s="125">
        <v>7265.0</v>
      </c>
      <c r="C5" s="126">
        <v>1.56</v>
      </c>
      <c r="D5" s="126">
        <v>4050.0</v>
      </c>
      <c r="E5" s="129">
        <v>2588.0</v>
      </c>
      <c r="F5" s="128" t="s">
        <v>595</v>
      </c>
      <c r="G5" s="125">
        <v>7265.0</v>
      </c>
      <c r="H5" s="126">
        <v>1.96</v>
      </c>
      <c r="I5" s="126">
        <v>10415.0</v>
      </c>
      <c r="J5" s="129">
        <v>5326.0</v>
      </c>
      <c r="K5" s="128" t="s">
        <v>596</v>
      </c>
      <c r="L5" s="125">
        <v>7048.0</v>
      </c>
      <c r="M5" s="125">
        <v>2.14</v>
      </c>
      <c r="N5" s="129">
        <v>8050.0</v>
      </c>
      <c r="O5" s="129">
        <v>3758.0</v>
      </c>
      <c r="P5" s="128" t="s">
        <v>596</v>
      </c>
      <c r="Q5" s="125">
        <v>7048.0</v>
      </c>
      <c r="R5" s="125">
        <v>1.7</v>
      </c>
      <c r="S5" s="126">
        <v>8875.0</v>
      </c>
      <c r="T5" s="129">
        <v>5219.0</v>
      </c>
      <c r="U5" s="128" t="s">
        <v>596</v>
      </c>
      <c r="V5" s="125">
        <v>7048.0</v>
      </c>
      <c r="W5" s="125">
        <v>2.28</v>
      </c>
      <c r="X5" s="126">
        <v>4700.0</v>
      </c>
      <c r="Y5" s="129">
        <v>2060.0</v>
      </c>
      <c r="Z5" s="128" t="s">
        <v>596</v>
      </c>
      <c r="AA5" s="125">
        <v>7048.0</v>
      </c>
      <c r="AB5" s="125">
        <v>1.49</v>
      </c>
      <c r="AC5" s="126">
        <v>4550.0</v>
      </c>
      <c r="AD5" s="129">
        <v>3047.0</v>
      </c>
      <c r="AE5" s="125" t="s">
        <v>596</v>
      </c>
      <c r="AF5" s="125">
        <v>7048.0</v>
      </c>
      <c r="AG5" s="126">
        <v>1.62</v>
      </c>
      <c r="AH5" s="130">
        <v>6800.0</v>
      </c>
      <c r="AI5" s="129">
        <v>4204.0</v>
      </c>
      <c r="AJ5" s="125" t="s">
        <v>596</v>
      </c>
      <c r="AK5" s="125">
        <v>7048.0</v>
      </c>
      <c r="AL5" s="126">
        <v>2.07</v>
      </c>
      <c r="AM5" s="126">
        <v>8600.0</v>
      </c>
      <c r="AN5" s="129">
        <v>4163.0</v>
      </c>
      <c r="AO5" s="125" t="s">
        <v>596</v>
      </c>
      <c r="AP5" s="125">
        <v>7048.0</v>
      </c>
      <c r="AQ5" s="126">
        <v>2.28</v>
      </c>
      <c r="AR5" s="126">
        <v>4700.0</v>
      </c>
      <c r="AS5" s="125">
        <v>2060.0</v>
      </c>
      <c r="AT5" s="125" t="s">
        <v>596</v>
      </c>
      <c r="AU5" s="125">
        <v>7048.0</v>
      </c>
      <c r="AV5" s="125" t="e">
        <v>#DIV/0!</v>
      </c>
      <c r="AW5" s="126">
        <v>0.0</v>
      </c>
      <c r="AX5" s="125">
        <v>0.0</v>
      </c>
      <c r="AY5" s="125" t="s">
        <v>528</v>
      </c>
      <c r="AZ5" s="125">
        <v>9348.0</v>
      </c>
      <c r="BA5" s="126">
        <v>1.88</v>
      </c>
      <c r="BB5" s="126">
        <v>8075.0</v>
      </c>
      <c r="BC5" s="129">
        <v>4301.0</v>
      </c>
      <c r="BD5" s="125" t="s">
        <v>528</v>
      </c>
      <c r="BE5" s="125">
        <v>9348.0</v>
      </c>
      <c r="BF5" s="126">
        <v>1.92</v>
      </c>
      <c r="BG5" s="126">
        <v>7580.0</v>
      </c>
      <c r="BH5" s="129">
        <v>3954.0</v>
      </c>
      <c r="BI5" s="125" t="s">
        <v>528</v>
      </c>
      <c r="BJ5" s="125">
        <v>9348.0</v>
      </c>
      <c r="BK5" s="126">
        <v>2.11</v>
      </c>
      <c r="BL5" s="126">
        <v>10350.0</v>
      </c>
      <c r="BM5" s="129">
        <v>4898.0</v>
      </c>
      <c r="BN5" s="128" t="s">
        <v>528</v>
      </c>
      <c r="BO5" s="125">
        <v>9348.0</v>
      </c>
      <c r="BP5" s="126">
        <v>1.72</v>
      </c>
      <c r="BQ5" s="126">
        <v>5500.0</v>
      </c>
      <c r="BR5" s="125">
        <v>3197.0</v>
      </c>
      <c r="BS5" s="128" t="s">
        <v>528</v>
      </c>
      <c r="BT5" s="125">
        <v>9348.0</v>
      </c>
      <c r="BU5" s="126">
        <v>1.97</v>
      </c>
      <c r="BV5" s="126">
        <v>1970.0</v>
      </c>
      <c r="BW5" s="125">
        <v>1000.0</v>
      </c>
      <c r="BX5" s="128" t="s">
        <v>528</v>
      </c>
      <c r="BY5" s="125">
        <v>9348.0</v>
      </c>
      <c r="BZ5" s="126">
        <v>1.41</v>
      </c>
      <c r="CA5" s="126">
        <v>4950.0</v>
      </c>
      <c r="CB5" s="129">
        <v>3511.0</v>
      </c>
      <c r="CC5" s="128" t="s">
        <v>595</v>
      </c>
      <c r="CD5" s="125">
        <v>7265.0</v>
      </c>
      <c r="CE5" s="126">
        <v>1.89</v>
      </c>
      <c r="CF5" s="126">
        <v>9450.0</v>
      </c>
      <c r="CG5" s="129">
        <v>4996.0</v>
      </c>
      <c r="CH5" s="128" t="s">
        <v>365</v>
      </c>
      <c r="CI5" s="125">
        <v>2319.0</v>
      </c>
      <c r="CJ5" s="126">
        <v>2.1</v>
      </c>
      <c r="CK5" s="126">
        <v>6600.0</v>
      </c>
      <c r="CL5" s="129">
        <v>3144.0</v>
      </c>
      <c r="CM5" s="125" t="s">
        <v>597</v>
      </c>
      <c r="CN5" s="125">
        <v>6643.0</v>
      </c>
      <c r="CO5" s="125">
        <v>1.96</v>
      </c>
      <c r="CP5" s="126">
        <v>3830.0</v>
      </c>
      <c r="CQ5" s="129">
        <v>1956.0</v>
      </c>
      <c r="CR5" s="125" t="s">
        <v>598</v>
      </c>
      <c r="CS5" s="125">
        <v>6643.0</v>
      </c>
      <c r="CT5" s="125">
        <v>2.41</v>
      </c>
      <c r="CU5" s="126">
        <v>8400.0</v>
      </c>
      <c r="CV5" s="129">
        <v>3492.0</v>
      </c>
      <c r="CW5" s="125" t="s">
        <v>598</v>
      </c>
      <c r="CX5" s="125">
        <v>6643.0</v>
      </c>
      <c r="CY5" s="125">
        <v>1.87</v>
      </c>
      <c r="CZ5" s="126">
        <v>4800.0</v>
      </c>
      <c r="DA5" s="129">
        <v>2568.0</v>
      </c>
      <c r="DB5" s="125" t="s">
        <v>597</v>
      </c>
      <c r="DC5" s="125">
        <v>6643.0</v>
      </c>
      <c r="DD5" s="128" t="e">
        <v>#DIV/0!</v>
      </c>
      <c r="DE5" s="131">
        <v>0.0</v>
      </c>
      <c r="DF5" s="128">
        <v>0.0</v>
      </c>
      <c r="DG5" s="125" t="s">
        <v>597</v>
      </c>
      <c r="DH5" s="125">
        <v>6643.0</v>
      </c>
      <c r="DI5" s="125">
        <v>1.71</v>
      </c>
      <c r="DJ5" s="130">
        <v>1940.0</v>
      </c>
      <c r="DK5" s="129">
        <v>1134.0</v>
      </c>
      <c r="DL5" s="125" t="s">
        <v>597</v>
      </c>
      <c r="DM5" s="125">
        <v>6643.0</v>
      </c>
      <c r="DN5" s="125">
        <v>2.1</v>
      </c>
      <c r="DO5" s="130">
        <v>7113.0</v>
      </c>
      <c r="DP5" s="129">
        <v>3380.0</v>
      </c>
    </row>
    <row r="6" ht="15.75" customHeight="1">
      <c r="A6" s="125" t="s">
        <v>599</v>
      </c>
      <c r="B6" s="125">
        <v>9334.0</v>
      </c>
      <c r="C6" s="126">
        <v>1.73</v>
      </c>
      <c r="D6" s="126">
        <v>8000.0</v>
      </c>
      <c r="E6" s="129">
        <v>4612.0</v>
      </c>
      <c r="F6" s="128" t="s">
        <v>599</v>
      </c>
      <c r="G6" s="125">
        <v>9334.0</v>
      </c>
      <c r="H6" s="126">
        <v>1.67</v>
      </c>
      <c r="I6" s="126">
        <v>5625.0</v>
      </c>
      <c r="J6" s="129">
        <v>3360.0</v>
      </c>
      <c r="K6" s="128" t="s">
        <v>528</v>
      </c>
      <c r="L6" s="125">
        <v>9309.0</v>
      </c>
      <c r="M6" s="125">
        <v>2.12</v>
      </c>
      <c r="N6" s="129">
        <v>11150.0</v>
      </c>
      <c r="O6" s="129">
        <v>5262.0</v>
      </c>
      <c r="P6" s="128" t="s">
        <v>528</v>
      </c>
      <c r="Q6" s="125">
        <v>9309.0</v>
      </c>
      <c r="R6" s="125">
        <v>1.83</v>
      </c>
      <c r="S6" s="126">
        <v>7725.0</v>
      </c>
      <c r="T6" s="129">
        <v>4213.0</v>
      </c>
      <c r="U6" s="128" t="s">
        <v>528</v>
      </c>
      <c r="V6" s="125">
        <v>9309.0</v>
      </c>
      <c r="W6" s="125">
        <v>1.82</v>
      </c>
      <c r="X6" s="126">
        <v>5980.0</v>
      </c>
      <c r="Y6" s="129">
        <v>3281.0</v>
      </c>
      <c r="Z6" s="128" t="s">
        <v>528</v>
      </c>
      <c r="AA6" s="125">
        <v>8033.0</v>
      </c>
      <c r="AB6" s="125">
        <v>2.26</v>
      </c>
      <c r="AC6" s="126">
        <v>2400.0</v>
      </c>
      <c r="AD6" s="129">
        <v>1061.0</v>
      </c>
      <c r="AE6" s="125" t="s">
        <v>528</v>
      </c>
      <c r="AF6" s="125">
        <v>8033.0</v>
      </c>
      <c r="AG6" s="125" t="e">
        <v>#DIV/0!</v>
      </c>
      <c r="AH6" s="130">
        <v>0.0</v>
      </c>
      <c r="AI6" s="125">
        <v>0.0</v>
      </c>
      <c r="AJ6" s="125" t="s">
        <v>528</v>
      </c>
      <c r="AK6" s="125">
        <v>9348.0</v>
      </c>
      <c r="AL6" s="126">
        <v>1.86</v>
      </c>
      <c r="AM6" s="126">
        <v>8500.0</v>
      </c>
      <c r="AN6" s="129">
        <v>4571.0</v>
      </c>
      <c r="AO6" s="125" t="s">
        <v>528</v>
      </c>
      <c r="AP6" s="125">
        <v>9309.0</v>
      </c>
      <c r="AQ6" s="126">
        <v>1.82</v>
      </c>
      <c r="AR6" s="126">
        <v>5980.0</v>
      </c>
      <c r="AS6" s="125">
        <v>3281.0</v>
      </c>
      <c r="AT6" s="125" t="s">
        <v>528</v>
      </c>
      <c r="AU6" s="125">
        <v>9348.0</v>
      </c>
      <c r="AV6" s="126">
        <v>1.66</v>
      </c>
      <c r="AW6" s="126">
        <v>6440.0</v>
      </c>
      <c r="AX6" s="125">
        <v>3870.0</v>
      </c>
      <c r="AY6" s="125" t="s">
        <v>595</v>
      </c>
      <c r="AZ6" s="125">
        <v>7265.0</v>
      </c>
      <c r="BA6" s="126">
        <v>1.63</v>
      </c>
      <c r="BB6" s="126">
        <v>2830.0</v>
      </c>
      <c r="BC6" s="129">
        <v>1737.0</v>
      </c>
      <c r="BD6" s="125" t="s">
        <v>595</v>
      </c>
      <c r="BE6" s="125">
        <v>7265.0</v>
      </c>
      <c r="BF6" s="126">
        <v>2.07</v>
      </c>
      <c r="BG6" s="126">
        <v>10650.0</v>
      </c>
      <c r="BH6" s="129">
        <v>5147.0</v>
      </c>
      <c r="BI6" s="125" t="s">
        <v>595</v>
      </c>
      <c r="BJ6" s="125">
        <v>7265.0</v>
      </c>
      <c r="BK6" s="126">
        <v>1.78</v>
      </c>
      <c r="BL6" s="126">
        <v>7480.0</v>
      </c>
      <c r="BM6" s="129">
        <v>4199.0</v>
      </c>
      <c r="BN6" s="128" t="s">
        <v>595</v>
      </c>
      <c r="BO6" s="125">
        <v>7265.0</v>
      </c>
      <c r="BP6" s="126">
        <v>1.67</v>
      </c>
      <c r="BQ6" s="126">
        <v>5390.0</v>
      </c>
      <c r="BR6" s="125">
        <v>3234.0</v>
      </c>
      <c r="BS6" s="128" t="s">
        <v>595</v>
      </c>
      <c r="BT6" s="125">
        <v>7265.0</v>
      </c>
      <c r="BU6" s="125" t="e">
        <v>#DIV/0!</v>
      </c>
      <c r="BV6" s="126">
        <v>0.0</v>
      </c>
      <c r="BW6" s="125">
        <v>0.0</v>
      </c>
      <c r="BX6" s="128" t="s">
        <v>595</v>
      </c>
      <c r="BY6" s="125">
        <v>7265.0</v>
      </c>
      <c r="BZ6" s="126">
        <v>1.44</v>
      </c>
      <c r="CA6" s="126">
        <v>4870.0</v>
      </c>
      <c r="CB6" s="129">
        <v>3379.0</v>
      </c>
      <c r="CC6" s="128" t="s">
        <v>552</v>
      </c>
      <c r="CD6" s="125">
        <v>7807.0</v>
      </c>
      <c r="CE6" s="126">
        <v>1.82</v>
      </c>
      <c r="CF6" s="126">
        <v>8583.2</v>
      </c>
      <c r="CG6" s="129">
        <v>4715.0</v>
      </c>
      <c r="CH6" s="128" t="s">
        <v>600</v>
      </c>
      <c r="CI6" s="125">
        <v>6643.0</v>
      </c>
      <c r="CJ6" s="126">
        <v>1.88</v>
      </c>
      <c r="CK6" s="126">
        <v>8400.0</v>
      </c>
      <c r="CL6" s="129">
        <v>4470.0</v>
      </c>
      <c r="CM6" s="125" t="s">
        <v>380</v>
      </c>
      <c r="CN6" s="125">
        <v>3301.0</v>
      </c>
      <c r="CO6" s="125">
        <v>1.89</v>
      </c>
      <c r="CP6" s="126">
        <v>8300.0</v>
      </c>
      <c r="CQ6" s="129">
        <v>4402.0</v>
      </c>
      <c r="CR6" s="125" t="s">
        <v>380</v>
      </c>
      <c r="CS6" s="125">
        <v>3301.0</v>
      </c>
      <c r="CT6" s="125">
        <v>1.87</v>
      </c>
      <c r="CU6" s="126">
        <v>9405.0</v>
      </c>
      <c r="CV6" s="129">
        <v>5025.0</v>
      </c>
      <c r="CW6" s="125" t="s">
        <v>380</v>
      </c>
      <c r="CX6" s="125">
        <v>3301.0</v>
      </c>
      <c r="CY6" s="125">
        <v>1.92</v>
      </c>
      <c r="CZ6" s="126">
        <v>6250.0</v>
      </c>
      <c r="DA6" s="129">
        <v>3261.0</v>
      </c>
      <c r="DB6" s="125" t="s">
        <v>380</v>
      </c>
      <c r="DC6" s="125">
        <v>3301.0</v>
      </c>
      <c r="DD6" s="131">
        <v>1.59</v>
      </c>
      <c r="DE6" s="131">
        <v>5865.0</v>
      </c>
      <c r="DF6" s="132">
        <v>3686.0</v>
      </c>
      <c r="DG6" s="125" t="s">
        <v>380</v>
      </c>
      <c r="DH6" s="125">
        <v>3301.0</v>
      </c>
      <c r="DI6" s="125">
        <v>2.03</v>
      </c>
      <c r="DJ6" s="130">
        <v>9181.0</v>
      </c>
      <c r="DK6" s="129">
        <v>4531.0</v>
      </c>
      <c r="DL6" s="125" t="s">
        <v>380</v>
      </c>
      <c r="DM6" s="125">
        <v>3301.0</v>
      </c>
      <c r="DN6" s="125">
        <v>1.94</v>
      </c>
      <c r="DO6" s="130">
        <v>7389.0</v>
      </c>
      <c r="DP6" s="129">
        <v>3818.0</v>
      </c>
    </row>
    <row r="7" ht="15.75" customHeight="1">
      <c r="A7" s="125" t="s">
        <v>601</v>
      </c>
      <c r="B7" s="125">
        <v>515.0</v>
      </c>
      <c r="C7" s="126">
        <v>1.65</v>
      </c>
      <c r="D7" s="126">
        <v>7650.0</v>
      </c>
      <c r="E7" s="129">
        <v>4639.0</v>
      </c>
      <c r="F7" s="128" t="s">
        <v>602</v>
      </c>
      <c r="G7" s="125">
        <v>515.0</v>
      </c>
      <c r="H7" s="126">
        <v>1.78</v>
      </c>
      <c r="I7" s="126">
        <v>7175.0</v>
      </c>
      <c r="J7" s="129">
        <v>4027.0</v>
      </c>
      <c r="K7" s="128" t="s">
        <v>595</v>
      </c>
      <c r="L7" s="125">
        <v>7265.0</v>
      </c>
      <c r="M7" s="125">
        <v>1.65</v>
      </c>
      <c r="N7" s="129">
        <v>8705.0</v>
      </c>
      <c r="O7" s="129">
        <v>5287.0</v>
      </c>
      <c r="P7" s="128" t="s">
        <v>595</v>
      </c>
      <c r="Q7" s="125">
        <v>7265.0</v>
      </c>
      <c r="R7" s="125">
        <v>1.79</v>
      </c>
      <c r="S7" s="126">
        <v>5450.0</v>
      </c>
      <c r="T7" s="129">
        <v>3044.0</v>
      </c>
      <c r="U7" s="128" t="s">
        <v>595</v>
      </c>
      <c r="V7" s="125">
        <v>7265.0</v>
      </c>
      <c r="W7" s="125">
        <v>2.01</v>
      </c>
      <c r="X7" s="126">
        <v>7487.5</v>
      </c>
      <c r="Y7" s="129">
        <v>3730.0</v>
      </c>
      <c r="Z7" s="128" t="s">
        <v>595</v>
      </c>
      <c r="AA7" s="125">
        <v>7265.0</v>
      </c>
      <c r="AB7" s="125">
        <v>2.15</v>
      </c>
      <c r="AC7" s="126">
        <v>2638.55</v>
      </c>
      <c r="AD7" s="129">
        <v>1230.0</v>
      </c>
      <c r="AE7" s="125" t="s">
        <v>595</v>
      </c>
      <c r="AF7" s="125">
        <v>7265.0</v>
      </c>
      <c r="AG7" s="126">
        <v>1.44</v>
      </c>
      <c r="AH7" s="130">
        <v>4970.0</v>
      </c>
      <c r="AI7" s="129">
        <v>3448.0</v>
      </c>
      <c r="AJ7" s="125" t="s">
        <v>595</v>
      </c>
      <c r="AK7" s="125">
        <v>7265.0</v>
      </c>
      <c r="AL7" s="126">
        <v>1.92</v>
      </c>
      <c r="AM7" s="126">
        <v>8500.0</v>
      </c>
      <c r="AN7" s="129">
        <v>4433.0</v>
      </c>
      <c r="AO7" s="125" t="s">
        <v>595</v>
      </c>
      <c r="AP7" s="125">
        <v>7265.0</v>
      </c>
      <c r="AQ7" s="126">
        <v>2.01</v>
      </c>
      <c r="AR7" s="126">
        <v>7487.5</v>
      </c>
      <c r="AS7" s="125">
        <v>3730.0</v>
      </c>
      <c r="AT7" s="125" t="s">
        <v>595</v>
      </c>
      <c r="AU7" s="125">
        <v>7265.0</v>
      </c>
      <c r="AV7" s="126">
        <v>1.87</v>
      </c>
      <c r="AW7" s="126">
        <v>10375.0</v>
      </c>
      <c r="AX7" s="125">
        <v>5556.0</v>
      </c>
      <c r="AY7" s="125" t="s">
        <v>603</v>
      </c>
      <c r="AZ7" s="125">
        <v>515.0</v>
      </c>
      <c r="BA7" s="126">
        <v>1.87</v>
      </c>
      <c r="BB7" s="126">
        <v>5500.0</v>
      </c>
      <c r="BC7" s="129">
        <v>2939.0</v>
      </c>
      <c r="BD7" s="125" t="s">
        <v>604</v>
      </c>
      <c r="BE7" s="125">
        <v>1002.0</v>
      </c>
      <c r="BF7" s="126">
        <v>1.66</v>
      </c>
      <c r="BG7" s="126">
        <v>6890.0</v>
      </c>
      <c r="BH7" s="129">
        <v>4142.0</v>
      </c>
      <c r="BI7" s="125" t="s">
        <v>604</v>
      </c>
      <c r="BJ7" s="125">
        <v>1002.0</v>
      </c>
      <c r="BK7" s="126">
        <v>1.89</v>
      </c>
      <c r="BL7" s="126">
        <v>3839.87</v>
      </c>
      <c r="BM7" s="129">
        <v>2032.0</v>
      </c>
      <c r="BN7" s="128" t="s">
        <v>604</v>
      </c>
      <c r="BO7" s="125">
        <v>1002.0</v>
      </c>
      <c r="BP7" s="126">
        <v>1.0</v>
      </c>
      <c r="BQ7" s="126">
        <v>6125.0</v>
      </c>
      <c r="BR7" s="125" t="s">
        <v>605</v>
      </c>
      <c r="BS7" s="128" t="s">
        <v>604</v>
      </c>
      <c r="BT7" s="125">
        <v>1002.0</v>
      </c>
      <c r="BU7" s="126">
        <v>1.34</v>
      </c>
      <c r="BV7" s="126">
        <v>5371.46</v>
      </c>
      <c r="BW7" s="125">
        <v>4003.0</v>
      </c>
      <c r="BX7" s="128" t="s">
        <v>604</v>
      </c>
      <c r="BY7" s="125">
        <v>1002.0</v>
      </c>
      <c r="BZ7" s="126">
        <v>1.71</v>
      </c>
      <c r="CA7" s="126">
        <v>7000.0</v>
      </c>
      <c r="CB7" s="129">
        <v>4098.0</v>
      </c>
      <c r="CC7" s="128" t="s">
        <v>602</v>
      </c>
      <c r="CD7" s="125">
        <v>427.0</v>
      </c>
      <c r="CE7" s="126">
        <v>1.87</v>
      </c>
      <c r="CF7" s="126">
        <v>6875.0</v>
      </c>
      <c r="CG7" s="129">
        <v>3682.0</v>
      </c>
      <c r="CH7" s="128" t="s">
        <v>380</v>
      </c>
      <c r="CI7" s="125">
        <v>3301.0</v>
      </c>
      <c r="CJ7" s="126">
        <v>2.01</v>
      </c>
      <c r="CK7" s="126">
        <v>9175.0</v>
      </c>
      <c r="CL7" s="129">
        <v>4566.0</v>
      </c>
      <c r="CM7" s="125" t="s">
        <v>384</v>
      </c>
      <c r="CN7" s="125">
        <v>3403.0</v>
      </c>
      <c r="CO7" s="125">
        <v>1.82</v>
      </c>
      <c r="CP7" s="126">
        <v>7623.0</v>
      </c>
      <c r="CQ7" s="129">
        <v>4192.0</v>
      </c>
      <c r="CR7" s="125" t="s">
        <v>384</v>
      </c>
      <c r="CS7" s="125">
        <v>3403.0</v>
      </c>
      <c r="CT7" s="125">
        <v>1.71</v>
      </c>
      <c r="CU7" s="126">
        <v>7650.0</v>
      </c>
      <c r="CV7" s="129">
        <v>4485.0</v>
      </c>
      <c r="CW7" s="125" t="s">
        <v>384</v>
      </c>
      <c r="CX7" s="125">
        <v>3403.0</v>
      </c>
      <c r="CY7" s="125">
        <v>1.7</v>
      </c>
      <c r="CZ7" s="126">
        <v>5350.0</v>
      </c>
      <c r="DA7" s="129">
        <v>3142.0</v>
      </c>
      <c r="DB7" s="125" t="s">
        <v>384</v>
      </c>
      <c r="DC7" s="125">
        <v>3403.0</v>
      </c>
      <c r="DD7" s="131">
        <v>1.91</v>
      </c>
      <c r="DE7" s="131">
        <v>7500.0</v>
      </c>
      <c r="DF7" s="132">
        <v>3933.0</v>
      </c>
      <c r="DG7" s="125" t="s">
        <v>384</v>
      </c>
      <c r="DH7" s="125">
        <v>3403.0</v>
      </c>
      <c r="DI7" s="125">
        <v>2.11</v>
      </c>
      <c r="DJ7" s="130">
        <v>9933.0</v>
      </c>
      <c r="DK7" s="129">
        <v>4698.0</v>
      </c>
      <c r="DL7" s="125" t="s">
        <v>384</v>
      </c>
      <c r="DM7" s="125">
        <v>3403.0</v>
      </c>
      <c r="DN7" s="125">
        <v>2.58</v>
      </c>
      <c r="DO7" s="126">
        <v>3051.5</v>
      </c>
      <c r="DP7" s="129">
        <v>1182.0</v>
      </c>
    </row>
    <row r="8" ht="15.75" customHeight="1">
      <c r="A8" s="125" t="s">
        <v>606</v>
      </c>
      <c r="B8" s="125">
        <v>5653.0</v>
      </c>
      <c r="C8" s="126">
        <v>1.89</v>
      </c>
      <c r="D8" s="126">
        <v>7125.0</v>
      </c>
      <c r="E8" s="129">
        <v>3764.0</v>
      </c>
      <c r="F8" s="128" t="s">
        <v>606</v>
      </c>
      <c r="G8" s="125">
        <v>5653.0</v>
      </c>
      <c r="H8" s="126">
        <v>1.8</v>
      </c>
      <c r="I8" s="126">
        <v>5702.0</v>
      </c>
      <c r="J8" s="129">
        <v>3167.0</v>
      </c>
      <c r="K8" s="128" t="s">
        <v>365</v>
      </c>
      <c r="L8" s="125">
        <v>2319.0</v>
      </c>
      <c r="M8" s="125">
        <v>1.98</v>
      </c>
      <c r="N8" s="129">
        <v>7565.0</v>
      </c>
      <c r="O8" s="129">
        <v>3830.0</v>
      </c>
      <c r="P8" s="128" t="s">
        <v>607</v>
      </c>
      <c r="Q8" s="125">
        <v>515.0</v>
      </c>
      <c r="R8" s="125">
        <v>1.82</v>
      </c>
      <c r="S8" s="126">
        <v>6350.0</v>
      </c>
      <c r="T8" s="129">
        <v>3490.0</v>
      </c>
      <c r="U8" s="128" t="s">
        <v>607</v>
      </c>
      <c r="V8" s="125">
        <v>515.0</v>
      </c>
      <c r="W8" s="125">
        <v>1.85</v>
      </c>
      <c r="X8" s="126">
        <v>6480.0</v>
      </c>
      <c r="Y8" s="129">
        <v>3500.0</v>
      </c>
      <c r="Z8" s="128" t="s">
        <v>607</v>
      </c>
      <c r="AA8" s="125">
        <v>515.0</v>
      </c>
      <c r="AB8" s="125">
        <v>1.8</v>
      </c>
      <c r="AC8" s="126">
        <v>2250.0</v>
      </c>
      <c r="AD8" s="129">
        <v>1250.0</v>
      </c>
      <c r="AE8" s="125" t="s">
        <v>603</v>
      </c>
      <c r="AF8" s="125">
        <v>515.0</v>
      </c>
      <c r="AG8" s="126">
        <v>1.97</v>
      </c>
      <c r="AH8" s="130">
        <v>9100.0</v>
      </c>
      <c r="AI8" s="129">
        <v>4628.0</v>
      </c>
      <c r="AJ8" s="125" t="s">
        <v>603</v>
      </c>
      <c r="AK8" s="125">
        <v>515.0</v>
      </c>
      <c r="AL8" s="126">
        <v>1.94</v>
      </c>
      <c r="AM8" s="126">
        <v>4630.0</v>
      </c>
      <c r="AN8" s="129">
        <v>2383.0</v>
      </c>
      <c r="AO8" s="125" t="s">
        <v>607</v>
      </c>
      <c r="AP8" s="125">
        <v>515.0</v>
      </c>
      <c r="AQ8" s="126">
        <v>1.85</v>
      </c>
      <c r="AR8" s="126">
        <v>6480.0</v>
      </c>
      <c r="AS8" s="125">
        <v>3500.0</v>
      </c>
      <c r="AT8" s="125" t="s">
        <v>603</v>
      </c>
      <c r="AU8" s="125">
        <v>515.0</v>
      </c>
      <c r="AV8" s="126">
        <v>2.19</v>
      </c>
      <c r="AW8" s="126">
        <v>7000.0</v>
      </c>
      <c r="AX8" s="125">
        <v>3192.0</v>
      </c>
      <c r="AY8" s="125" t="s">
        <v>365</v>
      </c>
      <c r="AZ8" s="125">
        <v>2319.0</v>
      </c>
      <c r="BA8" s="126">
        <v>1.92</v>
      </c>
      <c r="BB8" s="126">
        <v>7600.0</v>
      </c>
      <c r="BC8" s="129">
        <v>3968.0</v>
      </c>
      <c r="BD8" s="125" t="s">
        <v>365</v>
      </c>
      <c r="BE8" s="125">
        <v>2319.0</v>
      </c>
      <c r="BF8" s="126">
        <v>1.92</v>
      </c>
      <c r="BG8" s="126">
        <v>7115.0</v>
      </c>
      <c r="BH8" s="129">
        <v>3698.0</v>
      </c>
      <c r="BI8" s="125" t="s">
        <v>365</v>
      </c>
      <c r="BJ8" s="125">
        <v>2319.0</v>
      </c>
      <c r="BK8" s="126">
        <v>2.39</v>
      </c>
      <c r="BL8" s="126">
        <v>2700.0</v>
      </c>
      <c r="BM8" s="129">
        <v>1128.0</v>
      </c>
      <c r="BN8" s="128" t="s">
        <v>365</v>
      </c>
      <c r="BO8" s="125">
        <v>2319.0</v>
      </c>
      <c r="BP8" s="125" t="e">
        <v>#DIV/0!</v>
      </c>
      <c r="BQ8" s="126">
        <v>0.0</v>
      </c>
      <c r="BR8" s="125">
        <v>0.0</v>
      </c>
      <c r="BS8" s="128" t="s">
        <v>365</v>
      </c>
      <c r="BT8" s="125">
        <v>2319.0</v>
      </c>
      <c r="BU8" s="125" t="e">
        <v>#DIV/0!</v>
      </c>
      <c r="BV8" s="126">
        <v>0.0</v>
      </c>
      <c r="BW8" s="125">
        <v>0.0</v>
      </c>
      <c r="BX8" s="128" t="s">
        <v>608</v>
      </c>
      <c r="BY8" s="125">
        <v>7048.0</v>
      </c>
      <c r="BZ8" s="125" t="e">
        <v>#DIV/0!</v>
      </c>
      <c r="CA8" s="126">
        <v>0.0</v>
      </c>
      <c r="CB8" s="125">
        <v>0.0</v>
      </c>
      <c r="CC8" s="128" t="s">
        <v>482</v>
      </c>
      <c r="CD8" s="125">
        <v>8033.0</v>
      </c>
      <c r="CE8" s="125" t="e">
        <v>#DIV/0!</v>
      </c>
      <c r="CF8" s="126">
        <v>0.0</v>
      </c>
      <c r="CG8" s="125">
        <v>0.0</v>
      </c>
      <c r="CH8" s="128" t="s">
        <v>384</v>
      </c>
      <c r="CI8" s="125">
        <v>3403.0</v>
      </c>
      <c r="CJ8" s="126">
        <v>1.85</v>
      </c>
      <c r="CK8" s="126">
        <v>9450.0</v>
      </c>
      <c r="CL8" s="129">
        <v>5095.0</v>
      </c>
      <c r="CM8" s="125" t="s">
        <v>609</v>
      </c>
      <c r="CN8" s="125">
        <v>9309.0</v>
      </c>
      <c r="CO8" s="125">
        <v>1.68</v>
      </c>
      <c r="CP8" s="126">
        <v>3100.0</v>
      </c>
      <c r="CQ8" s="129">
        <v>1843.0</v>
      </c>
      <c r="CR8" s="125" t="s">
        <v>609</v>
      </c>
      <c r="CS8" s="125">
        <v>9309.0</v>
      </c>
      <c r="CT8" s="125">
        <v>2.02</v>
      </c>
      <c r="CU8" s="126">
        <v>9400.0</v>
      </c>
      <c r="CV8" s="129">
        <v>4665.0</v>
      </c>
      <c r="CW8" s="125" t="s">
        <v>609</v>
      </c>
      <c r="CX8" s="125">
        <v>9309.0</v>
      </c>
      <c r="CY8" s="125">
        <v>2.11</v>
      </c>
      <c r="CZ8" s="126">
        <v>4850.0</v>
      </c>
      <c r="DA8" s="129">
        <v>2301.0</v>
      </c>
      <c r="DB8" s="125" t="s">
        <v>609</v>
      </c>
      <c r="DC8" s="125">
        <v>9309.0</v>
      </c>
      <c r="DD8" s="131">
        <v>1.83</v>
      </c>
      <c r="DE8" s="131">
        <v>7700.0</v>
      </c>
      <c r="DF8" s="132">
        <v>4213.0</v>
      </c>
      <c r="DG8" s="125" t="s">
        <v>609</v>
      </c>
      <c r="DH8" s="125">
        <v>9309.0</v>
      </c>
      <c r="DI8" s="125">
        <v>1.74</v>
      </c>
      <c r="DJ8" s="130">
        <v>5650.0</v>
      </c>
      <c r="DK8" s="129">
        <v>3256.0</v>
      </c>
      <c r="DL8" s="125" t="s">
        <v>385</v>
      </c>
      <c r="DM8" s="125">
        <v>7352.0</v>
      </c>
      <c r="DN8" s="125">
        <v>2.08</v>
      </c>
      <c r="DO8" s="130">
        <v>5500.0</v>
      </c>
      <c r="DP8" s="129">
        <v>2647.0</v>
      </c>
    </row>
    <row r="9" ht="15.75" customHeight="1">
      <c r="A9" s="125" t="s">
        <v>610</v>
      </c>
      <c r="B9" s="125">
        <v>2765.0</v>
      </c>
      <c r="C9" s="125" t="e">
        <v>#DIV/0!</v>
      </c>
      <c r="D9" s="126">
        <v>0.0</v>
      </c>
      <c r="E9" s="125">
        <v>0.0</v>
      </c>
      <c r="F9" s="128" t="s">
        <v>610</v>
      </c>
      <c r="G9" s="125">
        <v>2765.0</v>
      </c>
      <c r="H9" s="126">
        <v>1.83</v>
      </c>
      <c r="I9" s="126">
        <v>6700.0</v>
      </c>
      <c r="J9" s="129">
        <v>3663.0</v>
      </c>
      <c r="K9" s="128" t="s">
        <v>597</v>
      </c>
      <c r="L9" s="125">
        <v>6643.0</v>
      </c>
      <c r="M9" s="125">
        <v>1.78</v>
      </c>
      <c r="N9" s="129">
        <v>9695.0</v>
      </c>
      <c r="O9" s="129">
        <v>5459.0</v>
      </c>
      <c r="P9" s="128" t="s">
        <v>365</v>
      </c>
      <c r="Q9" s="125">
        <v>2319.0</v>
      </c>
      <c r="R9" s="125">
        <v>1.96</v>
      </c>
      <c r="S9" s="126">
        <v>7000.0</v>
      </c>
      <c r="T9" s="129">
        <v>3580.0</v>
      </c>
      <c r="U9" s="128" t="s">
        <v>365</v>
      </c>
      <c r="V9" s="125">
        <v>2319.0</v>
      </c>
      <c r="W9" s="125" t="s">
        <v>593</v>
      </c>
      <c r="X9" s="126">
        <v>0.0</v>
      </c>
      <c r="Y9" s="125">
        <v>0.0</v>
      </c>
      <c r="Z9" s="128" t="s">
        <v>365</v>
      </c>
      <c r="AA9" s="125">
        <v>2319.0</v>
      </c>
      <c r="AB9" s="125" t="s">
        <v>593</v>
      </c>
      <c r="AC9" s="126">
        <v>0.0</v>
      </c>
      <c r="AD9" s="125">
        <v>0.0</v>
      </c>
      <c r="AE9" s="125" t="s">
        <v>365</v>
      </c>
      <c r="AF9" s="125">
        <v>2319.0</v>
      </c>
      <c r="AG9" s="126">
        <v>1.51</v>
      </c>
      <c r="AH9" s="130">
        <v>3450.0</v>
      </c>
      <c r="AI9" s="129">
        <v>2280.0</v>
      </c>
      <c r="AJ9" s="125" t="s">
        <v>365</v>
      </c>
      <c r="AK9" s="125">
        <v>2319.0</v>
      </c>
      <c r="AL9" s="126">
        <v>1.88</v>
      </c>
      <c r="AM9" s="126">
        <v>9650.0</v>
      </c>
      <c r="AN9" s="129">
        <v>5121.0</v>
      </c>
      <c r="AO9" s="125" t="s">
        <v>365</v>
      </c>
      <c r="AP9" s="125">
        <v>2319.0</v>
      </c>
      <c r="AQ9" s="125" t="e">
        <v>#DIV/0!</v>
      </c>
      <c r="AR9" s="126">
        <v>0.0</v>
      </c>
      <c r="AS9" s="125">
        <v>0.0</v>
      </c>
      <c r="AT9" s="125" t="s">
        <v>365</v>
      </c>
      <c r="AU9" s="125">
        <v>2319.0</v>
      </c>
      <c r="AV9" s="126">
        <v>1.62</v>
      </c>
      <c r="AW9" s="126">
        <v>7000.0</v>
      </c>
      <c r="AX9" s="125">
        <v>4317.0</v>
      </c>
      <c r="AY9" s="125" t="s">
        <v>597</v>
      </c>
      <c r="AZ9" s="125">
        <v>6643.0</v>
      </c>
      <c r="BA9" s="126">
        <v>1.87</v>
      </c>
      <c r="BB9" s="126">
        <v>6727.0</v>
      </c>
      <c r="BC9" s="129">
        <v>3600.0</v>
      </c>
      <c r="BD9" s="125" t="s">
        <v>597</v>
      </c>
      <c r="BE9" s="125">
        <v>6643.0</v>
      </c>
      <c r="BF9" s="126">
        <v>2.36</v>
      </c>
      <c r="BG9" s="126">
        <v>4050.0</v>
      </c>
      <c r="BH9" s="129">
        <v>1713.0</v>
      </c>
      <c r="BI9" s="125" t="s">
        <v>597</v>
      </c>
      <c r="BJ9" s="125">
        <v>6643.0</v>
      </c>
      <c r="BK9" s="126">
        <v>1.88</v>
      </c>
      <c r="BL9" s="126">
        <v>7600.0</v>
      </c>
      <c r="BM9" s="129">
        <v>4036.0</v>
      </c>
      <c r="BN9" s="128" t="s">
        <v>597</v>
      </c>
      <c r="BO9" s="125">
        <v>6643.0</v>
      </c>
      <c r="BP9" s="126">
        <v>2.67</v>
      </c>
      <c r="BQ9" s="126">
        <v>3500.0</v>
      </c>
      <c r="BR9" s="125">
        <v>1311.0</v>
      </c>
      <c r="BS9" s="128" t="s">
        <v>597</v>
      </c>
      <c r="BT9" s="125">
        <v>6643.0</v>
      </c>
      <c r="BU9" s="126">
        <v>1.69</v>
      </c>
      <c r="BV9" s="126">
        <v>4000.0</v>
      </c>
      <c r="BW9" s="125">
        <v>2364.0</v>
      </c>
      <c r="BX9" s="128" t="s">
        <v>365</v>
      </c>
      <c r="BY9" s="125">
        <v>2319.0</v>
      </c>
      <c r="BZ9" s="126">
        <v>1.97</v>
      </c>
      <c r="CA9" s="126">
        <v>8135.0</v>
      </c>
      <c r="CB9" s="133">
        <v>4132.2</v>
      </c>
      <c r="CC9" s="128" t="s">
        <v>384</v>
      </c>
      <c r="CD9" s="125">
        <v>3403.0</v>
      </c>
      <c r="CE9" s="126">
        <v>1.78</v>
      </c>
      <c r="CF9" s="126">
        <v>5400.0</v>
      </c>
      <c r="CG9" s="129">
        <v>3035.0</v>
      </c>
      <c r="CH9" s="128" t="s">
        <v>609</v>
      </c>
      <c r="CI9" s="125">
        <v>9309.0</v>
      </c>
      <c r="CJ9" s="125" t="e">
        <v>#DIV/0!</v>
      </c>
      <c r="CK9" s="126">
        <v>0.0</v>
      </c>
      <c r="CL9" s="125">
        <v>0.0</v>
      </c>
      <c r="CM9" s="125" t="s">
        <v>611</v>
      </c>
      <c r="CN9" s="125">
        <v>9334.0</v>
      </c>
      <c r="CO9" s="125" t="s">
        <v>593</v>
      </c>
      <c r="CP9" s="126">
        <v>0.0</v>
      </c>
      <c r="CQ9" s="125">
        <v>0.0</v>
      </c>
      <c r="CR9" s="125" t="s">
        <v>612</v>
      </c>
      <c r="CS9" s="125">
        <v>9308.0</v>
      </c>
      <c r="CT9" s="125">
        <v>1.82</v>
      </c>
      <c r="CU9" s="126">
        <v>2600.0</v>
      </c>
      <c r="CV9" s="129">
        <v>1432.0</v>
      </c>
      <c r="CW9" s="125" t="s">
        <v>613</v>
      </c>
      <c r="CX9" s="125">
        <v>2932.0</v>
      </c>
      <c r="CY9" s="125">
        <v>1.75</v>
      </c>
      <c r="CZ9" s="126">
        <v>7540.0</v>
      </c>
      <c r="DA9" s="129">
        <v>4299.0</v>
      </c>
      <c r="DB9" s="125" t="s">
        <v>613</v>
      </c>
      <c r="DC9" s="125">
        <v>2932.0</v>
      </c>
      <c r="DD9" s="131">
        <v>1.92</v>
      </c>
      <c r="DE9" s="131">
        <v>7975.0</v>
      </c>
      <c r="DF9" s="132">
        <v>4143.0</v>
      </c>
      <c r="DG9" s="125" t="s">
        <v>613</v>
      </c>
      <c r="DH9" s="125">
        <v>2932.0</v>
      </c>
      <c r="DI9" s="125">
        <v>1.85</v>
      </c>
      <c r="DJ9" s="130">
        <v>8000.0</v>
      </c>
      <c r="DK9" s="129">
        <v>4315.0</v>
      </c>
      <c r="DL9" s="125" t="s">
        <v>614</v>
      </c>
      <c r="DM9" s="125">
        <v>9308.0</v>
      </c>
      <c r="DN9" s="125" t="e">
        <v>#DIV/0!</v>
      </c>
      <c r="DO9" s="130">
        <v>0.0</v>
      </c>
      <c r="DP9" s="125">
        <v>0.0</v>
      </c>
    </row>
    <row r="10" ht="15.75" customHeight="1">
      <c r="A10" s="125" t="s">
        <v>392</v>
      </c>
      <c r="B10" s="125">
        <v>9617.0</v>
      </c>
      <c r="C10" s="126">
        <v>1.86</v>
      </c>
      <c r="D10" s="126">
        <v>10099.0</v>
      </c>
      <c r="E10" s="129">
        <v>5427.0</v>
      </c>
      <c r="F10" s="128" t="s">
        <v>392</v>
      </c>
      <c r="G10" s="125">
        <v>9617.0</v>
      </c>
      <c r="H10" s="126">
        <v>1.71</v>
      </c>
      <c r="I10" s="126">
        <v>11650.0</v>
      </c>
      <c r="J10" s="129">
        <v>6809.0</v>
      </c>
      <c r="K10" s="128" t="s">
        <v>615</v>
      </c>
      <c r="L10" s="125">
        <v>7807.0</v>
      </c>
      <c r="M10" s="125">
        <v>1.85</v>
      </c>
      <c r="N10" s="129">
        <v>7000.0</v>
      </c>
      <c r="O10" s="129">
        <v>3777.0</v>
      </c>
      <c r="P10" s="128" t="s">
        <v>597</v>
      </c>
      <c r="Q10" s="125">
        <v>6643.0</v>
      </c>
      <c r="R10" s="125">
        <v>2.0</v>
      </c>
      <c r="S10" s="126">
        <v>6400.0</v>
      </c>
      <c r="T10" s="129">
        <v>3196.0</v>
      </c>
      <c r="U10" s="128" t="s">
        <v>597</v>
      </c>
      <c r="V10" s="125">
        <v>6643.0</v>
      </c>
      <c r="W10" s="125" t="s">
        <v>593</v>
      </c>
      <c r="X10" s="126">
        <v>0.0</v>
      </c>
      <c r="Y10" s="125">
        <v>0.0</v>
      </c>
      <c r="Z10" s="128" t="s">
        <v>597</v>
      </c>
      <c r="AA10" s="125">
        <v>6643.0</v>
      </c>
      <c r="AB10" s="125">
        <v>1.76</v>
      </c>
      <c r="AC10" s="126">
        <v>9950.0</v>
      </c>
      <c r="AD10" s="129">
        <v>5667.0</v>
      </c>
      <c r="AE10" s="125" t="s">
        <v>600</v>
      </c>
      <c r="AF10" s="125">
        <v>6643.0</v>
      </c>
      <c r="AG10" s="126">
        <v>2.05</v>
      </c>
      <c r="AH10" s="130">
        <v>4900.0</v>
      </c>
      <c r="AI10" s="129">
        <v>2390.0</v>
      </c>
      <c r="AJ10" s="125" t="s">
        <v>600</v>
      </c>
      <c r="AK10" s="125">
        <v>6643.0</v>
      </c>
      <c r="AL10" s="126">
        <v>1.91</v>
      </c>
      <c r="AM10" s="126">
        <v>4300.0</v>
      </c>
      <c r="AN10" s="129">
        <v>2252.0</v>
      </c>
      <c r="AO10" s="125" t="s">
        <v>598</v>
      </c>
      <c r="AP10" s="125">
        <v>6643.0</v>
      </c>
      <c r="AQ10" s="125" t="e">
        <v>#DIV/0!</v>
      </c>
      <c r="AR10" s="126">
        <v>0.0</v>
      </c>
      <c r="AS10" s="125">
        <v>0.0</v>
      </c>
      <c r="AT10" s="125" t="s">
        <v>598</v>
      </c>
      <c r="AU10" s="125">
        <v>6643.0</v>
      </c>
      <c r="AV10" s="126">
        <v>1.94</v>
      </c>
      <c r="AW10" s="126">
        <v>7550.0</v>
      </c>
      <c r="AX10" s="125">
        <v>3885.0</v>
      </c>
      <c r="AY10" s="125" t="s">
        <v>380</v>
      </c>
      <c r="AZ10" s="125">
        <v>9334.0</v>
      </c>
      <c r="BA10" s="126">
        <v>2.0</v>
      </c>
      <c r="BB10" s="126">
        <v>6600.0</v>
      </c>
      <c r="BC10" s="129">
        <v>3303.0</v>
      </c>
      <c r="BD10" s="125" t="s">
        <v>380</v>
      </c>
      <c r="BE10" s="125">
        <v>9334.0</v>
      </c>
      <c r="BF10" s="125" t="s">
        <v>593</v>
      </c>
      <c r="BG10" s="126">
        <v>0.0</v>
      </c>
      <c r="BH10" s="125">
        <v>0.0</v>
      </c>
      <c r="BI10" s="125" t="s">
        <v>380</v>
      </c>
      <c r="BJ10" s="125">
        <v>9334.0</v>
      </c>
      <c r="BK10" s="126">
        <v>1.75</v>
      </c>
      <c r="BL10" s="126">
        <v>7300.0</v>
      </c>
      <c r="BM10" s="129">
        <v>4163.0</v>
      </c>
      <c r="BN10" s="128" t="s">
        <v>380</v>
      </c>
      <c r="BO10" s="125">
        <v>9334.0</v>
      </c>
      <c r="BP10" s="126">
        <v>2.2</v>
      </c>
      <c r="BQ10" s="126">
        <v>10221.0</v>
      </c>
      <c r="BR10" s="125">
        <v>4651.0</v>
      </c>
      <c r="BS10" s="128" t="s">
        <v>380</v>
      </c>
      <c r="BT10" s="125">
        <v>9334.0</v>
      </c>
      <c r="BU10" s="126">
        <v>1.11</v>
      </c>
      <c r="BV10" s="126">
        <v>950.0</v>
      </c>
      <c r="BW10" s="125">
        <v>858.0</v>
      </c>
      <c r="BX10" s="128" t="s">
        <v>597</v>
      </c>
      <c r="BY10" s="125">
        <v>6643.0</v>
      </c>
      <c r="BZ10" s="126">
        <v>1.86</v>
      </c>
      <c r="CA10" s="126">
        <v>5790.0</v>
      </c>
      <c r="CB10" s="129">
        <v>3107.0</v>
      </c>
      <c r="CC10" s="128" t="s">
        <v>392</v>
      </c>
      <c r="CD10" s="125">
        <v>9617.0</v>
      </c>
      <c r="CE10" s="126">
        <v>2.06</v>
      </c>
      <c r="CF10" s="126">
        <v>10625.0</v>
      </c>
      <c r="CG10" s="129">
        <v>5151.0</v>
      </c>
      <c r="CH10" s="128" t="s">
        <v>611</v>
      </c>
      <c r="CI10" s="125">
        <v>9334.0</v>
      </c>
      <c r="CJ10" s="126">
        <v>2.04</v>
      </c>
      <c r="CK10" s="126">
        <v>6000.0</v>
      </c>
      <c r="CL10" s="129">
        <v>2935.0</v>
      </c>
      <c r="CM10" s="125" t="s">
        <v>612</v>
      </c>
      <c r="CN10" s="125">
        <v>9308.0</v>
      </c>
      <c r="CO10" s="125">
        <v>1.68</v>
      </c>
      <c r="CP10" s="126">
        <v>4500.0</v>
      </c>
      <c r="CQ10" s="129">
        <v>2672.0</v>
      </c>
      <c r="CR10" s="125" t="s">
        <v>392</v>
      </c>
      <c r="CS10" s="125">
        <v>9617.0</v>
      </c>
      <c r="CT10" s="125">
        <v>2.03</v>
      </c>
      <c r="CU10" s="126">
        <v>7600.0</v>
      </c>
      <c r="CV10" s="129">
        <v>3749.0</v>
      </c>
      <c r="CW10" s="125" t="s">
        <v>612</v>
      </c>
      <c r="CX10" s="125">
        <v>9308.0</v>
      </c>
      <c r="CY10" s="125">
        <v>2.86</v>
      </c>
      <c r="CZ10" s="126">
        <v>3550.0</v>
      </c>
      <c r="DA10" s="129">
        <v>1242.0</v>
      </c>
      <c r="DB10" s="125" t="s">
        <v>612</v>
      </c>
      <c r="DC10" s="125">
        <v>9308.0</v>
      </c>
      <c r="DD10" s="128" t="e">
        <v>#DIV/0!</v>
      </c>
      <c r="DE10" s="131">
        <v>0.0</v>
      </c>
      <c r="DF10" s="128">
        <v>0.0</v>
      </c>
      <c r="DG10" s="125" t="s">
        <v>388</v>
      </c>
      <c r="DH10" s="125">
        <v>2675.0</v>
      </c>
      <c r="DI10" s="125">
        <v>1.85</v>
      </c>
      <c r="DJ10" s="130">
        <v>6850.0</v>
      </c>
      <c r="DK10" s="129">
        <v>3699.0</v>
      </c>
      <c r="DL10" s="125" t="s">
        <v>388</v>
      </c>
      <c r="DM10" s="125">
        <v>2675.0</v>
      </c>
      <c r="DN10" s="125">
        <v>1.79</v>
      </c>
      <c r="DO10" s="130">
        <v>6619.0</v>
      </c>
      <c r="DP10" s="129">
        <v>3694.0</v>
      </c>
    </row>
    <row r="11" ht="15.75" customHeight="1">
      <c r="A11" s="125" t="s">
        <v>597</v>
      </c>
      <c r="B11" s="125">
        <v>6643.0</v>
      </c>
      <c r="C11" s="126">
        <v>1.72</v>
      </c>
      <c r="D11" s="126">
        <v>6250.0</v>
      </c>
      <c r="E11" s="129">
        <v>3629.0</v>
      </c>
      <c r="F11" s="128" t="s">
        <v>597</v>
      </c>
      <c r="G11" s="125">
        <v>6643.0</v>
      </c>
      <c r="H11" s="126">
        <v>1.64</v>
      </c>
      <c r="I11" s="126">
        <v>4200.0</v>
      </c>
      <c r="J11" s="129">
        <v>2557.0</v>
      </c>
      <c r="K11" s="128" t="s">
        <v>616</v>
      </c>
      <c r="L11" s="125">
        <v>9334.0</v>
      </c>
      <c r="M11" s="125">
        <v>2.16</v>
      </c>
      <c r="N11" s="129">
        <v>4850.0</v>
      </c>
      <c r="O11" s="129">
        <v>2247.0</v>
      </c>
      <c r="P11" s="128" t="s">
        <v>615</v>
      </c>
      <c r="Q11" s="125">
        <v>7807.0</v>
      </c>
      <c r="R11" s="125">
        <v>1.6</v>
      </c>
      <c r="S11" s="126">
        <v>7900.0</v>
      </c>
      <c r="T11" s="129">
        <v>4937.0</v>
      </c>
      <c r="U11" s="128" t="s">
        <v>615</v>
      </c>
      <c r="V11" s="125">
        <v>7807.0</v>
      </c>
      <c r="W11" s="125">
        <v>1.74</v>
      </c>
      <c r="X11" s="126">
        <v>6508.38</v>
      </c>
      <c r="Y11" s="129">
        <v>3746.0</v>
      </c>
      <c r="Z11" s="128" t="s">
        <v>615</v>
      </c>
      <c r="AA11" s="125">
        <v>7807.0</v>
      </c>
      <c r="AB11" s="125" t="s">
        <v>593</v>
      </c>
      <c r="AC11" s="126">
        <v>0.0</v>
      </c>
      <c r="AD11" s="125">
        <v>0.0</v>
      </c>
      <c r="AE11" s="125" t="s">
        <v>617</v>
      </c>
      <c r="AF11" s="125" t="s">
        <v>618</v>
      </c>
      <c r="AG11" s="125" t="e">
        <v>#DIV/0!</v>
      </c>
      <c r="AH11" s="130">
        <v>0.0</v>
      </c>
      <c r="AI11" s="125">
        <v>0.0</v>
      </c>
      <c r="AJ11" s="125" t="s">
        <v>380</v>
      </c>
      <c r="AK11" s="125">
        <v>9334.0</v>
      </c>
      <c r="AL11" s="126">
        <v>1.82</v>
      </c>
      <c r="AM11" s="126">
        <v>9550.0</v>
      </c>
      <c r="AN11" s="129">
        <v>5255.0</v>
      </c>
      <c r="AO11" s="125" t="s">
        <v>615</v>
      </c>
      <c r="AP11" s="125">
        <v>7807.0</v>
      </c>
      <c r="AQ11" s="126">
        <v>1.74</v>
      </c>
      <c r="AR11" s="126">
        <v>6508.38</v>
      </c>
      <c r="AS11" s="125">
        <v>3746.0</v>
      </c>
      <c r="AT11" s="125" t="s">
        <v>380</v>
      </c>
      <c r="AU11" s="125">
        <v>9334.0</v>
      </c>
      <c r="AV11" s="126">
        <v>1.72</v>
      </c>
      <c r="AW11" s="126">
        <v>7450.0</v>
      </c>
      <c r="AX11" s="125">
        <v>4338.0</v>
      </c>
      <c r="AY11" s="125" t="s">
        <v>384</v>
      </c>
      <c r="AZ11" s="125">
        <v>3403.0</v>
      </c>
      <c r="BA11" s="126">
        <v>1.86</v>
      </c>
      <c r="BB11" s="126">
        <v>6000.0</v>
      </c>
      <c r="BC11" s="129">
        <v>3225.0</v>
      </c>
      <c r="BD11" s="125" t="s">
        <v>384</v>
      </c>
      <c r="BE11" s="125">
        <v>3403.0</v>
      </c>
      <c r="BF11" s="126">
        <v>1.73</v>
      </c>
      <c r="BG11" s="126">
        <v>5715.0</v>
      </c>
      <c r="BH11" s="129">
        <v>3296.0</v>
      </c>
      <c r="BI11" s="125" t="s">
        <v>384</v>
      </c>
      <c r="BJ11" s="125">
        <v>3403.0</v>
      </c>
      <c r="BK11" s="126">
        <v>1.92</v>
      </c>
      <c r="BL11" s="126">
        <v>9850.0</v>
      </c>
      <c r="BM11" s="129">
        <v>5135.0</v>
      </c>
      <c r="BN11" s="128" t="s">
        <v>384</v>
      </c>
      <c r="BO11" s="125">
        <v>3403.0</v>
      </c>
      <c r="BP11" s="125" t="e">
        <v>#DIV/0!</v>
      </c>
      <c r="BQ11" s="126">
        <v>0.0</v>
      </c>
      <c r="BR11" s="125">
        <v>0.0</v>
      </c>
      <c r="BS11" s="128" t="s">
        <v>384</v>
      </c>
      <c r="BT11" s="125">
        <v>3403.0</v>
      </c>
      <c r="BU11" s="126">
        <v>2.02</v>
      </c>
      <c r="BV11" s="126">
        <v>6835.0</v>
      </c>
      <c r="BW11" s="125">
        <v>3390.0</v>
      </c>
      <c r="BX11" s="128" t="s">
        <v>380</v>
      </c>
      <c r="BY11" s="125">
        <v>9334.0</v>
      </c>
      <c r="BZ11" s="125" t="e">
        <v>#DIV/0!</v>
      </c>
      <c r="CA11" s="126">
        <v>0.0</v>
      </c>
      <c r="CB11" s="125">
        <v>0.0</v>
      </c>
      <c r="CC11" s="128" t="s">
        <v>523</v>
      </c>
      <c r="CD11" s="125">
        <v>5490.0</v>
      </c>
      <c r="CE11" s="126">
        <v>2.13</v>
      </c>
      <c r="CF11" s="126">
        <v>11300.0</v>
      </c>
      <c r="CG11" s="129">
        <v>5316.0</v>
      </c>
      <c r="CH11" s="128" t="s">
        <v>612</v>
      </c>
      <c r="CI11" s="125">
        <v>9308.0</v>
      </c>
      <c r="CJ11" s="126">
        <v>2.45</v>
      </c>
      <c r="CK11" s="126">
        <v>11600.0</v>
      </c>
      <c r="CL11" s="129">
        <v>4739.0</v>
      </c>
      <c r="CM11" s="125" t="s">
        <v>392</v>
      </c>
      <c r="CN11" s="125">
        <v>9617.0</v>
      </c>
      <c r="CO11" s="125" t="s">
        <v>593</v>
      </c>
      <c r="CP11" s="126">
        <v>0.0</v>
      </c>
      <c r="CQ11" s="125">
        <v>0.0</v>
      </c>
      <c r="CR11" s="125" t="s">
        <v>398</v>
      </c>
      <c r="CS11" s="125">
        <v>2516.0</v>
      </c>
      <c r="CT11" s="125">
        <v>1.57</v>
      </c>
      <c r="CU11" s="126">
        <v>5600.0</v>
      </c>
      <c r="CV11" s="129">
        <v>3560.0</v>
      </c>
      <c r="CW11" s="125" t="s">
        <v>392</v>
      </c>
      <c r="CX11" s="125">
        <v>9617.0</v>
      </c>
      <c r="CY11" s="125">
        <v>1.6</v>
      </c>
      <c r="CZ11" s="126">
        <v>3470.0</v>
      </c>
      <c r="DA11" s="129">
        <v>2170.0</v>
      </c>
      <c r="DB11" s="125" t="s">
        <v>392</v>
      </c>
      <c r="DC11" s="125">
        <v>9617.0</v>
      </c>
      <c r="DD11" s="131">
        <v>1.97</v>
      </c>
      <c r="DE11" s="131">
        <v>11500.0</v>
      </c>
      <c r="DF11" s="132">
        <v>5823.0</v>
      </c>
      <c r="DG11" s="125" t="s">
        <v>392</v>
      </c>
      <c r="DH11" s="125">
        <v>9617.0</v>
      </c>
      <c r="DI11" s="125">
        <v>1.79</v>
      </c>
      <c r="DJ11" s="130">
        <v>6000.0</v>
      </c>
      <c r="DK11" s="129">
        <v>3353.0</v>
      </c>
      <c r="DL11" s="125" t="s">
        <v>392</v>
      </c>
      <c r="DM11" s="125">
        <v>9617.0</v>
      </c>
      <c r="DN11" s="125">
        <v>2.07</v>
      </c>
      <c r="DO11" s="130">
        <v>5750.0</v>
      </c>
      <c r="DP11" s="129">
        <v>2777.0</v>
      </c>
    </row>
    <row r="12" ht="15.75" customHeight="1">
      <c r="A12" s="125" t="s">
        <v>619</v>
      </c>
      <c r="B12" s="125">
        <v>8136.0</v>
      </c>
      <c r="C12" s="126">
        <v>1.94</v>
      </c>
      <c r="D12" s="126">
        <v>3399.0</v>
      </c>
      <c r="E12" s="129">
        <v>1755.0</v>
      </c>
      <c r="F12" s="128" t="s">
        <v>619</v>
      </c>
      <c r="G12" s="125">
        <v>8136.0</v>
      </c>
      <c r="H12" s="126">
        <v>2.0</v>
      </c>
      <c r="I12" s="126">
        <v>5850.0</v>
      </c>
      <c r="J12" s="129">
        <v>2930.0</v>
      </c>
      <c r="K12" s="128" t="s">
        <v>620</v>
      </c>
      <c r="L12" s="125">
        <v>102957.0</v>
      </c>
      <c r="M12" s="125">
        <v>1.46</v>
      </c>
      <c r="N12" s="129">
        <v>1500.0</v>
      </c>
      <c r="O12" s="129">
        <v>1026.0</v>
      </c>
      <c r="P12" s="128" t="s">
        <v>380</v>
      </c>
      <c r="Q12" s="125">
        <v>9334.0</v>
      </c>
      <c r="R12" s="125">
        <v>2.06</v>
      </c>
      <c r="S12" s="126">
        <v>7250.0</v>
      </c>
      <c r="T12" s="129">
        <v>3518.0</v>
      </c>
      <c r="U12" s="128" t="s">
        <v>380</v>
      </c>
      <c r="V12" s="125">
        <v>9334.0</v>
      </c>
      <c r="W12" s="125" t="s">
        <v>593</v>
      </c>
      <c r="X12" s="126">
        <v>0.0</v>
      </c>
      <c r="Y12" s="125">
        <v>0.0</v>
      </c>
      <c r="Z12" s="128" t="s">
        <v>380</v>
      </c>
      <c r="AA12" s="125">
        <v>9334.0</v>
      </c>
      <c r="AB12" s="125">
        <v>1.79</v>
      </c>
      <c r="AC12" s="126">
        <v>6400.0</v>
      </c>
      <c r="AD12" s="129">
        <v>3573.0</v>
      </c>
      <c r="AE12" s="125" t="s">
        <v>380</v>
      </c>
      <c r="AF12" s="125">
        <v>9334.0</v>
      </c>
      <c r="AG12" s="126">
        <v>2.32</v>
      </c>
      <c r="AH12" s="130">
        <v>8200.0</v>
      </c>
      <c r="AI12" s="129">
        <v>3534.0</v>
      </c>
      <c r="AJ12" s="125" t="s">
        <v>621</v>
      </c>
      <c r="AK12" s="125">
        <v>3403.0</v>
      </c>
      <c r="AL12" s="126">
        <v>1.87</v>
      </c>
      <c r="AM12" s="126">
        <v>4450.0</v>
      </c>
      <c r="AN12" s="129">
        <v>2374.0</v>
      </c>
      <c r="AO12" s="125" t="s">
        <v>380</v>
      </c>
      <c r="AP12" s="125">
        <v>9334.0</v>
      </c>
      <c r="AQ12" s="125" t="e">
        <v>#DIV/0!</v>
      </c>
      <c r="AR12" s="126">
        <v>0.0</v>
      </c>
      <c r="AS12" s="125">
        <v>0.0</v>
      </c>
      <c r="AT12" s="125" t="s">
        <v>384</v>
      </c>
      <c r="AU12" s="125">
        <v>3403.0</v>
      </c>
      <c r="AV12" s="126">
        <v>1.85</v>
      </c>
      <c r="AW12" s="126">
        <v>8770.57</v>
      </c>
      <c r="AX12" s="125">
        <v>4735.0</v>
      </c>
      <c r="AY12" s="125" t="s">
        <v>609</v>
      </c>
      <c r="AZ12" s="125">
        <v>9309.0</v>
      </c>
      <c r="BA12" s="126">
        <v>1.82</v>
      </c>
      <c r="BB12" s="126">
        <v>5683.0</v>
      </c>
      <c r="BC12" s="129">
        <v>3119.0</v>
      </c>
      <c r="BD12" s="125" t="s">
        <v>609</v>
      </c>
      <c r="BE12" s="125">
        <v>9309.0</v>
      </c>
      <c r="BF12" s="126">
        <v>1.75</v>
      </c>
      <c r="BG12" s="126">
        <v>6050.0</v>
      </c>
      <c r="BH12" s="129">
        <v>3459.0</v>
      </c>
      <c r="BI12" s="125" t="s">
        <v>609</v>
      </c>
      <c r="BJ12" s="125">
        <v>9309.0</v>
      </c>
      <c r="BK12" s="126">
        <v>1.81</v>
      </c>
      <c r="BL12" s="126">
        <v>2345.0</v>
      </c>
      <c r="BM12" s="129">
        <v>1298.0</v>
      </c>
      <c r="BN12" s="128" t="s">
        <v>609</v>
      </c>
      <c r="BO12" s="125">
        <v>9309.0</v>
      </c>
      <c r="BP12" s="126">
        <v>1.84</v>
      </c>
      <c r="BQ12" s="126">
        <v>3700.0</v>
      </c>
      <c r="BR12" s="125">
        <v>2010.0</v>
      </c>
      <c r="BS12" s="128" t="s">
        <v>609</v>
      </c>
      <c r="BT12" s="125">
        <v>9309.0</v>
      </c>
      <c r="BU12" s="126">
        <v>1.91</v>
      </c>
      <c r="BV12" s="126">
        <v>8850.0</v>
      </c>
      <c r="BW12" s="125">
        <v>4636.0</v>
      </c>
      <c r="BX12" s="128" t="s">
        <v>384</v>
      </c>
      <c r="BY12" s="125">
        <v>3403.0</v>
      </c>
      <c r="BZ12" s="126">
        <v>1.78</v>
      </c>
      <c r="CA12" s="126">
        <v>6320.0</v>
      </c>
      <c r="CB12" s="129">
        <v>3549.0</v>
      </c>
      <c r="CC12" s="128" t="s">
        <v>597</v>
      </c>
      <c r="CD12" s="125">
        <v>6643.0</v>
      </c>
      <c r="CE12" s="126">
        <v>1.83</v>
      </c>
      <c r="CF12" s="126">
        <v>8500.0</v>
      </c>
      <c r="CG12" s="129">
        <v>4652.0</v>
      </c>
      <c r="CH12" s="128" t="s">
        <v>392</v>
      </c>
      <c r="CI12" s="125">
        <v>9617.0</v>
      </c>
      <c r="CJ12" s="126">
        <v>3.12</v>
      </c>
      <c r="CK12" s="126">
        <v>8500.0</v>
      </c>
      <c r="CL12" s="129">
        <v>2724.0</v>
      </c>
      <c r="CM12" s="125" t="s">
        <v>398</v>
      </c>
      <c r="CN12" s="125">
        <v>2516.0</v>
      </c>
      <c r="CO12" s="125">
        <v>1.83</v>
      </c>
      <c r="CP12" s="126">
        <v>9450.0</v>
      </c>
      <c r="CQ12" s="129">
        <v>5161.0</v>
      </c>
      <c r="CR12" s="125" t="s">
        <v>482</v>
      </c>
      <c r="CS12" s="125">
        <v>2774.0</v>
      </c>
      <c r="CT12" s="125" t="s">
        <v>593</v>
      </c>
      <c r="CU12" s="126">
        <v>0.0</v>
      </c>
      <c r="CV12" s="125">
        <v>0.0</v>
      </c>
      <c r="CW12" s="125" t="s">
        <v>398</v>
      </c>
      <c r="CX12" s="125">
        <v>2516.0</v>
      </c>
      <c r="CY12" s="125">
        <v>1.89</v>
      </c>
      <c r="CZ12" s="126">
        <v>8600.0</v>
      </c>
      <c r="DA12" s="129">
        <v>4553.0</v>
      </c>
      <c r="DB12" s="125" t="s">
        <v>398</v>
      </c>
      <c r="DC12" s="125">
        <v>2516.0</v>
      </c>
      <c r="DD12" s="131">
        <v>2.2</v>
      </c>
      <c r="DE12" s="131">
        <v>5900.0</v>
      </c>
      <c r="DF12" s="132">
        <v>2678.0</v>
      </c>
      <c r="DG12" s="125" t="s">
        <v>398</v>
      </c>
      <c r="DH12" s="125">
        <v>2516.0</v>
      </c>
      <c r="DI12" s="125" t="s">
        <v>593</v>
      </c>
      <c r="DJ12" s="130">
        <v>0.0</v>
      </c>
      <c r="DK12" s="125">
        <v>0.0</v>
      </c>
      <c r="DL12" s="125" t="s">
        <v>398</v>
      </c>
      <c r="DM12" s="125">
        <v>2516.0</v>
      </c>
      <c r="DN12" s="125">
        <v>1.84</v>
      </c>
      <c r="DO12" s="130">
        <v>3450.0</v>
      </c>
      <c r="DP12" s="129">
        <v>1871.0</v>
      </c>
    </row>
    <row r="13" ht="15.75" customHeight="1">
      <c r="A13" s="125" t="s">
        <v>622</v>
      </c>
      <c r="B13" s="125" t="s">
        <v>623</v>
      </c>
      <c r="C13" s="126">
        <v>1.9</v>
      </c>
      <c r="D13" s="126">
        <v>4600.0</v>
      </c>
      <c r="E13" s="129">
        <v>2419.0</v>
      </c>
      <c r="F13" s="128" t="s">
        <v>622</v>
      </c>
      <c r="G13" s="125" t="s">
        <v>623</v>
      </c>
      <c r="H13" s="126">
        <v>1.75</v>
      </c>
      <c r="I13" s="126">
        <v>4175.0</v>
      </c>
      <c r="J13" s="129">
        <v>2392.0</v>
      </c>
      <c r="K13" s="128" t="s">
        <v>624</v>
      </c>
      <c r="L13" s="125">
        <v>9308.0</v>
      </c>
      <c r="M13" s="125">
        <v>1.86</v>
      </c>
      <c r="N13" s="129">
        <v>7320.0</v>
      </c>
      <c r="O13" s="129">
        <v>3925.0</v>
      </c>
      <c r="P13" s="128" t="s">
        <v>620</v>
      </c>
      <c r="Q13" s="125">
        <v>102957.0</v>
      </c>
      <c r="R13" s="125">
        <v>1.71</v>
      </c>
      <c r="S13" s="126">
        <v>3177.0</v>
      </c>
      <c r="T13" s="129">
        <v>1858.0</v>
      </c>
      <c r="U13" s="128" t="s">
        <v>620</v>
      </c>
      <c r="V13" s="125">
        <v>102957.0</v>
      </c>
      <c r="W13" s="125" t="s">
        <v>593</v>
      </c>
      <c r="X13" s="126">
        <v>0.0</v>
      </c>
      <c r="Y13" s="125">
        <v>0.0</v>
      </c>
      <c r="Z13" s="128" t="s">
        <v>620</v>
      </c>
      <c r="AA13" s="125">
        <v>102957.0</v>
      </c>
      <c r="AB13" s="125" t="s">
        <v>593</v>
      </c>
      <c r="AC13" s="126">
        <v>0.0</v>
      </c>
      <c r="AD13" s="125">
        <v>0.0</v>
      </c>
      <c r="AE13" s="125" t="s">
        <v>617</v>
      </c>
      <c r="AF13" s="125" t="s">
        <v>618</v>
      </c>
      <c r="AG13" s="125" t="e">
        <v>#DIV/0!</v>
      </c>
      <c r="AH13" s="130">
        <v>0.0</v>
      </c>
      <c r="AI13" s="125">
        <v>0.0</v>
      </c>
      <c r="AJ13" s="125" t="s">
        <v>609</v>
      </c>
      <c r="AK13" s="125">
        <v>9309.0</v>
      </c>
      <c r="AL13" s="126">
        <v>1.48</v>
      </c>
      <c r="AM13" s="126">
        <v>2400.0</v>
      </c>
      <c r="AN13" s="129">
        <v>1620.0</v>
      </c>
      <c r="AO13" s="125" t="s">
        <v>625</v>
      </c>
      <c r="AP13" s="125">
        <v>102957.0</v>
      </c>
      <c r="AQ13" s="125" t="e">
        <v>#DIV/0!</v>
      </c>
      <c r="AR13" s="126">
        <v>0.0</v>
      </c>
      <c r="AS13" s="125">
        <v>0.0</v>
      </c>
      <c r="AT13" s="125" t="s">
        <v>609</v>
      </c>
      <c r="AU13" s="125">
        <v>9309.0</v>
      </c>
      <c r="AV13" s="126">
        <v>1.78</v>
      </c>
      <c r="AW13" s="126">
        <v>7650.0</v>
      </c>
      <c r="AX13" s="125">
        <v>4308.0</v>
      </c>
      <c r="AY13" s="125" t="s">
        <v>612</v>
      </c>
      <c r="AZ13" s="125">
        <v>9308.0</v>
      </c>
      <c r="BA13" s="126">
        <v>1.96</v>
      </c>
      <c r="BB13" s="126">
        <v>6600.0</v>
      </c>
      <c r="BC13" s="129">
        <v>3364.0</v>
      </c>
      <c r="BD13" s="125" t="s">
        <v>612</v>
      </c>
      <c r="BE13" s="125">
        <v>9308.0</v>
      </c>
      <c r="BF13" s="126">
        <v>1.69</v>
      </c>
      <c r="BG13" s="126">
        <v>5800.0</v>
      </c>
      <c r="BH13" s="129">
        <v>3428.0</v>
      </c>
      <c r="BI13" s="125" t="s">
        <v>612</v>
      </c>
      <c r="BJ13" s="125">
        <v>9308.0</v>
      </c>
      <c r="BK13" s="126">
        <v>1.85</v>
      </c>
      <c r="BL13" s="126">
        <v>7200.0</v>
      </c>
      <c r="BM13" s="129">
        <v>3896.0</v>
      </c>
      <c r="BN13" s="128" t="s">
        <v>612</v>
      </c>
      <c r="BO13" s="125">
        <v>9308.0</v>
      </c>
      <c r="BP13" s="125" t="e">
        <v>#DIV/0!</v>
      </c>
      <c r="BQ13" s="126">
        <v>0.0</v>
      </c>
      <c r="BR13" s="125">
        <v>0.0</v>
      </c>
      <c r="BS13" s="128" t="s">
        <v>612</v>
      </c>
      <c r="BT13" s="125">
        <v>9308.0</v>
      </c>
      <c r="BU13" s="126">
        <v>1.5</v>
      </c>
      <c r="BV13" s="126">
        <v>6700.0</v>
      </c>
      <c r="BW13" s="125">
        <v>4478.0</v>
      </c>
      <c r="BX13" s="128" t="s">
        <v>609</v>
      </c>
      <c r="BY13" s="125">
        <v>9309.0</v>
      </c>
      <c r="BZ13" s="126">
        <v>1.67</v>
      </c>
      <c r="CA13" s="126">
        <v>5100.0</v>
      </c>
      <c r="CB13" s="129">
        <v>3057.0</v>
      </c>
      <c r="CC13" s="128" t="s">
        <v>398</v>
      </c>
      <c r="CD13" s="125">
        <v>2516.0</v>
      </c>
      <c r="CE13" s="126">
        <v>1.94</v>
      </c>
      <c r="CF13" s="126">
        <v>4200.0</v>
      </c>
      <c r="CG13" s="129">
        <v>2168.0</v>
      </c>
      <c r="CH13" s="128" t="s">
        <v>398</v>
      </c>
      <c r="CI13" s="125">
        <v>2516.0</v>
      </c>
      <c r="CJ13" s="126">
        <v>1.72</v>
      </c>
      <c r="CK13" s="126">
        <v>5360.0</v>
      </c>
      <c r="CL13" s="129">
        <v>3114.0</v>
      </c>
      <c r="CM13" s="125" t="s">
        <v>482</v>
      </c>
      <c r="CN13" s="125">
        <v>8033.0</v>
      </c>
      <c r="CO13" s="125" t="s">
        <v>593</v>
      </c>
      <c r="CP13" s="126">
        <v>0.0</v>
      </c>
      <c r="CQ13" s="125">
        <v>0.0</v>
      </c>
      <c r="CR13" s="125" t="s">
        <v>489</v>
      </c>
      <c r="CS13" s="125">
        <v>515.0</v>
      </c>
      <c r="CT13" s="125">
        <v>1.93</v>
      </c>
      <c r="CU13" s="126">
        <v>6300.0</v>
      </c>
      <c r="CV13" s="129">
        <v>3271.0</v>
      </c>
      <c r="CW13" s="125" t="s">
        <v>626</v>
      </c>
      <c r="CX13" s="125">
        <v>8479.0</v>
      </c>
      <c r="CY13" s="125">
        <v>2.24</v>
      </c>
      <c r="CZ13" s="126">
        <v>9610.0</v>
      </c>
      <c r="DA13" s="129">
        <v>4282.0</v>
      </c>
      <c r="DB13" s="125" t="s">
        <v>626</v>
      </c>
      <c r="DC13" s="125">
        <v>8479.0</v>
      </c>
      <c r="DD13" s="128" t="e">
        <v>#DIV/0!</v>
      </c>
      <c r="DE13" s="131">
        <v>0.0</v>
      </c>
      <c r="DF13" s="128">
        <v>0.0</v>
      </c>
      <c r="DG13" s="125" t="s">
        <v>626</v>
      </c>
      <c r="DH13" s="125">
        <v>8479.0</v>
      </c>
      <c r="DI13" s="125">
        <v>2.41</v>
      </c>
      <c r="DJ13" s="130">
        <v>2800.0</v>
      </c>
      <c r="DK13" s="129">
        <v>1160.0</v>
      </c>
      <c r="DL13" s="125" t="s">
        <v>627</v>
      </c>
      <c r="DM13" s="125">
        <v>2932.0</v>
      </c>
      <c r="DN13" s="125">
        <v>2.16</v>
      </c>
      <c r="DO13" s="130">
        <v>7800.0</v>
      </c>
      <c r="DP13" s="129">
        <v>3614.0</v>
      </c>
    </row>
    <row r="14" ht="15.75" customHeight="1">
      <c r="A14" s="125" t="s">
        <v>628</v>
      </c>
      <c r="B14" s="125">
        <v>9309.0</v>
      </c>
      <c r="C14" s="126">
        <v>1.84</v>
      </c>
      <c r="D14" s="126">
        <v>10850.0</v>
      </c>
      <c r="E14" s="129">
        <v>5887.0</v>
      </c>
      <c r="F14" s="128" t="s">
        <v>628</v>
      </c>
      <c r="G14" s="125">
        <v>9309.0</v>
      </c>
      <c r="H14" s="126">
        <v>1.73</v>
      </c>
      <c r="I14" s="126">
        <v>4700.0</v>
      </c>
      <c r="J14" s="129">
        <v>2723.0</v>
      </c>
      <c r="K14" s="128" t="s">
        <v>628</v>
      </c>
      <c r="L14" s="125">
        <v>9309.0</v>
      </c>
      <c r="M14" s="125">
        <v>2.07</v>
      </c>
      <c r="N14" s="129">
        <v>8540.0</v>
      </c>
      <c r="O14" s="129">
        <v>4122.0</v>
      </c>
      <c r="P14" s="128" t="s">
        <v>612</v>
      </c>
      <c r="Q14" s="125">
        <v>9308.0</v>
      </c>
      <c r="R14" s="125">
        <v>1.57</v>
      </c>
      <c r="S14" s="126">
        <v>8250.0</v>
      </c>
      <c r="T14" s="129">
        <v>5264.0</v>
      </c>
      <c r="U14" s="128" t="s">
        <v>612</v>
      </c>
      <c r="V14" s="125">
        <v>9308.0</v>
      </c>
      <c r="W14" s="125">
        <v>1.84</v>
      </c>
      <c r="X14" s="126">
        <v>2250.0</v>
      </c>
      <c r="Y14" s="129">
        <v>1225.0</v>
      </c>
      <c r="Z14" s="128" t="s">
        <v>629</v>
      </c>
      <c r="AA14" s="125">
        <v>7607.0</v>
      </c>
      <c r="AB14" s="125">
        <v>1.17</v>
      </c>
      <c r="AC14" s="126">
        <v>400.0</v>
      </c>
      <c r="AD14" s="125">
        <v>341.0</v>
      </c>
      <c r="AE14" s="125" t="s">
        <v>617</v>
      </c>
      <c r="AF14" s="125">
        <v>7607.0</v>
      </c>
      <c r="AG14" s="125" t="e">
        <v>#DIV/0!</v>
      </c>
      <c r="AH14" s="130">
        <v>0.0</v>
      </c>
      <c r="AI14" s="125">
        <v>0.0</v>
      </c>
      <c r="AJ14" s="125" t="s">
        <v>612</v>
      </c>
      <c r="AK14" s="125">
        <v>9308.0</v>
      </c>
      <c r="AL14" s="126">
        <v>2.12</v>
      </c>
      <c r="AM14" s="126">
        <v>7450.0</v>
      </c>
      <c r="AN14" s="129">
        <v>3515.0</v>
      </c>
      <c r="AO14" s="125" t="s">
        <v>612</v>
      </c>
      <c r="AP14" s="125">
        <v>9308.0</v>
      </c>
      <c r="AQ14" s="126">
        <v>1.84</v>
      </c>
      <c r="AR14" s="126">
        <v>2250.0</v>
      </c>
      <c r="AS14" s="125">
        <v>1225.0</v>
      </c>
      <c r="AT14" s="125" t="s">
        <v>612</v>
      </c>
      <c r="AU14" s="125">
        <v>9308.0</v>
      </c>
      <c r="AV14" s="126">
        <v>2.43</v>
      </c>
      <c r="AW14" s="126">
        <v>9960.0</v>
      </c>
      <c r="AX14" s="125">
        <v>4091.0</v>
      </c>
      <c r="AY14" s="125" t="s">
        <v>392</v>
      </c>
      <c r="AZ14" s="125">
        <v>9617.0</v>
      </c>
      <c r="BA14" s="126">
        <v>1.94</v>
      </c>
      <c r="BB14" s="126">
        <v>5640.0</v>
      </c>
      <c r="BC14" s="129">
        <v>2906.0</v>
      </c>
      <c r="BD14" s="125" t="s">
        <v>392</v>
      </c>
      <c r="BE14" s="125">
        <v>9617.0</v>
      </c>
      <c r="BF14" s="126">
        <v>1.81</v>
      </c>
      <c r="BG14" s="126">
        <v>10500.0</v>
      </c>
      <c r="BH14" s="129">
        <v>5788.0</v>
      </c>
      <c r="BI14" s="125" t="s">
        <v>392</v>
      </c>
      <c r="BJ14" s="125">
        <v>9617.0</v>
      </c>
      <c r="BK14" s="126">
        <v>2.59</v>
      </c>
      <c r="BL14" s="126">
        <v>4300.0</v>
      </c>
      <c r="BM14" s="129">
        <v>1662.0</v>
      </c>
      <c r="BN14" s="128" t="s">
        <v>392</v>
      </c>
      <c r="BO14" s="125">
        <v>9617.0</v>
      </c>
      <c r="BP14" s="125" t="e">
        <v>#DIV/0!</v>
      </c>
      <c r="BQ14" s="126">
        <v>0.0</v>
      </c>
      <c r="BR14" s="125">
        <v>0.0</v>
      </c>
      <c r="BS14" s="128" t="s">
        <v>392</v>
      </c>
      <c r="BT14" s="125">
        <v>9617.0</v>
      </c>
      <c r="BU14" s="126">
        <v>1.5</v>
      </c>
      <c r="BV14" s="126">
        <v>4300.0</v>
      </c>
      <c r="BW14" s="125">
        <v>2870.0</v>
      </c>
      <c r="BX14" s="128" t="s">
        <v>612</v>
      </c>
      <c r="BY14" s="125">
        <v>9308.0</v>
      </c>
      <c r="BZ14" s="126">
        <v>1.76</v>
      </c>
      <c r="CA14" s="126">
        <v>7700.0</v>
      </c>
      <c r="CB14" s="129">
        <v>4364.0</v>
      </c>
      <c r="CC14" s="128" t="s">
        <v>630</v>
      </c>
      <c r="CD14" s="125">
        <v>913.0</v>
      </c>
      <c r="CE14" s="126">
        <v>1.84</v>
      </c>
      <c r="CF14" s="126">
        <v>4597.5</v>
      </c>
      <c r="CG14" s="129">
        <v>2494.0</v>
      </c>
      <c r="CH14" s="128" t="s">
        <v>482</v>
      </c>
      <c r="CI14" s="125">
        <v>8033.0</v>
      </c>
      <c r="CJ14" s="125" t="e">
        <v>#DIV/0!</v>
      </c>
      <c r="CK14" s="126">
        <v>0.0</v>
      </c>
      <c r="CL14" s="125">
        <v>0.0</v>
      </c>
      <c r="CM14" s="125" t="s">
        <v>489</v>
      </c>
      <c r="CN14" s="125">
        <v>515.0</v>
      </c>
      <c r="CO14" s="125">
        <v>2.45</v>
      </c>
      <c r="CP14" s="126">
        <v>5550.0</v>
      </c>
      <c r="CQ14" s="129">
        <v>2268.0</v>
      </c>
      <c r="CR14" s="125" t="s">
        <v>626</v>
      </c>
      <c r="CS14" s="125">
        <v>8479.0</v>
      </c>
      <c r="CT14" s="125">
        <v>2.31</v>
      </c>
      <c r="CU14" s="126">
        <v>7700.0</v>
      </c>
      <c r="CV14" s="129">
        <v>3335.0</v>
      </c>
      <c r="CW14" s="125" t="s">
        <v>631</v>
      </c>
      <c r="CX14" s="125">
        <v>3819.0</v>
      </c>
      <c r="CY14" s="125">
        <v>1.87</v>
      </c>
      <c r="CZ14" s="126">
        <v>10350.0</v>
      </c>
      <c r="DA14" s="129">
        <v>5538.0</v>
      </c>
      <c r="DB14" s="125" t="s">
        <v>631</v>
      </c>
      <c r="DC14" s="125">
        <v>3819.0</v>
      </c>
      <c r="DD14" s="131">
        <v>1.83</v>
      </c>
      <c r="DE14" s="131">
        <v>10700.0</v>
      </c>
      <c r="DF14" s="132">
        <v>5856.0</v>
      </c>
      <c r="DG14" s="125" t="s">
        <v>417</v>
      </c>
      <c r="DH14" s="125">
        <v>3819.0</v>
      </c>
      <c r="DI14" s="125">
        <v>1.79</v>
      </c>
      <c r="DJ14" s="130">
        <v>7052.0</v>
      </c>
      <c r="DK14" s="129">
        <v>3938.0</v>
      </c>
      <c r="DL14" s="125" t="s">
        <v>417</v>
      </c>
      <c r="DM14" s="125">
        <v>3819.0</v>
      </c>
      <c r="DN14" s="125">
        <v>1.65</v>
      </c>
      <c r="DO14" s="130">
        <v>9740.0</v>
      </c>
      <c r="DP14" s="129">
        <v>5914.0</v>
      </c>
    </row>
    <row r="15" ht="15.75" customHeight="1">
      <c r="A15" s="125" t="s">
        <v>528</v>
      </c>
      <c r="B15" s="125">
        <v>8033.0</v>
      </c>
      <c r="C15" s="126">
        <v>1.78</v>
      </c>
      <c r="D15" s="126">
        <v>5838.0</v>
      </c>
      <c r="E15" s="129">
        <v>3273.0</v>
      </c>
      <c r="F15" s="128" t="s">
        <v>528</v>
      </c>
      <c r="G15" s="125">
        <v>9309.0</v>
      </c>
      <c r="H15" s="126">
        <v>1.93</v>
      </c>
      <c r="I15" s="126">
        <v>8820.0</v>
      </c>
      <c r="J15" s="129">
        <v>4562.0</v>
      </c>
      <c r="K15" s="128" t="s">
        <v>632</v>
      </c>
      <c r="L15" s="125">
        <v>1002.0</v>
      </c>
      <c r="M15" s="125">
        <v>1.64</v>
      </c>
      <c r="N15" s="129">
        <v>7253.0</v>
      </c>
      <c r="O15" s="129">
        <v>4412.0</v>
      </c>
      <c r="P15" s="128" t="s">
        <v>628</v>
      </c>
      <c r="Q15" s="125">
        <v>9309.0</v>
      </c>
      <c r="R15" s="125">
        <v>1.78</v>
      </c>
      <c r="S15" s="126">
        <v>7800.0</v>
      </c>
      <c r="T15" s="129">
        <v>4388.0</v>
      </c>
      <c r="U15" s="128" t="s">
        <v>628</v>
      </c>
      <c r="V15" s="125">
        <v>9309.0</v>
      </c>
      <c r="W15" s="125" t="s">
        <v>593</v>
      </c>
      <c r="X15" s="126">
        <v>0.0</v>
      </c>
      <c r="Y15" s="125">
        <v>0.0</v>
      </c>
      <c r="Z15" s="128" t="s">
        <v>612</v>
      </c>
      <c r="AA15" s="125">
        <v>9308.0</v>
      </c>
      <c r="AB15" s="125">
        <v>1.73</v>
      </c>
      <c r="AC15" s="126">
        <v>7000.0</v>
      </c>
      <c r="AD15" s="129">
        <v>4052.0</v>
      </c>
      <c r="AE15" s="125" t="s">
        <v>612</v>
      </c>
      <c r="AF15" s="125">
        <v>9308.0</v>
      </c>
      <c r="AG15" s="126">
        <v>1.9</v>
      </c>
      <c r="AH15" s="126">
        <v>10633.95</v>
      </c>
      <c r="AI15" s="129">
        <v>5608.0</v>
      </c>
      <c r="AJ15" s="125" t="s">
        <v>628</v>
      </c>
      <c r="AK15" s="125">
        <v>9348.0</v>
      </c>
      <c r="AL15" s="125" t="e">
        <v>#DIV/0!</v>
      </c>
      <c r="AM15" s="126">
        <v>0.0</v>
      </c>
      <c r="AN15" s="125">
        <v>0.0</v>
      </c>
      <c r="AO15" s="125" t="s">
        <v>628</v>
      </c>
      <c r="AP15" s="125">
        <v>9309.0</v>
      </c>
      <c r="AQ15" s="125" t="e">
        <v>#DIV/0!</v>
      </c>
      <c r="AR15" s="126">
        <v>0.0</v>
      </c>
      <c r="AS15" s="125">
        <v>0.0</v>
      </c>
      <c r="AT15" s="125" t="s">
        <v>632</v>
      </c>
      <c r="AU15" s="125">
        <v>1002.0</v>
      </c>
      <c r="AV15" s="125" t="e">
        <v>#DIV/0!</v>
      </c>
      <c r="AW15" s="126">
        <v>0.0</v>
      </c>
      <c r="AX15" s="125">
        <v>0.0</v>
      </c>
      <c r="AY15" s="125" t="s">
        <v>398</v>
      </c>
      <c r="AZ15" s="125">
        <v>8136.0</v>
      </c>
      <c r="BA15" s="126">
        <v>1.85</v>
      </c>
      <c r="BB15" s="126">
        <v>7700.0</v>
      </c>
      <c r="BC15" s="129">
        <v>4172.0</v>
      </c>
      <c r="BD15" s="125" t="s">
        <v>398</v>
      </c>
      <c r="BE15" s="125">
        <v>8136.0</v>
      </c>
      <c r="BF15" s="126">
        <v>1.96</v>
      </c>
      <c r="BG15" s="126">
        <v>5653.0</v>
      </c>
      <c r="BH15" s="129">
        <v>2889.0</v>
      </c>
      <c r="BI15" s="125" t="s">
        <v>398</v>
      </c>
      <c r="BJ15" s="125">
        <v>8136.0</v>
      </c>
      <c r="BK15" s="126">
        <v>1.9</v>
      </c>
      <c r="BL15" s="126">
        <v>5000.0</v>
      </c>
      <c r="BM15" s="129">
        <v>2632.0</v>
      </c>
      <c r="BN15" s="128" t="s">
        <v>398</v>
      </c>
      <c r="BO15" s="125" t="s">
        <v>633</v>
      </c>
      <c r="BP15" s="125" t="e">
        <v>#DIV/0!</v>
      </c>
      <c r="BQ15" s="126">
        <v>0.0</v>
      </c>
      <c r="BR15" s="125">
        <v>0.0</v>
      </c>
      <c r="BS15" s="128" t="s">
        <v>398</v>
      </c>
      <c r="BT15" s="125">
        <v>2516.0</v>
      </c>
      <c r="BU15" s="126">
        <v>1.21</v>
      </c>
      <c r="BV15" s="126">
        <v>1350.0</v>
      </c>
      <c r="BW15" s="125">
        <v>1119.0</v>
      </c>
      <c r="BX15" s="128" t="s">
        <v>392</v>
      </c>
      <c r="BY15" s="125">
        <v>9617.0</v>
      </c>
      <c r="BZ15" s="126">
        <v>1.98</v>
      </c>
      <c r="CA15" s="126">
        <v>9974.0</v>
      </c>
      <c r="CB15" s="129">
        <v>5049.0</v>
      </c>
      <c r="CC15" s="128" t="s">
        <v>501</v>
      </c>
      <c r="CD15" s="125">
        <v>2693.0</v>
      </c>
      <c r="CE15" s="126">
        <v>1.9</v>
      </c>
      <c r="CF15" s="126">
        <v>6300.0</v>
      </c>
      <c r="CG15" s="129">
        <v>3315.0</v>
      </c>
      <c r="CH15" s="128" t="s">
        <v>539</v>
      </c>
      <c r="CI15" s="125">
        <v>514.0</v>
      </c>
      <c r="CJ15" s="126">
        <v>1.99</v>
      </c>
      <c r="CK15" s="126">
        <v>9460.0</v>
      </c>
      <c r="CL15" s="129">
        <v>4765.0</v>
      </c>
      <c r="CM15" s="125" t="s">
        <v>626</v>
      </c>
      <c r="CN15" s="125">
        <v>8479.0</v>
      </c>
      <c r="CO15" s="125">
        <v>2.11</v>
      </c>
      <c r="CP15" s="126">
        <v>800.0</v>
      </c>
      <c r="CQ15" s="125">
        <v>380.0</v>
      </c>
      <c r="CR15" s="125" t="s">
        <v>631</v>
      </c>
      <c r="CS15" s="125">
        <v>3819.0</v>
      </c>
      <c r="CT15" s="125" t="s">
        <v>593</v>
      </c>
      <c r="CU15" s="126">
        <v>0.0</v>
      </c>
      <c r="CV15" s="125">
        <v>0.0</v>
      </c>
      <c r="CW15" s="125" t="s">
        <v>422</v>
      </c>
      <c r="CX15" s="125">
        <v>1002.0</v>
      </c>
      <c r="CY15" s="125">
        <v>1.52</v>
      </c>
      <c r="CZ15" s="126">
        <v>1200.0</v>
      </c>
      <c r="DA15" s="125">
        <v>792.0</v>
      </c>
      <c r="DB15" s="125" t="s">
        <v>422</v>
      </c>
      <c r="DC15" s="125">
        <v>1002.0</v>
      </c>
      <c r="DD15" s="128" t="e">
        <v>#DIV/0!</v>
      </c>
      <c r="DE15" s="131">
        <v>0.0</v>
      </c>
      <c r="DF15" s="128">
        <v>0.0</v>
      </c>
      <c r="DG15" s="125" t="s">
        <v>422</v>
      </c>
      <c r="DH15" s="125">
        <v>1002.0</v>
      </c>
      <c r="DI15" s="125">
        <v>1.97</v>
      </c>
      <c r="DJ15" s="130">
        <v>6050.0</v>
      </c>
      <c r="DK15" s="129">
        <v>3067.0</v>
      </c>
      <c r="DL15" s="125" t="s">
        <v>422</v>
      </c>
      <c r="DM15" s="125">
        <v>1002.0</v>
      </c>
      <c r="DN15" s="125">
        <v>1.76</v>
      </c>
      <c r="DO15" s="130">
        <v>6770.0</v>
      </c>
      <c r="DP15" s="129">
        <v>3844.0</v>
      </c>
    </row>
    <row r="16" ht="15.75" customHeight="1">
      <c r="A16" s="125" t="s">
        <v>465</v>
      </c>
      <c r="B16" s="125">
        <v>890.0</v>
      </c>
      <c r="C16" s="126">
        <v>1.84</v>
      </c>
      <c r="D16" s="126">
        <v>7150.0</v>
      </c>
      <c r="E16" s="129">
        <v>3885.0</v>
      </c>
      <c r="F16" s="128" t="s">
        <v>501</v>
      </c>
      <c r="G16" s="125">
        <v>7607.0</v>
      </c>
      <c r="H16" s="126">
        <v>1.5</v>
      </c>
      <c r="I16" s="126">
        <v>2400.0</v>
      </c>
      <c r="J16" s="129">
        <v>1595.0</v>
      </c>
      <c r="K16" s="128" t="s">
        <v>392</v>
      </c>
      <c r="L16" s="125">
        <v>9617.0</v>
      </c>
      <c r="M16" s="125">
        <v>2.22</v>
      </c>
      <c r="N16" s="129">
        <v>8700.0</v>
      </c>
      <c r="O16" s="129">
        <v>3927.0</v>
      </c>
      <c r="P16" s="128" t="s">
        <v>632</v>
      </c>
      <c r="Q16" s="125">
        <v>1002.0</v>
      </c>
      <c r="R16" s="125">
        <v>1.86</v>
      </c>
      <c r="S16" s="126">
        <v>8400.0</v>
      </c>
      <c r="T16" s="129">
        <v>4516.0</v>
      </c>
      <c r="U16" s="128" t="s">
        <v>632</v>
      </c>
      <c r="V16" s="125">
        <v>1002.0</v>
      </c>
      <c r="W16" s="125">
        <v>1.64</v>
      </c>
      <c r="X16" s="126">
        <v>3800.0</v>
      </c>
      <c r="Y16" s="129">
        <v>2318.0</v>
      </c>
      <c r="Z16" s="128" t="s">
        <v>628</v>
      </c>
      <c r="AA16" s="125">
        <v>9309.0</v>
      </c>
      <c r="AB16" s="125" t="s">
        <v>593</v>
      </c>
      <c r="AC16" s="126">
        <v>0.0</v>
      </c>
      <c r="AD16" s="125">
        <v>0.0</v>
      </c>
      <c r="AE16" s="125" t="s">
        <v>628</v>
      </c>
      <c r="AF16" s="125">
        <v>9348.0</v>
      </c>
      <c r="AG16" s="126">
        <v>0.94</v>
      </c>
      <c r="AH16" s="130">
        <v>500.0</v>
      </c>
      <c r="AI16" s="125">
        <v>533.0</v>
      </c>
      <c r="AJ16" s="125" t="s">
        <v>632</v>
      </c>
      <c r="AK16" s="125">
        <v>1002.0</v>
      </c>
      <c r="AL16" s="126">
        <v>1.8</v>
      </c>
      <c r="AM16" s="126">
        <v>8050.0</v>
      </c>
      <c r="AN16" s="129">
        <v>4479.0</v>
      </c>
      <c r="AO16" s="125" t="s">
        <v>632</v>
      </c>
      <c r="AP16" s="125">
        <v>1002.0</v>
      </c>
      <c r="AQ16" s="126">
        <v>1.64</v>
      </c>
      <c r="AR16" s="126">
        <v>3800.0</v>
      </c>
      <c r="AS16" s="125">
        <v>2318.0</v>
      </c>
      <c r="AT16" s="125" t="s">
        <v>392</v>
      </c>
      <c r="AU16" s="125">
        <v>9617.0</v>
      </c>
      <c r="AV16" s="126">
        <v>1.73</v>
      </c>
      <c r="AW16" s="126">
        <v>6092.0</v>
      </c>
      <c r="AX16" s="125">
        <v>3516.0</v>
      </c>
      <c r="AY16" s="125" t="s">
        <v>482</v>
      </c>
      <c r="AZ16" s="125">
        <v>8033.0</v>
      </c>
      <c r="BA16" s="126">
        <v>2.02</v>
      </c>
      <c r="BB16" s="126">
        <v>9700.0</v>
      </c>
      <c r="BC16" s="129">
        <v>4799.0</v>
      </c>
      <c r="BD16" s="125" t="s">
        <v>482</v>
      </c>
      <c r="BE16" s="125">
        <v>8033.0</v>
      </c>
      <c r="BF16" s="126">
        <v>1.76</v>
      </c>
      <c r="BG16" s="126">
        <v>2500.0</v>
      </c>
      <c r="BH16" s="129">
        <v>1420.0</v>
      </c>
      <c r="BI16" s="125" t="s">
        <v>482</v>
      </c>
      <c r="BJ16" s="125">
        <v>8033.0</v>
      </c>
      <c r="BK16" s="126">
        <v>2.04</v>
      </c>
      <c r="BL16" s="126">
        <v>10450.0</v>
      </c>
      <c r="BM16" s="129">
        <v>5114.0</v>
      </c>
      <c r="BN16" s="128" t="s">
        <v>482</v>
      </c>
      <c r="BO16" s="125">
        <v>8033.0</v>
      </c>
      <c r="BP16" s="126">
        <v>1.91</v>
      </c>
      <c r="BQ16" s="126">
        <v>3550.0</v>
      </c>
      <c r="BR16" s="125">
        <v>1857.0</v>
      </c>
      <c r="BS16" s="128" t="s">
        <v>482</v>
      </c>
      <c r="BT16" s="125">
        <v>8033.0</v>
      </c>
      <c r="BU16" s="126">
        <v>1.78</v>
      </c>
      <c r="BV16" s="126">
        <v>3100.0</v>
      </c>
      <c r="BW16" s="125">
        <v>1745.0</v>
      </c>
      <c r="BX16" s="128" t="s">
        <v>398</v>
      </c>
      <c r="BY16" s="125">
        <v>2516.0</v>
      </c>
      <c r="BZ16" s="126">
        <v>1.94</v>
      </c>
      <c r="CA16" s="126">
        <v>8391.0</v>
      </c>
      <c r="CB16" s="129">
        <v>4327.0</v>
      </c>
      <c r="CC16" s="128" t="s">
        <v>528</v>
      </c>
      <c r="CD16" s="125">
        <v>9348.0</v>
      </c>
      <c r="CE16" s="126">
        <v>1.74</v>
      </c>
      <c r="CF16" s="126">
        <v>7430.0</v>
      </c>
      <c r="CG16" s="129">
        <v>4263.0</v>
      </c>
      <c r="CH16" s="128" t="s">
        <v>489</v>
      </c>
      <c r="CI16" s="125">
        <v>515.0</v>
      </c>
      <c r="CJ16" s="126">
        <v>1.98</v>
      </c>
      <c r="CK16" s="126">
        <v>9715.77</v>
      </c>
      <c r="CL16" s="129">
        <v>4907.0</v>
      </c>
      <c r="CM16" s="125" t="s">
        <v>631</v>
      </c>
      <c r="CN16" s="125">
        <v>3819.0</v>
      </c>
      <c r="CO16" s="125">
        <v>2.52</v>
      </c>
      <c r="CP16" s="126">
        <v>18650.0</v>
      </c>
      <c r="CQ16" s="129">
        <v>7405.0</v>
      </c>
      <c r="CR16" s="125" t="s">
        <v>422</v>
      </c>
      <c r="CS16" s="125">
        <v>1002.0</v>
      </c>
      <c r="CT16" s="125">
        <v>1.53</v>
      </c>
      <c r="CU16" s="126">
        <v>5500.0</v>
      </c>
      <c r="CV16" s="129">
        <v>3584.0</v>
      </c>
      <c r="CW16" s="125" t="s">
        <v>430</v>
      </c>
      <c r="CX16" s="125">
        <v>427.0</v>
      </c>
      <c r="CY16" s="125">
        <v>1.96</v>
      </c>
      <c r="CZ16" s="126">
        <v>13150.0</v>
      </c>
      <c r="DA16" s="129">
        <v>6695.0</v>
      </c>
      <c r="DB16" s="125" t="s">
        <v>430</v>
      </c>
      <c r="DC16" s="125">
        <v>427.0</v>
      </c>
      <c r="DD16" s="131">
        <v>1.82</v>
      </c>
      <c r="DE16" s="131">
        <v>6900.0</v>
      </c>
      <c r="DF16" s="132">
        <v>3786.0</v>
      </c>
      <c r="DG16" s="125" t="s">
        <v>430</v>
      </c>
      <c r="DH16" s="125">
        <v>427.0</v>
      </c>
      <c r="DI16" s="125">
        <v>1.72</v>
      </c>
      <c r="DJ16" s="130">
        <v>6450.0</v>
      </c>
      <c r="DK16" s="129">
        <v>3751.0</v>
      </c>
      <c r="DL16" s="125" t="s">
        <v>430</v>
      </c>
      <c r="DM16" s="125">
        <v>427.0</v>
      </c>
      <c r="DN16" s="125">
        <v>1.93</v>
      </c>
      <c r="DO16" s="130">
        <v>11400.0</v>
      </c>
      <c r="DP16" s="129">
        <v>5919.0</v>
      </c>
    </row>
    <row r="17" ht="15.75" customHeight="1">
      <c r="A17" s="125" t="s">
        <v>634</v>
      </c>
      <c r="B17" s="125">
        <v>5490.0</v>
      </c>
      <c r="C17" s="126">
        <v>1.84</v>
      </c>
      <c r="D17" s="126">
        <v>7100.0</v>
      </c>
      <c r="E17" s="129">
        <v>3850.0</v>
      </c>
      <c r="F17" s="128" t="s">
        <v>465</v>
      </c>
      <c r="G17" s="125">
        <v>890.0</v>
      </c>
      <c r="H17" s="126">
        <v>1.77</v>
      </c>
      <c r="I17" s="126">
        <v>3475.0</v>
      </c>
      <c r="J17" s="129">
        <v>1968.0</v>
      </c>
      <c r="K17" s="128" t="s">
        <v>610</v>
      </c>
      <c r="L17" s="125">
        <v>2765.0</v>
      </c>
      <c r="M17" s="125">
        <v>1.61</v>
      </c>
      <c r="N17" s="129">
        <v>4850.0</v>
      </c>
      <c r="O17" s="129">
        <v>3013.0</v>
      </c>
      <c r="P17" s="128" t="s">
        <v>392</v>
      </c>
      <c r="Q17" s="125">
        <v>9617.0</v>
      </c>
      <c r="R17" s="125">
        <v>1.85</v>
      </c>
      <c r="S17" s="126">
        <v>7550.0</v>
      </c>
      <c r="T17" s="129">
        <v>4073.0</v>
      </c>
      <c r="U17" s="128" t="s">
        <v>392</v>
      </c>
      <c r="V17" s="125">
        <v>9617.0</v>
      </c>
      <c r="W17" s="125" t="s">
        <v>593</v>
      </c>
      <c r="X17" s="126">
        <v>0.0</v>
      </c>
      <c r="Y17" s="125">
        <v>0.0</v>
      </c>
      <c r="Z17" s="128" t="s">
        <v>632</v>
      </c>
      <c r="AA17" s="125">
        <v>1002.0</v>
      </c>
      <c r="AB17" s="125">
        <v>1.93</v>
      </c>
      <c r="AC17" s="126">
        <v>8161.0</v>
      </c>
      <c r="AD17" s="129">
        <v>4229.0</v>
      </c>
      <c r="AE17" s="125" t="s">
        <v>632</v>
      </c>
      <c r="AF17" s="125">
        <v>1002.0</v>
      </c>
      <c r="AG17" s="126">
        <v>2.01</v>
      </c>
      <c r="AH17" s="130">
        <v>7575.0</v>
      </c>
      <c r="AI17" s="129">
        <v>3760.0</v>
      </c>
      <c r="AJ17" s="125" t="s">
        <v>392</v>
      </c>
      <c r="AK17" s="125">
        <v>9617.0</v>
      </c>
      <c r="AL17" s="126">
        <v>1.98</v>
      </c>
      <c r="AM17" s="126">
        <v>6800.0</v>
      </c>
      <c r="AN17" s="129">
        <v>3432.0</v>
      </c>
      <c r="AO17" s="125" t="s">
        <v>392</v>
      </c>
      <c r="AP17" s="125">
        <v>9617.0</v>
      </c>
      <c r="AQ17" s="125" t="e">
        <v>#DIV/0!</v>
      </c>
      <c r="AR17" s="126">
        <v>0.0</v>
      </c>
      <c r="AS17" s="125">
        <v>0.0</v>
      </c>
      <c r="AT17" s="125" t="s">
        <v>635</v>
      </c>
      <c r="AU17" s="125">
        <v>2765.0</v>
      </c>
      <c r="AV17" s="125" t="e">
        <v>#DIV/0!</v>
      </c>
      <c r="AW17" s="126">
        <v>0.0</v>
      </c>
      <c r="AX17" s="125">
        <v>0.0</v>
      </c>
      <c r="AY17" s="125" t="s">
        <v>443</v>
      </c>
      <c r="AZ17" s="125">
        <v>5653.0</v>
      </c>
      <c r="BA17" s="126">
        <v>1.77</v>
      </c>
      <c r="BB17" s="126">
        <v>4700.0</v>
      </c>
      <c r="BC17" s="129">
        <v>2648.0</v>
      </c>
      <c r="BD17" s="125" t="s">
        <v>539</v>
      </c>
      <c r="BE17" s="125">
        <v>514.0</v>
      </c>
      <c r="BF17" s="126">
        <v>1.64</v>
      </c>
      <c r="BG17" s="126">
        <v>5150.0</v>
      </c>
      <c r="BH17" s="129">
        <v>3147.0</v>
      </c>
      <c r="BI17" s="125" t="s">
        <v>539</v>
      </c>
      <c r="BJ17" s="125">
        <v>514.0</v>
      </c>
      <c r="BK17" s="126">
        <v>1.96</v>
      </c>
      <c r="BL17" s="126">
        <v>11386.0</v>
      </c>
      <c r="BM17" s="129">
        <v>5801.0</v>
      </c>
      <c r="BN17" s="128" t="s">
        <v>539</v>
      </c>
      <c r="BO17" s="125">
        <v>514.0</v>
      </c>
      <c r="BP17" s="126">
        <v>2.26</v>
      </c>
      <c r="BQ17" s="126">
        <v>6400.0</v>
      </c>
      <c r="BR17" s="125">
        <v>2826.0</v>
      </c>
      <c r="BS17" s="128" t="s">
        <v>539</v>
      </c>
      <c r="BT17" s="125">
        <v>514.0</v>
      </c>
      <c r="BU17" s="126">
        <v>1.72</v>
      </c>
      <c r="BV17" s="126">
        <v>8020.0</v>
      </c>
      <c r="BW17" s="125">
        <v>4659.0</v>
      </c>
      <c r="BX17" s="128" t="s">
        <v>482</v>
      </c>
      <c r="BY17" s="125">
        <v>8033.0</v>
      </c>
      <c r="BZ17" s="126">
        <v>2.12</v>
      </c>
      <c r="CA17" s="126">
        <v>8900.0</v>
      </c>
      <c r="CB17" s="129">
        <v>4192.0</v>
      </c>
      <c r="CC17" s="128" t="s">
        <v>481</v>
      </c>
      <c r="CD17" s="125">
        <v>8775.0</v>
      </c>
      <c r="CE17" s="126">
        <v>1.53</v>
      </c>
      <c r="CF17" s="126">
        <v>3400.0</v>
      </c>
      <c r="CG17" s="129">
        <v>2227.0</v>
      </c>
      <c r="CH17" s="128" t="s">
        <v>626</v>
      </c>
      <c r="CI17" s="125">
        <v>8479.0</v>
      </c>
      <c r="CJ17" s="126">
        <v>2.08</v>
      </c>
      <c r="CK17" s="126">
        <v>8800.0</v>
      </c>
      <c r="CL17" s="129">
        <v>4239.0</v>
      </c>
      <c r="CM17" s="125" t="s">
        <v>422</v>
      </c>
      <c r="CN17" s="125">
        <v>1002.0</v>
      </c>
      <c r="CO17" s="125" t="s">
        <v>593</v>
      </c>
      <c r="CP17" s="126">
        <v>0.0</v>
      </c>
      <c r="CQ17" s="125">
        <v>0.0</v>
      </c>
      <c r="CR17" s="125" t="s">
        <v>443</v>
      </c>
      <c r="CS17" s="125">
        <v>9334.0</v>
      </c>
      <c r="CT17" s="125">
        <v>1.66</v>
      </c>
      <c r="CU17" s="126">
        <v>2850.0</v>
      </c>
      <c r="CV17" s="129">
        <v>1713.0</v>
      </c>
      <c r="CW17" s="125" t="s">
        <v>443</v>
      </c>
      <c r="CX17" s="125">
        <v>9334.0</v>
      </c>
      <c r="CY17" s="125">
        <v>1.68</v>
      </c>
      <c r="CZ17" s="126">
        <v>3995.0</v>
      </c>
      <c r="DA17" s="129">
        <v>2380.0</v>
      </c>
      <c r="DB17" s="125" t="s">
        <v>443</v>
      </c>
      <c r="DC17" s="125">
        <v>9334.0</v>
      </c>
      <c r="DD17" s="131">
        <v>1.71</v>
      </c>
      <c r="DE17" s="131">
        <v>6938.34</v>
      </c>
      <c r="DF17" s="132">
        <v>4052.0</v>
      </c>
      <c r="DG17" s="125" t="s">
        <v>443</v>
      </c>
      <c r="DH17" s="125">
        <v>9334.0</v>
      </c>
      <c r="DI17" s="125">
        <v>1.84</v>
      </c>
      <c r="DJ17" s="130">
        <v>7700.0</v>
      </c>
      <c r="DK17" s="129">
        <v>4182.0</v>
      </c>
      <c r="DL17" s="125" t="s">
        <v>437</v>
      </c>
      <c r="DM17" s="125">
        <v>6338.0</v>
      </c>
      <c r="DN17" s="125">
        <v>2.23</v>
      </c>
      <c r="DO17" s="130">
        <v>2775.0</v>
      </c>
      <c r="DP17" s="129">
        <v>1242.0</v>
      </c>
    </row>
    <row r="18" ht="15.75" customHeight="1">
      <c r="A18" s="125" t="s">
        <v>615</v>
      </c>
      <c r="B18" s="125">
        <v>7807.0</v>
      </c>
      <c r="C18" s="126">
        <v>1.63</v>
      </c>
      <c r="D18" s="126">
        <v>6200.0</v>
      </c>
      <c r="E18" s="129">
        <v>3811.0</v>
      </c>
      <c r="F18" s="128" t="s">
        <v>634</v>
      </c>
      <c r="G18" s="125">
        <v>5490.0</v>
      </c>
      <c r="H18" s="126">
        <v>1.62</v>
      </c>
      <c r="I18" s="126">
        <v>5000.0</v>
      </c>
      <c r="J18" s="129">
        <v>3087.0</v>
      </c>
      <c r="K18" s="128" t="s">
        <v>619</v>
      </c>
      <c r="L18" s="125">
        <v>8136.0</v>
      </c>
      <c r="M18" s="125">
        <v>1.97</v>
      </c>
      <c r="N18" s="129">
        <v>11600.0</v>
      </c>
      <c r="O18" s="129">
        <v>5885.0</v>
      </c>
      <c r="P18" s="128" t="s">
        <v>610</v>
      </c>
      <c r="Q18" s="125">
        <v>2765.0</v>
      </c>
      <c r="R18" s="125">
        <v>1.73</v>
      </c>
      <c r="S18" s="126">
        <v>6390.0</v>
      </c>
      <c r="T18" s="129">
        <v>3703.0</v>
      </c>
      <c r="U18" s="128" t="s">
        <v>610</v>
      </c>
      <c r="V18" s="125">
        <v>2765.0</v>
      </c>
      <c r="W18" s="125">
        <v>1.93</v>
      </c>
      <c r="X18" s="126">
        <v>5306.18</v>
      </c>
      <c r="Y18" s="129">
        <v>2743.0</v>
      </c>
      <c r="Z18" s="128" t="s">
        <v>392</v>
      </c>
      <c r="AA18" s="125">
        <v>9617.0</v>
      </c>
      <c r="AB18" s="125">
        <v>1.75</v>
      </c>
      <c r="AC18" s="126">
        <v>7800.0</v>
      </c>
      <c r="AD18" s="129">
        <v>4461.0</v>
      </c>
      <c r="AE18" s="125" t="s">
        <v>392</v>
      </c>
      <c r="AF18" s="125">
        <v>9617.0</v>
      </c>
      <c r="AG18" s="126">
        <v>1.97</v>
      </c>
      <c r="AH18" s="130">
        <v>10225.0</v>
      </c>
      <c r="AI18" s="129">
        <v>5194.0</v>
      </c>
      <c r="AJ18" s="125" t="s">
        <v>610</v>
      </c>
      <c r="AK18" s="125">
        <v>2765.0</v>
      </c>
      <c r="AL18" s="126">
        <v>1.6</v>
      </c>
      <c r="AM18" s="126">
        <v>1400.0</v>
      </c>
      <c r="AN18" s="125">
        <v>877.0</v>
      </c>
      <c r="AO18" s="125" t="s">
        <v>610</v>
      </c>
      <c r="AP18" s="125">
        <v>2765.0</v>
      </c>
      <c r="AQ18" s="126">
        <v>1.93</v>
      </c>
      <c r="AR18" s="126">
        <v>5306.18</v>
      </c>
      <c r="AS18" s="125">
        <v>2743.0</v>
      </c>
      <c r="AT18" s="125" t="s">
        <v>398</v>
      </c>
      <c r="AU18" s="125">
        <v>8136.0</v>
      </c>
      <c r="AV18" s="125" t="e">
        <v>#DIV/0!</v>
      </c>
      <c r="AW18" s="126">
        <v>0.0</v>
      </c>
      <c r="AX18" s="125">
        <v>0.0</v>
      </c>
      <c r="AY18" s="125" t="s">
        <v>636</v>
      </c>
      <c r="AZ18" s="125">
        <v>6960.0</v>
      </c>
      <c r="BA18" s="126">
        <v>1.85</v>
      </c>
      <c r="BB18" s="126">
        <v>8950.0</v>
      </c>
      <c r="BC18" s="129">
        <v>4842.0</v>
      </c>
      <c r="BD18" s="125" t="s">
        <v>489</v>
      </c>
      <c r="BE18" s="125">
        <v>515.0</v>
      </c>
      <c r="BF18" s="126">
        <v>2.06</v>
      </c>
      <c r="BG18" s="126">
        <v>8500.0</v>
      </c>
      <c r="BH18" s="129">
        <v>4132.0</v>
      </c>
      <c r="BI18" s="125" t="s">
        <v>489</v>
      </c>
      <c r="BJ18" s="125">
        <v>515.0</v>
      </c>
      <c r="BK18" s="126">
        <v>1.94</v>
      </c>
      <c r="BL18" s="126">
        <v>5800.0</v>
      </c>
      <c r="BM18" s="129">
        <v>2989.0</v>
      </c>
      <c r="BN18" s="128" t="s">
        <v>489</v>
      </c>
      <c r="BO18" s="125">
        <v>515.0</v>
      </c>
      <c r="BP18" s="126">
        <v>2.54</v>
      </c>
      <c r="BQ18" s="126">
        <v>9700.0</v>
      </c>
      <c r="BR18" s="125">
        <v>3826.0</v>
      </c>
      <c r="BS18" s="128" t="s">
        <v>489</v>
      </c>
      <c r="BT18" s="125">
        <v>515.0</v>
      </c>
      <c r="BU18" s="126">
        <v>1.89</v>
      </c>
      <c r="BV18" s="126">
        <v>8250.0</v>
      </c>
      <c r="BW18" s="125">
        <v>4370.0</v>
      </c>
      <c r="BX18" s="128" t="s">
        <v>539</v>
      </c>
      <c r="BY18" s="125">
        <v>514.0</v>
      </c>
      <c r="BZ18" s="126">
        <v>2.31</v>
      </c>
      <c r="CA18" s="126">
        <v>5195.0</v>
      </c>
      <c r="CB18" s="129">
        <v>2247.0</v>
      </c>
      <c r="CC18" s="128" t="s">
        <v>465</v>
      </c>
      <c r="CD18" s="125">
        <v>890.0</v>
      </c>
      <c r="CE18" s="126">
        <v>2.22</v>
      </c>
      <c r="CF18" s="126">
        <v>4550.0</v>
      </c>
      <c r="CG18" s="129">
        <v>2045.0</v>
      </c>
      <c r="CH18" s="128" t="s">
        <v>594</v>
      </c>
      <c r="CI18" s="125">
        <v>3819.0</v>
      </c>
      <c r="CJ18" s="126">
        <v>1.84</v>
      </c>
      <c r="CK18" s="126">
        <v>10375.0</v>
      </c>
      <c r="CL18" s="129">
        <v>5634.0</v>
      </c>
      <c r="CM18" s="125" t="s">
        <v>443</v>
      </c>
      <c r="CN18" s="125">
        <v>5653.0</v>
      </c>
      <c r="CO18" s="125" t="s">
        <v>593</v>
      </c>
      <c r="CP18" s="126">
        <v>0.0</v>
      </c>
      <c r="CQ18" s="125">
        <v>0.0</v>
      </c>
      <c r="CR18" s="125" t="s">
        <v>453</v>
      </c>
      <c r="CS18" s="125">
        <v>6960.0</v>
      </c>
      <c r="CT18" s="125">
        <v>1.9</v>
      </c>
      <c r="CU18" s="126">
        <v>12200.0</v>
      </c>
      <c r="CV18" s="129">
        <v>6430.0</v>
      </c>
      <c r="CW18" s="125" t="s">
        <v>637</v>
      </c>
      <c r="CX18" s="125">
        <v>6960.0</v>
      </c>
      <c r="CY18" s="125">
        <v>1.99</v>
      </c>
      <c r="CZ18" s="126">
        <v>8180.0</v>
      </c>
      <c r="DA18" s="129">
        <v>4112.0</v>
      </c>
      <c r="DB18" s="125" t="s">
        <v>637</v>
      </c>
      <c r="DC18" s="125">
        <v>6960.0</v>
      </c>
      <c r="DD18" s="131">
        <v>1.63</v>
      </c>
      <c r="DE18" s="131">
        <v>5600.0</v>
      </c>
      <c r="DF18" s="132">
        <v>3439.0</v>
      </c>
      <c r="DG18" s="125" t="s">
        <v>637</v>
      </c>
      <c r="DH18" s="125">
        <v>6960.0</v>
      </c>
      <c r="DI18" s="125">
        <v>1.77</v>
      </c>
      <c r="DJ18" s="130">
        <v>10850.0</v>
      </c>
      <c r="DK18" s="129">
        <v>6125.0</v>
      </c>
      <c r="DL18" s="125" t="s">
        <v>443</v>
      </c>
      <c r="DM18" s="125">
        <v>9334.0</v>
      </c>
      <c r="DN18" s="125">
        <v>2.03</v>
      </c>
      <c r="DO18" s="130">
        <v>5325.0</v>
      </c>
      <c r="DP18" s="129">
        <v>2618.0</v>
      </c>
    </row>
    <row r="19" ht="15.75" customHeight="1">
      <c r="A19" s="125" t="s">
        <v>596</v>
      </c>
      <c r="B19" s="125">
        <v>7048.0</v>
      </c>
      <c r="C19" s="126">
        <v>1.6</v>
      </c>
      <c r="D19" s="126">
        <v>5150.0</v>
      </c>
      <c r="E19" s="129">
        <v>3225.0</v>
      </c>
      <c r="F19" s="128" t="s">
        <v>615</v>
      </c>
      <c r="G19" s="125">
        <v>7807.0</v>
      </c>
      <c r="H19" s="126">
        <v>1.88</v>
      </c>
      <c r="I19" s="126">
        <v>10085.0</v>
      </c>
      <c r="J19" s="129">
        <v>5355.0</v>
      </c>
      <c r="K19" s="128" t="s">
        <v>606</v>
      </c>
      <c r="L19" s="125">
        <v>5653.0</v>
      </c>
      <c r="M19" s="125">
        <v>1.8</v>
      </c>
      <c r="N19" s="129">
        <v>6615.0</v>
      </c>
      <c r="O19" s="129">
        <v>3670.0</v>
      </c>
      <c r="P19" s="128" t="s">
        <v>398</v>
      </c>
      <c r="Q19" s="125">
        <v>8136.0</v>
      </c>
      <c r="R19" s="125">
        <v>1.77</v>
      </c>
      <c r="S19" s="126">
        <v>5600.0</v>
      </c>
      <c r="T19" s="129">
        <v>3166.0</v>
      </c>
      <c r="U19" s="128" t="s">
        <v>398</v>
      </c>
      <c r="V19" s="125">
        <v>8136.0</v>
      </c>
      <c r="W19" s="125">
        <v>1.6</v>
      </c>
      <c r="X19" s="126">
        <v>5850.0</v>
      </c>
      <c r="Y19" s="129">
        <v>3645.0</v>
      </c>
      <c r="Z19" s="128" t="s">
        <v>610</v>
      </c>
      <c r="AA19" s="125">
        <v>2765.0</v>
      </c>
      <c r="AB19" s="125">
        <v>2.0</v>
      </c>
      <c r="AC19" s="126">
        <v>5700.0</v>
      </c>
      <c r="AD19" s="129">
        <v>2849.0</v>
      </c>
      <c r="AE19" s="125" t="s">
        <v>610</v>
      </c>
      <c r="AF19" s="125">
        <v>2765.0</v>
      </c>
      <c r="AG19" s="126">
        <v>1.89</v>
      </c>
      <c r="AH19" s="130">
        <v>12100.0</v>
      </c>
      <c r="AI19" s="129">
        <v>6409.0</v>
      </c>
      <c r="AJ19" s="125" t="s">
        <v>398</v>
      </c>
      <c r="AK19" s="125">
        <v>8136.0</v>
      </c>
      <c r="AL19" s="126">
        <v>1.81</v>
      </c>
      <c r="AM19" s="126">
        <v>10400.0</v>
      </c>
      <c r="AN19" s="129">
        <v>5753.0</v>
      </c>
      <c r="AO19" s="125" t="s">
        <v>398</v>
      </c>
      <c r="AP19" s="125">
        <v>8136.0</v>
      </c>
      <c r="AQ19" s="126">
        <v>1.6</v>
      </c>
      <c r="AR19" s="126">
        <v>5850.0</v>
      </c>
      <c r="AS19" s="125">
        <v>3645.0</v>
      </c>
      <c r="AT19" s="125" t="s">
        <v>482</v>
      </c>
      <c r="AU19" s="125">
        <v>8033.0</v>
      </c>
      <c r="AV19" s="126">
        <v>2.09</v>
      </c>
      <c r="AW19" s="126">
        <v>8075.0</v>
      </c>
      <c r="AX19" s="125">
        <v>3860.0</v>
      </c>
      <c r="AY19" s="125" t="s">
        <v>638</v>
      </c>
      <c r="AZ19" s="125">
        <v>913.0</v>
      </c>
      <c r="BA19" s="126">
        <v>1.87</v>
      </c>
      <c r="BB19" s="126">
        <v>5500.0</v>
      </c>
      <c r="BC19" s="129">
        <v>2944.0</v>
      </c>
      <c r="BD19" s="125" t="s">
        <v>443</v>
      </c>
      <c r="BE19" s="125">
        <v>5653.0</v>
      </c>
      <c r="BF19" s="126">
        <v>1.92</v>
      </c>
      <c r="BG19" s="126">
        <v>8750.0</v>
      </c>
      <c r="BH19" s="129">
        <v>4555.0</v>
      </c>
      <c r="BI19" s="125" t="s">
        <v>443</v>
      </c>
      <c r="BJ19" s="125">
        <v>5653.0</v>
      </c>
      <c r="BK19" s="126">
        <v>1.94</v>
      </c>
      <c r="BL19" s="126">
        <v>6750.0</v>
      </c>
      <c r="BM19" s="129">
        <v>3478.0</v>
      </c>
      <c r="BN19" s="128" t="s">
        <v>626</v>
      </c>
      <c r="BO19" s="125">
        <v>8479.0</v>
      </c>
      <c r="BP19" s="126">
        <v>1.54</v>
      </c>
      <c r="BQ19" s="126">
        <v>1600.0</v>
      </c>
      <c r="BR19" s="125">
        <v>1040.0</v>
      </c>
      <c r="BS19" s="128" t="s">
        <v>626</v>
      </c>
      <c r="BT19" s="125">
        <v>8479.0</v>
      </c>
      <c r="BU19" s="126">
        <v>2.01</v>
      </c>
      <c r="BV19" s="126">
        <v>7825.0</v>
      </c>
      <c r="BW19" s="125">
        <v>3898.0</v>
      </c>
      <c r="BX19" s="128" t="s">
        <v>489</v>
      </c>
      <c r="BY19" s="125">
        <v>515.0</v>
      </c>
      <c r="BZ19" s="126">
        <v>2.28</v>
      </c>
      <c r="CA19" s="126">
        <v>4500.0</v>
      </c>
      <c r="CB19" s="129">
        <v>1976.0</v>
      </c>
      <c r="CC19" s="128" t="s">
        <v>626</v>
      </c>
      <c r="CD19" s="125">
        <v>8479.0</v>
      </c>
      <c r="CE19" s="126">
        <v>1.64</v>
      </c>
      <c r="CF19" s="126">
        <v>3225.0</v>
      </c>
      <c r="CG19" s="129">
        <v>1968.0</v>
      </c>
      <c r="CH19" s="128" t="s">
        <v>422</v>
      </c>
      <c r="CI19" s="125">
        <v>1002.0</v>
      </c>
      <c r="CJ19" s="126">
        <v>2.03</v>
      </c>
      <c r="CK19" s="126">
        <v>8140.0</v>
      </c>
      <c r="CL19" s="129">
        <v>4001.0</v>
      </c>
      <c r="CM19" s="125" t="s">
        <v>636</v>
      </c>
      <c r="CN19" s="125">
        <v>6960.0</v>
      </c>
      <c r="CO19" s="125">
        <v>1.95</v>
      </c>
      <c r="CP19" s="126">
        <v>8275.0</v>
      </c>
      <c r="CQ19" s="129">
        <v>4244.0</v>
      </c>
      <c r="CR19" s="125" t="s">
        <v>465</v>
      </c>
      <c r="CS19" s="125">
        <v>890.0</v>
      </c>
      <c r="CT19" s="125">
        <v>1.89</v>
      </c>
      <c r="CU19" s="126">
        <v>5446.0</v>
      </c>
      <c r="CV19" s="129">
        <v>2881.0</v>
      </c>
      <c r="CW19" s="125" t="s">
        <v>465</v>
      </c>
      <c r="CX19" s="125">
        <v>890.0</v>
      </c>
      <c r="CY19" s="125">
        <v>1.97</v>
      </c>
      <c r="CZ19" s="126">
        <v>8000.0</v>
      </c>
      <c r="DA19" s="129">
        <v>4061.0</v>
      </c>
      <c r="DB19" s="125" t="s">
        <v>465</v>
      </c>
      <c r="DC19" s="125">
        <v>890.0</v>
      </c>
      <c r="DD19" s="131">
        <v>1.78</v>
      </c>
      <c r="DE19" s="131">
        <v>800.0</v>
      </c>
      <c r="DF19" s="128">
        <v>450.0</v>
      </c>
      <c r="DG19" s="125" t="s">
        <v>465</v>
      </c>
      <c r="DH19" s="125">
        <v>890.0</v>
      </c>
      <c r="DI19" s="125">
        <v>2.03</v>
      </c>
      <c r="DJ19" s="130">
        <v>4725.0</v>
      </c>
      <c r="DK19" s="129">
        <v>2323.0</v>
      </c>
      <c r="DL19" s="125" t="s">
        <v>637</v>
      </c>
      <c r="DM19" s="125">
        <v>6960.0</v>
      </c>
      <c r="DN19" s="125">
        <v>1.8</v>
      </c>
      <c r="DO19" s="130">
        <v>11025.0</v>
      </c>
      <c r="DP19" s="129">
        <v>6112.0</v>
      </c>
    </row>
    <row r="20" ht="15.75" customHeight="1">
      <c r="A20" s="125" t="s">
        <v>620</v>
      </c>
      <c r="B20" s="125">
        <v>102957.0</v>
      </c>
      <c r="C20" s="126">
        <v>2.02</v>
      </c>
      <c r="D20" s="126">
        <v>5700.0</v>
      </c>
      <c r="E20" s="129">
        <v>2824.0</v>
      </c>
      <c r="F20" s="128" t="s">
        <v>596</v>
      </c>
      <c r="G20" s="125">
        <v>7048.0</v>
      </c>
      <c r="H20" s="126">
        <v>1.71</v>
      </c>
      <c r="I20" s="126">
        <v>7150.0</v>
      </c>
      <c r="J20" s="129">
        <v>4170.0</v>
      </c>
      <c r="K20" s="128" t="s">
        <v>636</v>
      </c>
      <c r="L20" s="125">
        <v>6960.0</v>
      </c>
      <c r="M20" s="125">
        <v>2.18</v>
      </c>
      <c r="N20" s="129">
        <v>8200.0</v>
      </c>
      <c r="O20" s="129">
        <v>3754.0</v>
      </c>
      <c r="P20" s="128" t="s">
        <v>560</v>
      </c>
      <c r="Q20" s="125">
        <v>5653.0</v>
      </c>
      <c r="R20" s="125">
        <v>1.86</v>
      </c>
      <c r="S20" s="126">
        <v>6571.0</v>
      </c>
      <c r="T20" s="129">
        <v>3531.0</v>
      </c>
      <c r="U20" s="128" t="s">
        <v>560</v>
      </c>
      <c r="V20" s="125">
        <v>5653.0</v>
      </c>
      <c r="W20" s="125" t="s">
        <v>593</v>
      </c>
      <c r="X20" s="126">
        <v>0.0</v>
      </c>
      <c r="Y20" s="125">
        <v>0.0</v>
      </c>
      <c r="Z20" s="128" t="s">
        <v>398</v>
      </c>
      <c r="AA20" s="125">
        <v>8136.0</v>
      </c>
      <c r="AB20" s="125">
        <v>2.11</v>
      </c>
      <c r="AC20" s="126">
        <v>5762.35</v>
      </c>
      <c r="AD20" s="129">
        <v>2731.0</v>
      </c>
      <c r="AE20" s="125" t="s">
        <v>398</v>
      </c>
      <c r="AF20" s="125">
        <v>8136.0</v>
      </c>
      <c r="AG20" s="126">
        <v>2.46</v>
      </c>
      <c r="AH20" s="130">
        <v>6020.0</v>
      </c>
      <c r="AI20" s="129">
        <v>2445.0</v>
      </c>
      <c r="AJ20" s="125" t="s">
        <v>443</v>
      </c>
      <c r="AK20" s="125">
        <v>5653.0</v>
      </c>
      <c r="AL20" s="126">
        <v>1.81</v>
      </c>
      <c r="AM20" s="126">
        <v>6900.0</v>
      </c>
      <c r="AN20" s="129">
        <v>3804.0</v>
      </c>
      <c r="AO20" s="125" t="s">
        <v>560</v>
      </c>
      <c r="AP20" s="125">
        <v>5653.0</v>
      </c>
      <c r="AQ20" s="125" t="e">
        <v>#DIV/0!</v>
      </c>
      <c r="AR20" s="126">
        <v>0.0</v>
      </c>
      <c r="AS20" s="125">
        <v>0.0</v>
      </c>
      <c r="AT20" s="125" t="s">
        <v>443</v>
      </c>
      <c r="AU20" s="125">
        <v>5653.0</v>
      </c>
      <c r="AV20" s="126">
        <v>1.74</v>
      </c>
      <c r="AW20" s="126">
        <v>7421.0</v>
      </c>
      <c r="AX20" s="125">
        <v>4257.0</v>
      </c>
      <c r="AY20" s="125" t="s">
        <v>465</v>
      </c>
      <c r="AZ20" s="125">
        <v>890.0</v>
      </c>
      <c r="BA20" s="126">
        <v>2.08</v>
      </c>
      <c r="BB20" s="126">
        <v>7750.0</v>
      </c>
      <c r="BC20" s="129">
        <v>3731.0</v>
      </c>
      <c r="BD20" s="125" t="s">
        <v>636</v>
      </c>
      <c r="BE20" s="125">
        <v>6960.0</v>
      </c>
      <c r="BF20" s="126">
        <v>1.72</v>
      </c>
      <c r="BG20" s="126">
        <v>10200.0</v>
      </c>
      <c r="BH20" s="129">
        <v>5937.0</v>
      </c>
      <c r="BI20" s="125" t="s">
        <v>636</v>
      </c>
      <c r="BJ20" s="125">
        <v>6960.0</v>
      </c>
      <c r="BK20" s="126">
        <v>1.81</v>
      </c>
      <c r="BL20" s="126">
        <v>7750.0</v>
      </c>
      <c r="BM20" s="129">
        <v>4272.0</v>
      </c>
      <c r="BN20" s="128" t="s">
        <v>443</v>
      </c>
      <c r="BO20" s="125">
        <v>5653.0</v>
      </c>
      <c r="BP20" s="125" t="e">
        <v>#DIV/0!</v>
      </c>
      <c r="BQ20" s="126">
        <v>0.0</v>
      </c>
      <c r="BR20" s="125">
        <v>0.0</v>
      </c>
      <c r="BS20" s="128" t="s">
        <v>443</v>
      </c>
      <c r="BT20" s="125">
        <v>5653.0</v>
      </c>
      <c r="BU20" s="125" t="e">
        <v>#DIV/0!</v>
      </c>
      <c r="BV20" s="126">
        <v>0.0</v>
      </c>
      <c r="BW20" s="125">
        <v>0.0</v>
      </c>
      <c r="BX20" s="128" t="s">
        <v>626</v>
      </c>
      <c r="BY20" s="125">
        <v>8479.0</v>
      </c>
      <c r="BZ20" s="126">
        <v>2.02</v>
      </c>
      <c r="CA20" s="126">
        <v>9950.0</v>
      </c>
      <c r="CB20" s="129">
        <v>4924.0</v>
      </c>
      <c r="CC20" s="128" t="s">
        <v>489</v>
      </c>
      <c r="CD20" s="125">
        <v>515.0</v>
      </c>
      <c r="CE20" s="126">
        <v>2.06</v>
      </c>
      <c r="CF20" s="126">
        <v>5024.36</v>
      </c>
      <c r="CG20" s="129">
        <v>2442.0</v>
      </c>
      <c r="CH20" s="128" t="s">
        <v>443</v>
      </c>
      <c r="CI20" s="125">
        <v>5653.0</v>
      </c>
      <c r="CJ20" s="125" t="e">
        <v>#DIV/0!</v>
      </c>
      <c r="CK20" s="126">
        <v>0.0</v>
      </c>
      <c r="CL20" s="125">
        <v>0.0</v>
      </c>
      <c r="CM20" s="125" t="s">
        <v>465</v>
      </c>
      <c r="CN20" s="125">
        <v>890.0</v>
      </c>
      <c r="CO20" s="125" t="s">
        <v>593</v>
      </c>
      <c r="CP20" s="126">
        <v>0.0</v>
      </c>
      <c r="CQ20" s="125">
        <v>0.0</v>
      </c>
      <c r="CR20" s="125" t="s">
        <v>472</v>
      </c>
      <c r="CS20" s="125">
        <v>2316.0</v>
      </c>
      <c r="CT20" s="125">
        <v>1.89</v>
      </c>
      <c r="CU20" s="126">
        <v>7150.0</v>
      </c>
      <c r="CV20" s="129">
        <v>3792.0</v>
      </c>
      <c r="CW20" s="125" t="s">
        <v>472</v>
      </c>
      <c r="CX20" s="125">
        <v>2316.0</v>
      </c>
      <c r="CY20" s="125">
        <v>2.15</v>
      </c>
      <c r="CZ20" s="126">
        <v>5775.0</v>
      </c>
      <c r="DA20" s="129">
        <v>2689.0</v>
      </c>
      <c r="DB20" s="125" t="s">
        <v>472</v>
      </c>
      <c r="DC20" s="125">
        <v>2316.0</v>
      </c>
      <c r="DD20" s="131">
        <v>1.95</v>
      </c>
      <c r="DE20" s="131">
        <v>6705.0</v>
      </c>
      <c r="DF20" s="132">
        <v>3440.0</v>
      </c>
      <c r="DG20" s="125" t="s">
        <v>472</v>
      </c>
      <c r="DH20" s="125">
        <v>2316.0</v>
      </c>
      <c r="DI20" s="125">
        <v>2.01</v>
      </c>
      <c r="DJ20" s="130">
        <v>8342.0</v>
      </c>
      <c r="DK20" s="129">
        <v>4154.0</v>
      </c>
      <c r="DL20" s="125" t="s">
        <v>465</v>
      </c>
      <c r="DM20" s="125">
        <v>890.0</v>
      </c>
      <c r="DN20" s="125">
        <v>2.09</v>
      </c>
      <c r="DO20" s="130">
        <v>4625.0</v>
      </c>
      <c r="DP20" s="129">
        <v>2211.0</v>
      </c>
    </row>
    <row r="21" ht="15.75" customHeight="1">
      <c r="A21" s="125" t="s">
        <v>365</v>
      </c>
      <c r="B21" s="125">
        <v>2319.0</v>
      </c>
      <c r="C21" s="126">
        <v>1.38</v>
      </c>
      <c r="D21" s="126">
        <v>1800.0</v>
      </c>
      <c r="E21" s="129">
        <v>1300.0</v>
      </c>
      <c r="F21" s="128" t="s">
        <v>620</v>
      </c>
      <c r="G21" s="125">
        <v>102957.0</v>
      </c>
      <c r="H21" s="126">
        <v>1.84</v>
      </c>
      <c r="I21" s="126">
        <v>2699.0</v>
      </c>
      <c r="J21" s="129">
        <v>1467.0</v>
      </c>
      <c r="K21" s="128" t="s">
        <v>592</v>
      </c>
      <c r="L21" s="125">
        <v>913.0</v>
      </c>
      <c r="M21" s="125">
        <v>1.73</v>
      </c>
      <c r="N21" s="133">
        <v>6995.98</v>
      </c>
      <c r="O21" s="129">
        <v>4040.0</v>
      </c>
      <c r="P21" s="128" t="s">
        <v>636</v>
      </c>
      <c r="Q21" s="125">
        <v>6960.0</v>
      </c>
      <c r="R21" s="125">
        <v>1.88</v>
      </c>
      <c r="S21" s="126">
        <v>9790.0</v>
      </c>
      <c r="T21" s="129">
        <v>5215.0</v>
      </c>
      <c r="U21" s="128" t="s">
        <v>636</v>
      </c>
      <c r="V21" s="125">
        <v>6960.0</v>
      </c>
      <c r="W21" s="125">
        <v>1.96</v>
      </c>
      <c r="X21" s="126">
        <v>2700.0</v>
      </c>
      <c r="Y21" s="129">
        <v>1376.0</v>
      </c>
      <c r="Z21" s="128" t="s">
        <v>560</v>
      </c>
      <c r="AA21" s="125">
        <v>5653.0</v>
      </c>
      <c r="AB21" s="125" t="s">
        <v>593</v>
      </c>
      <c r="AC21" s="126">
        <v>0.0</v>
      </c>
      <c r="AD21" s="125">
        <v>0.0</v>
      </c>
      <c r="AE21" s="125" t="s">
        <v>443</v>
      </c>
      <c r="AF21" s="125">
        <v>5653.0</v>
      </c>
      <c r="AG21" s="126">
        <v>1.75</v>
      </c>
      <c r="AH21" s="130">
        <v>8000.0</v>
      </c>
      <c r="AI21" s="129">
        <v>4584.0</v>
      </c>
      <c r="AJ21" s="125" t="s">
        <v>636</v>
      </c>
      <c r="AK21" s="125">
        <v>6960.0</v>
      </c>
      <c r="AL21" s="126">
        <v>1.82</v>
      </c>
      <c r="AM21" s="126">
        <v>8775.0</v>
      </c>
      <c r="AN21" s="129">
        <v>4814.0</v>
      </c>
      <c r="AO21" s="125" t="s">
        <v>636</v>
      </c>
      <c r="AP21" s="125">
        <v>6960.0</v>
      </c>
      <c r="AQ21" s="126">
        <v>1.96</v>
      </c>
      <c r="AR21" s="126">
        <v>2700.0</v>
      </c>
      <c r="AS21" s="125">
        <v>1376.0</v>
      </c>
      <c r="AT21" s="125" t="s">
        <v>636</v>
      </c>
      <c r="AU21" s="125">
        <v>6960.0</v>
      </c>
      <c r="AV21" s="126">
        <v>1.92</v>
      </c>
      <c r="AW21" s="126">
        <v>8000.0</v>
      </c>
      <c r="AX21" s="125">
        <v>4176.0</v>
      </c>
      <c r="AY21" s="125" t="s">
        <v>602</v>
      </c>
      <c r="AZ21" s="125">
        <v>427.0</v>
      </c>
      <c r="BA21" s="126">
        <v>1.83</v>
      </c>
      <c r="BB21" s="126">
        <v>7600.0</v>
      </c>
      <c r="BC21" s="129">
        <v>4163.0</v>
      </c>
      <c r="BD21" s="125" t="s">
        <v>638</v>
      </c>
      <c r="BE21" s="125">
        <v>913.0</v>
      </c>
      <c r="BF21" s="126">
        <v>1.69</v>
      </c>
      <c r="BG21" s="126">
        <v>6340.0</v>
      </c>
      <c r="BH21" s="129">
        <v>3756.0</v>
      </c>
      <c r="BI21" s="125" t="s">
        <v>638</v>
      </c>
      <c r="BJ21" s="125">
        <v>913.0</v>
      </c>
      <c r="BK21" s="126">
        <v>2.46</v>
      </c>
      <c r="BL21" s="126">
        <v>3250.0</v>
      </c>
      <c r="BM21" s="129">
        <v>1323.0</v>
      </c>
      <c r="BN21" s="128" t="s">
        <v>636</v>
      </c>
      <c r="BO21" s="125">
        <v>6960.0</v>
      </c>
      <c r="BP21" s="126">
        <v>1.79</v>
      </c>
      <c r="BQ21" s="126">
        <v>6430.0</v>
      </c>
      <c r="BR21" s="125">
        <v>3600.0</v>
      </c>
      <c r="BS21" s="128" t="s">
        <v>636</v>
      </c>
      <c r="BT21" s="125">
        <v>6960.0</v>
      </c>
      <c r="BU21" s="126">
        <v>1.83</v>
      </c>
      <c r="BV21" s="126">
        <v>7960.0</v>
      </c>
      <c r="BW21" s="125">
        <v>4354.0</v>
      </c>
      <c r="BX21" s="128" t="s">
        <v>443</v>
      </c>
      <c r="BY21" s="125">
        <v>5653.0</v>
      </c>
      <c r="BZ21" s="125" t="e">
        <v>#DIV/0!</v>
      </c>
      <c r="CA21" s="126">
        <v>0.0</v>
      </c>
      <c r="CB21" s="125">
        <v>0.0</v>
      </c>
      <c r="CC21" s="128" t="s">
        <v>609</v>
      </c>
      <c r="CD21" s="125">
        <v>9309.0</v>
      </c>
      <c r="CE21" s="126">
        <v>1.93</v>
      </c>
      <c r="CF21" s="126">
        <v>5850.0</v>
      </c>
      <c r="CG21" s="129">
        <v>3034.0</v>
      </c>
      <c r="CH21" s="128" t="s">
        <v>636</v>
      </c>
      <c r="CI21" s="125">
        <v>6960.0</v>
      </c>
      <c r="CJ21" s="126">
        <v>1.83</v>
      </c>
      <c r="CK21" s="126">
        <v>7300.0</v>
      </c>
      <c r="CL21" s="129">
        <v>3980.0</v>
      </c>
      <c r="CM21" s="125" t="s">
        <v>472</v>
      </c>
      <c r="CN21" s="125">
        <v>2316.0</v>
      </c>
      <c r="CO21" s="125">
        <v>1.83</v>
      </c>
      <c r="CP21" s="126">
        <v>5294.99</v>
      </c>
      <c r="CQ21" s="129">
        <v>2897.0</v>
      </c>
      <c r="CR21" s="125" t="s">
        <v>602</v>
      </c>
      <c r="CS21" s="125">
        <v>427.0</v>
      </c>
      <c r="CT21" s="125" t="s">
        <v>593</v>
      </c>
      <c r="CU21" s="126">
        <v>0.0</v>
      </c>
      <c r="CV21" s="125">
        <v>0.0</v>
      </c>
      <c r="CW21" s="125" t="s">
        <v>481</v>
      </c>
      <c r="CX21" s="125">
        <v>8775.0</v>
      </c>
      <c r="CY21" s="125">
        <v>2.03</v>
      </c>
      <c r="CZ21" s="126">
        <v>4400.0</v>
      </c>
      <c r="DA21" s="129">
        <v>2166.0</v>
      </c>
      <c r="DB21" s="125" t="s">
        <v>481</v>
      </c>
      <c r="DC21" s="125">
        <v>8775.0</v>
      </c>
      <c r="DD21" s="131">
        <v>1.93</v>
      </c>
      <c r="DE21" s="131">
        <v>6305.0</v>
      </c>
      <c r="DF21" s="132">
        <v>3267.0</v>
      </c>
      <c r="DG21" s="125" t="s">
        <v>481</v>
      </c>
      <c r="DH21" s="125">
        <v>8775.0</v>
      </c>
      <c r="DI21" s="125" t="s">
        <v>593</v>
      </c>
      <c r="DJ21" s="130">
        <v>0.0</v>
      </c>
      <c r="DK21" s="125">
        <v>0.0</v>
      </c>
      <c r="DL21" s="125" t="s">
        <v>472</v>
      </c>
      <c r="DM21" s="125">
        <v>2316.0</v>
      </c>
      <c r="DN21" s="125">
        <v>1.93</v>
      </c>
      <c r="DO21" s="130">
        <v>6300.0</v>
      </c>
      <c r="DP21" s="129">
        <v>3265.0</v>
      </c>
    </row>
    <row r="22" ht="15.75" customHeight="1">
      <c r="A22" s="125" t="s">
        <v>636</v>
      </c>
      <c r="B22" s="125">
        <v>6960.0</v>
      </c>
      <c r="C22" s="126">
        <v>1.85</v>
      </c>
      <c r="D22" s="126">
        <v>8550.0</v>
      </c>
      <c r="E22" s="129">
        <v>4618.0</v>
      </c>
      <c r="F22" s="128" t="s">
        <v>365</v>
      </c>
      <c r="G22" s="125">
        <v>2319.0</v>
      </c>
      <c r="H22" s="126">
        <v>1.7</v>
      </c>
      <c r="I22" s="126">
        <v>6700.0</v>
      </c>
      <c r="J22" s="129">
        <v>3948.0</v>
      </c>
      <c r="K22" s="128" t="s">
        <v>465</v>
      </c>
      <c r="L22" s="125">
        <v>2890.0</v>
      </c>
      <c r="M22" s="125">
        <v>1.97</v>
      </c>
      <c r="N22" s="129">
        <v>7975.0</v>
      </c>
      <c r="O22" s="129">
        <v>4039.0</v>
      </c>
      <c r="P22" s="128" t="s">
        <v>638</v>
      </c>
      <c r="Q22" s="125">
        <v>913.0</v>
      </c>
      <c r="R22" s="125">
        <v>1.81</v>
      </c>
      <c r="S22" s="126">
        <v>4692.4</v>
      </c>
      <c r="T22" s="129">
        <v>2594.0</v>
      </c>
      <c r="U22" s="128" t="s">
        <v>638</v>
      </c>
      <c r="V22" s="125">
        <v>913.0</v>
      </c>
      <c r="W22" s="125">
        <v>1.84</v>
      </c>
      <c r="X22" s="126">
        <v>2000.0</v>
      </c>
      <c r="Y22" s="129">
        <v>1089.0</v>
      </c>
      <c r="Z22" s="128" t="s">
        <v>636</v>
      </c>
      <c r="AA22" s="125">
        <v>6960.0</v>
      </c>
      <c r="AB22" s="125">
        <v>2.04</v>
      </c>
      <c r="AC22" s="126">
        <v>4400.0</v>
      </c>
      <c r="AD22" s="129">
        <v>2153.0</v>
      </c>
      <c r="AE22" s="125" t="s">
        <v>636</v>
      </c>
      <c r="AF22" s="125">
        <v>6960.0</v>
      </c>
      <c r="AG22" s="126">
        <v>1.75</v>
      </c>
      <c r="AH22" s="130">
        <v>7450.0</v>
      </c>
      <c r="AI22" s="129">
        <v>4264.0</v>
      </c>
      <c r="AJ22" s="125" t="s">
        <v>638</v>
      </c>
      <c r="AK22" s="125">
        <v>913.0</v>
      </c>
      <c r="AL22" s="126">
        <v>1.79</v>
      </c>
      <c r="AM22" s="126">
        <v>7770.0</v>
      </c>
      <c r="AN22" s="129">
        <v>4330.0</v>
      </c>
      <c r="AO22" s="125" t="s">
        <v>638</v>
      </c>
      <c r="AP22" s="125">
        <v>913.0</v>
      </c>
      <c r="AQ22" s="126">
        <v>1.84</v>
      </c>
      <c r="AR22" s="126">
        <v>2000.0</v>
      </c>
      <c r="AS22" s="125">
        <v>1089.0</v>
      </c>
      <c r="AT22" s="125" t="s">
        <v>638</v>
      </c>
      <c r="AU22" s="125">
        <v>913.0</v>
      </c>
      <c r="AV22" s="126">
        <v>1.91</v>
      </c>
      <c r="AW22" s="126">
        <v>8730.0</v>
      </c>
      <c r="AX22" s="125">
        <v>4574.0</v>
      </c>
      <c r="AY22" s="125" t="s">
        <v>639</v>
      </c>
      <c r="AZ22" s="125">
        <v>5490.0</v>
      </c>
      <c r="BA22" s="126">
        <v>1.71</v>
      </c>
      <c r="BB22" s="126">
        <v>7100.0</v>
      </c>
      <c r="BC22" s="129">
        <v>4164.0</v>
      </c>
      <c r="BD22" s="125" t="s">
        <v>465</v>
      </c>
      <c r="BE22" s="125">
        <v>890.0</v>
      </c>
      <c r="BF22" s="126">
        <v>1.87</v>
      </c>
      <c r="BG22" s="126">
        <v>6400.0</v>
      </c>
      <c r="BH22" s="129">
        <v>3425.0</v>
      </c>
      <c r="BI22" s="125" t="s">
        <v>465</v>
      </c>
      <c r="BJ22" s="125">
        <v>890.0</v>
      </c>
      <c r="BK22" s="126">
        <v>1.99</v>
      </c>
      <c r="BL22" s="126">
        <v>8500.0</v>
      </c>
      <c r="BM22" s="129">
        <v>4261.0</v>
      </c>
      <c r="BN22" s="128" t="s">
        <v>638</v>
      </c>
      <c r="BO22" s="125">
        <v>913.0</v>
      </c>
      <c r="BP22" s="125" t="e">
        <v>#DIV/0!</v>
      </c>
      <c r="BQ22" s="126">
        <v>0.0</v>
      </c>
      <c r="BR22" s="125">
        <v>0.0</v>
      </c>
      <c r="BS22" s="128" t="s">
        <v>465</v>
      </c>
      <c r="BT22" s="125">
        <v>890.0</v>
      </c>
      <c r="BU22" s="126">
        <v>2.16</v>
      </c>
      <c r="BV22" s="126">
        <v>4900.0</v>
      </c>
      <c r="BW22" s="125">
        <v>2266.0</v>
      </c>
      <c r="BX22" s="128" t="s">
        <v>636</v>
      </c>
      <c r="BY22" s="125">
        <v>6960.0</v>
      </c>
      <c r="BZ22" s="126">
        <v>1.88</v>
      </c>
      <c r="CA22" s="126">
        <v>3650.0</v>
      </c>
      <c r="CB22" s="129">
        <v>1943.0</v>
      </c>
      <c r="CC22" s="128" t="s">
        <v>560</v>
      </c>
      <c r="CD22" s="125">
        <v>7607.0</v>
      </c>
      <c r="CE22" s="126">
        <v>1.87</v>
      </c>
      <c r="CF22" s="126">
        <v>8872.0</v>
      </c>
      <c r="CG22" s="129">
        <v>4755.0</v>
      </c>
      <c r="CH22" s="128" t="s">
        <v>638</v>
      </c>
      <c r="CI22" s="125" t="s">
        <v>593</v>
      </c>
      <c r="CJ22" s="125" t="e">
        <v>#DIV/0!</v>
      </c>
      <c r="CK22" s="126">
        <v>0.0</v>
      </c>
      <c r="CL22" s="125">
        <v>0.0</v>
      </c>
      <c r="CM22" s="125" t="s">
        <v>640</v>
      </c>
      <c r="CN22" s="125">
        <v>427.0</v>
      </c>
      <c r="CO22" s="125" t="s">
        <v>593</v>
      </c>
      <c r="CP22" s="126">
        <v>0.0</v>
      </c>
      <c r="CQ22" s="125">
        <v>0.0</v>
      </c>
      <c r="CR22" s="125" t="s">
        <v>481</v>
      </c>
      <c r="CS22" s="125">
        <v>8775.0</v>
      </c>
      <c r="CT22" s="125">
        <v>1.86</v>
      </c>
      <c r="CU22" s="126">
        <v>5402.0</v>
      </c>
      <c r="CV22" s="129">
        <v>2904.0</v>
      </c>
      <c r="CW22" s="125" t="s">
        <v>482</v>
      </c>
      <c r="CX22" s="125">
        <v>2774.0</v>
      </c>
      <c r="CY22" s="125">
        <v>1.29</v>
      </c>
      <c r="CZ22" s="126">
        <v>868.66</v>
      </c>
      <c r="DA22" s="125">
        <v>672.0</v>
      </c>
      <c r="DB22" s="125" t="s">
        <v>482</v>
      </c>
      <c r="DC22" s="125">
        <v>2774.0</v>
      </c>
      <c r="DD22" s="131">
        <v>1.71</v>
      </c>
      <c r="DE22" s="131">
        <v>2900.0</v>
      </c>
      <c r="DF22" s="132">
        <v>1691.0</v>
      </c>
      <c r="DG22" s="125" t="s">
        <v>482</v>
      </c>
      <c r="DH22" s="125">
        <v>2774.0</v>
      </c>
      <c r="DI22" s="125">
        <v>1.88</v>
      </c>
      <c r="DJ22" s="130">
        <v>7700.0</v>
      </c>
      <c r="DK22" s="129">
        <v>4089.0</v>
      </c>
      <c r="DL22" s="125" t="s">
        <v>481</v>
      </c>
      <c r="DM22" s="125">
        <v>8775.0</v>
      </c>
      <c r="DN22" s="125" t="e">
        <v>#DIV/0!</v>
      </c>
      <c r="DO22" s="130">
        <v>0.0</v>
      </c>
      <c r="DP22" s="125">
        <v>0.0</v>
      </c>
    </row>
    <row r="23" ht="15.75" customHeight="1">
      <c r="A23" s="125" t="s">
        <v>624</v>
      </c>
      <c r="B23" s="125">
        <v>9308.0</v>
      </c>
      <c r="C23" s="126">
        <v>1.69</v>
      </c>
      <c r="D23" s="126">
        <v>6650.0</v>
      </c>
      <c r="E23" s="129">
        <v>3929.0</v>
      </c>
      <c r="F23" s="128" t="s">
        <v>636</v>
      </c>
      <c r="G23" s="125">
        <v>6960.0</v>
      </c>
      <c r="H23" s="126">
        <v>1.8</v>
      </c>
      <c r="I23" s="126">
        <v>7710.0</v>
      </c>
      <c r="J23" s="129">
        <v>4272.0</v>
      </c>
      <c r="K23" s="128" t="s">
        <v>602</v>
      </c>
      <c r="L23" s="125">
        <v>427.0</v>
      </c>
      <c r="M23" s="125">
        <v>1.69</v>
      </c>
      <c r="N23" s="129">
        <v>7400.0</v>
      </c>
      <c r="O23" s="129">
        <v>4390.0</v>
      </c>
      <c r="P23" s="128" t="s">
        <v>465</v>
      </c>
      <c r="Q23" s="125">
        <v>890.0</v>
      </c>
      <c r="R23" s="125">
        <v>2.05</v>
      </c>
      <c r="S23" s="126">
        <v>10044.9</v>
      </c>
      <c r="T23" s="129">
        <v>4900.0</v>
      </c>
      <c r="U23" s="128" t="s">
        <v>465</v>
      </c>
      <c r="V23" s="125">
        <v>890.0</v>
      </c>
      <c r="W23" s="125">
        <v>2.03</v>
      </c>
      <c r="X23" s="126">
        <v>5928.8</v>
      </c>
      <c r="Y23" s="129">
        <v>2924.0</v>
      </c>
      <c r="Z23" s="128" t="s">
        <v>638</v>
      </c>
      <c r="AA23" s="125">
        <v>913.0</v>
      </c>
      <c r="AB23" s="125">
        <v>1.82</v>
      </c>
      <c r="AC23" s="126">
        <v>6750.0</v>
      </c>
      <c r="AD23" s="129">
        <v>3709.0</v>
      </c>
      <c r="AE23" s="125" t="s">
        <v>638</v>
      </c>
      <c r="AF23" s="125">
        <v>913.0</v>
      </c>
      <c r="AG23" s="126">
        <v>1.49</v>
      </c>
      <c r="AH23" s="130">
        <v>4000.0</v>
      </c>
      <c r="AI23" s="129">
        <v>2687.0</v>
      </c>
      <c r="AJ23" s="125" t="s">
        <v>465</v>
      </c>
      <c r="AK23" s="125">
        <v>890.0</v>
      </c>
      <c r="AL23" s="126">
        <v>1.92</v>
      </c>
      <c r="AM23" s="126">
        <v>1720.0</v>
      </c>
      <c r="AN23" s="125">
        <v>898.0</v>
      </c>
      <c r="AO23" s="125" t="s">
        <v>465</v>
      </c>
      <c r="AP23" s="125">
        <v>890.0</v>
      </c>
      <c r="AQ23" s="126">
        <v>2.03</v>
      </c>
      <c r="AR23" s="126">
        <v>5928.8</v>
      </c>
      <c r="AS23" s="125">
        <v>2924.0</v>
      </c>
      <c r="AT23" s="125" t="s">
        <v>465</v>
      </c>
      <c r="AU23" s="125">
        <v>890.0</v>
      </c>
      <c r="AV23" s="126">
        <v>2.02</v>
      </c>
      <c r="AW23" s="126">
        <v>7025.0</v>
      </c>
      <c r="AX23" s="125">
        <v>3475.0</v>
      </c>
      <c r="AY23" s="125" t="s">
        <v>501</v>
      </c>
      <c r="AZ23" s="125">
        <v>2693.0</v>
      </c>
      <c r="BA23" s="126">
        <v>1.73</v>
      </c>
      <c r="BB23" s="126">
        <v>5800.0</v>
      </c>
      <c r="BC23" s="129">
        <v>3357.0</v>
      </c>
      <c r="BD23" s="125" t="s">
        <v>602</v>
      </c>
      <c r="BE23" s="125">
        <v>427.0</v>
      </c>
      <c r="BF23" s="126">
        <v>1.73</v>
      </c>
      <c r="BG23" s="126">
        <v>11821.0</v>
      </c>
      <c r="BH23" s="129">
        <v>6824.0</v>
      </c>
      <c r="BI23" s="125" t="s">
        <v>602</v>
      </c>
      <c r="BJ23" s="125">
        <v>427.0</v>
      </c>
      <c r="BK23" s="126">
        <v>1.85</v>
      </c>
      <c r="BL23" s="126">
        <v>9150.0</v>
      </c>
      <c r="BM23" s="129">
        <v>4955.0</v>
      </c>
      <c r="BN23" s="128" t="s">
        <v>465</v>
      </c>
      <c r="BO23" s="125">
        <v>890.0</v>
      </c>
      <c r="BP23" s="126">
        <v>1.99</v>
      </c>
      <c r="BQ23" s="126">
        <v>6685.0</v>
      </c>
      <c r="BR23" s="125">
        <v>3357.0</v>
      </c>
      <c r="BS23" s="128" t="s">
        <v>472</v>
      </c>
      <c r="BT23" s="125">
        <v>2316.0</v>
      </c>
      <c r="BU23" s="126">
        <v>1.64</v>
      </c>
      <c r="BV23" s="126">
        <v>1750.0</v>
      </c>
      <c r="BW23" s="125">
        <v>1070.0</v>
      </c>
      <c r="BX23" s="128" t="s">
        <v>638</v>
      </c>
      <c r="BY23" s="125" t="s">
        <v>593</v>
      </c>
      <c r="BZ23" s="125" t="e">
        <v>#DIV/0!</v>
      </c>
      <c r="CA23" s="126">
        <v>0.0</v>
      </c>
      <c r="CB23" s="125">
        <v>0.0</v>
      </c>
      <c r="CC23" s="128" t="s">
        <v>594</v>
      </c>
      <c r="CD23" s="125">
        <v>3819.0</v>
      </c>
      <c r="CE23" s="126">
        <v>1.82</v>
      </c>
      <c r="CF23" s="126">
        <v>6350.0</v>
      </c>
      <c r="CG23" s="129">
        <v>3490.0</v>
      </c>
      <c r="CH23" s="128" t="s">
        <v>465</v>
      </c>
      <c r="CI23" s="125">
        <v>890.0</v>
      </c>
      <c r="CJ23" s="125" t="e">
        <v>#DIV/0!</v>
      </c>
      <c r="CK23" s="126">
        <v>0.0</v>
      </c>
      <c r="CL23" s="125">
        <v>0.0</v>
      </c>
      <c r="CM23" s="125" t="s">
        <v>481</v>
      </c>
      <c r="CN23" s="125">
        <v>8775.0</v>
      </c>
      <c r="CO23" s="125">
        <v>2.14</v>
      </c>
      <c r="CP23" s="126">
        <v>5865.0</v>
      </c>
      <c r="CQ23" s="129">
        <v>2745.0</v>
      </c>
      <c r="CR23" s="125" t="s">
        <v>641</v>
      </c>
      <c r="CS23" s="125">
        <v>5490.0</v>
      </c>
      <c r="CT23" s="125">
        <v>1.8</v>
      </c>
      <c r="CU23" s="126">
        <v>7100.0</v>
      </c>
      <c r="CV23" s="129">
        <v>3936.0</v>
      </c>
      <c r="CW23" s="125" t="s">
        <v>489</v>
      </c>
      <c r="CX23" s="125">
        <v>515.0</v>
      </c>
      <c r="CY23" s="125">
        <v>1.93</v>
      </c>
      <c r="CZ23" s="126">
        <v>8000.0</v>
      </c>
      <c r="DA23" s="129">
        <v>4147.0</v>
      </c>
      <c r="DB23" s="125" t="s">
        <v>489</v>
      </c>
      <c r="DC23" s="125">
        <v>515.0</v>
      </c>
      <c r="DD23" s="131">
        <v>1.9</v>
      </c>
      <c r="DE23" s="131">
        <v>5300.0</v>
      </c>
      <c r="DF23" s="132">
        <v>2790.0</v>
      </c>
      <c r="DG23" s="125" t="s">
        <v>489</v>
      </c>
      <c r="DH23" s="125">
        <v>2653.0</v>
      </c>
      <c r="DI23" s="125">
        <v>1.85</v>
      </c>
      <c r="DJ23" s="130">
        <v>1250.0</v>
      </c>
      <c r="DK23" s="125">
        <v>677.0</v>
      </c>
      <c r="DL23" s="125" t="s">
        <v>482</v>
      </c>
      <c r="DM23" s="125">
        <v>2774.0</v>
      </c>
      <c r="DN23" s="125">
        <v>1.75</v>
      </c>
      <c r="DO23" s="130">
        <v>2850.0</v>
      </c>
      <c r="DP23" s="129">
        <v>1633.0</v>
      </c>
    </row>
    <row r="24" ht="15.75" customHeight="1">
      <c r="A24" s="125" t="s">
        <v>632</v>
      </c>
      <c r="B24" s="125">
        <v>1002.0</v>
      </c>
      <c r="C24" s="126">
        <v>1.84</v>
      </c>
      <c r="D24" s="126">
        <v>1900.0</v>
      </c>
      <c r="E24" s="129">
        <v>1030.0</v>
      </c>
      <c r="F24" s="128" t="s">
        <v>624</v>
      </c>
      <c r="G24" s="125">
        <v>9308.0</v>
      </c>
      <c r="H24" s="125" t="s">
        <v>642</v>
      </c>
      <c r="I24" s="126">
        <v>0.0</v>
      </c>
      <c r="J24" s="125">
        <v>0.0</v>
      </c>
      <c r="K24" s="128" t="s">
        <v>634</v>
      </c>
      <c r="L24" s="125">
        <v>5490.0</v>
      </c>
      <c r="M24" s="125">
        <v>1.73</v>
      </c>
      <c r="N24" s="129">
        <v>7500.0</v>
      </c>
      <c r="O24" s="129">
        <v>4327.0</v>
      </c>
      <c r="P24" s="128" t="s">
        <v>602</v>
      </c>
      <c r="Q24" s="125">
        <v>427.0</v>
      </c>
      <c r="R24" s="125">
        <v>1.74</v>
      </c>
      <c r="S24" s="126">
        <v>7800.0</v>
      </c>
      <c r="T24" s="129">
        <v>4494.0</v>
      </c>
      <c r="U24" s="128" t="s">
        <v>602</v>
      </c>
      <c r="V24" s="125">
        <v>427.0</v>
      </c>
      <c r="W24" s="125">
        <v>1.54</v>
      </c>
      <c r="X24" s="126">
        <v>1000.0</v>
      </c>
      <c r="Y24" s="125">
        <v>648.0</v>
      </c>
      <c r="Z24" s="128" t="s">
        <v>465</v>
      </c>
      <c r="AA24" s="125">
        <v>890.0</v>
      </c>
      <c r="AB24" s="125">
        <v>1.96</v>
      </c>
      <c r="AC24" s="126">
        <v>7000.0</v>
      </c>
      <c r="AD24" s="129">
        <v>3571.0</v>
      </c>
      <c r="AE24" s="125" t="s">
        <v>465</v>
      </c>
      <c r="AF24" s="125">
        <v>890.0</v>
      </c>
      <c r="AG24" s="125" t="e">
        <v>#DIV/0!</v>
      </c>
      <c r="AH24" s="130">
        <v>0.0</v>
      </c>
      <c r="AI24" s="125">
        <v>0.0</v>
      </c>
      <c r="AJ24" s="125" t="s">
        <v>602</v>
      </c>
      <c r="AK24" s="125">
        <v>427.0</v>
      </c>
      <c r="AL24" s="126">
        <v>1.91</v>
      </c>
      <c r="AM24" s="126">
        <v>8562.5</v>
      </c>
      <c r="AN24" s="129">
        <v>4493.0</v>
      </c>
      <c r="AO24" s="125" t="s">
        <v>602</v>
      </c>
      <c r="AP24" s="125">
        <v>427.0</v>
      </c>
      <c r="AQ24" s="126">
        <v>1.54</v>
      </c>
      <c r="AR24" s="126">
        <v>1000.0</v>
      </c>
      <c r="AS24" s="125">
        <v>648.0</v>
      </c>
      <c r="AT24" s="125" t="s">
        <v>602</v>
      </c>
      <c r="AU24" s="125">
        <v>427.0</v>
      </c>
      <c r="AV24" s="126">
        <v>1.84</v>
      </c>
      <c r="AW24" s="126">
        <v>4390.0</v>
      </c>
      <c r="AX24" s="125">
        <v>2387.0</v>
      </c>
      <c r="AY24" s="125" t="s">
        <v>643</v>
      </c>
      <c r="AZ24" s="125">
        <v>3819.0</v>
      </c>
      <c r="BA24" s="126">
        <v>2.0</v>
      </c>
      <c r="BB24" s="126">
        <v>6000.0</v>
      </c>
      <c r="BC24" s="129">
        <v>3004.0</v>
      </c>
      <c r="BD24" s="125" t="s">
        <v>639</v>
      </c>
      <c r="BE24" s="125">
        <v>5490.0</v>
      </c>
      <c r="BF24" s="126">
        <v>1.9</v>
      </c>
      <c r="BG24" s="126">
        <v>7200.0</v>
      </c>
      <c r="BH24" s="129">
        <v>3796.0</v>
      </c>
      <c r="BI24" s="125" t="s">
        <v>639</v>
      </c>
      <c r="BJ24" s="125">
        <v>5490.0</v>
      </c>
      <c r="BK24" s="126">
        <v>1.78</v>
      </c>
      <c r="BL24" s="126">
        <v>3300.0</v>
      </c>
      <c r="BM24" s="129">
        <v>1853.0</v>
      </c>
      <c r="BN24" s="128" t="s">
        <v>602</v>
      </c>
      <c r="BO24" s="125">
        <v>427.0</v>
      </c>
      <c r="BP24" s="126">
        <v>1.98</v>
      </c>
      <c r="BQ24" s="126">
        <v>7700.0</v>
      </c>
      <c r="BR24" s="125">
        <v>3898.0</v>
      </c>
      <c r="BS24" s="128" t="s">
        <v>602</v>
      </c>
      <c r="BT24" s="125">
        <v>427.0</v>
      </c>
      <c r="BU24" s="126">
        <v>1.88</v>
      </c>
      <c r="BV24" s="126">
        <v>8581.0</v>
      </c>
      <c r="BW24" s="125">
        <v>4574.0</v>
      </c>
      <c r="BX24" s="128" t="s">
        <v>465</v>
      </c>
      <c r="BY24" s="125">
        <v>890.0</v>
      </c>
      <c r="BZ24" s="126">
        <v>1.95</v>
      </c>
      <c r="CA24" s="126">
        <v>5702.5</v>
      </c>
      <c r="CB24" s="129">
        <v>2917.0</v>
      </c>
      <c r="CC24" s="128" t="s">
        <v>604</v>
      </c>
      <c r="CD24" s="125">
        <v>1002.0</v>
      </c>
      <c r="CE24" s="126">
        <v>1.86</v>
      </c>
      <c r="CF24" s="126">
        <v>8000.0</v>
      </c>
      <c r="CG24" s="129">
        <v>4295.0</v>
      </c>
      <c r="CH24" s="128" t="s">
        <v>472</v>
      </c>
      <c r="CI24" s="125">
        <v>2316.0</v>
      </c>
      <c r="CJ24" s="126">
        <v>1.95</v>
      </c>
      <c r="CK24" s="126">
        <v>10000.0</v>
      </c>
      <c r="CL24" s="129">
        <v>5129.0</v>
      </c>
      <c r="CM24" s="125" t="s">
        <v>641</v>
      </c>
      <c r="CN24" s="125">
        <v>5490.0</v>
      </c>
      <c r="CO24" s="125">
        <v>1.97</v>
      </c>
      <c r="CP24" s="126">
        <v>11600.0</v>
      </c>
      <c r="CQ24" s="129">
        <v>5883.0</v>
      </c>
      <c r="CR24" s="125" t="s">
        <v>501</v>
      </c>
      <c r="CS24" s="125">
        <v>2693.0</v>
      </c>
      <c r="CT24" s="125">
        <v>2.01</v>
      </c>
      <c r="CU24" s="126">
        <v>9980.0</v>
      </c>
      <c r="CV24" s="129">
        <v>4962.0</v>
      </c>
      <c r="CW24" s="125" t="s">
        <v>641</v>
      </c>
      <c r="CX24" s="125">
        <v>5490.0</v>
      </c>
      <c r="CY24" s="125">
        <v>1.98</v>
      </c>
      <c r="CZ24" s="126">
        <v>10075.0</v>
      </c>
      <c r="DA24" s="129">
        <v>5078.0</v>
      </c>
      <c r="DB24" s="125" t="s">
        <v>644</v>
      </c>
      <c r="DC24" s="125">
        <v>997.0</v>
      </c>
      <c r="DD24" s="131">
        <v>1.99</v>
      </c>
      <c r="DE24" s="131">
        <v>6000.0</v>
      </c>
      <c r="DF24" s="132">
        <v>3021.0</v>
      </c>
      <c r="DG24" s="125" t="s">
        <v>645</v>
      </c>
      <c r="DH24" s="125">
        <v>997.0</v>
      </c>
      <c r="DI24" s="125">
        <v>1.64</v>
      </c>
      <c r="DJ24" s="130">
        <v>5450.0</v>
      </c>
      <c r="DK24" s="129">
        <v>3326.0</v>
      </c>
      <c r="DL24" s="125" t="s">
        <v>489</v>
      </c>
      <c r="DM24" s="125">
        <v>2653.0</v>
      </c>
      <c r="DN24" s="125">
        <v>1.89</v>
      </c>
      <c r="DO24" s="130">
        <v>7400.0</v>
      </c>
      <c r="DP24" s="129">
        <v>3925.0</v>
      </c>
    </row>
    <row r="25" ht="15.75" customHeight="1">
      <c r="A25" s="125" t="s">
        <v>430</v>
      </c>
      <c r="B25" s="125">
        <v>8479.0</v>
      </c>
      <c r="C25" s="126">
        <v>1.91</v>
      </c>
      <c r="D25" s="126">
        <v>9800.0</v>
      </c>
      <c r="E25" s="129">
        <v>5139.0</v>
      </c>
      <c r="F25" s="128" t="s">
        <v>632</v>
      </c>
      <c r="G25" s="125">
        <v>1002.0</v>
      </c>
      <c r="H25" s="125" t="s">
        <v>642</v>
      </c>
      <c r="I25" s="126">
        <v>0.0</v>
      </c>
      <c r="J25" s="125">
        <v>0.0</v>
      </c>
      <c r="K25" s="128" t="s">
        <v>501</v>
      </c>
      <c r="L25" s="125">
        <v>2693.0</v>
      </c>
      <c r="M25" s="125">
        <v>1.49</v>
      </c>
      <c r="N25" s="129">
        <v>3148.0</v>
      </c>
      <c r="O25" s="129">
        <v>2119.0</v>
      </c>
      <c r="P25" s="128" t="s">
        <v>639</v>
      </c>
      <c r="Q25" s="125">
        <v>5490.0</v>
      </c>
      <c r="R25" s="125">
        <v>1.91</v>
      </c>
      <c r="S25" s="126">
        <v>8200.0</v>
      </c>
      <c r="T25" s="129">
        <v>4303.0</v>
      </c>
      <c r="U25" s="128" t="s">
        <v>639</v>
      </c>
      <c r="V25" s="125">
        <v>5490.0</v>
      </c>
      <c r="W25" s="125">
        <v>1.94</v>
      </c>
      <c r="X25" s="126">
        <v>2800.0</v>
      </c>
      <c r="Y25" s="129">
        <v>1444.0</v>
      </c>
      <c r="Z25" s="128" t="s">
        <v>602</v>
      </c>
      <c r="AA25" s="125">
        <v>427.0</v>
      </c>
      <c r="AB25" s="125" t="s">
        <v>593</v>
      </c>
      <c r="AC25" s="126">
        <v>0.0</v>
      </c>
      <c r="AD25" s="125">
        <v>0.0</v>
      </c>
      <c r="AE25" s="125" t="s">
        <v>602</v>
      </c>
      <c r="AF25" s="125">
        <v>427.0</v>
      </c>
      <c r="AG25" s="126">
        <v>1.74</v>
      </c>
      <c r="AH25" s="130">
        <v>4550.0</v>
      </c>
      <c r="AI25" s="129">
        <v>2608.0</v>
      </c>
      <c r="AJ25" s="125" t="s">
        <v>639</v>
      </c>
      <c r="AK25" s="125">
        <v>5490.0</v>
      </c>
      <c r="AL25" s="126">
        <v>1.91</v>
      </c>
      <c r="AM25" s="126">
        <v>6550.0</v>
      </c>
      <c r="AN25" s="129">
        <v>3428.0</v>
      </c>
      <c r="AO25" s="125" t="s">
        <v>639</v>
      </c>
      <c r="AP25" s="125">
        <v>5490.0</v>
      </c>
      <c r="AQ25" s="126">
        <v>1.94</v>
      </c>
      <c r="AR25" s="126">
        <v>2800.0</v>
      </c>
      <c r="AS25" s="125">
        <v>1444.0</v>
      </c>
      <c r="AT25" s="125" t="s">
        <v>639</v>
      </c>
      <c r="AU25" s="125">
        <v>5490.0</v>
      </c>
      <c r="AV25" s="125" t="e">
        <v>#DIV/0!</v>
      </c>
      <c r="AW25" s="126">
        <v>0.0</v>
      </c>
      <c r="AX25" s="125">
        <v>0.0</v>
      </c>
      <c r="AY25" s="125" t="s">
        <v>552</v>
      </c>
      <c r="AZ25" s="125">
        <v>7807.0</v>
      </c>
      <c r="BA25" s="126">
        <v>1.72</v>
      </c>
      <c r="BB25" s="126">
        <v>6400.0</v>
      </c>
      <c r="BC25" s="129">
        <v>3729.0</v>
      </c>
      <c r="BD25" s="125" t="s">
        <v>501</v>
      </c>
      <c r="BE25" s="125">
        <v>2693.0</v>
      </c>
      <c r="BF25" s="126">
        <v>1.75</v>
      </c>
      <c r="BG25" s="126">
        <v>5500.0</v>
      </c>
      <c r="BH25" s="129">
        <v>3137.0</v>
      </c>
      <c r="BI25" s="125" t="s">
        <v>501</v>
      </c>
      <c r="BJ25" s="125">
        <v>2693.0</v>
      </c>
      <c r="BK25" s="125" t="e">
        <v>#DIV/0!</v>
      </c>
      <c r="BL25" s="126">
        <v>0.0</v>
      </c>
      <c r="BM25" s="125">
        <v>0.0</v>
      </c>
      <c r="BN25" s="128" t="s">
        <v>639</v>
      </c>
      <c r="BO25" s="125">
        <v>5490.0</v>
      </c>
      <c r="BP25" s="126">
        <v>2.03</v>
      </c>
      <c r="BQ25" s="126">
        <v>8400.0</v>
      </c>
      <c r="BR25" s="125">
        <v>4132.0</v>
      </c>
      <c r="BS25" s="128" t="s">
        <v>639</v>
      </c>
      <c r="BT25" s="125">
        <v>5490.0</v>
      </c>
      <c r="BU25" s="126">
        <v>2.14</v>
      </c>
      <c r="BV25" s="126">
        <v>5150.0</v>
      </c>
      <c r="BW25" s="125">
        <v>2412.0</v>
      </c>
      <c r="BX25" s="128" t="s">
        <v>472</v>
      </c>
      <c r="BY25" s="125">
        <v>2316.0</v>
      </c>
      <c r="BZ25" s="125" t="e">
        <v>#DIV/0!</v>
      </c>
      <c r="CA25" s="126">
        <v>0.0</v>
      </c>
      <c r="CB25" s="125">
        <v>0.0</v>
      </c>
      <c r="CC25" s="128" t="s">
        <v>365</v>
      </c>
      <c r="CD25" s="125">
        <v>2319.0</v>
      </c>
      <c r="CE25" s="126">
        <v>1.98</v>
      </c>
      <c r="CF25" s="126">
        <v>7150.0</v>
      </c>
      <c r="CG25" s="129">
        <v>3618.0</v>
      </c>
      <c r="CH25" s="128" t="s">
        <v>602</v>
      </c>
      <c r="CI25" s="125">
        <v>427.0</v>
      </c>
      <c r="CJ25" s="125" t="e">
        <v>#DIV/0!</v>
      </c>
      <c r="CK25" s="126">
        <v>0.0</v>
      </c>
      <c r="CL25" s="125">
        <v>0.0</v>
      </c>
      <c r="CM25" s="125" t="s">
        <v>501</v>
      </c>
      <c r="CN25" s="125">
        <v>2693.0</v>
      </c>
      <c r="CO25" s="125">
        <v>1.83</v>
      </c>
      <c r="CP25" s="126">
        <v>9551.0</v>
      </c>
      <c r="CQ25" s="129">
        <v>5216.0</v>
      </c>
      <c r="CR25" s="125" t="s">
        <v>646</v>
      </c>
      <c r="CS25" s="125">
        <v>7048.0</v>
      </c>
      <c r="CT25" s="125">
        <v>1.97</v>
      </c>
      <c r="CU25" s="126">
        <v>5900.0</v>
      </c>
      <c r="CV25" s="129">
        <v>2988.0</v>
      </c>
      <c r="CW25" s="125" t="s">
        <v>501</v>
      </c>
      <c r="CX25" s="125">
        <v>2693.0</v>
      </c>
      <c r="CY25" s="125" t="s">
        <v>593</v>
      </c>
      <c r="CZ25" s="126">
        <v>0.0</v>
      </c>
      <c r="DA25" s="125">
        <v>0.0</v>
      </c>
      <c r="DB25" s="125" t="s">
        <v>501</v>
      </c>
      <c r="DC25" s="125">
        <v>2693.0</v>
      </c>
      <c r="DD25" s="131">
        <v>1.68</v>
      </c>
      <c r="DE25" s="131">
        <v>3800.0</v>
      </c>
      <c r="DF25" s="132">
        <v>2256.0</v>
      </c>
      <c r="DG25" s="125" t="s">
        <v>501</v>
      </c>
      <c r="DH25" s="125">
        <v>2693.0</v>
      </c>
      <c r="DI25" s="125">
        <v>1.86</v>
      </c>
      <c r="DJ25" s="130">
        <v>7800.0</v>
      </c>
      <c r="DK25" s="129">
        <v>4188.0</v>
      </c>
      <c r="DL25" s="125" t="s">
        <v>645</v>
      </c>
      <c r="DM25" s="125">
        <v>997.0</v>
      </c>
      <c r="DN25" s="125" t="e">
        <v>#DIV/0!</v>
      </c>
      <c r="DO25" s="130">
        <v>0.0</v>
      </c>
      <c r="DP25" s="125">
        <v>0.0</v>
      </c>
    </row>
    <row r="26" ht="15.75" customHeight="1">
      <c r="F26" s="128" t="s">
        <v>430</v>
      </c>
      <c r="G26" s="125">
        <v>8479.0</v>
      </c>
      <c r="H26" s="126">
        <v>1.78</v>
      </c>
      <c r="I26" s="126">
        <v>8550.0</v>
      </c>
      <c r="J26" s="129">
        <v>4815.0</v>
      </c>
      <c r="K26" s="128" t="s">
        <v>647</v>
      </c>
      <c r="L26" s="125">
        <v>3819.0</v>
      </c>
      <c r="M26" s="125">
        <v>1.94</v>
      </c>
      <c r="N26" s="129">
        <v>6800.0</v>
      </c>
      <c r="O26" s="129">
        <v>3501.0</v>
      </c>
      <c r="P26" s="128" t="s">
        <v>501</v>
      </c>
      <c r="Q26" s="125">
        <v>2693.0</v>
      </c>
      <c r="R26" s="125">
        <v>1.78</v>
      </c>
      <c r="S26" s="126">
        <v>7800.0</v>
      </c>
      <c r="T26" s="129">
        <v>4371.0</v>
      </c>
      <c r="U26" s="128" t="s">
        <v>501</v>
      </c>
      <c r="V26" s="125">
        <v>2693.0</v>
      </c>
      <c r="W26" s="125">
        <v>2.13</v>
      </c>
      <c r="X26" s="126">
        <v>9200.0</v>
      </c>
      <c r="Y26" s="129">
        <v>4315.0</v>
      </c>
      <c r="Z26" s="128" t="s">
        <v>639</v>
      </c>
      <c r="AA26" s="125">
        <v>5490.0</v>
      </c>
      <c r="AB26" s="125">
        <v>1.75</v>
      </c>
      <c r="AC26" s="126">
        <v>6500.0</v>
      </c>
      <c r="AD26" s="129">
        <v>3709.0</v>
      </c>
      <c r="AE26" s="125" t="s">
        <v>639</v>
      </c>
      <c r="AF26" s="125">
        <v>5490.0</v>
      </c>
      <c r="AG26" s="126">
        <v>2.07</v>
      </c>
      <c r="AH26" s="130">
        <v>9700.0</v>
      </c>
      <c r="AI26" s="129">
        <v>4680.0</v>
      </c>
      <c r="AJ26" s="125" t="s">
        <v>501</v>
      </c>
      <c r="AK26" s="125">
        <v>2693.0</v>
      </c>
      <c r="AL26" s="126">
        <v>1.82</v>
      </c>
      <c r="AM26" s="126">
        <v>6900.0</v>
      </c>
      <c r="AN26" s="129">
        <v>3786.0</v>
      </c>
      <c r="AO26" s="125" t="s">
        <v>501</v>
      </c>
      <c r="AP26" s="125">
        <v>2693.0</v>
      </c>
      <c r="AQ26" s="126">
        <v>2.13</v>
      </c>
      <c r="AR26" s="126">
        <v>9200.0</v>
      </c>
      <c r="AS26" s="125">
        <v>4315.0</v>
      </c>
      <c r="AT26" s="125" t="s">
        <v>501</v>
      </c>
      <c r="AU26" s="125">
        <v>2693.0</v>
      </c>
      <c r="AV26" s="126">
        <v>1.97</v>
      </c>
      <c r="AW26" s="126">
        <v>10000.0</v>
      </c>
      <c r="AX26" s="125">
        <v>5065.0</v>
      </c>
      <c r="AY26" s="125" t="s">
        <v>472</v>
      </c>
      <c r="AZ26" s="125">
        <v>2316.0</v>
      </c>
      <c r="BA26" s="126">
        <v>2.09</v>
      </c>
      <c r="BB26" s="126">
        <v>8550.0</v>
      </c>
      <c r="BC26" s="129">
        <v>4084.0</v>
      </c>
      <c r="BD26" s="125" t="s">
        <v>643</v>
      </c>
      <c r="BE26" s="125">
        <v>3819.0</v>
      </c>
      <c r="BF26" s="125" t="s">
        <v>593</v>
      </c>
      <c r="BG26" s="126">
        <v>0.0</v>
      </c>
      <c r="BH26" s="125">
        <v>0.0</v>
      </c>
      <c r="BI26" s="125" t="s">
        <v>643</v>
      </c>
      <c r="BJ26" s="125">
        <v>7607.0</v>
      </c>
      <c r="BK26" s="126">
        <v>2.23</v>
      </c>
      <c r="BL26" s="126">
        <v>3200.0</v>
      </c>
      <c r="BM26" s="129">
        <v>1436.0</v>
      </c>
      <c r="BN26" s="128" t="s">
        <v>501</v>
      </c>
      <c r="BO26" s="125">
        <v>2693.0</v>
      </c>
      <c r="BP26" s="125" t="e">
        <v>#DIV/0!</v>
      </c>
      <c r="BQ26" s="126">
        <v>0.0</v>
      </c>
      <c r="BR26" s="125">
        <v>0.0</v>
      </c>
      <c r="BS26" s="128" t="s">
        <v>501</v>
      </c>
      <c r="BT26" s="125">
        <v>2693.0</v>
      </c>
      <c r="BU26" s="126">
        <v>1.65</v>
      </c>
      <c r="BV26" s="126">
        <v>6100.0</v>
      </c>
      <c r="BW26" s="125">
        <v>3700.0</v>
      </c>
      <c r="BX26" s="128" t="s">
        <v>602</v>
      </c>
      <c r="BY26" s="125">
        <v>427.0</v>
      </c>
      <c r="BZ26" s="126">
        <v>1.76</v>
      </c>
      <c r="CA26" s="126">
        <v>7900.0</v>
      </c>
      <c r="CB26" s="129">
        <v>4496.0</v>
      </c>
      <c r="CC26" s="128" t="s">
        <v>612</v>
      </c>
      <c r="CD26" s="125">
        <v>9308.0</v>
      </c>
      <c r="CE26" s="126">
        <v>1.83</v>
      </c>
      <c r="CF26" s="126">
        <v>8105.0</v>
      </c>
      <c r="CG26" s="129">
        <v>4434.0</v>
      </c>
      <c r="CH26" s="128" t="s">
        <v>481</v>
      </c>
      <c r="CI26" s="125">
        <v>8775.0</v>
      </c>
      <c r="CJ26" s="126">
        <v>2.16</v>
      </c>
      <c r="CK26" s="126">
        <v>5595.0</v>
      </c>
      <c r="CL26" s="129">
        <v>2594.0</v>
      </c>
      <c r="CM26" s="125" t="s">
        <v>560</v>
      </c>
      <c r="CN26" s="125">
        <v>7607.0</v>
      </c>
      <c r="CO26" s="125" t="s">
        <v>593</v>
      </c>
      <c r="CP26" s="126">
        <v>0.0</v>
      </c>
      <c r="CQ26" s="125">
        <v>0.0</v>
      </c>
      <c r="CR26" s="125" t="s">
        <v>552</v>
      </c>
      <c r="CS26" s="125">
        <v>7807.0</v>
      </c>
      <c r="CT26" s="125">
        <v>1.2</v>
      </c>
      <c r="CU26" s="126">
        <v>1100.0</v>
      </c>
      <c r="CV26" s="125">
        <v>913.0</v>
      </c>
      <c r="CW26" s="125" t="s">
        <v>506</v>
      </c>
      <c r="CX26" s="125">
        <v>7048.0</v>
      </c>
      <c r="CY26" s="125">
        <v>1.99</v>
      </c>
      <c r="CZ26" s="126">
        <v>6400.0</v>
      </c>
      <c r="DA26" s="129">
        <v>3219.0</v>
      </c>
      <c r="DB26" s="125" t="s">
        <v>506</v>
      </c>
      <c r="DC26" s="125">
        <v>7048.0</v>
      </c>
      <c r="DD26" s="131">
        <v>1.87</v>
      </c>
      <c r="DE26" s="131">
        <v>8300.0</v>
      </c>
      <c r="DF26" s="132">
        <v>4436.0</v>
      </c>
      <c r="DG26" s="125" t="s">
        <v>506</v>
      </c>
      <c r="DH26" s="125">
        <v>7048.0</v>
      </c>
      <c r="DI26" s="125">
        <v>2.33</v>
      </c>
      <c r="DJ26" s="130">
        <v>2850.0</v>
      </c>
      <c r="DK26" s="129">
        <v>1222.0</v>
      </c>
      <c r="DL26" s="125" t="s">
        <v>501</v>
      </c>
      <c r="DM26" s="125">
        <v>2693.0</v>
      </c>
      <c r="DN26" s="125">
        <v>1.77</v>
      </c>
      <c r="DO26" s="130">
        <v>8900.0</v>
      </c>
      <c r="DP26" s="129">
        <v>5038.0</v>
      </c>
    </row>
    <row r="27" ht="15.75" customHeight="1">
      <c r="P27" s="128" t="s">
        <v>648</v>
      </c>
      <c r="Q27" s="125">
        <v>3819.0</v>
      </c>
      <c r="R27" s="125">
        <v>2.52</v>
      </c>
      <c r="S27" s="126">
        <v>7300.0</v>
      </c>
      <c r="T27" s="129">
        <v>2902.0</v>
      </c>
      <c r="U27" s="128" t="s">
        <v>648</v>
      </c>
      <c r="V27" s="125">
        <v>3819.0</v>
      </c>
      <c r="W27" s="125">
        <v>1.98</v>
      </c>
      <c r="X27" s="126">
        <v>5850.0</v>
      </c>
      <c r="Y27" s="129">
        <v>2960.0</v>
      </c>
      <c r="Z27" s="128" t="s">
        <v>501</v>
      </c>
      <c r="AA27" s="125">
        <v>2693.0</v>
      </c>
      <c r="AB27" s="125">
        <v>1.98</v>
      </c>
      <c r="AC27" s="126">
        <v>7100.0</v>
      </c>
      <c r="AD27" s="129">
        <v>3590.0</v>
      </c>
      <c r="AE27" s="125" t="s">
        <v>501</v>
      </c>
      <c r="AF27" s="125">
        <v>2693.0</v>
      </c>
      <c r="AG27" s="126">
        <v>1.87</v>
      </c>
      <c r="AH27" s="130">
        <v>8700.0</v>
      </c>
      <c r="AI27" s="129">
        <v>4657.0</v>
      </c>
      <c r="AJ27" s="125" t="s">
        <v>648</v>
      </c>
      <c r="AK27" s="125">
        <v>3819.0</v>
      </c>
      <c r="AL27" s="126">
        <v>1.91</v>
      </c>
      <c r="AM27" s="126">
        <v>6200.0</v>
      </c>
      <c r="AN27" s="133">
        <v>3249.8</v>
      </c>
      <c r="AO27" s="125" t="s">
        <v>648</v>
      </c>
      <c r="AP27" s="125">
        <v>3819.0</v>
      </c>
      <c r="AQ27" s="126">
        <v>1.98</v>
      </c>
      <c r="AR27" s="126">
        <v>5850.0</v>
      </c>
      <c r="AS27" s="125">
        <v>2960.0</v>
      </c>
      <c r="AT27" s="125" t="s">
        <v>648</v>
      </c>
      <c r="AU27" s="125">
        <v>3819.0</v>
      </c>
      <c r="AV27" s="126">
        <v>2.1</v>
      </c>
      <c r="AW27" s="126">
        <v>10575.0</v>
      </c>
      <c r="AX27" s="125">
        <v>5045.0</v>
      </c>
      <c r="BD27" s="125" t="s">
        <v>552</v>
      </c>
      <c r="BE27" s="125">
        <v>7807.0</v>
      </c>
      <c r="BF27" s="125" t="s">
        <v>593</v>
      </c>
      <c r="BG27" s="126">
        <v>0.0</v>
      </c>
      <c r="BH27" s="125">
        <v>0.0</v>
      </c>
      <c r="BI27" s="125" t="s">
        <v>649</v>
      </c>
      <c r="BJ27" s="125">
        <v>7807.0</v>
      </c>
      <c r="BK27" s="126">
        <v>1.78</v>
      </c>
      <c r="BL27" s="126">
        <v>6350.0</v>
      </c>
      <c r="BM27" s="129">
        <v>3563.0</v>
      </c>
      <c r="BN27" s="128" t="s">
        <v>643</v>
      </c>
      <c r="BO27" s="125">
        <v>7607.0</v>
      </c>
      <c r="BP27" s="126">
        <v>1.75</v>
      </c>
      <c r="BQ27" s="126">
        <v>4750.0</v>
      </c>
      <c r="BR27" s="125">
        <v>2720.0</v>
      </c>
      <c r="BS27" s="128" t="s">
        <v>560</v>
      </c>
      <c r="BT27" s="125">
        <v>7607.0</v>
      </c>
      <c r="BU27" s="126">
        <v>1.71</v>
      </c>
      <c r="BV27" s="126">
        <v>10400.0</v>
      </c>
      <c r="BW27" s="125">
        <v>6072.0</v>
      </c>
      <c r="BX27" s="128" t="s">
        <v>523</v>
      </c>
      <c r="BY27" s="125">
        <v>5490.0</v>
      </c>
      <c r="BZ27" s="126">
        <v>1.65</v>
      </c>
      <c r="CA27" s="126">
        <v>5500.0</v>
      </c>
      <c r="CB27" s="129">
        <v>3336.0</v>
      </c>
      <c r="CC27" s="128" t="s">
        <v>636</v>
      </c>
      <c r="CD27" s="125">
        <v>6960.0</v>
      </c>
      <c r="CE27" s="126">
        <v>2.02</v>
      </c>
      <c r="CF27" s="126">
        <v>6532.5</v>
      </c>
      <c r="CG27" s="129">
        <v>3235.0</v>
      </c>
      <c r="CH27" s="128" t="s">
        <v>523</v>
      </c>
      <c r="CI27" s="125">
        <v>5490.0</v>
      </c>
      <c r="CJ27" s="126">
        <v>2.2</v>
      </c>
      <c r="CK27" s="126">
        <v>12490.0</v>
      </c>
      <c r="CL27" s="129">
        <v>5674.0</v>
      </c>
      <c r="CM27" s="125" t="s">
        <v>552</v>
      </c>
      <c r="CN27" s="125">
        <v>7807.0</v>
      </c>
      <c r="CO27" s="125" t="s">
        <v>593</v>
      </c>
      <c r="CP27" s="126">
        <v>0.0</v>
      </c>
      <c r="CQ27" s="125">
        <v>0.0</v>
      </c>
      <c r="CR27" s="125" t="s">
        <v>630</v>
      </c>
      <c r="CS27" s="125">
        <v>913.0</v>
      </c>
      <c r="CT27" s="125">
        <v>1.97</v>
      </c>
      <c r="CU27" s="126">
        <v>6300.0</v>
      </c>
      <c r="CV27" s="129">
        <v>3202.0</v>
      </c>
      <c r="CW27" s="125" t="s">
        <v>552</v>
      </c>
      <c r="CX27" s="125">
        <v>7807.0</v>
      </c>
      <c r="CY27" s="125">
        <v>1.72</v>
      </c>
      <c r="CZ27" s="126">
        <v>7400.0</v>
      </c>
      <c r="DA27" s="129">
        <v>4290.0</v>
      </c>
      <c r="DB27" s="125" t="s">
        <v>552</v>
      </c>
      <c r="DC27" s="125">
        <v>7807.0</v>
      </c>
      <c r="DD27" s="131">
        <v>1.89</v>
      </c>
      <c r="DE27" s="131">
        <v>7500.0</v>
      </c>
      <c r="DF27" s="132">
        <v>3963.0</v>
      </c>
      <c r="DG27" s="125" t="s">
        <v>552</v>
      </c>
      <c r="DH27" s="125">
        <v>7807.0</v>
      </c>
      <c r="DI27" s="125">
        <v>1.95</v>
      </c>
      <c r="DJ27" s="130">
        <v>11830.0</v>
      </c>
      <c r="DK27" s="129">
        <v>6073.0</v>
      </c>
      <c r="DL27" s="125" t="s">
        <v>506</v>
      </c>
      <c r="DM27" s="125">
        <v>7048.0</v>
      </c>
      <c r="DN27" s="125">
        <v>1.52</v>
      </c>
      <c r="DO27" s="130">
        <v>2900.0</v>
      </c>
      <c r="DP27" s="129">
        <v>1911.0</v>
      </c>
    </row>
    <row r="28" ht="15.75" customHeight="1">
      <c r="Z28" s="128" t="s">
        <v>648</v>
      </c>
      <c r="AA28" s="125">
        <v>3819.0</v>
      </c>
      <c r="AB28" s="125">
        <v>1.78</v>
      </c>
      <c r="AC28" s="126">
        <v>9650.0</v>
      </c>
      <c r="AD28" s="129">
        <v>5431.0</v>
      </c>
      <c r="AE28" s="125" t="s">
        <v>648</v>
      </c>
      <c r="AF28" s="125">
        <v>3819.0</v>
      </c>
      <c r="AG28" s="125" t="e">
        <v>#DIV/0!</v>
      </c>
      <c r="AH28" s="130">
        <v>0.0</v>
      </c>
      <c r="AI28" s="125">
        <v>0.0</v>
      </c>
      <c r="AJ28" s="125" t="s">
        <v>552</v>
      </c>
      <c r="AK28" s="125">
        <v>7807.0</v>
      </c>
      <c r="AL28" s="126">
        <v>2.26</v>
      </c>
      <c r="AM28" s="126">
        <v>7450.0</v>
      </c>
      <c r="AN28" s="133">
        <v>3298.2</v>
      </c>
      <c r="AT28" s="125" t="s">
        <v>552</v>
      </c>
      <c r="AU28" s="125">
        <v>7807.0</v>
      </c>
      <c r="AV28" s="126">
        <v>1.75</v>
      </c>
      <c r="AW28" s="126">
        <v>7045.0</v>
      </c>
      <c r="AX28" s="125">
        <v>4021.0</v>
      </c>
      <c r="BD28" s="125" t="s">
        <v>472</v>
      </c>
      <c r="BE28" s="125">
        <v>2316.0</v>
      </c>
      <c r="BF28" s="126">
        <v>1.78</v>
      </c>
      <c r="BG28" s="126">
        <v>8666.0</v>
      </c>
      <c r="BH28" s="129">
        <v>4860.0</v>
      </c>
      <c r="BI28" s="125" t="s">
        <v>472</v>
      </c>
      <c r="BJ28" s="125">
        <v>2316.0</v>
      </c>
      <c r="BK28" s="126">
        <v>1.93</v>
      </c>
      <c r="BL28" s="126">
        <v>7250.0</v>
      </c>
      <c r="BM28" s="129">
        <v>3747.0</v>
      </c>
      <c r="BN28" s="128" t="s">
        <v>649</v>
      </c>
      <c r="BO28" s="125">
        <v>7807.0</v>
      </c>
      <c r="BP28" s="126">
        <v>1.84</v>
      </c>
      <c r="BQ28" s="126">
        <v>11600.0</v>
      </c>
      <c r="BR28" s="125">
        <v>6303.0</v>
      </c>
      <c r="BS28" s="128" t="s">
        <v>649</v>
      </c>
      <c r="BT28" s="125">
        <v>7807.0</v>
      </c>
      <c r="BU28" s="126">
        <v>1.86</v>
      </c>
      <c r="BV28" s="126">
        <v>11400.0</v>
      </c>
      <c r="BW28" s="125">
        <v>6141.0</v>
      </c>
      <c r="BX28" s="128" t="s">
        <v>501</v>
      </c>
      <c r="BY28" s="125">
        <v>2693.0</v>
      </c>
      <c r="BZ28" s="126">
        <v>1.86</v>
      </c>
      <c r="CA28" s="126">
        <v>10100.0</v>
      </c>
      <c r="CB28" s="129">
        <v>5432.0</v>
      </c>
      <c r="CC28" s="128" t="s">
        <v>443</v>
      </c>
      <c r="CD28" s="125">
        <v>5653.0</v>
      </c>
      <c r="CE28" s="125" t="e">
        <v>#DIV/0!</v>
      </c>
      <c r="CF28" s="126">
        <v>0.0</v>
      </c>
      <c r="CG28" s="125">
        <v>0.0</v>
      </c>
      <c r="CH28" s="128" t="s">
        <v>501</v>
      </c>
      <c r="CI28" s="125">
        <v>2693.0</v>
      </c>
      <c r="CJ28" s="126">
        <v>1.9</v>
      </c>
      <c r="CK28" s="126">
        <v>7350.0</v>
      </c>
      <c r="CL28" s="129">
        <v>3872.0</v>
      </c>
      <c r="CM28" s="125" t="s">
        <v>630</v>
      </c>
      <c r="CN28" s="125">
        <v>913.0</v>
      </c>
      <c r="CO28" s="125">
        <v>1.95</v>
      </c>
      <c r="CP28" s="126">
        <v>3850.0</v>
      </c>
      <c r="CQ28" s="129">
        <v>1975.0</v>
      </c>
      <c r="CR28" s="125" t="s">
        <v>595</v>
      </c>
      <c r="CS28" s="125">
        <v>7265.0</v>
      </c>
      <c r="CT28" s="125">
        <v>1.97</v>
      </c>
      <c r="CU28" s="126">
        <v>8450.0</v>
      </c>
      <c r="CV28" s="129">
        <v>4281.0</v>
      </c>
      <c r="CW28" s="125" t="s">
        <v>630</v>
      </c>
      <c r="CX28" s="125">
        <v>913.0</v>
      </c>
      <c r="CY28" s="125">
        <v>1.78</v>
      </c>
      <c r="CZ28" s="126">
        <v>2000.0</v>
      </c>
      <c r="DA28" s="129">
        <v>1126.0</v>
      </c>
      <c r="DB28" s="125" t="s">
        <v>630</v>
      </c>
      <c r="DC28" s="125">
        <v>913.0</v>
      </c>
      <c r="DD28" s="131">
        <v>2.08</v>
      </c>
      <c r="DE28" s="131">
        <v>4087.0</v>
      </c>
      <c r="DF28" s="132">
        <v>1965.0</v>
      </c>
      <c r="DG28" s="125" t="s">
        <v>630</v>
      </c>
      <c r="DH28" s="125">
        <v>913.0</v>
      </c>
      <c r="DI28" s="125">
        <v>1.74</v>
      </c>
      <c r="DJ28" s="130">
        <v>6100.0</v>
      </c>
      <c r="DK28" s="129">
        <v>3510.0</v>
      </c>
      <c r="DL28" s="125" t="s">
        <v>630</v>
      </c>
      <c r="DM28" s="125">
        <v>913.0</v>
      </c>
      <c r="DN28" s="125">
        <v>1.8</v>
      </c>
      <c r="DO28" s="130">
        <v>3100.0</v>
      </c>
      <c r="DP28" s="129">
        <v>1727.0</v>
      </c>
    </row>
    <row r="29" ht="15.75" customHeight="1">
      <c r="Z29" s="128" t="s">
        <v>552</v>
      </c>
      <c r="AA29" s="125">
        <v>7807.0</v>
      </c>
      <c r="AB29" s="125">
        <v>1.63</v>
      </c>
      <c r="AC29" s="126">
        <v>5100.0</v>
      </c>
      <c r="AD29" s="129">
        <v>3131.0</v>
      </c>
      <c r="AE29" s="125" t="s">
        <v>552</v>
      </c>
      <c r="AF29" s="125">
        <v>7807.0</v>
      </c>
      <c r="AG29" s="126">
        <v>1.76</v>
      </c>
      <c r="AH29" s="130">
        <v>6600.0</v>
      </c>
      <c r="AI29" s="129">
        <v>3747.0</v>
      </c>
      <c r="AJ29" s="125" t="s">
        <v>472</v>
      </c>
      <c r="AK29" s="125">
        <v>2316.0</v>
      </c>
      <c r="AL29" s="126">
        <v>1.9</v>
      </c>
      <c r="AM29" s="126">
        <v>4250.0</v>
      </c>
      <c r="AN29" s="129">
        <v>2236.0</v>
      </c>
      <c r="AT29" s="125" t="s">
        <v>472</v>
      </c>
      <c r="AU29" s="125">
        <v>2316.0</v>
      </c>
      <c r="AV29" s="126">
        <v>2.71</v>
      </c>
      <c r="AW29" s="126">
        <v>5100.0</v>
      </c>
      <c r="AX29" s="125">
        <v>1882.0</v>
      </c>
      <c r="BN29" s="128" t="s">
        <v>472</v>
      </c>
      <c r="BO29" s="125">
        <v>2316.0</v>
      </c>
      <c r="BP29" s="126">
        <v>1.9</v>
      </c>
      <c r="BQ29" s="126">
        <v>8100.0</v>
      </c>
      <c r="BR29" s="125">
        <v>4261.0</v>
      </c>
      <c r="BS29" s="128" t="s">
        <v>630</v>
      </c>
      <c r="BT29" s="125">
        <v>913.0</v>
      </c>
      <c r="BU29" s="126">
        <v>1.69</v>
      </c>
      <c r="BV29" s="126">
        <v>2200.0</v>
      </c>
      <c r="BW29" s="125">
        <v>1304.0</v>
      </c>
      <c r="BX29" s="128" t="s">
        <v>560</v>
      </c>
      <c r="BY29" s="125">
        <v>7607.0</v>
      </c>
      <c r="BZ29" s="126">
        <v>1.68</v>
      </c>
      <c r="CA29" s="126">
        <v>3600.0</v>
      </c>
      <c r="CB29" s="129">
        <v>2141.0</v>
      </c>
      <c r="CC29" s="128" t="s">
        <v>472</v>
      </c>
      <c r="CD29" s="125">
        <v>2316.0</v>
      </c>
      <c r="CE29" s="126">
        <v>2.14</v>
      </c>
      <c r="CF29" s="126">
        <v>4250.0</v>
      </c>
      <c r="CG29" s="129">
        <v>1990.0</v>
      </c>
      <c r="CH29" s="128" t="s">
        <v>560</v>
      </c>
      <c r="CI29" s="125">
        <v>7607.0</v>
      </c>
      <c r="CJ29" s="126">
        <v>2.23</v>
      </c>
      <c r="CK29" s="126">
        <v>6000.0</v>
      </c>
      <c r="CL29" s="129">
        <v>2685.0</v>
      </c>
      <c r="CM29" s="125" t="s">
        <v>595</v>
      </c>
      <c r="CN29" s="125">
        <v>7265.0</v>
      </c>
      <c r="CO29" s="125">
        <v>1.89</v>
      </c>
      <c r="CP29" s="126">
        <v>8700.0</v>
      </c>
      <c r="CQ29" s="129">
        <v>4605.0</v>
      </c>
      <c r="CR29" s="125" t="s">
        <v>528</v>
      </c>
      <c r="CS29" s="125">
        <v>9348.0</v>
      </c>
      <c r="CT29" s="125">
        <v>1.96</v>
      </c>
      <c r="CU29" s="126">
        <v>7035.0</v>
      </c>
      <c r="CV29" s="129">
        <v>3583.0</v>
      </c>
      <c r="CW29" s="125" t="s">
        <v>595</v>
      </c>
      <c r="CX29" s="125">
        <v>7265.0</v>
      </c>
      <c r="CY29" s="125">
        <v>2.18</v>
      </c>
      <c r="CZ29" s="126">
        <v>4000.0</v>
      </c>
      <c r="DA29" s="129">
        <v>1834.0</v>
      </c>
      <c r="DB29" s="125" t="s">
        <v>595</v>
      </c>
      <c r="DC29" s="125">
        <v>7265.0</v>
      </c>
      <c r="DD29" s="128" t="e">
        <v>#DIV/0!</v>
      </c>
      <c r="DE29" s="131">
        <v>0.0</v>
      </c>
      <c r="DF29" s="128">
        <v>0.0</v>
      </c>
      <c r="DG29" s="125" t="s">
        <v>595</v>
      </c>
      <c r="DH29" s="125">
        <v>7265.0</v>
      </c>
      <c r="DI29" s="125" t="s">
        <v>593</v>
      </c>
      <c r="DJ29" s="130">
        <v>0.0</v>
      </c>
      <c r="DK29" s="125">
        <v>0.0</v>
      </c>
      <c r="DL29" s="125" t="s">
        <v>595</v>
      </c>
      <c r="DM29" s="125">
        <v>7265.0</v>
      </c>
      <c r="DN29" s="125">
        <v>1.71</v>
      </c>
      <c r="DO29" s="130">
        <v>6700.0</v>
      </c>
      <c r="DP29" s="129">
        <v>3908.0</v>
      </c>
    </row>
    <row r="30" ht="15.75" customHeight="1">
      <c r="AE30" s="125" t="s">
        <v>472</v>
      </c>
      <c r="AF30" s="125">
        <v>2316.0</v>
      </c>
      <c r="AG30" s="126">
        <v>2.08</v>
      </c>
      <c r="AH30" s="130">
        <v>4250.0</v>
      </c>
      <c r="AI30" s="129">
        <v>2045.0</v>
      </c>
      <c r="AJ30" s="125" t="s">
        <v>617</v>
      </c>
      <c r="AK30" s="125" t="s">
        <v>618</v>
      </c>
      <c r="AL30" s="125" t="e">
        <v>#DIV/0!</v>
      </c>
      <c r="AM30" s="126">
        <v>0.0</v>
      </c>
      <c r="AN30" s="125">
        <v>0.0</v>
      </c>
      <c r="BS30" s="128" t="s">
        <v>608</v>
      </c>
      <c r="BT30" s="125">
        <v>7048.0</v>
      </c>
      <c r="BU30" s="125" t="e">
        <v>#DIV/0!</v>
      </c>
      <c r="BV30" s="126">
        <v>0.0</v>
      </c>
      <c r="BW30" s="125">
        <v>0.0</v>
      </c>
      <c r="BX30" s="128" t="s">
        <v>649</v>
      </c>
      <c r="BY30" s="125">
        <v>7807.0</v>
      </c>
      <c r="BZ30" s="126">
        <v>1.97</v>
      </c>
      <c r="CA30" s="126">
        <v>7012.5</v>
      </c>
      <c r="CB30" s="129">
        <v>3557.0</v>
      </c>
      <c r="CC30" s="128" t="s">
        <v>638</v>
      </c>
      <c r="CD30" s="125" t="s">
        <v>593</v>
      </c>
      <c r="CE30" s="125" t="e">
        <v>#DIV/0!</v>
      </c>
      <c r="CF30" s="126">
        <v>0.0</v>
      </c>
      <c r="CG30" s="125">
        <v>0.0</v>
      </c>
      <c r="CH30" s="128" t="s">
        <v>552</v>
      </c>
      <c r="CI30" s="125">
        <v>7807.0</v>
      </c>
      <c r="CJ30" s="126">
        <v>2.12</v>
      </c>
      <c r="CK30" s="126">
        <v>7450.0</v>
      </c>
      <c r="CL30" s="129">
        <v>3509.0</v>
      </c>
      <c r="CM30" s="125" t="s">
        <v>528</v>
      </c>
      <c r="CN30" s="125">
        <v>9348.0</v>
      </c>
      <c r="CO30" s="125">
        <v>1.97</v>
      </c>
      <c r="CP30" s="126">
        <v>9400.0</v>
      </c>
      <c r="CQ30" s="129">
        <v>4774.0</v>
      </c>
      <c r="CR30" s="125" t="s">
        <v>539</v>
      </c>
      <c r="CS30" s="125">
        <v>514.0</v>
      </c>
      <c r="CT30" s="125">
        <v>1.75</v>
      </c>
      <c r="CU30" s="126">
        <v>5670.0</v>
      </c>
      <c r="CV30" s="129">
        <v>3231.0</v>
      </c>
      <c r="CW30" s="125" t="s">
        <v>560</v>
      </c>
      <c r="CX30" s="125">
        <v>7607.0</v>
      </c>
      <c r="CY30" s="125">
        <v>1.92</v>
      </c>
      <c r="CZ30" s="126">
        <v>3510.0</v>
      </c>
      <c r="DA30" s="129">
        <v>1829.0</v>
      </c>
      <c r="DB30" s="125" t="s">
        <v>560</v>
      </c>
      <c r="DC30" s="125">
        <v>7607.0</v>
      </c>
      <c r="DD30" s="128" t="e">
        <v>#DIV/0!</v>
      </c>
      <c r="DE30" s="131">
        <v>0.0</v>
      </c>
      <c r="DF30" s="128">
        <v>0.0</v>
      </c>
      <c r="DG30" s="125" t="s">
        <v>560</v>
      </c>
      <c r="DH30" s="125">
        <v>3866.0</v>
      </c>
      <c r="DI30" s="125">
        <v>1.71</v>
      </c>
      <c r="DJ30" s="130">
        <v>5400.0</v>
      </c>
      <c r="DK30" s="129">
        <v>3163.0</v>
      </c>
      <c r="DL30" s="125" t="s">
        <v>523</v>
      </c>
      <c r="DM30" s="125">
        <v>3881.0</v>
      </c>
      <c r="DN30" s="125">
        <v>1.4</v>
      </c>
      <c r="DO30" s="130">
        <v>1900.0</v>
      </c>
      <c r="DP30" s="129">
        <v>1357.0</v>
      </c>
    </row>
    <row r="31" ht="15.75" customHeight="1">
      <c r="AE31" s="125" t="s">
        <v>617</v>
      </c>
      <c r="AF31" s="125" t="s">
        <v>618</v>
      </c>
      <c r="AG31" s="125" t="e">
        <v>#DIV/0!</v>
      </c>
      <c r="AH31" s="130">
        <v>0.0</v>
      </c>
      <c r="AI31" s="125">
        <v>0.0</v>
      </c>
      <c r="BX31" s="128" t="s">
        <v>630</v>
      </c>
      <c r="BY31" s="125">
        <v>913.0</v>
      </c>
      <c r="BZ31" s="126">
        <v>1.86</v>
      </c>
      <c r="CA31" s="126">
        <v>3929.0</v>
      </c>
      <c r="CB31" s="129">
        <v>2118.0</v>
      </c>
      <c r="CC31" s="128" t="s">
        <v>380</v>
      </c>
      <c r="CD31" s="125">
        <v>3301.0</v>
      </c>
      <c r="CE31" s="126">
        <v>1.91</v>
      </c>
      <c r="CF31" s="126">
        <v>7650.0</v>
      </c>
      <c r="CG31" s="129">
        <v>4008.0</v>
      </c>
      <c r="CH31" s="128" t="s">
        <v>630</v>
      </c>
      <c r="CI31" s="125">
        <v>913.0</v>
      </c>
      <c r="CJ31" s="126">
        <v>1.6</v>
      </c>
      <c r="CK31" s="126">
        <v>4370.0</v>
      </c>
      <c r="CL31" s="129">
        <v>2737.0</v>
      </c>
      <c r="CM31" s="125" t="s">
        <v>539</v>
      </c>
      <c r="CN31" s="125">
        <v>514.0</v>
      </c>
      <c r="CO31" s="125">
        <v>1.95</v>
      </c>
      <c r="CP31" s="126">
        <v>8600.0</v>
      </c>
      <c r="CQ31" s="129">
        <v>4405.0</v>
      </c>
      <c r="CW31" s="125" t="s">
        <v>528</v>
      </c>
      <c r="CX31" s="125">
        <v>9348.0</v>
      </c>
      <c r="CY31" s="125">
        <v>1.12</v>
      </c>
      <c r="CZ31" s="126">
        <v>1500.0</v>
      </c>
      <c r="DA31" s="129">
        <v>1339.0</v>
      </c>
      <c r="DB31" s="125" t="s">
        <v>528</v>
      </c>
      <c r="DC31" s="125">
        <v>9348.0</v>
      </c>
      <c r="DD31" s="131">
        <v>2.09</v>
      </c>
      <c r="DE31" s="131">
        <v>5800.0</v>
      </c>
      <c r="DF31" s="132">
        <v>2769.0</v>
      </c>
      <c r="DG31" s="125" t="s">
        <v>523</v>
      </c>
      <c r="DH31" s="125">
        <v>3881.0</v>
      </c>
      <c r="DI31" s="125">
        <v>2.14</v>
      </c>
      <c r="DJ31" s="130">
        <v>2600.0</v>
      </c>
      <c r="DK31" s="129">
        <v>1217.0</v>
      </c>
      <c r="DL31" s="125" t="s">
        <v>519</v>
      </c>
      <c r="DM31" s="125">
        <v>6813.0</v>
      </c>
      <c r="DN31" s="125">
        <v>1.71</v>
      </c>
      <c r="DO31" s="130">
        <v>3800.0</v>
      </c>
      <c r="DP31" s="129">
        <v>2225.0</v>
      </c>
    </row>
    <row r="32" ht="15.75" customHeight="1">
      <c r="CH32" s="128" t="s">
        <v>595</v>
      </c>
      <c r="CI32" s="125">
        <v>7265.0</v>
      </c>
      <c r="CJ32" s="126">
        <v>2.01</v>
      </c>
      <c r="CK32" s="126">
        <v>8770.0</v>
      </c>
      <c r="CL32" s="129">
        <v>4360.0</v>
      </c>
      <c r="CW32" s="125" t="s">
        <v>539</v>
      </c>
      <c r="CX32" s="125">
        <v>514.0</v>
      </c>
      <c r="CY32" s="125">
        <v>1.21</v>
      </c>
      <c r="CZ32" s="126">
        <v>800.0</v>
      </c>
      <c r="DA32" s="125">
        <v>659.0</v>
      </c>
      <c r="DB32" s="125" t="s">
        <v>539</v>
      </c>
      <c r="DC32" s="125">
        <v>514.0</v>
      </c>
      <c r="DD32" s="131">
        <v>1.27</v>
      </c>
      <c r="DE32" s="131">
        <v>3299.0</v>
      </c>
      <c r="DF32" s="132">
        <v>2603.0</v>
      </c>
      <c r="DG32" s="125" t="s">
        <v>528</v>
      </c>
      <c r="DH32" s="125">
        <v>9348.0</v>
      </c>
      <c r="DI32" s="125" t="s">
        <v>593</v>
      </c>
      <c r="DJ32" s="130">
        <v>0.0</v>
      </c>
      <c r="DK32" s="125">
        <v>0.0</v>
      </c>
      <c r="DL32" s="125" t="s">
        <v>528</v>
      </c>
      <c r="DM32" s="125">
        <v>9348.0</v>
      </c>
      <c r="DN32" s="125" t="e">
        <v>#DIV/0!</v>
      </c>
      <c r="DO32" s="130">
        <v>0.0</v>
      </c>
      <c r="DP32" s="125">
        <v>0.0</v>
      </c>
    </row>
    <row r="33" ht="15.75" customHeight="1">
      <c r="DB33" s="125" t="s">
        <v>542</v>
      </c>
      <c r="DC33" s="125">
        <v>659.0</v>
      </c>
      <c r="DD33" s="131">
        <v>1.81</v>
      </c>
      <c r="DE33" s="131">
        <v>6200.0</v>
      </c>
      <c r="DF33" s="132">
        <v>3423.0</v>
      </c>
      <c r="DG33" s="125" t="s">
        <v>539</v>
      </c>
      <c r="DH33" s="125">
        <v>514.0</v>
      </c>
      <c r="DI33" s="125" t="s">
        <v>593</v>
      </c>
      <c r="DJ33" s="130">
        <v>0.0</v>
      </c>
      <c r="DK33" s="125">
        <v>0.0</v>
      </c>
      <c r="DL33" s="125" t="s">
        <v>539</v>
      </c>
      <c r="DM33" s="125">
        <v>514.0</v>
      </c>
      <c r="DN33" s="125" t="e">
        <v>#DIV/0!</v>
      </c>
      <c r="DO33" s="130">
        <v>0.0</v>
      </c>
      <c r="DP33" s="125">
        <v>0.0</v>
      </c>
    </row>
    <row r="34" ht="15.75" customHeight="1">
      <c r="DG34" s="125" t="s">
        <v>542</v>
      </c>
      <c r="DH34" s="125">
        <v>659.0</v>
      </c>
      <c r="DI34" s="125">
        <v>2.0</v>
      </c>
      <c r="DJ34" s="130">
        <v>7350.0</v>
      </c>
      <c r="DK34" s="129">
        <v>3677.0</v>
      </c>
      <c r="DL34" s="125" t="s">
        <v>542</v>
      </c>
      <c r="DM34" s="125">
        <v>659.0</v>
      </c>
      <c r="DN34" s="125" t="e">
        <v>#DIV/0!</v>
      </c>
      <c r="DO34" s="130">
        <v>0.0</v>
      </c>
      <c r="DP34" s="125">
        <v>0.0</v>
      </c>
    </row>
    <row r="35" ht="15.75" customHeight="1">
      <c r="DL35" s="125" t="s">
        <v>552</v>
      </c>
      <c r="DM35" s="125">
        <v>7807.0</v>
      </c>
      <c r="DN35" s="125" t="e">
        <v>#DIV/0!</v>
      </c>
      <c r="DO35" s="130">
        <v>0.0</v>
      </c>
      <c r="DP35" s="125">
        <v>0.0</v>
      </c>
    </row>
    <row r="36" ht="15.75" customHeight="1">
      <c r="DL36" s="125" t="s">
        <v>560</v>
      </c>
      <c r="DM36" s="125">
        <v>3866.0</v>
      </c>
      <c r="DN36" s="125">
        <v>2.08</v>
      </c>
      <c r="DO36" s="130">
        <v>8500.0</v>
      </c>
      <c r="DP36" s="129">
        <v>4079.0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>
      <c r="A45" s="134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9.5"/>
    <col customWidth="1" min="2" max="2" width="10.6"/>
    <col customWidth="1" min="3" max="3" width="12.9"/>
    <col customWidth="1" min="4" max="4" width="22.2"/>
    <col customWidth="1" min="5" max="15" width="9.5"/>
  </cols>
  <sheetData>
    <row r="1" ht="15.75" customHeight="1">
      <c r="A1" s="135" t="s">
        <v>650</v>
      </c>
      <c r="N1" s="135"/>
    </row>
    <row r="2" ht="15.75" customHeight="1"/>
    <row r="3" ht="15.75" customHeight="1"/>
    <row r="4" ht="15.75" customHeight="1"/>
    <row r="5" ht="15.75" customHeight="1">
      <c r="A5" s="136" t="s">
        <v>651</v>
      </c>
      <c r="B5" s="137"/>
      <c r="C5" s="137"/>
      <c r="D5" s="137"/>
      <c r="E5" s="137"/>
      <c r="F5" s="137"/>
      <c r="G5" s="137"/>
      <c r="H5" s="137"/>
      <c r="I5" s="137"/>
      <c r="J5" s="137"/>
      <c r="K5" s="138"/>
    </row>
    <row r="6" ht="15.75" customHeight="1">
      <c r="A6" s="139"/>
      <c r="B6" s="140"/>
      <c r="C6" s="140"/>
      <c r="D6" s="140"/>
      <c r="E6" s="140"/>
      <c r="F6" s="140"/>
      <c r="G6" s="140"/>
      <c r="H6" s="140"/>
      <c r="I6" s="140"/>
      <c r="J6" s="140"/>
      <c r="K6" s="141"/>
    </row>
    <row r="7" ht="15.75" customHeight="1">
      <c r="A7" s="142" t="s">
        <v>12</v>
      </c>
      <c r="B7" s="128" t="s">
        <v>652</v>
      </c>
      <c r="C7" s="128" t="s">
        <v>653</v>
      </c>
      <c r="D7" s="128" t="s">
        <v>654</v>
      </c>
      <c r="E7" s="128" t="s">
        <v>655</v>
      </c>
      <c r="F7" s="128" t="s">
        <v>8</v>
      </c>
      <c r="G7" s="128" t="s">
        <v>656</v>
      </c>
      <c r="H7" s="128" t="s">
        <v>591</v>
      </c>
      <c r="I7" s="128" t="s">
        <v>657</v>
      </c>
      <c r="J7" s="128" t="s">
        <v>658</v>
      </c>
      <c r="K7" s="143" t="s">
        <v>659</v>
      </c>
    </row>
    <row r="8" ht="15.75" customHeight="1">
      <c r="A8" s="144">
        <v>1.0</v>
      </c>
      <c r="B8" s="145">
        <v>2319.0</v>
      </c>
      <c r="C8" s="126">
        <v>3572.23</v>
      </c>
      <c r="D8" s="145" t="s">
        <v>365</v>
      </c>
      <c r="E8" s="126">
        <v>3572.23</v>
      </c>
      <c r="F8" s="126">
        <v>7765.0</v>
      </c>
      <c r="G8" s="126">
        <v>2606.89</v>
      </c>
      <c r="H8" s="129">
        <v>4035.0</v>
      </c>
      <c r="I8" s="126">
        <v>2939.5</v>
      </c>
      <c r="J8" s="145"/>
      <c r="K8" s="146"/>
    </row>
    <row r="9" ht="15.75" customHeight="1">
      <c r="A9" s="144">
        <v>1.0</v>
      </c>
      <c r="B9" s="145"/>
      <c r="C9" s="145"/>
      <c r="D9" s="145" t="s">
        <v>660</v>
      </c>
      <c r="E9" s="126">
        <v>6511.73</v>
      </c>
      <c r="F9" s="145"/>
      <c r="G9" s="145"/>
      <c r="H9" s="145"/>
      <c r="I9" s="145"/>
      <c r="J9" s="145"/>
      <c r="K9" s="146"/>
    </row>
    <row r="10" ht="15.75" customHeight="1">
      <c r="A10" s="144">
        <v>2.0</v>
      </c>
      <c r="B10" s="145">
        <v>9308.0</v>
      </c>
      <c r="C10" s="145"/>
      <c r="D10" s="145" t="s">
        <v>624</v>
      </c>
      <c r="E10" s="145"/>
      <c r="F10" s="145"/>
      <c r="G10" s="145"/>
      <c r="H10" s="145"/>
      <c r="I10" s="145"/>
      <c r="J10" s="145"/>
      <c r="K10" s="147">
        <v>6199.55</v>
      </c>
    </row>
    <row r="11" ht="15.75" customHeight="1">
      <c r="A11" s="144">
        <v>2.0</v>
      </c>
      <c r="B11" s="145"/>
      <c r="C11" s="145"/>
      <c r="D11" s="145" t="s">
        <v>660</v>
      </c>
      <c r="E11" s="145"/>
      <c r="F11" s="145"/>
      <c r="G11" s="145"/>
      <c r="H11" s="145"/>
      <c r="I11" s="145"/>
      <c r="J11" s="145"/>
      <c r="K11" s="146"/>
    </row>
    <row r="12" ht="15.75" customHeight="1">
      <c r="A12" s="144">
        <v>3.0</v>
      </c>
      <c r="B12" s="145">
        <v>6960.0</v>
      </c>
      <c r="C12" s="126">
        <v>1413.57</v>
      </c>
      <c r="D12" s="145" t="s">
        <v>636</v>
      </c>
      <c r="E12" s="126">
        <v>1413.57</v>
      </c>
      <c r="F12" s="126">
        <v>5600.0</v>
      </c>
      <c r="G12" s="126">
        <v>2406.73</v>
      </c>
      <c r="H12" s="129">
        <v>3439.0</v>
      </c>
      <c r="I12" s="126">
        <v>-4700.78</v>
      </c>
      <c r="J12" s="145"/>
      <c r="K12" s="147">
        <v>7778.19</v>
      </c>
    </row>
    <row r="13" ht="15.75" customHeight="1">
      <c r="A13" s="144">
        <v>3.0</v>
      </c>
      <c r="B13" s="145"/>
      <c r="C13" s="126">
        <v>1413.57</v>
      </c>
      <c r="D13" s="145" t="s">
        <v>661</v>
      </c>
      <c r="E13" s="126">
        <v>1413.57</v>
      </c>
      <c r="F13" s="145"/>
      <c r="G13" s="145"/>
      <c r="H13" s="145"/>
      <c r="I13" s="145"/>
      <c r="J13" s="145"/>
      <c r="K13" s="146"/>
    </row>
    <row r="14" ht="15.75" customHeight="1">
      <c r="A14" s="144">
        <v>3.0</v>
      </c>
      <c r="B14" s="145"/>
      <c r="C14" s="145"/>
      <c r="D14" s="145" t="s">
        <v>660</v>
      </c>
      <c r="E14" s="126">
        <v>-3287.21</v>
      </c>
      <c r="F14" s="145"/>
      <c r="G14" s="145"/>
      <c r="H14" s="145"/>
      <c r="I14" s="145"/>
      <c r="J14" s="145"/>
      <c r="K14" s="146"/>
    </row>
    <row r="15" ht="15.75" customHeight="1">
      <c r="A15" s="144">
        <v>4.0</v>
      </c>
      <c r="B15" s="145">
        <v>5653.0</v>
      </c>
      <c r="C15" s="145"/>
      <c r="D15" s="145"/>
      <c r="E15" s="145"/>
      <c r="F15" s="145"/>
      <c r="G15" s="145"/>
      <c r="H15" s="145"/>
      <c r="I15" s="145"/>
      <c r="J15" s="145"/>
      <c r="K15" s="146"/>
    </row>
    <row r="16" ht="15.75" customHeight="1">
      <c r="A16" s="144">
        <v>4.0</v>
      </c>
      <c r="B16" s="145"/>
      <c r="C16" s="145"/>
      <c r="D16" s="145" t="s">
        <v>660</v>
      </c>
      <c r="E16" s="145"/>
      <c r="F16" s="145"/>
      <c r="G16" s="145"/>
      <c r="H16" s="145"/>
      <c r="I16" s="145"/>
      <c r="J16" s="145"/>
      <c r="K16" s="146"/>
    </row>
    <row r="17" ht="15.75" customHeight="1">
      <c r="A17" s="144">
        <v>5.0</v>
      </c>
      <c r="B17" s="145">
        <v>7048.0</v>
      </c>
      <c r="C17" s="126">
        <v>3105.2</v>
      </c>
      <c r="D17" s="145" t="s">
        <v>506</v>
      </c>
      <c r="E17" s="126">
        <v>3105.2</v>
      </c>
      <c r="F17" s="126">
        <v>8300.0</v>
      </c>
      <c r="G17" s="126">
        <v>3470.72</v>
      </c>
      <c r="H17" s="129">
        <v>4436.0</v>
      </c>
      <c r="I17" s="126">
        <v>1891.18</v>
      </c>
      <c r="J17" s="145"/>
      <c r="K17" s="146"/>
    </row>
    <row r="18" ht="15.75" customHeight="1">
      <c r="A18" s="144">
        <v>5.0</v>
      </c>
      <c r="B18" s="145"/>
      <c r="C18" s="145"/>
      <c r="D18" s="145" t="s">
        <v>660</v>
      </c>
      <c r="E18" s="126">
        <v>4996.38</v>
      </c>
      <c r="F18" s="145"/>
      <c r="G18" s="145"/>
      <c r="H18" s="145"/>
      <c r="I18" s="145"/>
      <c r="J18" s="145"/>
      <c r="K18" s="146"/>
    </row>
    <row r="19" ht="15.75" customHeight="1">
      <c r="A19" s="144">
        <v>6.0</v>
      </c>
      <c r="B19" s="145">
        <v>9309.0</v>
      </c>
      <c r="C19" s="126">
        <v>2738.45</v>
      </c>
      <c r="D19" s="145" t="s">
        <v>609</v>
      </c>
      <c r="E19" s="126">
        <v>2738.45</v>
      </c>
      <c r="F19" s="126">
        <v>7700.0</v>
      </c>
      <c r="G19" s="126">
        <v>2640.11</v>
      </c>
      <c r="H19" s="129">
        <v>4213.0</v>
      </c>
      <c r="I19" s="126">
        <v>2860.05</v>
      </c>
      <c r="J19" s="145"/>
      <c r="K19" s="146"/>
    </row>
    <row r="20" ht="15.75" customHeight="1">
      <c r="A20" s="144">
        <v>6.0</v>
      </c>
      <c r="B20" s="145"/>
      <c r="C20" s="145"/>
      <c r="D20" s="145" t="s">
        <v>660</v>
      </c>
      <c r="E20" s="126">
        <v>5598.5</v>
      </c>
      <c r="F20" s="145"/>
      <c r="G20" s="145"/>
      <c r="H20" s="145"/>
      <c r="I20" s="145"/>
      <c r="J20" s="145"/>
      <c r="K20" s="146"/>
    </row>
    <row r="21" ht="15.75" customHeight="1">
      <c r="A21" s="144">
        <v>7.0</v>
      </c>
      <c r="B21" s="145">
        <v>8136.0</v>
      </c>
      <c r="C21" s="145"/>
      <c r="D21" s="145"/>
      <c r="E21" s="145"/>
      <c r="F21" s="145"/>
      <c r="G21" s="145"/>
      <c r="H21" s="145"/>
      <c r="I21" s="145"/>
      <c r="J21" s="145"/>
      <c r="K21" s="147">
        <v>3153.04</v>
      </c>
    </row>
    <row r="22" ht="15.75" customHeight="1">
      <c r="A22" s="144">
        <v>7.0</v>
      </c>
      <c r="B22" s="145"/>
      <c r="C22" s="145"/>
      <c r="D22" s="145" t="s">
        <v>660</v>
      </c>
      <c r="E22" s="145"/>
      <c r="F22" s="145"/>
      <c r="G22" s="145"/>
      <c r="H22" s="145"/>
      <c r="I22" s="145"/>
      <c r="J22" s="145"/>
      <c r="K22" s="146"/>
    </row>
    <row r="23" ht="15.75" customHeight="1">
      <c r="A23" s="144">
        <v>8.0</v>
      </c>
      <c r="B23" s="145">
        <v>5490.0</v>
      </c>
      <c r="C23" s="145"/>
      <c r="D23" s="145" t="s">
        <v>603</v>
      </c>
      <c r="E23" s="145"/>
      <c r="F23" s="145"/>
      <c r="G23" s="145"/>
      <c r="H23" s="145"/>
      <c r="I23" s="145"/>
      <c r="J23" s="145"/>
      <c r="K23" s="146"/>
    </row>
    <row r="24" ht="15.75" customHeight="1">
      <c r="A24" s="144">
        <v>8.0</v>
      </c>
      <c r="B24" s="145"/>
      <c r="C24" s="145"/>
      <c r="D24" s="145" t="s">
        <v>660</v>
      </c>
      <c r="E24" s="145"/>
      <c r="F24" s="145"/>
      <c r="G24" s="145"/>
      <c r="H24" s="145"/>
      <c r="I24" s="145"/>
      <c r="J24" s="145"/>
      <c r="K24" s="146"/>
    </row>
    <row r="25" ht="15.75" customHeight="1">
      <c r="A25" s="144">
        <v>9.0</v>
      </c>
      <c r="B25" s="145">
        <v>7607.0</v>
      </c>
      <c r="C25" s="145"/>
      <c r="D25" s="145" t="s">
        <v>606</v>
      </c>
      <c r="E25" s="145"/>
      <c r="F25" s="145"/>
      <c r="G25" s="145"/>
      <c r="H25" s="145"/>
      <c r="I25" s="145"/>
      <c r="J25" s="145"/>
      <c r="K25" s="147">
        <v>1239.54</v>
      </c>
    </row>
    <row r="26" ht="15.75" customHeight="1">
      <c r="A26" s="144">
        <v>9.0</v>
      </c>
      <c r="B26" s="145"/>
      <c r="C26" s="145"/>
      <c r="D26" s="145" t="s">
        <v>660</v>
      </c>
      <c r="E26" s="145"/>
      <c r="F26" s="145"/>
      <c r="G26" s="145"/>
      <c r="H26" s="145"/>
      <c r="I26" s="145"/>
      <c r="J26" s="145"/>
      <c r="K26" s="146"/>
    </row>
    <row r="27" ht="15.75" customHeight="1">
      <c r="A27" s="144"/>
      <c r="B27" s="145"/>
      <c r="C27" s="145"/>
      <c r="D27" s="145"/>
      <c r="E27" s="145"/>
      <c r="F27" s="145"/>
      <c r="G27" s="145"/>
      <c r="H27" s="145"/>
      <c r="I27" s="145"/>
      <c r="J27" s="145"/>
      <c r="K27" s="146"/>
    </row>
    <row r="28" ht="15.75" customHeight="1">
      <c r="A28" s="148" t="s">
        <v>662</v>
      </c>
      <c r="B28" s="145"/>
      <c r="C28" s="145"/>
      <c r="D28" s="145"/>
      <c r="E28" s="145"/>
      <c r="F28" s="145"/>
      <c r="G28" s="145"/>
      <c r="H28" s="145"/>
      <c r="I28" s="145"/>
      <c r="J28" s="145"/>
      <c r="K28" s="146"/>
    </row>
    <row r="29" ht="15.75" customHeight="1">
      <c r="A29" s="144"/>
      <c r="B29" s="145"/>
      <c r="C29" s="145"/>
      <c r="D29" s="145"/>
      <c r="E29" s="145"/>
      <c r="F29" s="145"/>
      <c r="G29" s="145"/>
      <c r="H29" s="145"/>
      <c r="I29" s="145"/>
      <c r="J29" s="145"/>
      <c r="K29" s="146"/>
    </row>
    <row r="30" ht="15.75" customHeight="1">
      <c r="A30" s="142" t="s">
        <v>653</v>
      </c>
      <c r="B30" s="128" t="s">
        <v>655</v>
      </c>
      <c r="C30" s="128" t="s">
        <v>8</v>
      </c>
      <c r="D30" s="128" t="s">
        <v>656</v>
      </c>
      <c r="E30" s="128" t="s">
        <v>591</v>
      </c>
      <c r="F30" s="128" t="s">
        <v>657</v>
      </c>
      <c r="G30" s="128" t="s">
        <v>658</v>
      </c>
      <c r="H30" s="128" t="s">
        <v>659</v>
      </c>
      <c r="I30" s="145"/>
      <c r="J30" s="145"/>
      <c r="K30" s="146"/>
    </row>
    <row r="31" ht="15.75" customHeight="1">
      <c r="A31" s="149">
        <v>12243.02</v>
      </c>
      <c r="B31" s="126">
        <v>26062.42</v>
      </c>
      <c r="C31" s="126">
        <v>29365.0</v>
      </c>
      <c r="D31" s="126">
        <v>11124.45</v>
      </c>
      <c r="E31" s="129">
        <v>16123.0</v>
      </c>
      <c r="F31" s="126">
        <v>2989.95</v>
      </c>
      <c r="G31" s="126">
        <v>0.0</v>
      </c>
      <c r="H31" s="126">
        <v>18370.32</v>
      </c>
      <c r="I31" s="145"/>
      <c r="J31" s="145"/>
      <c r="K31" s="146"/>
    </row>
    <row r="32" ht="15.75" customHeight="1">
      <c r="A32" s="144"/>
      <c r="B32" s="145"/>
      <c r="C32" s="145"/>
      <c r="D32" s="145"/>
      <c r="E32" s="145"/>
      <c r="F32" s="145"/>
      <c r="G32" s="145"/>
      <c r="H32" s="145"/>
      <c r="I32" s="145"/>
      <c r="J32" s="145"/>
      <c r="K32" s="146"/>
    </row>
    <row r="33" ht="15.75" customHeight="1">
      <c r="A33" s="150"/>
      <c r="B33" s="151"/>
      <c r="C33" s="151"/>
      <c r="D33" s="151"/>
      <c r="E33" s="151"/>
      <c r="F33" s="151"/>
      <c r="G33" s="151"/>
      <c r="H33" s="151"/>
      <c r="I33" s="151"/>
      <c r="J33" s="151"/>
      <c r="K33" s="152"/>
    </row>
    <row r="34" ht="15.75" customHeight="1">
      <c r="A34" s="136" t="s">
        <v>663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8"/>
    </row>
    <row r="35" ht="15.75" customHeight="1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1"/>
    </row>
    <row r="36" ht="15.75" customHeight="1">
      <c r="A36" s="142" t="s">
        <v>12</v>
      </c>
      <c r="B36" s="128" t="s">
        <v>652</v>
      </c>
      <c r="C36" s="128" t="s">
        <v>653</v>
      </c>
      <c r="D36" s="128" t="s">
        <v>654</v>
      </c>
      <c r="E36" s="128" t="s">
        <v>655</v>
      </c>
      <c r="F36" s="128" t="s">
        <v>8</v>
      </c>
      <c r="G36" s="128" t="s">
        <v>656</v>
      </c>
      <c r="H36" s="128" t="s">
        <v>591</v>
      </c>
      <c r="I36" s="128" t="s">
        <v>657</v>
      </c>
      <c r="J36" s="128" t="s">
        <v>658</v>
      </c>
      <c r="K36" s="143" t="s">
        <v>659</v>
      </c>
    </row>
    <row r="37" ht="15.75" customHeight="1">
      <c r="A37" s="144">
        <v>10.0</v>
      </c>
      <c r="B37" s="145">
        <v>427.0</v>
      </c>
      <c r="C37" s="126">
        <v>3116.45</v>
      </c>
      <c r="D37" s="145" t="s">
        <v>430</v>
      </c>
      <c r="E37" s="126">
        <v>2560.9</v>
      </c>
      <c r="F37" s="126">
        <v>6900.0</v>
      </c>
      <c r="G37" s="126">
        <v>3453.55</v>
      </c>
      <c r="H37" s="129">
        <v>3786.0</v>
      </c>
      <c r="I37" s="126">
        <v>555.55</v>
      </c>
      <c r="J37" s="145"/>
      <c r="K37" s="146"/>
    </row>
    <row r="38" ht="15.75" customHeight="1">
      <c r="A38" s="144">
        <v>10.0</v>
      </c>
      <c r="B38" s="145"/>
      <c r="C38" s="145"/>
      <c r="D38" s="145" t="s">
        <v>664</v>
      </c>
      <c r="E38" s="126">
        <v>3116.45</v>
      </c>
      <c r="F38" s="145"/>
      <c r="G38" s="145"/>
      <c r="H38" s="145"/>
      <c r="I38" s="145"/>
      <c r="J38" s="145"/>
      <c r="K38" s="146"/>
    </row>
    <row r="39" ht="15.75" customHeight="1">
      <c r="A39" s="144">
        <v>11.0</v>
      </c>
      <c r="B39" s="145">
        <v>7265.0</v>
      </c>
      <c r="C39" s="145"/>
      <c r="D39" s="145" t="s">
        <v>595</v>
      </c>
      <c r="E39" s="145"/>
      <c r="F39" s="145"/>
      <c r="G39" s="145"/>
      <c r="H39" s="145"/>
      <c r="I39" s="145"/>
      <c r="J39" s="145"/>
      <c r="K39" s="146"/>
    </row>
    <row r="40" ht="15.75" customHeight="1">
      <c r="A40" s="144">
        <v>11.0</v>
      </c>
      <c r="B40" s="145"/>
      <c r="C40" s="145"/>
      <c r="D40" s="145" t="s">
        <v>664</v>
      </c>
      <c r="E40" s="145"/>
      <c r="F40" s="145"/>
      <c r="G40" s="145"/>
      <c r="H40" s="145"/>
      <c r="I40" s="145"/>
      <c r="J40" s="145"/>
      <c r="K40" s="146"/>
    </row>
    <row r="41" ht="15.75" customHeight="1">
      <c r="A41" s="144">
        <v>12.0</v>
      </c>
      <c r="B41" s="145">
        <v>3819.0</v>
      </c>
      <c r="C41" s="126">
        <v>6021.09</v>
      </c>
      <c r="D41" s="145" t="s">
        <v>594</v>
      </c>
      <c r="E41" s="126">
        <v>3906.4</v>
      </c>
      <c r="F41" s="126">
        <v>10700.0</v>
      </c>
      <c r="G41" s="126">
        <v>3579.76</v>
      </c>
      <c r="H41" s="129">
        <v>5856.0</v>
      </c>
      <c r="I41" s="126">
        <v>2114.69</v>
      </c>
      <c r="J41" s="145"/>
      <c r="K41" s="147">
        <v>66.15</v>
      </c>
    </row>
    <row r="42" ht="15.75" customHeight="1">
      <c r="A42" s="144">
        <v>12.0</v>
      </c>
      <c r="B42" s="145"/>
      <c r="C42" s="145"/>
      <c r="D42" s="145" t="s">
        <v>664</v>
      </c>
      <c r="E42" s="126">
        <v>6021.09</v>
      </c>
      <c r="F42" s="145"/>
      <c r="G42" s="145"/>
      <c r="H42" s="145"/>
      <c r="I42" s="145"/>
      <c r="J42" s="145"/>
      <c r="K42" s="146"/>
    </row>
    <row r="43" ht="15.75" customHeight="1">
      <c r="A43" s="144">
        <v>13.0</v>
      </c>
      <c r="B43" s="145">
        <v>9348.0</v>
      </c>
      <c r="C43" s="126">
        <v>2355.4</v>
      </c>
      <c r="D43" s="145" t="s">
        <v>528</v>
      </c>
      <c r="E43" s="126">
        <v>1799.85</v>
      </c>
      <c r="F43" s="126">
        <v>5800.0</v>
      </c>
      <c r="G43" s="126">
        <v>1539.4</v>
      </c>
      <c r="H43" s="129">
        <v>2769.0</v>
      </c>
      <c r="I43" s="126">
        <v>555.55</v>
      </c>
      <c r="J43" s="145"/>
      <c r="K43" s="146"/>
    </row>
    <row r="44" ht="15.75" customHeight="1">
      <c r="A44" s="144">
        <v>13.0</v>
      </c>
      <c r="B44" s="145"/>
      <c r="C44" s="145"/>
      <c r="D44" s="145" t="s">
        <v>664</v>
      </c>
      <c r="E44" s="126">
        <v>2355.4</v>
      </c>
      <c r="F44" s="145"/>
      <c r="G44" s="145"/>
      <c r="H44" s="145"/>
      <c r="I44" s="145"/>
      <c r="J44" s="145"/>
      <c r="K44" s="146"/>
    </row>
    <row r="45" ht="15.75" customHeight="1">
      <c r="A45" s="144">
        <v>14.0</v>
      </c>
      <c r="B45" s="145">
        <v>7807.0</v>
      </c>
      <c r="C45" s="126">
        <v>3087.05</v>
      </c>
      <c r="D45" s="145" t="s">
        <v>552</v>
      </c>
      <c r="E45" s="126">
        <v>2575.95</v>
      </c>
      <c r="F45" s="126">
        <v>7500.0</v>
      </c>
      <c r="G45" s="126">
        <v>2820.36</v>
      </c>
      <c r="H45" s="129">
        <v>3963.0</v>
      </c>
      <c r="I45" s="126">
        <v>511.1</v>
      </c>
      <c r="J45" s="145"/>
      <c r="K45" s="146"/>
    </row>
    <row r="46" ht="15.75" customHeight="1">
      <c r="A46" s="144">
        <v>14.0</v>
      </c>
      <c r="B46" s="145"/>
      <c r="C46" s="145"/>
      <c r="D46" s="145" t="s">
        <v>665</v>
      </c>
      <c r="E46" s="126">
        <v>3087.05</v>
      </c>
      <c r="F46" s="145"/>
      <c r="G46" s="145"/>
      <c r="H46" s="145"/>
      <c r="I46" s="145"/>
      <c r="J46" s="145"/>
      <c r="K46" s="146"/>
    </row>
    <row r="47" ht="15.75" customHeight="1">
      <c r="A47" s="144">
        <v>15.0</v>
      </c>
      <c r="B47" s="145">
        <v>8479.0</v>
      </c>
      <c r="C47" s="145"/>
      <c r="D47" s="145" t="s">
        <v>437</v>
      </c>
      <c r="E47" s="145"/>
      <c r="F47" s="145"/>
      <c r="G47" s="145"/>
      <c r="H47" s="145"/>
      <c r="I47" s="145"/>
      <c r="J47" s="145"/>
      <c r="K47" s="147">
        <v>1732.1</v>
      </c>
    </row>
    <row r="48" ht="15.75" customHeight="1">
      <c r="A48" s="144">
        <v>15.0</v>
      </c>
      <c r="B48" s="145"/>
      <c r="C48" s="145"/>
      <c r="D48" s="145" t="s">
        <v>666</v>
      </c>
      <c r="E48" s="145"/>
      <c r="F48" s="145"/>
      <c r="G48" s="145"/>
      <c r="H48" s="145"/>
      <c r="I48" s="145"/>
      <c r="J48" s="145"/>
      <c r="K48" s="146"/>
    </row>
    <row r="49" ht="15.75" customHeight="1">
      <c r="A49" s="144"/>
      <c r="B49" s="145"/>
      <c r="C49" s="145"/>
      <c r="D49" s="145"/>
      <c r="E49" s="145"/>
      <c r="F49" s="145"/>
      <c r="G49" s="145"/>
      <c r="H49" s="145"/>
      <c r="I49" s="145"/>
      <c r="J49" s="145"/>
      <c r="K49" s="146"/>
    </row>
    <row r="50" ht="15.75" customHeight="1">
      <c r="A50" s="153" t="s">
        <v>667</v>
      </c>
      <c r="B50" s="145"/>
      <c r="C50" s="145"/>
      <c r="D50" s="145"/>
      <c r="E50" s="145"/>
      <c r="F50" s="145"/>
      <c r="G50" s="145"/>
      <c r="H50" s="145"/>
      <c r="I50" s="145"/>
      <c r="J50" s="145"/>
      <c r="K50" s="146"/>
    </row>
    <row r="51" ht="15.75" customHeight="1">
      <c r="A51" s="142" t="s">
        <v>668</v>
      </c>
      <c r="B51" s="145"/>
      <c r="C51" s="145"/>
      <c r="D51" s="145"/>
      <c r="E51" s="145"/>
      <c r="F51" s="145"/>
      <c r="G51" s="145"/>
      <c r="H51" s="145"/>
      <c r="I51" s="145"/>
      <c r="J51" s="145"/>
      <c r="K51" s="146"/>
    </row>
    <row r="52" ht="15.75" customHeight="1">
      <c r="A52" s="144"/>
      <c r="B52" s="145"/>
      <c r="C52" s="145"/>
      <c r="D52" s="145"/>
      <c r="E52" s="145"/>
      <c r="F52" s="145"/>
      <c r="G52" s="145"/>
      <c r="H52" s="145"/>
      <c r="I52" s="145"/>
      <c r="J52" s="145"/>
      <c r="K52" s="146"/>
    </row>
    <row r="53" ht="15.75" customHeight="1">
      <c r="A53" s="144" t="s">
        <v>669</v>
      </c>
      <c r="B53" s="145"/>
      <c r="C53" s="145"/>
      <c r="D53" s="145"/>
      <c r="E53" s="145"/>
      <c r="F53" s="145"/>
      <c r="G53" s="145"/>
      <c r="H53" s="145"/>
      <c r="I53" s="145"/>
      <c r="J53" s="145"/>
      <c r="K53" s="146"/>
    </row>
    <row r="54" ht="15.75" customHeight="1">
      <c r="A54" s="144"/>
      <c r="B54" s="145"/>
      <c r="C54" s="145"/>
      <c r="D54" s="145"/>
      <c r="E54" s="145"/>
      <c r="F54" s="145"/>
      <c r="G54" s="145"/>
      <c r="H54" s="145"/>
      <c r="I54" s="145"/>
      <c r="J54" s="145"/>
      <c r="K54" s="146"/>
    </row>
    <row r="55" ht="15.75" customHeight="1">
      <c r="A55" s="144" t="s">
        <v>670</v>
      </c>
      <c r="B55" s="145"/>
      <c r="C55" s="145"/>
      <c r="D55" s="145"/>
      <c r="E55" s="145"/>
      <c r="F55" s="145"/>
      <c r="G55" s="145"/>
      <c r="H55" s="145"/>
      <c r="I55" s="145"/>
      <c r="J55" s="145"/>
      <c r="K55" s="146"/>
    </row>
    <row r="56" ht="15.75" customHeight="1">
      <c r="A56" s="144"/>
      <c r="B56" s="145"/>
      <c r="C56" s="145"/>
      <c r="D56" s="145"/>
      <c r="E56" s="145"/>
      <c r="F56" s="145"/>
      <c r="G56" s="145"/>
      <c r="H56" s="145"/>
      <c r="I56" s="145"/>
      <c r="J56" s="145"/>
      <c r="K56" s="146"/>
    </row>
    <row r="57" ht="15.75" customHeight="1">
      <c r="A57" s="144" t="s">
        <v>671</v>
      </c>
      <c r="B57" s="145"/>
      <c r="C57" s="145"/>
      <c r="D57" s="145"/>
      <c r="E57" s="145"/>
      <c r="F57" s="145"/>
      <c r="G57" s="145"/>
      <c r="H57" s="145"/>
      <c r="I57" s="145"/>
      <c r="J57" s="145"/>
      <c r="K57" s="146"/>
    </row>
    <row r="58" ht="15.75" customHeight="1">
      <c r="A58" s="128" t="s">
        <v>672</v>
      </c>
      <c r="B58" s="145"/>
      <c r="C58" s="145"/>
      <c r="D58" s="145"/>
      <c r="E58" s="145"/>
      <c r="F58" s="145"/>
      <c r="G58" s="145"/>
      <c r="H58" s="145"/>
      <c r="I58" s="145"/>
      <c r="J58" s="145"/>
      <c r="K58" s="154"/>
    </row>
    <row r="59" ht="15.75" customHeight="1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55"/>
    </row>
    <row r="60" ht="15.75" customHeight="1">
      <c r="A60" s="142" t="s">
        <v>12</v>
      </c>
      <c r="B60" s="128" t="s">
        <v>652</v>
      </c>
      <c r="C60" s="128" t="s">
        <v>653</v>
      </c>
      <c r="D60" s="128" t="s">
        <v>654</v>
      </c>
      <c r="E60" s="128" t="s">
        <v>655</v>
      </c>
      <c r="F60" s="128" t="s">
        <v>8</v>
      </c>
      <c r="G60" s="128" t="s">
        <v>656</v>
      </c>
      <c r="H60" s="128" t="s">
        <v>591</v>
      </c>
      <c r="I60" s="128" t="s">
        <v>657</v>
      </c>
      <c r="J60" s="128" t="s">
        <v>658</v>
      </c>
      <c r="K60" s="143" t="s">
        <v>659</v>
      </c>
    </row>
    <row r="61" ht="15.75" customHeight="1">
      <c r="A61" s="144">
        <v>16.0</v>
      </c>
      <c r="B61" s="145">
        <v>9617.0</v>
      </c>
      <c r="C61" s="126">
        <v>5000.1</v>
      </c>
      <c r="D61" s="145" t="s">
        <v>392</v>
      </c>
      <c r="E61" s="126">
        <v>3784.95</v>
      </c>
      <c r="F61" s="126">
        <v>11500.0</v>
      </c>
      <c r="G61" s="126">
        <v>3548.51</v>
      </c>
      <c r="H61" s="129">
        <v>5823.0</v>
      </c>
      <c r="I61" s="126">
        <v>1215.15</v>
      </c>
      <c r="J61" s="145"/>
      <c r="K61" s="147">
        <v>2168.69</v>
      </c>
    </row>
    <row r="62" ht="15.75" customHeight="1">
      <c r="A62" s="144">
        <v>16.0</v>
      </c>
      <c r="B62" s="145"/>
      <c r="C62" s="145"/>
      <c r="D62" s="145" t="s">
        <v>673</v>
      </c>
      <c r="E62" s="126">
        <v>5000.1</v>
      </c>
      <c r="F62" s="145"/>
      <c r="G62" s="145"/>
      <c r="H62" s="145"/>
      <c r="I62" s="145"/>
      <c r="J62" s="145"/>
      <c r="K62" s="146"/>
    </row>
    <row r="63" ht="15.75" customHeight="1">
      <c r="A63" s="144">
        <v>17.0</v>
      </c>
      <c r="B63" s="145">
        <v>2693.0</v>
      </c>
      <c r="C63" s="126">
        <v>873.45</v>
      </c>
      <c r="D63" s="145" t="s">
        <v>501</v>
      </c>
      <c r="E63" s="126">
        <v>1586.4</v>
      </c>
      <c r="F63" s="126">
        <v>3800.0</v>
      </c>
      <c r="G63" s="126">
        <v>1327.41</v>
      </c>
      <c r="H63" s="129">
        <v>2256.0</v>
      </c>
      <c r="I63" s="126">
        <v>-712.95</v>
      </c>
      <c r="J63" s="145"/>
      <c r="K63" s="147">
        <v>2532.41</v>
      </c>
    </row>
    <row r="64" ht="15.75" customHeight="1">
      <c r="A64" s="144">
        <v>17.0</v>
      </c>
      <c r="B64" s="145"/>
      <c r="C64" s="145"/>
      <c r="D64" s="145" t="s">
        <v>674</v>
      </c>
      <c r="E64" s="126">
        <v>873.45</v>
      </c>
      <c r="F64" s="145"/>
      <c r="G64" s="145"/>
      <c r="H64" s="145"/>
      <c r="I64" s="145"/>
      <c r="J64" s="145"/>
      <c r="K64" s="146"/>
    </row>
    <row r="65" ht="15.75" customHeight="1">
      <c r="A65" s="144">
        <v>18.0</v>
      </c>
      <c r="B65" s="145">
        <v>3403.0</v>
      </c>
      <c r="C65" s="126">
        <v>4368.65</v>
      </c>
      <c r="D65" s="145" t="s">
        <v>621</v>
      </c>
      <c r="E65" s="126">
        <v>2405.2</v>
      </c>
      <c r="F65" s="126">
        <v>7500.0</v>
      </c>
      <c r="G65" s="126">
        <v>2370.94</v>
      </c>
      <c r="H65" s="129">
        <v>3933.0</v>
      </c>
      <c r="I65" s="126">
        <v>1963.45</v>
      </c>
      <c r="J65" s="145"/>
      <c r="K65" s="146"/>
    </row>
    <row r="66" ht="15.75" customHeight="1">
      <c r="A66" s="144">
        <v>18.0</v>
      </c>
      <c r="B66" s="145"/>
      <c r="C66" s="145"/>
      <c r="D66" s="145" t="s">
        <v>674</v>
      </c>
      <c r="E66" s="126">
        <v>4368.65</v>
      </c>
      <c r="F66" s="145"/>
      <c r="G66" s="145"/>
      <c r="H66" s="145"/>
      <c r="I66" s="145"/>
      <c r="J66" s="145"/>
      <c r="K66" s="146"/>
    </row>
    <row r="67" ht="15.75" customHeight="1">
      <c r="A67" s="144">
        <v>19.0</v>
      </c>
      <c r="B67" s="145">
        <v>9334.0</v>
      </c>
      <c r="C67" s="126">
        <v>399.71</v>
      </c>
      <c r="D67" s="145" t="s">
        <v>443</v>
      </c>
      <c r="E67" s="126">
        <v>1845.9</v>
      </c>
      <c r="F67" s="126">
        <v>4807.0</v>
      </c>
      <c r="G67" s="126">
        <v>2334.84</v>
      </c>
      <c r="H67" s="129">
        <v>2796.0</v>
      </c>
      <c r="I67" s="126">
        <v>-1446.19</v>
      </c>
      <c r="J67" s="145"/>
      <c r="K67" s="147">
        <v>2107.51</v>
      </c>
    </row>
    <row r="68" ht="15.75" customHeight="1">
      <c r="A68" s="144">
        <v>19.0</v>
      </c>
      <c r="B68" s="145"/>
      <c r="C68" s="145"/>
      <c r="D68" s="145" t="s">
        <v>675</v>
      </c>
      <c r="E68" s="126">
        <v>399.71</v>
      </c>
      <c r="F68" s="145"/>
      <c r="G68" s="145"/>
      <c r="H68" s="145"/>
      <c r="I68" s="145"/>
      <c r="J68" s="145"/>
      <c r="K68" s="146"/>
    </row>
    <row r="69" ht="15.75" customHeight="1">
      <c r="A69" s="144">
        <v>20.0</v>
      </c>
      <c r="B69" s="145">
        <v>2890.0</v>
      </c>
      <c r="C69" s="126">
        <v>-522.45</v>
      </c>
      <c r="D69" s="145" t="s">
        <v>465</v>
      </c>
      <c r="E69" s="126">
        <v>292.5</v>
      </c>
      <c r="F69" s="126">
        <v>800.0</v>
      </c>
      <c r="G69" s="126">
        <v>418.45</v>
      </c>
      <c r="H69" s="145">
        <v>450.0</v>
      </c>
      <c r="I69" s="126">
        <v>-814.95</v>
      </c>
      <c r="J69" s="145"/>
      <c r="K69" s="147">
        <v>290.44</v>
      </c>
    </row>
    <row r="70" ht="15.75" customHeight="1">
      <c r="A70" s="144">
        <v>20.0</v>
      </c>
      <c r="B70" s="145"/>
      <c r="C70" s="145"/>
      <c r="D70" s="145" t="s">
        <v>676</v>
      </c>
      <c r="E70" s="126">
        <v>-522.45</v>
      </c>
      <c r="F70" s="145"/>
      <c r="G70" s="145"/>
      <c r="H70" s="145"/>
      <c r="I70" s="145"/>
      <c r="J70" s="145"/>
      <c r="K70" s="146"/>
    </row>
    <row r="71" ht="15.75" customHeight="1">
      <c r="A71" s="144">
        <v>21.0</v>
      </c>
      <c r="B71" s="145">
        <v>2316.0</v>
      </c>
      <c r="C71" s="126">
        <v>1516.46</v>
      </c>
      <c r="D71" s="145" t="s">
        <v>615</v>
      </c>
      <c r="E71" s="126">
        <v>2236.0</v>
      </c>
      <c r="F71" s="126">
        <v>6705.0</v>
      </c>
      <c r="G71" s="126">
        <v>3007.03</v>
      </c>
      <c r="H71" s="129">
        <v>3440.0</v>
      </c>
      <c r="I71" s="126">
        <v>-719.54</v>
      </c>
      <c r="J71" s="145"/>
      <c r="K71" s="147">
        <v>1480.34</v>
      </c>
    </row>
    <row r="72" ht="15.75" customHeight="1">
      <c r="A72" s="144">
        <v>21.0</v>
      </c>
      <c r="B72" s="145"/>
      <c r="C72" s="145"/>
      <c r="D72" s="145" t="s">
        <v>676</v>
      </c>
      <c r="E72" s="126">
        <v>1516.46</v>
      </c>
      <c r="F72" s="145"/>
      <c r="G72" s="145"/>
      <c r="H72" s="145"/>
      <c r="I72" s="145"/>
      <c r="J72" s="145"/>
      <c r="K72" s="146"/>
    </row>
    <row r="73" ht="15.75" customHeight="1">
      <c r="A73" s="144">
        <v>22.0</v>
      </c>
      <c r="B73" s="145">
        <v>1002.0</v>
      </c>
      <c r="C73" s="145"/>
      <c r="D73" s="145" t="s">
        <v>677</v>
      </c>
      <c r="E73" s="145"/>
      <c r="F73" s="145"/>
      <c r="G73" s="145"/>
      <c r="H73" s="145"/>
      <c r="I73" s="145"/>
      <c r="J73" s="145"/>
      <c r="K73" s="146"/>
    </row>
    <row r="74" ht="15.75" customHeight="1">
      <c r="A74" s="144">
        <v>22.0</v>
      </c>
      <c r="B74" s="145"/>
      <c r="C74" s="145"/>
      <c r="D74" s="145" t="s">
        <v>678</v>
      </c>
      <c r="E74" s="145"/>
      <c r="F74" s="145"/>
      <c r="G74" s="145"/>
      <c r="H74" s="145"/>
      <c r="I74" s="145"/>
      <c r="J74" s="145"/>
      <c r="K74" s="146"/>
    </row>
    <row r="75" ht="15.75" customHeight="1">
      <c r="A75" s="144">
        <v>23.0</v>
      </c>
      <c r="B75" s="145">
        <v>515.0</v>
      </c>
      <c r="C75" s="126">
        <v>2444.85</v>
      </c>
      <c r="D75" s="145" t="s">
        <v>489</v>
      </c>
      <c r="E75" s="126">
        <v>1258.6</v>
      </c>
      <c r="F75" s="126">
        <v>5300.0</v>
      </c>
      <c r="G75" s="126">
        <v>1848.95</v>
      </c>
      <c r="H75" s="129">
        <v>2790.0</v>
      </c>
      <c r="I75" s="126">
        <v>1186.25</v>
      </c>
      <c r="J75" s="126">
        <v>1661.6</v>
      </c>
      <c r="K75" s="147">
        <v>1721.75</v>
      </c>
    </row>
    <row r="76" ht="15.75" customHeight="1">
      <c r="A76" s="144">
        <v>23.0</v>
      </c>
      <c r="B76" s="145"/>
      <c r="C76" s="145"/>
      <c r="D76" s="145" t="s">
        <v>679</v>
      </c>
      <c r="E76" s="126">
        <v>2444.85</v>
      </c>
      <c r="F76" s="145"/>
      <c r="G76" s="145"/>
      <c r="H76" s="145"/>
      <c r="I76" s="145"/>
      <c r="J76" s="145"/>
      <c r="K76" s="146"/>
    </row>
    <row r="77" ht="15.75" customHeight="1">
      <c r="A77" s="144">
        <v>24.0</v>
      </c>
      <c r="B77" s="145">
        <v>514.0</v>
      </c>
      <c r="C77" s="126">
        <v>1552.31</v>
      </c>
      <c r="D77" s="145" t="s">
        <v>539</v>
      </c>
      <c r="E77" s="126">
        <v>1802.45</v>
      </c>
      <c r="F77" s="126">
        <v>3299.0</v>
      </c>
      <c r="G77" s="126">
        <v>1560.47</v>
      </c>
      <c r="H77" s="129">
        <v>2603.0</v>
      </c>
      <c r="I77" s="126">
        <v>-250.14</v>
      </c>
      <c r="J77" s="145"/>
      <c r="K77" s="146"/>
    </row>
    <row r="78" ht="15.75" customHeight="1">
      <c r="A78" s="144">
        <v>24.0</v>
      </c>
      <c r="B78" s="145"/>
      <c r="C78" s="145"/>
      <c r="D78" s="145" t="s">
        <v>679</v>
      </c>
      <c r="E78" s="126">
        <v>1552.31</v>
      </c>
      <c r="F78" s="145"/>
      <c r="G78" s="145"/>
      <c r="H78" s="145"/>
      <c r="I78" s="145"/>
      <c r="J78" s="145"/>
      <c r="K78" s="146"/>
    </row>
    <row r="79" ht="15.75" customHeight="1">
      <c r="A79" s="144">
        <v>25.0</v>
      </c>
      <c r="B79" s="145">
        <v>2932.0</v>
      </c>
      <c r="C79" s="126">
        <v>3212.0</v>
      </c>
      <c r="D79" s="145" t="s">
        <v>613</v>
      </c>
      <c r="E79" s="126">
        <v>2192.95</v>
      </c>
      <c r="F79" s="126">
        <v>7975.0</v>
      </c>
      <c r="G79" s="126">
        <v>2468.84</v>
      </c>
      <c r="H79" s="129">
        <v>4143.0</v>
      </c>
      <c r="I79" s="126">
        <v>1019.05</v>
      </c>
      <c r="J79" s="126">
        <v>1000.0</v>
      </c>
      <c r="K79" s="147">
        <v>3100.0</v>
      </c>
    </row>
    <row r="80" ht="15.75" customHeight="1">
      <c r="A80" s="144">
        <v>25.0</v>
      </c>
      <c r="B80" s="145"/>
      <c r="C80" s="145"/>
      <c r="D80" s="145" t="s">
        <v>680</v>
      </c>
      <c r="E80" s="126">
        <v>3212.0</v>
      </c>
      <c r="F80" s="145"/>
      <c r="G80" s="145"/>
      <c r="H80" s="145"/>
      <c r="I80" s="145"/>
      <c r="J80" s="145"/>
      <c r="K80" s="146"/>
    </row>
    <row r="81" ht="15.75" customHeight="1">
      <c r="A81" s="144">
        <v>26.0</v>
      </c>
      <c r="B81" s="145">
        <v>2774.0</v>
      </c>
      <c r="C81" s="126">
        <v>-1239.4</v>
      </c>
      <c r="D81" s="145" t="s">
        <v>482</v>
      </c>
      <c r="E81" s="126">
        <v>1599.15</v>
      </c>
      <c r="F81" s="126">
        <v>2900.0</v>
      </c>
      <c r="G81" s="126">
        <v>963.61</v>
      </c>
      <c r="H81" s="129">
        <v>1691.0</v>
      </c>
      <c r="I81" s="126">
        <v>-2838.55</v>
      </c>
      <c r="J81" s="145"/>
      <c r="K81" s="147">
        <v>3495.5</v>
      </c>
    </row>
    <row r="82" ht="15.75" customHeight="1">
      <c r="A82" s="144">
        <v>26.0</v>
      </c>
      <c r="B82" s="145"/>
      <c r="C82" s="145"/>
      <c r="D82" s="145" t="s">
        <v>680</v>
      </c>
      <c r="E82" s="126">
        <v>-1239.4</v>
      </c>
      <c r="F82" s="145"/>
      <c r="G82" s="145"/>
      <c r="H82" s="145"/>
      <c r="I82" s="145"/>
      <c r="J82" s="145"/>
      <c r="K82" s="146"/>
    </row>
    <row r="83" ht="15.75" customHeight="1">
      <c r="A83" s="144">
        <v>27.0</v>
      </c>
      <c r="B83" s="145">
        <v>659.0</v>
      </c>
      <c r="C83" s="126">
        <v>2299.58</v>
      </c>
      <c r="D83" s="145" t="s">
        <v>681</v>
      </c>
      <c r="E83" s="126">
        <v>3095.95</v>
      </c>
      <c r="F83" s="126">
        <v>6200.0</v>
      </c>
      <c r="G83" s="126">
        <v>2561.37</v>
      </c>
      <c r="H83" s="129">
        <v>3423.0</v>
      </c>
      <c r="I83" s="126">
        <v>-796.37</v>
      </c>
      <c r="J83" s="145"/>
      <c r="K83" s="146"/>
    </row>
    <row r="84" ht="15.75" customHeight="1">
      <c r="A84" s="144">
        <v>27.0</v>
      </c>
      <c r="B84" s="145"/>
      <c r="C84" s="145"/>
      <c r="D84" s="145" t="s">
        <v>680</v>
      </c>
      <c r="E84" s="126">
        <v>2299.58</v>
      </c>
      <c r="F84" s="145"/>
      <c r="G84" s="145"/>
      <c r="H84" s="145"/>
      <c r="I84" s="145"/>
      <c r="J84" s="145"/>
      <c r="K84" s="146"/>
    </row>
    <row r="85" ht="15.75" customHeight="1">
      <c r="A85" s="144">
        <v>28.0</v>
      </c>
      <c r="B85" s="145">
        <v>3301.0</v>
      </c>
      <c r="C85" s="126">
        <v>3232.44</v>
      </c>
      <c r="D85" s="145" t="s">
        <v>616</v>
      </c>
      <c r="E85" s="126">
        <v>2100.98</v>
      </c>
      <c r="F85" s="126">
        <v>5865.0</v>
      </c>
      <c r="G85" s="126">
        <v>2738.49</v>
      </c>
      <c r="H85" s="129">
        <v>3686.0</v>
      </c>
      <c r="I85" s="126">
        <v>1131.46</v>
      </c>
      <c r="J85" s="126">
        <v>2859.4</v>
      </c>
      <c r="K85" s="147">
        <v>2859.4</v>
      </c>
    </row>
    <row r="86" ht="15.75" customHeight="1">
      <c r="A86" s="144">
        <v>28.0</v>
      </c>
      <c r="B86" s="145"/>
      <c r="C86" s="145"/>
      <c r="D86" s="145" t="s">
        <v>682</v>
      </c>
      <c r="E86" s="126">
        <v>3232.44</v>
      </c>
      <c r="F86" s="145"/>
      <c r="G86" s="145"/>
      <c r="H86" s="145"/>
      <c r="I86" s="145"/>
      <c r="J86" s="145"/>
      <c r="K86" s="146"/>
    </row>
    <row r="87" ht="15.75" customHeight="1">
      <c r="A87" s="144">
        <v>29.0</v>
      </c>
      <c r="B87" s="145">
        <v>913.0</v>
      </c>
      <c r="C87" s="126">
        <v>1854.25</v>
      </c>
      <c r="D87" s="145" t="s">
        <v>630</v>
      </c>
      <c r="E87" s="126">
        <v>1277.25</v>
      </c>
      <c r="F87" s="126">
        <v>4134.0</v>
      </c>
      <c r="G87" s="126">
        <v>1009.62</v>
      </c>
      <c r="H87" s="129">
        <v>1965.0</v>
      </c>
      <c r="I87" s="126">
        <v>577.0</v>
      </c>
      <c r="J87" s="145"/>
      <c r="K87" s="146"/>
    </row>
    <row r="88" ht="15.75" customHeight="1">
      <c r="A88" s="144">
        <v>29.0</v>
      </c>
      <c r="B88" s="145"/>
      <c r="C88" s="145"/>
      <c r="D88" s="145" t="s">
        <v>683</v>
      </c>
      <c r="E88" s="126">
        <v>1854.25</v>
      </c>
      <c r="F88" s="145"/>
      <c r="G88" s="145"/>
      <c r="H88" s="145"/>
      <c r="I88" s="145"/>
      <c r="J88" s="145"/>
      <c r="K88" s="146"/>
    </row>
    <row r="89" ht="15.75" customHeight="1">
      <c r="A89" s="144">
        <v>30.0</v>
      </c>
      <c r="B89" s="145">
        <v>2516.0</v>
      </c>
      <c r="C89" s="126">
        <v>3139.83</v>
      </c>
      <c r="D89" s="145" t="s">
        <v>619</v>
      </c>
      <c r="E89" s="126">
        <v>1740.7</v>
      </c>
      <c r="F89" s="126">
        <v>5900.0</v>
      </c>
      <c r="G89" s="126">
        <v>1929.75</v>
      </c>
      <c r="H89" s="129">
        <v>2678.0</v>
      </c>
      <c r="I89" s="126">
        <v>1399.13</v>
      </c>
      <c r="J89" s="145"/>
      <c r="K89" s="147">
        <v>326.31</v>
      </c>
    </row>
    <row r="90" ht="15.75" customHeight="1">
      <c r="A90" s="144">
        <v>30.0</v>
      </c>
      <c r="B90" s="145"/>
      <c r="C90" s="145"/>
      <c r="D90" s="145" t="s">
        <v>684</v>
      </c>
      <c r="E90" s="126">
        <v>3139.83</v>
      </c>
      <c r="F90" s="145"/>
      <c r="G90" s="145"/>
      <c r="H90" s="145"/>
      <c r="I90" s="145"/>
      <c r="J90" s="145"/>
      <c r="K90" s="146"/>
    </row>
    <row r="91" ht="15.75" customHeight="1">
      <c r="A91" s="144">
        <v>31.0</v>
      </c>
      <c r="B91" s="145">
        <v>997.0</v>
      </c>
      <c r="C91" s="126">
        <v>3167.82</v>
      </c>
      <c r="D91" s="145" t="s">
        <v>685</v>
      </c>
      <c r="E91" s="126">
        <v>2265.75</v>
      </c>
      <c r="F91" s="126">
        <v>6000.0</v>
      </c>
      <c r="G91" s="126">
        <v>1362.18</v>
      </c>
      <c r="H91" s="129">
        <v>3021.0</v>
      </c>
      <c r="I91" s="126">
        <v>902.07</v>
      </c>
      <c r="J91" s="145"/>
      <c r="K91" s="146"/>
    </row>
    <row r="92" ht="15.75" customHeight="1">
      <c r="A92" s="144">
        <v>31.0</v>
      </c>
      <c r="B92" s="145"/>
      <c r="C92" s="145"/>
      <c r="D92" s="145" t="s">
        <v>684</v>
      </c>
      <c r="E92" s="126">
        <v>3167.82</v>
      </c>
      <c r="F92" s="145"/>
      <c r="G92" s="145"/>
      <c r="H92" s="145"/>
      <c r="I92" s="145"/>
      <c r="J92" s="145"/>
      <c r="K92" s="146"/>
    </row>
    <row r="93" ht="15.75" customHeight="1">
      <c r="A93" s="144"/>
      <c r="B93" s="145"/>
      <c r="C93" s="145"/>
      <c r="D93" s="145"/>
      <c r="E93" s="145"/>
      <c r="F93" s="145"/>
      <c r="G93" s="145"/>
      <c r="H93" s="145"/>
      <c r="I93" s="145"/>
      <c r="J93" s="145"/>
      <c r="K93" s="146"/>
    </row>
    <row r="94" ht="15.75" customHeight="1">
      <c r="A94" s="148" t="s">
        <v>686</v>
      </c>
      <c r="B94" s="145"/>
      <c r="C94" s="145"/>
      <c r="D94" s="145"/>
      <c r="E94" s="145"/>
      <c r="F94" s="145"/>
      <c r="G94" s="145"/>
      <c r="H94" s="145"/>
      <c r="I94" s="145"/>
      <c r="J94" s="145"/>
      <c r="K94" s="146"/>
    </row>
    <row r="95" ht="15.75" customHeight="1">
      <c r="A95" s="144"/>
      <c r="B95" s="145"/>
      <c r="C95" s="145"/>
      <c r="D95" s="145"/>
      <c r="E95" s="145"/>
      <c r="F95" s="145"/>
      <c r="G95" s="145"/>
      <c r="H95" s="145"/>
      <c r="I95" s="145"/>
      <c r="J95" s="145"/>
      <c r="K95" s="146"/>
    </row>
    <row r="96" ht="15.75" customHeight="1">
      <c r="A96" s="142" t="s">
        <v>653</v>
      </c>
      <c r="B96" s="128" t="s">
        <v>655</v>
      </c>
      <c r="C96" s="128" t="s">
        <v>8</v>
      </c>
      <c r="D96" s="128" t="s">
        <v>656</v>
      </c>
      <c r="E96" s="128" t="s">
        <v>591</v>
      </c>
      <c r="F96" s="128" t="s">
        <v>657</v>
      </c>
      <c r="G96" s="128" t="s">
        <v>658</v>
      </c>
      <c r="H96" s="128" t="s">
        <v>659</v>
      </c>
      <c r="I96" s="145"/>
      <c r="J96" s="145"/>
      <c r="K96" s="146"/>
    </row>
    <row r="97" ht="15.75" customHeight="1">
      <c r="A97" s="149">
        <v>47499.59</v>
      </c>
      <c r="B97" s="126">
        <v>86207.42</v>
      </c>
      <c r="C97" s="126">
        <v>113585.0</v>
      </c>
      <c r="D97" s="126">
        <v>40843.53</v>
      </c>
      <c r="E97" s="129">
        <v>61072.0</v>
      </c>
      <c r="F97" s="126">
        <v>5551.76</v>
      </c>
      <c r="G97" s="126">
        <v>5521.0</v>
      </c>
      <c r="H97" s="126">
        <v>21880.6</v>
      </c>
      <c r="I97" s="145"/>
      <c r="J97" s="145"/>
      <c r="K97" s="146"/>
    </row>
    <row r="98" ht="15.75" customHeight="1">
      <c r="A98" s="144"/>
      <c r="B98" s="145"/>
      <c r="C98" s="145"/>
      <c r="D98" s="145"/>
      <c r="E98" s="145"/>
      <c r="F98" s="145"/>
      <c r="G98" s="145"/>
      <c r="H98" s="145"/>
      <c r="I98" s="145"/>
      <c r="J98" s="145"/>
      <c r="K98" s="146"/>
    </row>
    <row r="99" ht="15.75" customHeight="1">
      <c r="A99" s="150"/>
      <c r="B99" s="151"/>
      <c r="C99" s="151"/>
      <c r="D99" s="151"/>
      <c r="E99" s="151"/>
      <c r="F99" s="151"/>
      <c r="G99" s="151"/>
      <c r="H99" s="151"/>
      <c r="I99" s="151"/>
      <c r="J99" s="151"/>
      <c r="K99" s="152"/>
    </row>
    <row r="100" ht="15.75" customHeight="1">
      <c r="A100" s="136" t="s">
        <v>687</v>
      </c>
      <c r="B100" s="137"/>
      <c r="C100" s="137"/>
      <c r="D100" s="137"/>
      <c r="E100" s="137"/>
      <c r="F100" s="137"/>
      <c r="G100" s="137"/>
      <c r="H100" s="137"/>
      <c r="I100" s="137"/>
      <c r="J100" s="137"/>
      <c r="K100" s="138"/>
    </row>
    <row r="101" ht="15.75" customHeight="1">
      <c r="A101" s="139"/>
      <c r="B101" s="140"/>
      <c r="C101" s="140"/>
      <c r="D101" s="140"/>
      <c r="E101" s="140"/>
      <c r="F101" s="140"/>
      <c r="G101" s="140"/>
      <c r="H101" s="140"/>
      <c r="I101" s="140"/>
      <c r="J101" s="140"/>
      <c r="K101" s="141"/>
    </row>
    <row r="102" ht="15.75" customHeight="1">
      <c r="A102" s="153" t="s">
        <v>688</v>
      </c>
      <c r="B102" s="145"/>
      <c r="C102" s="145"/>
      <c r="D102" s="145"/>
      <c r="E102" s="145"/>
      <c r="F102" s="145"/>
      <c r="G102" s="145"/>
      <c r="H102" s="145"/>
      <c r="I102" s="145"/>
      <c r="J102" s="145"/>
      <c r="K102" s="146"/>
    </row>
    <row r="103" ht="15.75" customHeight="1">
      <c r="A103" s="142" t="s">
        <v>668</v>
      </c>
      <c r="B103" s="145"/>
      <c r="C103" s="145"/>
      <c r="D103" s="145"/>
      <c r="E103" s="145"/>
      <c r="F103" s="145"/>
      <c r="G103" s="145"/>
      <c r="H103" s="145"/>
      <c r="I103" s="145"/>
      <c r="J103" s="145"/>
      <c r="K103" s="146"/>
    </row>
    <row r="104" ht="15.75" customHeight="1">
      <c r="A104" s="144"/>
      <c r="B104" s="145"/>
      <c r="C104" s="145"/>
      <c r="D104" s="145"/>
      <c r="E104" s="145"/>
      <c r="F104" s="145"/>
      <c r="G104" s="145"/>
      <c r="H104" s="145"/>
      <c r="I104" s="145"/>
      <c r="J104" s="145"/>
      <c r="K104" s="146"/>
    </row>
    <row r="105" ht="15.75" customHeight="1">
      <c r="A105" s="144" t="s">
        <v>689</v>
      </c>
      <c r="B105" s="145"/>
      <c r="C105" s="145"/>
      <c r="D105" s="145"/>
      <c r="E105" s="145"/>
      <c r="F105" s="145"/>
      <c r="G105" s="145"/>
      <c r="H105" s="145"/>
      <c r="I105" s="145"/>
      <c r="J105" s="145"/>
      <c r="K105" s="146"/>
    </row>
    <row r="106" ht="15.75" customHeight="1">
      <c r="A106" s="144"/>
      <c r="B106" s="145"/>
      <c r="C106" s="145"/>
      <c r="D106" s="145"/>
      <c r="E106" s="145"/>
      <c r="F106" s="145"/>
      <c r="G106" s="145"/>
      <c r="H106" s="145"/>
      <c r="I106" s="145"/>
      <c r="J106" s="145"/>
      <c r="K106" s="146"/>
    </row>
    <row r="107" ht="15.75" customHeight="1">
      <c r="A107" s="144" t="s">
        <v>690</v>
      </c>
      <c r="B107" s="145"/>
      <c r="C107" s="145"/>
      <c r="D107" s="145"/>
      <c r="E107" s="145"/>
      <c r="F107" s="145"/>
      <c r="G107" s="145"/>
      <c r="H107" s="145"/>
      <c r="I107" s="145"/>
      <c r="J107" s="145"/>
      <c r="K107" s="146"/>
    </row>
    <row r="108" ht="15.75" customHeight="1">
      <c r="A108" s="144"/>
      <c r="B108" s="145"/>
      <c r="C108" s="145"/>
      <c r="D108" s="145"/>
      <c r="E108" s="145"/>
      <c r="F108" s="145"/>
      <c r="G108" s="145"/>
      <c r="H108" s="145"/>
      <c r="I108" s="145"/>
      <c r="J108" s="145"/>
      <c r="K108" s="146"/>
    </row>
    <row r="109" ht="15.75" customHeight="1">
      <c r="A109" s="144" t="s">
        <v>691</v>
      </c>
      <c r="B109" s="145"/>
      <c r="C109" s="145"/>
      <c r="D109" s="145"/>
      <c r="E109" s="145"/>
      <c r="F109" s="145"/>
      <c r="G109" s="145"/>
      <c r="H109" s="145"/>
      <c r="I109" s="145"/>
      <c r="J109" s="145"/>
      <c r="K109" s="146"/>
    </row>
    <row r="110" ht="15.75" customHeight="1">
      <c r="A110" s="142" t="s">
        <v>692</v>
      </c>
      <c r="B110" s="145"/>
      <c r="C110" s="145"/>
      <c r="D110" s="145"/>
      <c r="E110" s="145"/>
      <c r="F110" s="145"/>
      <c r="G110" s="145"/>
      <c r="H110" s="145"/>
      <c r="I110" s="145"/>
      <c r="J110" s="145"/>
      <c r="K110" s="146"/>
    </row>
    <row r="111" ht="15.75" customHeight="1">
      <c r="A111" s="144"/>
      <c r="B111" s="145"/>
      <c r="C111" s="145"/>
      <c r="D111" s="145"/>
      <c r="E111" s="145"/>
      <c r="F111" s="145"/>
      <c r="G111" s="145"/>
      <c r="H111" s="145"/>
      <c r="I111" s="145"/>
      <c r="J111" s="145"/>
      <c r="K111" s="146"/>
    </row>
    <row r="112" ht="15.75" customHeight="1">
      <c r="A112" s="142" t="s">
        <v>12</v>
      </c>
      <c r="B112" s="128" t="s">
        <v>652</v>
      </c>
      <c r="C112" s="128" t="s">
        <v>653</v>
      </c>
      <c r="D112" s="128" t="s">
        <v>654</v>
      </c>
      <c r="E112" s="128" t="s">
        <v>655</v>
      </c>
      <c r="F112" s="128" t="s">
        <v>8</v>
      </c>
      <c r="G112" s="128" t="s">
        <v>656</v>
      </c>
      <c r="H112" s="128" t="s">
        <v>591</v>
      </c>
      <c r="I112" s="128" t="s">
        <v>657</v>
      </c>
      <c r="J112" s="128" t="s">
        <v>658</v>
      </c>
      <c r="K112" s="143" t="s">
        <v>659</v>
      </c>
    </row>
    <row r="113" ht="15.75" customHeight="1">
      <c r="A113" s="144">
        <v>34.0</v>
      </c>
      <c r="B113" s="145">
        <v>6643.0</v>
      </c>
      <c r="C113" s="145"/>
      <c r="D113" s="145" t="s">
        <v>693</v>
      </c>
      <c r="E113" s="145"/>
      <c r="F113" s="145"/>
      <c r="G113" s="145"/>
      <c r="H113" s="145"/>
      <c r="I113" s="145"/>
      <c r="J113" s="145"/>
      <c r="K113" s="146"/>
    </row>
    <row r="114" ht="15.75" customHeight="1">
      <c r="A114" s="144">
        <v>35.0</v>
      </c>
      <c r="B114" s="145">
        <v>8775.0</v>
      </c>
      <c r="C114" s="126">
        <v>3269.22</v>
      </c>
      <c r="D114" s="145" t="s">
        <v>694</v>
      </c>
      <c r="E114" s="126">
        <v>3269.22</v>
      </c>
      <c r="F114" s="126">
        <v>6305.0</v>
      </c>
      <c r="G114" s="126">
        <v>2011.72</v>
      </c>
      <c r="H114" s="129">
        <v>3267.0</v>
      </c>
      <c r="I114" s="126">
        <v>3269.22</v>
      </c>
      <c r="J114" s="145"/>
      <c r="K114" s="146"/>
    </row>
    <row r="115" ht="15.75" customHeight="1">
      <c r="A115" s="144"/>
      <c r="B115" s="145"/>
      <c r="C115" s="145"/>
      <c r="D115" s="145"/>
      <c r="E115" s="145"/>
      <c r="F115" s="145"/>
      <c r="G115" s="145"/>
      <c r="H115" s="145"/>
      <c r="I115" s="145"/>
      <c r="J115" s="145"/>
      <c r="K115" s="146"/>
    </row>
    <row r="116" ht="15.75" customHeight="1">
      <c r="A116" s="148" t="s">
        <v>695</v>
      </c>
      <c r="B116" s="145"/>
      <c r="C116" s="145"/>
      <c r="D116" s="145"/>
      <c r="E116" s="145"/>
      <c r="F116" s="145"/>
      <c r="G116" s="145"/>
      <c r="H116" s="145"/>
      <c r="I116" s="145"/>
      <c r="J116" s="145"/>
      <c r="K116" s="146"/>
    </row>
    <row r="117" ht="15.75" customHeight="1">
      <c r="A117" s="144"/>
      <c r="B117" s="145"/>
      <c r="C117" s="145"/>
      <c r="D117" s="145"/>
      <c r="E117" s="145"/>
      <c r="F117" s="145"/>
      <c r="G117" s="145"/>
      <c r="H117" s="145"/>
      <c r="I117" s="145"/>
      <c r="J117" s="145"/>
      <c r="K117" s="146"/>
    </row>
    <row r="118" ht="15.75" customHeight="1">
      <c r="A118" s="142" t="s">
        <v>653</v>
      </c>
      <c r="B118" s="128" t="s">
        <v>655</v>
      </c>
      <c r="C118" s="128" t="s">
        <v>8</v>
      </c>
      <c r="D118" s="128" t="s">
        <v>656</v>
      </c>
      <c r="E118" s="128" t="s">
        <v>591</v>
      </c>
      <c r="F118" s="128" t="s">
        <v>657</v>
      </c>
      <c r="G118" s="145"/>
      <c r="H118" s="145"/>
      <c r="I118" s="145"/>
      <c r="J118" s="145"/>
      <c r="K118" s="146"/>
    </row>
    <row r="119" ht="15.75" customHeight="1">
      <c r="A119" s="149">
        <v>3269.22</v>
      </c>
      <c r="B119" s="126">
        <v>3269.22</v>
      </c>
      <c r="C119" s="126">
        <v>6305.0</v>
      </c>
      <c r="D119" s="126">
        <v>2011.72</v>
      </c>
      <c r="E119" s="129">
        <v>3267.0</v>
      </c>
      <c r="F119" s="126">
        <v>3269.22</v>
      </c>
      <c r="G119" s="145"/>
      <c r="H119" s="145"/>
      <c r="I119" s="145"/>
      <c r="J119" s="145"/>
      <c r="K119" s="146"/>
    </row>
    <row r="120" ht="15.75" customHeight="1">
      <c r="A120" s="150"/>
      <c r="B120" s="151"/>
      <c r="C120" s="151"/>
      <c r="D120" s="151"/>
      <c r="E120" s="151"/>
      <c r="F120" s="151"/>
      <c r="G120" s="151"/>
      <c r="H120" s="151"/>
      <c r="I120" s="151"/>
      <c r="J120" s="151"/>
      <c r="K120" s="152"/>
    </row>
    <row r="121" ht="15.75" customHeight="1">
      <c r="A121" s="156"/>
      <c r="B121" s="137"/>
      <c r="C121" s="137"/>
      <c r="D121" s="137"/>
      <c r="E121" s="137"/>
      <c r="F121" s="137"/>
      <c r="G121" s="137"/>
      <c r="H121" s="137"/>
      <c r="I121" s="137"/>
      <c r="J121" s="137"/>
      <c r="K121" s="138"/>
    </row>
    <row r="122" ht="15.75" customHeight="1">
      <c r="A122" s="157" t="s">
        <v>696</v>
      </c>
      <c r="B122" s="140"/>
      <c r="C122" s="140"/>
      <c r="D122" s="140"/>
      <c r="E122" s="140"/>
      <c r="F122" s="140"/>
      <c r="G122" s="140"/>
      <c r="H122" s="140"/>
      <c r="I122" s="140"/>
      <c r="J122" s="140"/>
      <c r="K122" s="141"/>
    </row>
    <row r="123" ht="15.75" customHeight="1">
      <c r="A123" s="144"/>
      <c r="B123" s="145"/>
      <c r="C123" s="145"/>
      <c r="D123" s="145"/>
      <c r="E123" s="145"/>
      <c r="F123" s="145"/>
      <c r="G123" s="145"/>
      <c r="H123" s="145"/>
      <c r="I123" s="145"/>
      <c r="J123" s="145"/>
      <c r="K123" s="146"/>
    </row>
    <row r="124" ht="15.75" customHeight="1">
      <c r="A124" s="142" t="s">
        <v>653</v>
      </c>
      <c r="B124" s="128" t="s">
        <v>655</v>
      </c>
      <c r="C124" s="128" t="s">
        <v>8</v>
      </c>
      <c r="D124" s="128" t="s">
        <v>656</v>
      </c>
      <c r="E124" s="128" t="s">
        <v>591</v>
      </c>
      <c r="F124" s="128" t="s">
        <v>657</v>
      </c>
      <c r="G124" s="128" t="s">
        <v>658</v>
      </c>
      <c r="H124" s="128" t="s">
        <v>659</v>
      </c>
      <c r="I124" s="145"/>
      <c r="J124" s="145"/>
      <c r="K124" s="146"/>
    </row>
    <row r="125" ht="15.75" customHeight="1">
      <c r="A125" s="158">
        <v>63011.83</v>
      </c>
      <c r="B125" s="159">
        <v>115539.06</v>
      </c>
      <c r="C125" s="159">
        <v>149255.0</v>
      </c>
      <c r="D125" s="159">
        <v>53979.7</v>
      </c>
      <c r="E125" s="160">
        <v>80462.0</v>
      </c>
      <c r="F125" s="159">
        <v>11810.93</v>
      </c>
      <c r="G125" s="159">
        <v>5521.0</v>
      </c>
      <c r="H125" s="159">
        <v>40250.92</v>
      </c>
      <c r="I125" s="151"/>
      <c r="J125" s="151"/>
      <c r="K125" s="152"/>
    </row>
    <row r="126" ht="15.75" customHeight="1"/>
    <row r="127" ht="15.75" customHeight="1"/>
    <row r="128" ht="15.75" customHeight="1">
      <c r="A128" s="135" t="s">
        <v>697</v>
      </c>
    </row>
    <row r="129" ht="15.75" customHeight="1"/>
    <row r="130" ht="15.75" customHeight="1"/>
    <row r="131" ht="15.75" customHeight="1"/>
    <row r="132" ht="15.75" customHeight="1">
      <c r="A132" s="136" t="s">
        <v>651</v>
      </c>
      <c r="B132" s="137"/>
      <c r="C132" s="137"/>
      <c r="D132" s="137"/>
      <c r="E132" s="137"/>
      <c r="F132" s="137"/>
      <c r="G132" s="137"/>
      <c r="H132" s="137"/>
      <c r="I132" s="137"/>
      <c r="J132" s="137"/>
      <c r="K132" s="138"/>
    </row>
    <row r="133" ht="15.75" customHeight="1">
      <c r="A133" s="139"/>
      <c r="B133" s="140"/>
      <c r="C133" s="140"/>
      <c r="D133" s="140"/>
      <c r="E133" s="140"/>
      <c r="F133" s="140"/>
      <c r="G133" s="140"/>
      <c r="H133" s="140"/>
      <c r="I133" s="140"/>
      <c r="J133" s="140"/>
      <c r="K133" s="141"/>
    </row>
    <row r="134" ht="15.75" customHeight="1">
      <c r="A134" s="142" t="s">
        <v>12</v>
      </c>
      <c r="B134" s="128" t="s">
        <v>652</v>
      </c>
      <c r="C134" s="128" t="s">
        <v>653</v>
      </c>
      <c r="D134" s="128" t="s">
        <v>654</v>
      </c>
      <c r="E134" s="128" t="s">
        <v>655</v>
      </c>
      <c r="F134" s="128" t="s">
        <v>8</v>
      </c>
      <c r="G134" s="128" t="s">
        <v>656</v>
      </c>
      <c r="H134" s="128" t="s">
        <v>591</v>
      </c>
      <c r="I134" s="128" t="s">
        <v>657</v>
      </c>
      <c r="J134" s="128" t="s">
        <v>658</v>
      </c>
      <c r="K134" s="143" t="s">
        <v>659</v>
      </c>
    </row>
    <row r="135" ht="15.75" customHeight="1">
      <c r="A135" s="144">
        <v>1.0</v>
      </c>
      <c r="B135" s="145">
        <v>2319.0</v>
      </c>
      <c r="C135" s="126">
        <v>3572.23</v>
      </c>
      <c r="D135" s="145" t="s">
        <v>365</v>
      </c>
      <c r="E135" s="126">
        <v>3572.23</v>
      </c>
      <c r="F135" s="126">
        <v>7765.0</v>
      </c>
      <c r="G135" s="126">
        <v>2606.89</v>
      </c>
      <c r="H135" s="129">
        <v>4035.0</v>
      </c>
      <c r="I135" s="126">
        <v>2939.5</v>
      </c>
      <c r="J135" s="145"/>
      <c r="K135" s="146"/>
    </row>
    <row r="136" ht="15.75" customHeight="1">
      <c r="A136" s="144">
        <v>1.0</v>
      </c>
      <c r="B136" s="145"/>
      <c r="C136" s="145"/>
      <c r="D136" s="145" t="s">
        <v>660</v>
      </c>
      <c r="E136" s="126">
        <v>6511.73</v>
      </c>
      <c r="F136" s="145"/>
      <c r="G136" s="145"/>
      <c r="H136" s="145"/>
      <c r="I136" s="145"/>
      <c r="J136" s="145"/>
      <c r="K136" s="146"/>
    </row>
    <row r="137" ht="15.75" customHeight="1">
      <c r="A137" s="144">
        <v>2.0</v>
      </c>
      <c r="B137" s="145">
        <v>9308.0</v>
      </c>
      <c r="C137" s="145"/>
      <c r="D137" s="145" t="s">
        <v>624</v>
      </c>
      <c r="E137" s="145"/>
      <c r="F137" s="145"/>
      <c r="G137" s="145"/>
      <c r="H137" s="145"/>
      <c r="I137" s="145"/>
      <c r="J137" s="145"/>
      <c r="K137" s="147">
        <v>6199.55</v>
      </c>
    </row>
    <row r="138" ht="15.75" customHeight="1">
      <c r="A138" s="144">
        <v>2.0</v>
      </c>
      <c r="B138" s="145"/>
      <c r="C138" s="145"/>
      <c r="D138" s="145" t="s">
        <v>660</v>
      </c>
      <c r="E138" s="145"/>
      <c r="F138" s="145"/>
      <c r="G138" s="145"/>
      <c r="H138" s="145"/>
      <c r="I138" s="145"/>
      <c r="J138" s="145"/>
      <c r="K138" s="146"/>
    </row>
    <row r="139" ht="15.75" customHeight="1">
      <c r="A139" s="144">
        <v>3.0</v>
      </c>
      <c r="B139" s="145">
        <v>6960.0</v>
      </c>
      <c r="C139" s="126">
        <v>1413.57</v>
      </c>
      <c r="D139" s="145" t="s">
        <v>636</v>
      </c>
      <c r="E139" s="126">
        <v>1413.57</v>
      </c>
      <c r="F139" s="126">
        <v>5600.0</v>
      </c>
      <c r="G139" s="126">
        <v>2406.73</v>
      </c>
      <c r="H139" s="129">
        <v>3439.0</v>
      </c>
      <c r="I139" s="126">
        <v>-4700.78</v>
      </c>
      <c r="J139" s="145"/>
      <c r="K139" s="147">
        <v>7778.19</v>
      </c>
    </row>
    <row r="140" ht="15.75" customHeight="1">
      <c r="A140" s="144">
        <v>3.0</v>
      </c>
      <c r="B140" s="145"/>
      <c r="C140" s="126">
        <v>1413.57</v>
      </c>
      <c r="D140" s="145" t="s">
        <v>661</v>
      </c>
      <c r="E140" s="126">
        <v>1413.57</v>
      </c>
      <c r="F140" s="145"/>
      <c r="G140" s="145"/>
      <c r="H140" s="145"/>
      <c r="I140" s="145"/>
      <c r="J140" s="145"/>
      <c r="K140" s="146"/>
    </row>
    <row r="141" ht="15.75" customHeight="1">
      <c r="A141" s="144">
        <v>3.0</v>
      </c>
      <c r="B141" s="145"/>
      <c r="C141" s="145"/>
      <c r="D141" s="145" t="s">
        <v>660</v>
      </c>
      <c r="E141" s="126">
        <v>-3287.21</v>
      </c>
      <c r="F141" s="145"/>
      <c r="G141" s="145"/>
      <c r="H141" s="145"/>
      <c r="I141" s="145"/>
      <c r="J141" s="145"/>
      <c r="K141" s="146"/>
    </row>
    <row r="142" ht="15.75" customHeight="1">
      <c r="A142" s="144">
        <v>4.0</v>
      </c>
      <c r="B142" s="145">
        <v>5653.0</v>
      </c>
      <c r="C142" s="145"/>
      <c r="D142" s="145"/>
      <c r="E142" s="145"/>
      <c r="F142" s="145"/>
      <c r="G142" s="145"/>
      <c r="H142" s="145"/>
      <c r="I142" s="145"/>
      <c r="J142" s="145"/>
      <c r="K142" s="146"/>
    </row>
    <row r="143" ht="15.75" customHeight="1">
      <c r="A143" s="144">
        <v>4.0</v>
      </c>
      <c r="B143" s="145"/>
      <c r="C143" s="145"/>
      <c r="D143" s="145" t="s">
        <v>660</v>
      </c>
      <c r="E143" s="145"/>
      <c r="F143" s="145"/>
      <c r="G143" s="145"/>
      <c r="H143" s="145"/>
      <c r="I143" s="145"/>
      <c r="J143" s="145"/>
      <c r="K143" s="146"/>
    </row>
    <row r="144" ht="15.75" customHeight="1">
      <c r="A144" s="144">
        <v>5.0</v>
      </c>
      <c r="B144" s="145">
        <v>7048.0</v>
      </c>
      <c r="C144" s="126">
        <v>3105.2</v>
      </c>
      <c r="D144" s="145" t="s">
        <v>506</v>
      </c>
      <c r="E144" s="126">
        <v>3105.2</v>
      </c>
      <c r="F144" s="126">
        <v>8300.0</v>
      </c>
      <c r="G144" s="126">
        <v>3470.72</v>
      </c>
      <c r="H144" s="129">
        <v>4436.0</v>
      </c>
      <c r="I144" s="126">
        <v>1891.18</v>
      </c>
      <c r="J144" s="145"/>
      <c r="K144" s="146"/>
    </row>
    <row r="145" ht="15.75" customHeight="1">
      <c r="A145" s="144">
        <v>5.0</v>
      </c>
      <c r="B145" s="145"/>
      <c r="C145" s="145"/>
      <c r="D145" s="145" t="s">
        <v>660</v>
      </c>
      <c r="E145" s="126">
        <v>4996.38</v>
      </c>
      <c r="F145" s="145"/>
      <c r="G145" s="145"/>
      <c r="H145" s="145"/>
      <c r="I145" s="145"/>
      <c r="J145" s="145"/>
      <c r="K145" s="146"/>
    </row>
    <row r="146" ht="15.75" customHeight="1">
      <c r="A146" s="144">
        <v>6.0</v>
      </c>
      <c r="B146" s="145">
        <v>9309.0</v>
      </c>
      <c r="C146" s="126">
        <v>2738.45</v>
      </c>
      <c r="D146" s="145" t="s">
        <v>609</v>
      </c>
      <c r="E146" s="126">
        <v>2738.45</v>
      </c>
      <c r="F146" s="126">
        <v>7700.0</v>
      </c>
      <c r="G146" s="126">
        <v>2640.11</v>
      </c>
      <c r="H146" s="129">
        <v>4213.0</v>
      </c>
      <c r="I146" s="126">
        <v>2860.05</v>
      </c>
      <c r="J146" s="145"/>
      <c r="K146" s="146"/>
    </row>
    <row r="147" ht="15.75" customHeight="1">
      <c r="A147" s="144">
        <v>6.0</v>
      </c>
      <c r="B147" s="145"/>
      <c r="C147" s="145"/>
      <c r="D147" s="145" t="s">
        <v>660</v>
      </c>
      <c r="E147" s="126">
        <v>5598.5</v>
      </c>
      <c r="F147" s="145"/>
      <c r="G147" s="145"/>
      <c r="H147" s="145"/>
      <c r="I147" s="145"/>
      <c r="J147" s="145"/>
      <c r="K147" s="146"/>
    </row>
    <row r="148" ht="15.75" customHeight="1">
      <c r="A148" s="144">
        <v>7.0</v>
      </c>
      <c r="B148" s="145">
        <v>8136.0</v>
      </c>
      <c r="C148" s="145"/>
      <c r="D148" s="145"/>
      <c r="E148" s="145"/>
      <c r="F148" s="145"/>
      <c r="G148" s="145"/>
      <c r="H148" s="145"/>
      <c r="I148" s="145"/>
      <c r="J148" s="145"/>
      <c r="K148" s="147">
        <v>3153.04</v>
      </c>
    </row>
    <row r="149" ht="15.75" customHeight="1">
      <c r="A149" s="144">
        <v>7.0</v>
      </c>
      <c r="B149" s="145"/>
      <c r="C149" s="145"/>
      <c r="D149" s="145" t="s">
        <v>660</v>
      </c>
      <c r="E149" s="145"/>
      <c r="F149" s="145"/>
      <c r="G149" s="145"/>
      <c r="H149" s="145"/>
      <c r="I149" s="145"/>
      <c r="J149" s="145"/>
      <c r="K149" s="146"/>
    </row>
    <row r="150" ht="15.75" customHeight="1">
      <c r="A150" s="144">
        <v>8.0</v>
      </c>
      <c r="B150" s="145">
        <v>5490.0</v>
      </c>
      <c r="C150" s="145"/>
      <c r="D150" s="145" t="s">
        <v>603</v>
      </c>
      <c r="E150" s="145"/>
      <c r="F150" s="145"/>
      <c r="G150" s="145"/>
      <c r="H150" s="145"/>
      <c r="I150" s="145"/>
      <c r="J150" s="145"/>
      <c r="K150" s="146"/>
    </row>
    <row r="151" ht="15.75" customHeight="1">
      <c r="A151" s="144">
        <v>8.0</v>
      </c>
      <c r="B151" s="145"/>
      <c r="C151" s="145"/>
      <c r="D151" s="145" t="s">
        <v>660</v>
      </c>
      <c r="E151" s="145"/>
      <c r="F151" s="145"/>
      <c r="G151" s="145"/>
      <c r="H151" s="145"/>
      <c r="I151" s="145"/>
      <c r="J151" s="145"/>
      <c r="K151" s="146"/>
    </row>
    <row r="152" ht="15.75" customHeight="1">
      <c r="A152" s="144">
        <v>9.0</v>
      </c>
      <c r="B152" s="145">
        <v>7607.0</v>
      </c>
      <c r="C152" s="145"/>
      <c r="D152" s="145" t="s">
        <v>606</v>
      </c>
      <c r="E152" s="145"/>
      <c r="F152" s="145"/>
      <c r="G152" s="145"/>
      <c r="H152" s="145"/>
      <c r="I152" s="145"/>
      <c r="J152" s="145"/>
      <c r="K152" s="147">
        <v>1239.54</v>
      </c>
    </row>
    <row r="153" ht="15.75" customHeight="1">
      <c r="A153" s="144">
        <v>9.0</v>
      </c>
      <c r="B153" s="145"/>
      <c r="C153" s="145"/>
      <c r="D153" s="145" t="s">
        <v>660</v>
      </c>
      <c r="E153" s="145"/>
      <c r="F153" s="145"/>
      <c r="G153" s="145"/>
      <c r="H153" s="145"/>
      <c r="I153" s="145"/>
      <c r="J153" s="145"/>
      <c r="K153" s="146"/>
    </row>
    <row r="154" ht="15.75" customHeight="1">
      <c r="A154" s="144"/>
      <c r="B154" s="145"/>
      <c r="C154" s="145"/>
      <c r="D154" s="145"/>
      <c r="E154" s="145"/>
      <c r="F154" s="145"/>
      <c r="G154" s="145"/>
      <c r="H154" s="145"/>
      <c r="I154" s="145"/>
      <c r="J154" s="145"/>
      <c r="K154" s="146"/>
    </row>
    <row r="155" ht="15.75" customHeight="1">
      <c r="A155" s="148" t="s">
        <v>662</v>
      </c>
      <c r="B155" s="145"/>
      <c r="C155" s="145"/>
      <c r="D155" s="145"/>
      <c r="E155" s="145"/>
      <c r="F155" s="145"/>
      <c r="G155" s="145"/>
      <c r="H155" s="145"/>
      <c r="I155" s="145"/>
      <c r="J155" s="145"/>
      <c r="K155" s="146"/>
    </row>
    <row r="156" ht="15.75" customHeight="1">
      <c r="A156" s="144"/>
      <c r="B156" s="145"/>
      <c r="C156" s="145"/>
      <c r="D156" s="145"/>
      <c r="E156" s="145"/>
      <c r="F156" s="145"/>
      <c r="G156" s="145"/>
      <c r="H156" s="145"/>
      <c r="I156" s="145"/>
      <c r="J156" s="145"/>
      <c r="K156" s="146"/>
    </row>
    <row r="157" ht="15.75" customHeight="1">
      <c r="A157" s="142" t="s">
        <v>653</v>
      </c>
      <c r="B157" s="128" t="s">
        <v>655</v>
      </c>
      <c r="C157" s="128" t="s">
        <v>8</v>
      </c>
      <c r="D157" s="128" t="s">
        <v>656</v>
      </c>
      <c r="E157" s="128" t="s">
        <v>591</v>
      </c>
      <c r="F157" s="128" t="s">
        <v>657</v>
      </c>
      <c r="G157" s="128" t="s">
        <v>658</v>
      </c>
      <c r="H157" s="128" t="s">
        <v>659</v>
      </c>
      <c r="I157" s="145"/>
      <c r="J157" s="145"/>
      <c r="K157" s="146"/>
    </row>
    <row r="158" ht="15.75" customHeight="1">
      <c r="A158" s="149">
        <v>12243.02</v>
      </c>
      <c r="B158" s="126">
        <v>26062.42</v>
      </c>
      <c r="C158" s="126">
        <v>29365.0</v>
      </c>
      <c r="D158" s="126">
        <v>11124.45</v>
      </c>
      <c r="E158" s="129">
        <v>16123.0</v>
      </c>
      <c r="F158" s="126">
        <v>2989.95</v>
      </c>
      <c r="G158" s="126">
        <v>0.0</v>
      </c>
      <c r="H158" s="126">
        <v>18370.32</v>
      </c>
      <c r="I158" s="145"/>
      <c r="J158" s="145"/>
      <c r="K158" s="146"/>
    </row>
    <row r="159" ht="15.75" customHeight="1">
      <c r="A159" s="144"/>
      <c r="B159" s="145"/>
      <c r="C159" s="145"/>
      <c r="D159" s="145"/>
      <c r="E159" s="145"/>
      <c r="F159" s="145"/>
      <c r="G159" s="145"/>
      <c r="H159" s="145"/>
      <c r="I159" s="145"/>
      <c r="J159" s="145"/>
      <c r="K159" s="146"/>
    </row>
    <row r="160" ht="15.75" customHeight="1">
      <c r="A160" s="150"/>
      <c r="B160" s="151"/>
      <c r="C160" s="151"/>
      <c r="D160" s="151"/>
      <c r="E160" s="151"/>
      <c r="F160" s="151"/>
      <c r="G160" s="151"/>
      <c r="H160" s="151"/>
      <c r="I160" s="151"/>
      <c r="J160" s="151"/>
      <c r="K160" s="152"/>
    </row>
    <row r="161" ht="15.75" customHeight="1">
      <c r="A161" s="136" t="s">
        <v>663</v>
      </c>
      <c r="B161" s="137"/>
      <c r="C161" s="137"/>
      <c r="D161" s="137"/>
      <c r="E161" s="137"/>
      <c r="F161" s="137"/>
      <c r="G161" s="137"/>
      <c r="H161" s="137"/>
      <c r="I161" s="137"/>
      <c r="J161" s="137"/>
      <c r="K161" s="138"/>
    </row>
    <row r="162" ht="15.75" customHeight="1">
      <c r="A162" s="139"/>
      <c r="B162" s="140"/>
      <c r="C162" s="140"/>
      <c r="D162" s="140"/>
      <c r="E162" s="140"/>
      <c r="F162" s="140"/>
      <c r="G162" s="140"/>
      <c r="H162" s="140"/>
      <c r="I162" s="140"/>
      <c r="J162" s="140"/>
      <c r="K162" s="141"/>
    </row>
    <row r="163" ht="15.75" customHeight="1">
      <c r="A163" s="142" t="s">
        <v>12</v>
      </c>
      <c r="B163" s="128" t="s">
        <v>652</v>
      </c>
      <c r="C163" s="128" t="s">
        <v>653</v>
      </c>
      <c r="D163" s="128" t="s">
        <v>654</v>
      </c>
      <c r="E163" s="128" t="s">
        <v>655</v>
      </c>
      <c r="F163" s="128" t="s">
        <v>8</v>
      </c>
      <c r="G163" s="128" t="s">
        <v>656</v>
      </c>
      <c r="H163" s="128" t="s">
        <v>591</v>
      </c>
      <c r="I163" s="128" t="s">
        <v>657</v>
      </c>
      <c r="J163" s="128" t="s">
        <v>658</v>
      </c>
      <c r="K163" s="143" t="s">
        <v>659</v>
      </c>
    </row>
    <row r="164" ht="15.75" customHeight="1">
      <c r="A164" s="144">
        <v>10.0</v>
      </c>
      <c r="B164" s="145">
        <v>427.0</v>
      </c>
      <c r="C164" s="126">
        <v>3116.45</v>
      </c>
      <c r="D164" s="145" t="s">
        <v>430</v>
      </c>
      <c r="E164" s="126">
        <v>2560.9</v>
      </c>
      <c r="F164" s="126">
        <v>6900.0</v>
      </c>
      <c r="G164" s="126">
        <v>3453.55</v>
      </c>
      <c r="H164" s="129">
        <v>3786.0</v>
      </c>
      <c r="I164" s="126">
        <v>555.55</v>
      </c>
      <c r="J164" s="145"/>
      <c r="K164" s="146"/>
    </row>
    <row r="165" ht="15.75" customHeight="1">
      <c r="A165" s="144">
        <v>10.0</v>
      </c>
      <c r="B165" s="145"/>
      <c r="C165" s="145"/>
      <c r="D165" s="145" t="s">
        <v>664</v>
      </c>
      <c r="E165" s="126">
        <v>3116.45</v>
      </c>
      <c r="F165" s="145"/>
      <c r="G165" s="145"/>
      <c r="H165" s="145"/>
      <c r="I165" s="145"/>
      <c r="J165" s="145"/>
      <c r="K165" s="146"/>
    </row>
    <row r="166" ht="15.75" customHeight="1">
      <c r="A166" s="144">
        <v>11.0</v>
      </c>
      <c r="B166" s="145">
        <v>7265.0</v>
      </c>
      <c r="C166" s="145"/>
      <c r="D166" s="145" t="s">
        <v>595</v>
      </c>
      <c r="E166" s="145"/>
      <c r="F166" s="145"/>
      <c r="G166" s="145"/>
      <c r="H166" s="145"/>
      <c r="I166" s="145"/>
      <c r="J166" s="145"/>
      <c r="K166" s="146"/>
    </row>
    <row r="167" ht="15.75" customHeight="1">
      <c r="A167" s="144">
        <v>11.0</v>
      </c>
      <c r="B167" s="145"/>
      <c r="C167" s="145"/>
      <c r="D167" s="145" t="s">
        <v>664</v>
      </c>
      <c r="E167" s="145"/>
      <c r="F167" s="145"/>
      <c r="G167" s="145"/>
      <c r="H167" s="145"/>
      <c r="I167" s="145"/>
      <c r="J167" s="145"/>
      <c r="K167" s="146"/>
    </row>
    <row r="168" ht="15.75" customHeight="1">
      <c r="A168" s="144">
        <v>12.0</v>
      </c>
      <c r="B168" s="145">
        <v>3819.0</v>
      </c>
      <c r="C168" s="126">
        <v>6021.09</v>
      </c>
      <c r="D168" s="145" t="s">
        <v>594</v>
      </c>
      <c r="E168" s="126">
        <v>3906.4</v>
      </c>
      <c r="F168" s="126">
        <v>10700.0</v>
      </c>
      <c r="G168" s="126">
        <v>3579.76</v>
      </c>
      <c r="H168" s="129">
        <v>5856.0</v>
      </c>
      <c r="I168" s="126">
        <v>2114.69</v>
      </c>
      <c r="J168" s="145"/>
      <c r="K168" s="147">
        <v>66.15</v>
      </c>
    </row>
    <row r="169" ht="15.75" customHeight="1">
      <c r="A169" s="144">
        <v>12.0</v>
      </c>
      <c r="B169" s="145"/>
      <c r="C169" s="145"/>
      <c r="D169" s="145" t="s">
        <v>664</v>
      </c>
      <c r="E169" s="126">
        <v>6021.09</v>
      </c>
      <c r="F169" s="145"/>
      <c r="G169" s="145"/>
      <c r="H169" s="145"/>
      <c r="I169" s="145"/>
      <c r="J169" s="145"/>
      <c r="K169" s="146"/>
    </row>
    <row r="170" ht="15.75" customHeight="1">
      <c r="A170" s="144">
        <v>13.0</v>
      </c>
      <c r="B170" s="145">
        <v>9348.0</v>
      </c>
      <c r="C170" s="126">
        <v>2355.4</v>
      </c>
      <c r="D170" s="145" t="s">
        <v>528</v>
      </c>
      <c r="E170" s="126">
        <v>1799.85</v>
      </c>
      <c r="F170" s="126">
        <v>5800.0</v>
      </c>
      <c r="G170" s="126">
        <v>1539.4</v>
      </c>
      <c r="H170" s="129">
        <v>2769.0</v>
      </c>
      <c r="I170" s="126">
        <v>555.55</v>
      </c>
      <c r="J170" s="145"/>
      <c r="K170" s="146"/>
    </row>
    <row r="171" ht="15.75" customHeight="1">
      <c r="A171" s="144">
        <v>13.0</v>
      </c>
      <c r="B171" s="145"/>
      <c r="C171" s="145"/>
      <c r="D171" s="145" t="s">
        <v>664</v>
      </c>
      <c r="E171" s="126">
        <v>2355.4</v>
      </c>
      <c r="F171" s="145"/>
      <c r="G171" s="145"/>
      <c r="H171" s="145"/>
      <c r="I171" s="145"/>
      <c r="J171" s="145"/>
      <c r="K171" s="146"/>
    </row>
    <row r="172" ht="15.75" customHeight="1">
      <c r="A172" s="144">
        <v>14.0</v>
      </c>
      <c r="B172" s="145">
        <v>7807.0</v>
      </c>
      <c r="C172" s="126">
        <v>3087.05</v>
      </c>
      <c r="D172" s="145" t="s">
        <v>552</v>
      </c>
      <c r="E172" s="126">
        <v>2575.95</v>
      </c>
      <c r="F172" s="126">
        <v>7500.0</v>
      </c>
      <c r="G172" s="126">
        <v>2820.36</v>
      </c>
      <c r="H172" s="129">
        <v>3963.0</v>
      </c>
      <c r="I172" s="126">
        <v>511.1</v>
      </c>
      <c r="J172" s="145"/>
      <c r="K172" s="146"/>
    </row>
    <row r="173" ht="15.75" customHeight="1">
      <c r="A173" s="144">
        <v>14.0</v>
      </c>
      <c r="B173" s="145"/>
      <c r="C173" s="145"/>
      <c r="D173" s="145" t="s">
        <v>665</v>
      </c>
      <c r="E173" s="126">
        <v>3087.05</v>
      </c>
      <c r="F173" s="145"/>
      <c r="G173" s="145"/>
      <c r="H173" s="145"/>
      <c r="I173" s="145"/>
      <c r="J173" s="145"/>
      <c r="K173" s="146"/>
    </row>
    <row r="174" ht="15.75" customHeight="1">
      <c r="A174" s="144">
        <v>15.0</v>
      </c>
      <c r="B174" s="145">
        <v>8479.0</v>
      </c>
      <c r="C174" s="145"/>
      <c r="D174" s="145" t="s">
        <v>437</v>
      </c>
      <c r="E174" s="145"/>
      <c r="F174" s="145"/>
      <c r="G174" s="145"/>
      <c r="H174" s="145"/>
      <c r="I174" s="145"/>
      <c r="J174" s="145"/>
      <c r="K174" s="147">
        <v>1732.1</v>
      </c>
    </row>
    <row r="175" ht="15.75" customHeight="1">
      <c r="A175" s="144">
        <v>15.0</v>
      </c>
      <c r="B175" s="145"/>
      <c r="C175" s="145"/>
      <c r="D175" s="145" t="s">
        <v>666</v>
      </c>
      <c r="E175" s="145"/>
      <c r="F175" s="145"/>
      <c r="G175" s="145"/>
      <c r="H175" s="145"/>
      <c r="I175" s="145"/>
      <c r="J175" s="145"/>
      <c r="K175" s="146"/>
    </row>
    <row r="176" ht="15.75" customHeight="1">
      <c r="A176" s="144"/>
      <c r="B176" s="145"/>
      <c r="C176" s="145"/>
      <c r="D176" s="145"/>
      <c r="E176" s="145"/>
      <c r="F176" s="145"/>
      <c r="G176" s="145"/>
      <c r="H176" s="145"/>
      <c r="I176" s="145"/>
      <c r="J176" s="145"/>
      <c r="K176" s="146"/>
    </row>
    <row r="177" ht="15.75" customHeight="1">
      <c r="A177" s="153" t="s">
        <v>667</v>
      </c>
      <c r="B177" s="145"/>
      <c r="C177" s="145"/>
      <c r="D177" s="145"/>
      <c r="E177" s="145"/>
      <c r="F177" s="145"/>
      <c r="G177" s="145"/>
      <c r="H177" s="145"/>
      <c r="I177" s="145"/>
      <c r="J177" s="145"/>
      <c r="K177" s="146"/>
    </row>
    <row r="178" ht="15.75" customHeight="1">
      <c r="A178" s="142" t="s">
        <v>668</v>
      </c>
      <c r="B178" s="145"/>
      <c r="C178" s="145"/>
      <c r="D178" s="145"/>
      <c r="E178" s="145"/>
      <c r="F178" s="145"/>
      <c r="G178" s="145"/>
      <c r="H178" s="145"/>
      <c r="I178" s="145"/>
      <c r="J178" s="145"/>
      <c r="K178" s="146"/>
    </row>
    <row r="179" ht="15.75" customHeight="1">
      <c r="A179" s="144"/>
      <c r="B179" s="145"/>
      <c r="C179" s="145"/>
      <c r="D179" s="145"/>
      <c r="E179" s="145"/>
      <c r="F179" s="145"/>
      <c r="G179" s="145"/>
      <c r="H179" s="145"/>
      <c r="I179" s="145"/>
      <c r="J179" s="145"/>
      <c r="K179" s="146"/>
    </row>
    <row r="180" ht="15.75" customHeight="1">
      <c r="A180" s="144" t="s">
        <v>669</v>
      </c>
      <c r="B180" s="145"/>
      <c r="C180" s="145"/>
      <c r="D180" s="145"/>
      <c r="E180" s="145"/>
      <c r="F180" s="145"/>
      <c r="G180" s="145"/>
      <c r="H180" s="145"/>
      <c r="I180" s="145"/>
      <c r="J180" s="145"/>
      <c r="K180" s="146"/>
    </row>
    <row r="181" ht="15.75" customHeight="1">
      <c r="A181" s="144"/>
      <c r="B181" s="145"/>
      <c r="C181" s="145"/>
      <c r="D181" s="145"/>
      <c r="E181" s="145"/>
      <c r="F181" s="145"/>
      <c r="G181" s="145"/>
      <c r="H181" s="145"/>
      <c r="I181" s="145"/>
      <c r="J181" s="145"/>
      <c r="K181" s="146"/>
    </row>
    <row r="182" ht="15.75" customHeight="1">
      <c r="A182" s="144" t="s">
        <v>670</v>
      </c>
      <c r="B182" s="145"/>
      <c r="C182" s="145"/>
      <c r="D182" s="145"/>
      <c r="E182" s="145"/>
      <c r="F182" s="145"/>
      <c r="G182" s="145"/>
      <c r="H182" s="145"/>
      <c r="I182" s="145"/>
      <c r="J182" s="145"/>
      <c r="K182" s="146"/>
    </row>
    <row r="183" ht="15.75" customHeight="1">
      <c r="A183" s="144"/>
      <c r="B183" s="145"/>
      <c r="C183" s="145"/>
      <c r="D183" s="145"/>
      <c r="E183" s="145"/>
      <c r="F183" s="145"/>
      <c r="G183" s="145"/>
      <c r="H183" s="145"/>
      <c r="I183" s="145"/>
      <c r="J183" s="145"/>
      <c r="K183" s="146"/>
    </row>
    <row r="184" ht="15.75" customHeight="1">
      <c r="A184" s="144" t="s">
        <v>671</v>
      </c>
      <c r="B184" s="145"/>
      <c r="C184" s="145"/>
      <c r="D184" s="145"/>
      <c r="E184" s="145"/>
      <c r="F184" s="145"/>
      <c r="G184" s="145"/>
      <c r="H184" s="145"/>
      <c r="I184" s="145"/>
      <c r="J184" s="145"/>
      <c r="K184" s="146"/>
    </row>
    <row r="185" ht="15.75" customHeight="1">
      <c r="A185" s="128" t="s">
        <v>672</v>
      </c>
      <c r="B185" s="145"/>
      <c r="C185" s="145"/>
      <c r="D185" s="145"/>
      <c r="E185" s="145"/>
      <c r="F185" s="145"/>
      <c r="G185" s="145"/>
      <c r="H185" s="145"/>
      <c r="I185" s="145"/>
      <c r="J185" s="145"/>
      <c r="K185" s="154"/>
    </row>
    <row r="186" ht="15.75" customHeight="1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55"/>
    </row>
    <row r="187" ht="15.75" customHeight="1">
      <c r="A187" s="142" t="s">
        <v>12</v>
      </c>
      <c r="B187" s="128" t="s">
        <v>652</v>
      </c>
      <c r="C187" s="128" t="s">
        <v>653</v>
      </c>
      <c r="D187" s="128" t="s">
        <v>654</v>
      </c>
      <c r="E187" s="128" t="s">
        <v>655</v>
      </c>
      <c r="F187" s="128" t="s">
        <v>8</v>
      </c>
      <c r="G187" s="128" t="s">
        <v>656</v>
      </c>
      <c r="H187" s="128" t="s">
        <v>591</v>
      </c>
      <c r="I187" s="128" t="s">
        <v>657</v>
      </c>
      <c r="J187" s="128" t="s">
        <v>658</v>
      </c>
      <c r="K187" s="143" t="s">
        <v>659</v>
      </c>
    </row>
    <row r="188" ht="15.75" customHeight="1">
      <c r="A188" s="144">
        <v>16.0</v>
      </c>
      <c r="B188" s="145">
        <v>9617.0</v>
      </c>
      <c r="C188" s="126">
        <v>5000.1</v>
      </c>
      <c r="D188" s="145" t="s">
        <v>392</v>
      </c>
      <c r="E188" s="126">
        <v>3784.95</v>
      </c>
      <c r="F188" s="126">
        <v>11500.0</v>
      </c>
      <c r="G188" s="126">
        <v>3548.51</v>
      </c>
      <c r="H188" s="129">
        <v>5823.0</v>
      </c>
      <c r="I188" s="126">
        <v>1215.15</v>
      </c>
      <c r="J188" s="145"/>
      <c r="K188" s="147">
        <v>2168.69</v>
      </c>
    </row>
    <row r="189" ht="15.75" customHeight="1">
      <c r="A189" s="144">
        <v>16.0</v>
      </c>
      <c r="B189" s="145"/>
      <c r="C189" s="145"/>
      <c r="D189" s="145" t="s">
        <v>673</v>
      </c>
      <c r="E189" s="126">
        <v>5000.1</v>
      </c>
      <c r="F189" s="145"/>
      <c r="G189" s="145"/>
      <c r="H189" s="145"/>
      <c r="I189" s="145"/>
      <c r="J189" s="145"/>
      <c r="K189" s="146"/>
    </row>
    <row r="190" ht="15.75" customHeight="1">
      <c r="A190" s="144">
        <v>17.0</v>
      </c>
      <c r="B190" s="145">
        <v>2693.0</v>
      </c>
      <c r="C190" s="126">
        <v>873.45</v>
      </c>
      <c r="D190" s="145" t="s">
        <v>501</v>
      </c>
      <c r="E190" s="126">
        <v>1586.4</v>
      </c>
      <c r="F190" s="126">
        <v>3800.0</v>
      </c>
      <c r="G190" s="126">
        <v>1327.41</v>
      </c>
      <c r="H190" s="129">
        <v>2256.0</v>
      </c>
      <c r="I190" s="126">
        <v>-712.95</v>
      </c>
      <c r="J190" s="145"/>
      <c r="K190" s="147">
        <v>2532.41</v>
      </c>
    </row>
    <row r="191" ht="15.75" customHeight="1">
      <c r="A191" s="144">
        <v>17.0</v>
      </c>
      <c r="B191" s="145"/>
      <c r="C191" s="145"/>
      <c r="D191" s="145" t="s">
        <v>674</v>
      </c>
      <c r="E191" s="126">
        <v>873.45</v>
      </c>
      <c r="F191" s="145"/>
      <c r="G191" s="145"/>
      <c r="H191" s="145"/>
      <c r="I191" s="145"/>
      <c r="J191" s="145"/>
      <c r="K191" s="146"/>
    </row>
    <row r="192" ht="15.75" customHeight="1">
      <c r="A192" s="144">
        <v>18.0</v>
      </c>
      <c r="B192" s="145">
        <v>3403.0</v>
      </c>
      <c r="C192" s="126">
        <v>4368.65</v>
      </c>
      <c r="D192" s="145" t="s">
        <v>621</v>
      </c>
      <c r="E192" s="126">
        <v>2405.2</v>
      </c>
      <c r="F192" s="126">
        <v>7500.0</v>
      </c>
      <c r="G192" s="126">
        <v>2370.94</v>
      </c>
      <c r="H192" s="129">
        <v>3933.0</v>
      </c>
      <c r="I192" s="126">
        <v>1963.45</v>
      </c>
      <c r="J192" s="145"/>
      <c r="K192" s="146"/>
    </row>
    <row r="193" ht="15.75" customHeight="1">
      <c r="A193" s="144">
        <v>18.0</v>
      </c>
      <c r="B193" s="145"/>
      <c r="C193" s="145"/>
      <c r="D193" s="145" t="s">
        <v>674</v>
      </c>
      <c r="E193" s="126">
        <v>4368.65</v>
      </c>
      <c r="F193" s="145"/>
      <c r="G193" s="145"/>
      <c r="H193" s="145"/>
      <c r="I193" s="145"/>
      <c r="J193" s="145"/>
      <c r="K193" s="146"/>
    </row>
    <row r="194" ht="15.75" customHeight="1">
      <c r="A194" s="144">
        <v>19.0</v>
      </c>
      <c r="B194" s="145">
        <v>9334.0</v>
      </c>
      <c r="C194" s="126">
        <v>399.71</v>
      </c>
      <c r="D194" s="145" t="s">
        <v>443</v>
      </c>
      <c r="E194" s="126">
        <v>1845.9</v>
      </c>
      <c r="F194" s="126">
        <v>4807.0</v>
      </c>
      <c r="G194" s="126">
        <v>2334.84</v>
      </c>
      <c r="H194" s="129">
        <v>2796.0</v>
      </c>
      <c r="I194" s="126">
        <v>-1446.19</v>
      </c>
      <c r="J194" s="145"/>
      <c r="K194" s="147">
        <v>2107.51</v>
      </c>
    </row>
    <row r="195" ht="15.75" customHeight="1">
      <c r="A195" s="144">
        <v>19.0</v>
      </c>
      <c r="B195" s="145"/>
      <c r="C195" s="145"/>
      <c r="D195" s="145" t="s">
        <v>675</v>
      </c>
      <c r="E195" s="126">
        <v>399.71</v>
      </c>
      <c r="F195" s="145"/>
      <c r="G195" s="145"/>
      <c r="H195" s="145"/>
      <c r="I195" s="145"/>
      <c r="J195" s="145"/>
      <c r="K195" s="146"/>
    </row>
    <row r="196" ht="15.75" customHeight="1">
      <c r="A196" s="144">
        <v>20.0</v>
      </c>
      <c r="B196" s="145">
        <v>2890.0</v>
      </c>
      <c r="C196" s="126">
        <v>-522.45</v>
      </c>
      <c r="D196" s="145" t="s">
        <v>465</v>
      </c>
      <c r="E196" s="126">
        <v>292.5</v>
      </c>
      <c r="F196" s="126">
        <v>800.0</v>
      </c>
      <c r="G196" s="126">
        <v>418.45</v>
      </c>
      <c r="H196" s="145">
        <v>450.0</v>
      </c>
      <c r="I196" s="126">
        <v>-814.95</v>
      </c>
      <c r="J196" s="145"/>
      <c r="K196" s="147">
        <v>290.44</v>
      </c>
    </row>
    <row r="197" ht="15.75" customHeight="1">
      <c r="A197" s="144">
        <v>20.0</v>
      </c>
      <c r="B197" s="145"/>
      <c r="C197" s="145"/>
      <c r="D197" s="145" t="s">
        <v>676</v>
      </c>
      <c r="E197" s="126">
        <v>-522.45</v>
      </c>
      <c r="F197" s="145"/>
      <c r="G197" s="145"/>
      <c r="H197" s="145"/>
      <c r="I197" s="145"/>
      <c r="J197" s="145"/>
      <c r="K197" s="146"/>
    </row>
    <row r="198" ht="15.75" customHeight="1">
      <c r="A198" s="144">
        <v>21.0</v>
      </c>
      <c r="B198" s="145">
        <v>2316.0</v>
      </c>
      <c r="C198" s="126">
        <v>1516.46</v>
      </c>
      <c r="D198" s="145" t="s">
        <v>615</v>
      </c>
      <c r="E198" s="126">
        <v>2236.0</v>
      </c>
      <c r="F198" s="126">
        <v>6705.0</v>
      </c>
      <c r="G198" s="126">
        <v>3007.03</v>
      </c>
      <c r="H198" s="129">
        <v>3440.0</v>
      </c>
      <c r="I198" s="126">
        <v>-719.54</v>
      </c>
      <c r="J198" s="145"/>
      <c r="K198" s="147">
        <v>1480.34</v>
      </c>
    </row>
    <row r="199" ht="15.75" customHeight="1">
      <c r="A199" s="144">
        <v>21.0</v>
      </c>
      <c r="B199" s="145"/>
      <c r="C199" s="145"/>
      <c r="D199" s="145" t="s">
        <v>676</v>
      </c>
      <c r="E199" s="126">
        <v>1516.46</v>
      </c>
      <c r="F199" s="145"/>
      <c r="G199" s="145"/>
      <c r="H199" s="145"/>
      <c r="I199" s="145"/>
      <c r="J199" s="145"/>
      <c r="K199" s="146"/>
    </row>
    <row r="200" ht="15.75" customHeight="1">
      <c r="A200" s="144">
        <v>22.0</v>
      </c>
      <c r="B200" s="145">
        <v>1002.0</v>
      </c>
      <c r="C200" s="145"/>
      <c r="D200" s="145" t="s">
        <v>677</v>
      </c>
      <c r="E200" s="145"/>
      <c r="F200" s="145"/>
      <c r="G200" s="145"/>
      <c r="H200" s="145"/>
      <c r="I200" s="145"/>
      <c r="J200" s="145"/>
      <c r="K200" s="146"/>
    </row>
    <row r="201" ht="15.75" customHeight="1">
      <c r="A201" s="144">
        <v>22.0</v>
      </c>
      <c r="B201" s="145"/>
      <c r="C201" s="145"/>
      <c r="D201" s="145" t="s">
        <v>678</v>
      </c>
      <c r="E201" s="145"/>
      <c r="F201" s="145"/>
      <c r="G201" s="145"/>
      <c r="H201" s="145"/>
      <c r="I201" s="145"/>
      <c r="J201" s="145"/>
      <c r="K201" s="146"/>
    </row>
    <row r="202" ht="15.75" customHeight="1">
      <c r="A202" s="144">
        <v>23.0</v>
      </c>
      <c r="B202" s="145">
        <v>515.0</v>
      </c>
      <c r="C202" s="126">
        <v>2444.85</v>
      </c>
      <c r="D202" s="145" t="s">
        <v>489</v>
      </c>
      <c r="E202" s="126">
        <v>1258.6</v>
      </c>
      <c r="F202" s="126">
        <v>5300.0</v>
      </c>
      <c r="G202" s="126">
        <v>1848.95</v>
      </c>
      <c r="H202" s="129">
        <v>2790.0</v>
      </c>
      <c r="I202" s="126">
        <v>1186.25</v>
      </c>
      <c r="J202" s="126">
        <v>1661.6</v>
      </c>
      <c r="K202" s="147">
        <v>1721.75</v>
      </c>
    </row>
    <row r="203" ht="15.75" customHeight="1">
      <c r="A203" s="144">
        <v>23.0</v>
      </c>
      <c r="B203" s="145"/>
      <c r="C203" s="145"/>
      <c r="D203" s="145" t="s">
        <v>679</v>
      </c>
      <c r="E203" s="126">
        <v>2444.85</v>
      </c>
      <c r="F203" s="145"/>
      <c r="G203" s="145"/>
      <c r="H203" s="145"/>
      <c r="I203" s="145"/>
      <c r="J203" s="145"/>
      <c r="K203" s="146"/>
    </row>
    <row r="204" ht="15.75" customHeight="1">
      <c r="A204" s="144">
        <v>24.0</v>
      </c>
      <c r="B204" s="145">
        <v>514.0</v>
      </c>
      <c r="C204" s="126">
        <v>1552.31</v>
      </c>
      <c r="D204" s="145" t="s">
        <v>539</v>
      </c>
      <c r="E204" s="126">
        <v>1802.45</v>
      </c>
      <c r="F204" s="126">
        <v>3299.0</v>
      </c>
      <c r="G204" s="126">
        <v>1560.47</v>
      </c>
      <c r="H204" s="129">
        <v>2603.0</v>
      </c>
      <c r="I204" s="126">
        <v>-250.14</v>
      </c>
      <c r="J204" s="145"/>
      <c r="K204" s="146"/>
    </row>
    <row r="205" ht="15.75" customHeight="1">
      <c r="A205" s="144">
        <v>24.0</v>
      </c>
      <c r="B205" s="145"/>
      <c r="C205" s="145"/>
      <c r="D205" s="145" t="s">
        <v>679</v>
      </c>
      <c r="E205" s="126">
        <v>1552.31</v>
      </c>
      <c r="F205" s="145"/>
      <c r="G205" s="145"/>
      <c r="H205" s="145"/>
      <c r="I205" s="145"/>
      <c r="J205" s="145"/>
      <c r="K205" s="146"/>
    </row>
    <row r="206" ht="15.75" customHeight="1">
      <c r="A206" s="144">
        <v>25.0</v>
      </c>
      <c r="B206" s="145">
        <v>2932.0</v>
      </c>
      <c r="C206" s="126">
        <v>3212.0</v>
      </c>
      <c r="D206" s="145" t="s">
        <v>613</v>
      </c>
      <c r="E206" s="126">
        <v>2192.95</v>
      </c>
      <c r="F206" s="126">
        <v>7975.0</v>
      </c>
      <c r="G206" s="126">
        <v>2468.84</v>
      </c>
      <c r="H206" s="129">
        <v>4143.0</v>
      </c>
      <c r="I206" s="126">
        <v>1019.05</v>
      </c>
      <c r="J206" s="126">
        <v>1000.0</v>
      </c>
      <c r="K206" s="147">
        <v>3100.0</v>
      </c>
    </row>
    <row r="207" ht="15.75" customHeight="1">
      <c r="A207" s="144">
        <v>25.0</v>
      </c>
      <c r="B207" s="145"/>
      <c r="C207" s="145"/>
      <c r="D207" s="145" t="s">
        <v>680</v>
      </c>
      <c r="E207" s="126">
        <v>3212.0</v>
      </c>
      <c r="F207" s="145"/>
      <c r="G207" s="145"/>
      <c r="H207" s="145"/>
      <c r="I207" s="145"/>
      <c r="J207" s="145"/>
      <c r="K207" s="146"/>
    </row>
    <row r="208" ht="15.75" customHeight="1">
      <c r="A208" s="144">
        <v>26.0</v>
      </c>
      <c r="B208" s="145">
        <v>2774.0</v>
      </c>
      <c r="C208" s="126">
        <v>-1239.4</v>
      </c>
      <c r="D208" s="145" t="s">
        <v>482</v>
      </c>
      <c r="E208" s="126">
        <v>1599.15</v>
      </c>
      <c r="F208" s="126">
        <v>2900.0</v>
      </c>
      <c r="G208" s="126">
        <v>963.61</v>
      </c>
      <c r="H208" s="129">
        <v>1691.0</v>
      </c>
      <c r="I208" s="126">
        <v>-2838.55</v>
      </c>
      <c r="J208" s="145"/>
      <c r="K208" s="147">
        <v>3495.5</v>
      </c>
    </row>
    <row r="209" ht="15.75" customHeight="1">
      <c r="A209" s="144">
        <v>26.0</v>
      </c>
      <c r="B209" s="145"/>
      <c r="C209" s="145"/>
      <c r="D209" s="145" t="s">
        <v>680</v>
      </c>
      <c r="E209" s="126">
        <v>-1239.4</v>
      </c>
      <c r="F209" s="145"/>
      <c r="G209" s="145"/>
      <c r="H209" s="145"/>
      <c r="I209" s="145"/>
      <c r="J209" s="145"/>
      <c r="K209" s="146"/>
    </row>
    <row r="210" ht="15.75" customHeight="1">
      <c r="A210" s="144">
        <v>27.0</v>
      </c>
      <c r="B210" s="145">
        <v>659.0</v>
      </c>
      <c r="C210" s="126">
        <v>2299.58</v>
      </c>
      <c r="D210" s="145" t="s">
        <v>681</v>
      </c>
      <c r="E210" s="126">
        <v>3095.95</v>
      </c>
      <c r="F210" s="126">
        <v>6200.0</v>
      </c>
      <c r="G210" s="126">
        <v>2561.37</v>
      </c>
      <c r="H210" s="129">
        <v>3423.0</v>
      </c>
      <c r="I210" s="126">
        <v>-796.37</v>
      </c>
      <c r="J210" s="145"/>
      <c r="K210" s="146"/>
    </row>
    <row r="211" ht="15.75" customHeight="1">
      <c r="A211" s="144">
        <v>27.0</v>
      </c>
      <c r="B211" s="145"/>
      <c r="C211" s="145"/>
      <c r="D211" s="145" t="s">
        <v>680</v>
      </c>
      <c r="E211" s="126">
        <v>2299.58</v>
      </c>
      <c r="F211" s="145"/>
      <c r="G211" s="145"/>
      <c r="H211" s="145"/>
      <c r="I211" s="145"/>
      <c r="J211" s="145"/>
      <c r="K211" s="146"/>
    </row>
    <row r="212" ht="15.75" customHeight="1">
      <c r="A212" s="144">
        <v>28.0</v>
      </c>
      <c r="B212" s="145">
        <v>3301.0</v>
      </c>
      <c r="C212" s="126">
        <v>3232.44</v>
      </c>
      <c r="D212" s="145" t="s">
        <v>616</v>
      </c>
      <c r="E212" s="126">
        <v>2100.98</v>
      </c>
      <c r="F212" s="126">
        <v>5865.0</v>
      </c>
      <c r="G212" s="126">
        <v>2738.49</v>
      </c>
      <c r="H212" s="129">
        <v>3686.0</v>
      </c>
      <c r="I212" s="126">
        <v>1131.46</v>
      </c>
      <c r="J212" s="126">
        <v>2859.4</v>
      </c>
      <c r="K212" s="147">
        <v>2859.4</v>
      </c>
    </row>
    <row r="213" ht="15.75" customHeight="1">
      <c r="A213" s="144">
        <v>28.0</v>
      </c>
      <c r="B213" s="145"/>
      <c r="C213" s="145"/>
      <c r="D213" s="145" t="s">
        <v>682</v>
      </c>
      <c r="E213" s="126">
        <v>3232.44</v>
      </c>
      <c r="F213" s="145"/>
      <c r="G213" s="145"/>
      <c r="H213" s="145"/>
      <c r="I213" s="145"/>
      <c r="J213" s="145"/>
      <c r="K213" s="146"/>
    </row>
    <row r="214" ht="15.75" customHeight="1">
      <c r="A214" s="144">
        <v>29.0</v>
      </c>
      <c r="B214" s="145">
        <v>913.0</v>
      </c>
      <c r="C214" s="126">
        <v>1854.25</v>
      </c>
      <c r="D214" s="145" t="s">
        <v>630</v>
      </c>
      <c r="E214" s="126">
        <v>1277.25</v>
      </c>
      <c r="F214" s="126">
        <v>4134.0</v>
      </c>
      <c r="G214" s="126">
        <v>1009.62</v>
      </c>
      <c r="H214" s="129">
        <v>1965.0</v>
      </c>
      <c r="I214" s="126">
        <v>577.0</v>
      </c>
      <c r="J214" s="145"/>
      <c r="K214" s="146"/>
    </row>
    <row r="215" ht="15.75" customHeight="1">
      <c r="A215" s="144">
        <v>29.0</v>
      </c>
      <c r="B215" s="145"/>
      <c r="C215" s="145"/>
      <c r="D215" s="145" t="s">
        <v>683</v>
      </c>
      <c r="E215" s="126">
        <v>1854.25</v>
      </c>
      <c r="F215" s="145"/>
      <c r="G215" s="145"/>
      <c r="H215" s="145"/>
      <c r="I215" s="145"/>
      <c r="J215" s="145"/>
      <c r="K215" s="146"/>
    </row>
    <row r="216" ht="15.75" customHeight="1">
      <c r="A216" s="144">
        <v>30.0</v>
      </c>
      <c r="B216" s="145">
        <v>2516.0</v>
      </c>
      <c r="C216" s="126">
        <v>3139.83</v>
      </c>
      <c r="D216" s="145" t="s">
        <v>619</v>
      </c>
      <c r="E216" s="126">
        <v>1740.7</v>
      </c>
      <c r="F216" s="126">
        <v>5900.0</v>
      </c>
      <c r="G216" s="126">
        <v>1929.75</v>
      </c>
      <c r="H216" s="129">
        <v>2678.0</v>
      </c>
      <c r="I216" s="126">
        <v>1399.13</v>
      </c>
      <c r="J216" s="145"/>
      <c r="K216" s="147">
        <v>326.31</v>
      </c>
    </row>
    <row r="217" ht="15.75" customHeight="1">
      <c r="A217" s="144">
        <v>30.0</v>
      </c>
      <c r="B217" s="145"/>
      <c r="C217" s="145"/>
      <c r="D217" s="145" t="s">
        <v>684</v>
      </c>
      <c r="E217" s="126">
        <v>3139.83</v>
      </c>
      <c r="F217" s="145"/>
      <c r="G217" s="145"/>
      <c r="H217" s="145"/>
      <c r="I217" s="145"/>
      <c r="J217" s="145"/>
      <c r="K217" s="146"/>
    </row>
    <row r="218" ht="15.75" customHeight="1">
      <c r="A218" s="144">
        <v>31.0</v>
      </c>
      <c r="B218" s="145">
        <v>997.0</v>
      </c>
      <c r="C218" s="126">
        <v>3167.82</v>
      </c>
      <c r="D218" s="145" t="s">
        <v>685</v>
      </c>
      <c r="E218" s="126">
        <v>2265.75</v>
      </c>
      <c r="F218" s="126">
        <v>6000.0</v>
      </c>
      <c r="G218" s="126">
        <v>1362.18</v>
      </c>
      <c r="H218" s="129">
        <v>3021.0</v>
      </c>
      <c r="I218" s="126">
        <v>902.07</v>
      </c>
      <c r="J218" s="145"/>
      <c r="K218" s="146"/>
    </row>
    <row r="219" ht="15.75" customHeight="1">
      <c r="A219" s="144">
        <v>31.0</v>
      </c>
      <c r="B219" s="145"/>
      <c r="C219" s="145"/>
      <c r="D219" s="145" t="s">
        <v>684</v>
      </c>
      <c r="E219" s="126">
        <v>3167.82</v>
      </c>
      <c r="F219" s="145"/>
      <c r="G219" s="145"/>
      <c r="H219" s="145"/>
      <c r="I219" s="145"/>
      <c r="J219" s="145"/>
      <c r="K219" s="146"/>
    </row>
    <row r="220" ht="15.75" customHeight="1">
      <c r="A220" s="144"/>
      <c r="B220" s="145"/>
      <c r="C220" s="145"/>
      <c r="D220" s="145"/>
      <c r="E220" s="145"/>
      <c r="F220" s="145"/>
      <c r="G220" s="145"/>
      <c r="H220" s="145"/>
      <c r="I220" s="145"/>
      <c r="J220" s="145"/>
      <c r="K220" s="146"/>
    </row>
    <row r="221" ht="15.75" customHeight="1">
      <c r="A221" s="148" t="s">
        <v>686</v>
      </c>
      <c r="B221" s="145"/>
      <c r="C221" s="145"/>
      <c r="D221" s="145"/>
      <c r="E221" s="145"/>
      <c r="F221" s="145"/>
      <c r="G221" s="145"/>
      <c r="H221" s="145"/>
      <c r="I221" s="145"/>
      <c r="J221" s="145"/>
      <c r="K221" s="146"/>
    </row>
    <row r="222" ht="15.75" customHeight="1">
      <c r="A222" s="144"/>
      <c r="B222" s="145"/>
      <c r="C222" s="145"/>
      <c r="D222" s="145"/>
      <c r="E222" s="145"/>
      <c r="F222" s="145"/>
      <c r="G222" s="145"/>
      <c r="H222" s="145"/>
      <c r="I222" s="145"/>
      <c r="J222" s="145"/>
      <c r="K222" s="146"/>
    </row>
    <row r="223" ht="15.75" customHeight="1">
      <c r="A223" s="142" t="s">
        <v>653</v>
      </c>
      <c r="B223" s="128" t="s">
        <v>655</v>
      </c>
      <c r="C223" s="128" t="s">
        <v>8</v>
      </c>
      <c r="D223" s="128" t="s">
        <v>656</v>
      </c>
      <c r="E223" s="128" t="s">
        <v>591</v>
      </c>
      <c r="F223" s="128" t="s">
        <v>657</v>
      </c>
      <c r="G223" s="128" t="s">
        <v>658</v>
      </c>
      <c r="H223" s="128" t="s">
        <v>659</v>
      </c>
      <c r="I223" s="145"/>
      <c r="J223" s="145"/>
      <c r="K223" s="146"/>
    </row>
    <row r="224" ht="15.75" customHeight="1">
      <c r="A224" s="149">
        <v>47499.59</v>
      </c>
      <c r="B224" s="126">
        <v>86207.42</v>
      </c>
      <c r="C224" s="126">
        <v>113585.0</v>
      </c>
      <c r="D224" s="126">
        <v>40843.53</v>
      </c>
      <c r="E224" s="129">
        <v>61072.0</v>
      </c>
      <c r="F224" s="126">
        <v>5551.76</v>
      </c>
      <c r="G224" s="126">
        <v>5521.0</v>
      </c>
      <c r="H224" s="126">
        <v>21880.6</v>
      </c>
      <c r="I224" s="145"/>
      <c r="J224" s="145"/>
      <c r="K224" s="146"/>
    </row>
    <row r="225" ht="15.75" customHeight="1">
      <c r="A225" s="144"/>
      <c r="B225" s="145"/>
      <c r="C225" s="145"/>
      <c r="D225" s="145"/>
      <c r="E225" s="145"/>
      <c r="F225" s="145"/>
      <c r="G225" s="145"/>
      <c r="H225" s="145"/>
      <c r="I225" s="145"/>
      <c r="J225" s="145"/>
      <c r="K225" s="146"/>
    </row>
    <row r="226" ht="15.75" customHeight="1">
      <c r="A226" s="150"/>
      <c r="B226" s="151"/>
      <c r="C226" s="151"/>
      <c r="D226" s="151"/>
      <c r="E226" s="151"/>
      <c r="F226" s="151"/>
      <c r="G226" s="151"/>
      <c r="H226" s="151"/>
      <c r="I226" s="151"/>
      <c r="J226" s="151"/>
      <c r="K226" s="152"/>
    </row>
    <row r="227" ht="15.75" customHeight="1">
      <c r="A227" s="136" t="s">
        <v>687</v>
      </c>
      <c r="B227" s="137"/>
      <c r="C227" s="137"/>
      <c r="D227" s="137"/>
      <c r="E227" s="137"/>
      <c r="F227" s="137"/>
      <c r="G227" s="137"/>
      <c r="H227" s="137"/>
      <c r="I227" s="137"/>
      <c r="J227" s="137"/>
      <c r="K227" s="138"/>
    </row>
    <row r="228" ht="15.75" customHeight="1">
      <c r="A228" s="139"/>
      <c r="B228" s="140"/>
      <c r="C228" s="140"/>
      <c r="D228" s="140"/>
      <c r="E228" s="140"/>
      <c r="F228" s="140"/>
      <c r="G228" s="140"/>
      <c r="H228" s="140"/>
      <c r="I228" s="140"/>
      <c r="J228" s="140"/>
      <c r="K228" s="141"/>
    </row>
    <row r="229" ht="15.75" customHeight="1">
      <c r="A229" s="153" t="s">
        <v>688</v>
      </c>
      <c r="B229" s="145"/>
      <c r="C229" s="145"/>
      <c r="D229" s="145"/>
      <c r="E229" s="145"/>
      <c r="F229" s="145"/>
      <c r="G229" s="145"/>
      <c r="H229" s="145"/>
      <c r="I229" s="145"/>
      <c r="J229" s="145"/>
      <c r="K229" s="146"/>
    </row>
    <row r="230" ht="15.75" customHeight="1">
      <c r="A230" s="142" t="s">
        <v>668</v>
      </c>
      <c r="B230" s="145"/>
      <c r="C230" s="145"/>
      <c r="D230" s="145"/>
      <c r="E230" s="145"/>
      <c r="F230" s="145"/>
      <c r="G230" s="145"/>
      <c r="H230" s="145"/>
      <c r="I230" s="145"/>
      <c r="J230" s="145"/>
      <c r="K230" s="146"/>
    </row>
    <row r="231" ht="15.75" customHeight="1">
      <c r="A231" s="144"/>
      <c r="B231" s="145"/>
      <c r="C231" s="145"/>
      <c r="D231" s="145"/>
      <c r="E231" s="145"/>
      <c r="F231" s="145"/>
      <c r="G231" s="145"/>
      <c r="H231" s="145"/>
      <c r="I231" s="145"/>
      <c r="J231" s="145"/>
      <c r="K231" s="146"/>
    </row>
    <row r="232" ht="15.75" customHeight="1">
      <c r="A232" s="144" t="s">
        <v>689</v>
      </c>
      <c r="B232" s="145"/>
      <c r="C232" s="145"/>
      <c r="D232" s="145"/>
      <c r="E232" s="145"/>
      <c r="F232" s="145"/>
      <c r="G232" s="145"/>
      <c r="H232" s="145"/>
      <c r="I232" s="145"/>
      <c r="J232" s="145"/>
      <c r="K232" s="146"/>
    </row>
    <row r="233" ht="15.75" customHeight="1">
      <c r="A233" s="144"/>
      <c r="B233" s="145"/>
      <c r="C233" s="145"/>
      <c r="D233" s="145"/>
      <c r="E233" s="145"/>
      <c r="F233" s="145"/>
      <c r="G233" s="145"/>
      <c r="H233" s="145"/>
      <c r="I233" s="145"/>
      <c r="J233" s="145"/>
      <c r="K233" s="146"/>
    </row>
    <row r="234" ht="15.75" customHeight="1">
      <c r="A234" s="144" t="s">
        <v>690</v>
      </c>
      <c r="B234" s="145"/>
      <c r="C234" s="145"/>
      <c r="D234" s="145"/>
      <c r="E234" s="145"/>
      <c r="F234" s="145"/>
      <c r="G234" s="145"/>
      <c r="H234" s="145"/>
      <c r="I234" s="145"/>
      <c r="J234" s="145"/>
      <c r="K234" s="146"/>
    </row>
    <row r="235" ht="15.75" customHeight="1">
      <c r="A235" s="144"/>
      <c r="B235" s="145"/>
      <c r="C235" s="145"/>
      <c r="D235" s="145"/>
      <c r="E235" s="145"/>
      <c r="F235" s="145"/>
      <c r="G235" s="145"/>
      <c r="H235" s="145"/>
      <c r="I235" s="145"/>
      <c r="J235" s="145"/>
      <c r="K235" s="146"/>
    </row>
    <row r="236" ht="15.75" customHeight="1">
      <c r="A236" s="144" t="s">
        <v>691</v>
      </c>
      <c r="B236" s="145"/>
      <c r="C236" s="145"/>
      <c r="D236" s="145"/>
      <c r="E236" s="145"/>
      <c r="F236" s="145"/>
      <c r="G236" s="145"/>
      <c r="H236" s="145"/>
      <c r="I236" s="145"/>
      <c r="J236" s="145"/>
      <c r="K236" s="146"/>
    </row>
    <row r="237" ht="15.75" customHeight="1">
      <c r="A237" s="142" t="s">
        <v>692</v>
      </c>
      <c r="B237" s="145"/>
      <c r="C237" s="145"/>
      <c r="D237" s="145"/>
      <c r="E237" s="145"/>
      <c r="F237" s="145"/>
      <c r="G237" s="145"/>
      <c r="H237" s="145"/>
      <c r="I237" s="145"/>
      <c r="J237" s="145"/>
      <c r="K237" s="146"/>
    </row>
    <row r="238" ht="15.75" customHeight="1">
      <c r="A238" s="144"/>
      <c r="B238" s="145"/>
      <c r="C238" s="145"/>
      <c r="D238" s="145"/>
      <c r="E238" s="145"/>
      <c r="F238" s="145"/>
      <c r="G238" s="145"/>
      <c r="H238" s="145"/>
      <c r="I238" s="145"/>
      <c r="J238" s="145"/>
      <c r="K238" s="146"/>
    </row>
    <row r="239" ht="15.75" customHeight="1">
      <c r="A239" s="142" t="s">
        <v>12</v>
      </c>
      <c r="B239" s="128" t="s">
        <v>652</v>
      </c>
      <c r="C239" s="128" t="s">
        <v>653</v>
      </c>
      <c r="D239" s="128" t="s">
        <v>654</v>
      </c>
      <c r="E239" s="128" t="s">
        <v>655</v>
      </c>
      <c r="F239" s="128" t="s">
        <v>8</v>
      </c>
      <c r="G239" s="128" t="s">
        <v>656</v>
      </c>
      <c r="H239" s="128" t="s">
        <v>591</v>
      </c>
      <c r="I239" s="128" t="s">
        <v>657</v>
      </c>
      <c r="J239" s="128" t="s">
        <v>658</v>
      </c>
      <c r="K239" s="143" t="s">
        <v>659</v>
      </c>
    </row>
    <row r="240" ht="15.75" customHeight="1">
      <c r="A240" s="144">
        <v>34.0</v>
      </c>
      <c r="B240" s="145">
        <v>6643.0</v>
      </c>
      <c r="C240" s="145"/>
      <c r="D240" s="145" t="s">
        <v>693</v>
      </c>
      <c r="E240" s="145"/>
      <c r="F240" s="145"/>
      <c r="G240" s="145"/>
      <c r="H240" s="145"/>
      <c r="I240" s="145"/>
      <c r="J240" s="145"/>
      <c r="K240" s="146"/>
    </row>
    <row r="241" ht="15.75" customHeight="1">
      <c r="A241" s="144">
        <v>35.0</v>
      </c>
      <c r="B241" s="145">
        <v>8775.0</v>
      </c>
      <c r="C241" s="126">
        <v>3269.22</v>
      </c>
      <c r="D241" s="145" t="s">
        <v>694</v>
      </c>
      <c r="E241" s="126">
        <v>3269.22</v>
      </c>
      <c r="F241" s="126">
        <v>6305.0</v>
      </c>
      <c r="G241" s="126">
        <v>2011.72</v>
      </c>
      <c r="H241" s="129">
        <v>3267.0</v>
      </c>
      <c r="I241" s="126">
        <v>3269.22</v>
      </c>
      <c r="J241" s="145"/>
      <c r="K241" s="146"/>
    </row>
    <row r="242" ht="15.75" customHeight="1">
      <c r="A242" s="144"/>
      <c r="B242" s="145"/>
      <c r="C242" s="145"/>
      <c r="D242" s="145"/>
      <c r="E242" s="145"/>
      <c r="F242" s="145"/>
      <c r="G242" s="145"/>
      <c r="H242" s="145"/>
      <c r="I242" s="145"/>
      <c r="J242" s="145"/>
      <c r="K242" s="146"/>
    </row>
    <row r="243" ht="15.75" customHeight="1">
      <c r="A243" s="148" t="s">
        <v>695</v>
      </c>
      <c r="B243" s="145"/>
      <c r="C243" s="145"/>
      <c r="D243" s="145"/>
      <c r="E243" s="145"/>
      <c r="F243" s="145"/>
      <c r="G243" s="145"/>
      <c r="H243" s="145"/>
      <c r="I243" s="145"/>
      <c r="J243" s="145"/>
      <c r="K243" s="146"/>
    </row>
    <row r="244" ht="15.75" customHeight="1">
      <c r="A244" s="144"/>
      <c r="B244" s="145"/>
      <c r="C244" s="145"/>
      <c r="D244" s="145"/>
      <c r="E244" s="145"/>
      <c r="F244" s="145"/>
      <c r="G244" s="145"/>
      <c r="H244" s="145"/>
      <c r="I244" s="145"/>
      <c r="J244" s="145"/>
      <c r="K244" s="146"/>
    </row>
    <row r="245" ht="15.75" customHeight="1">
      <c r="A245" s="142" t="s">
        <v>653</v>
      </c>
      <c r="B245" s="128" t="s">
        <v>655</v>
      </c>
      <c r="C245" s="128" t="s">
        <v>8</v>
      </c>
      <c r="D245" s="128" t="s">
        <v>656</v>
      </c>
      <c r="E245" s="128" t="s">
        <v>591</v>
      </c>
      <c r="F245" s="128" t="s">
        <v>657</v>
      </c>
      <c r="G245" s="145"/>
      <c r="H245" s="145"/>
      <c r="I245" s="145"/>
      <c r="J245" s="145"/>
      <c r="K245" s="146"/>
    </row>
    <row r="246" ht="15.75" customHeight="1">
      <c r="A246" s="149">
        <v>3269.22</v>
      </c>
      <c r="B246" s="126">
        <v>3269.22</v>
      </c>
      <c r="C246" s="126">
        <v>6305.0</v>
      </c>
      <c r="D246" s="126">
        <v>2011.72</v>
      </c>
      <c r="E246" s="129">
        <v>3267.0</v>
      </c>
      <c r="F246" s="126">
        <v>3269.22</v>
      </c>
      <c r="G246" s="145"/>
      <c r="H246" s="145"/>
      <c r="I246" s="145"/>
      <c r="J246" s="145"/>
      <c r="K246" s="146"/>
    </row>
    <row r="247" ht="15.75" customHeight="1">
      <c r="A247" s="150"/>
      <c r="B247" s="151"/>
      <c r="C247" s="151"/>
      <c r="D247" s="151"/>
      <c r="E247" s="151"/>
      <c r="F247" s="151"/>
      <c r="G247" s="151"/>
      <c r="H247" s="151"/>
      <c r="I247" s="151"/>
      <c r="J247" s="151"/>
      <c r="K247" s="152"/>
    </row>
    <row r="248" ht="15.75" customHeight="1">
      <c r="A248" s="156"/>
      <c r="B248" s="137"/>
      <c r="C248" s="137"/>
      <c r="D248" s="137"/>
      <c r="E248" s="137"/>
      <c r="F248" s="137"/>
      <c r="G248" s="137"/>
      <c r="H248" s="137"/>
      <c r="I248" s="137"/>
      <c r="J248" s="137"/>
      <c r="K248" s="138"/>
    </row>
    <row r="249" ht="15.75" customHeight="1">
      <c r="A249" s="157" t="s">
        <v>696</v>
      </c>
      <c r="B249" s="140"/>
      <c r="C249" s="140"/>
      <c r="D249" s="140"/>
      <c r="E249" s="140"/>
      <c r="F249" s="140"/>
      <c r="G249" s="140"/>
      <c r="H249" s="140"/>
      <c r="I249" s="140"/>
      <c r="J249" s="140"/>
      <c r="K249" s="141"/>
    </row>
    <row r="250" ht="15.75" customHeight="1">
      <c r="A250" s="144"/>
      <c r="B250" s="145"/>
      <c r="C250" s="145"/>
      <c r="D250" s="145"/>
      <c r="E250" s="145"/>
      <c r="F250" s="145"/>
      <c r="G250" s="145"/>
      <c r="H250" s="145"/>
      <c r="I250" s="145"/>
      <c r="J250" s="145"/>
      <c r="K250" s="146"/>
    </row>
    <row r="251" ht="15.75" customHeight="1">
      <c r="A251" s="142" t="s">
        <v>653</v>
      </c>
      <c r="B251" s="128" t="s">
        <v>655</v>
      </c>
      <c r="C251" s="128" t="s">
        <v>8</v>
      </c>
      <c r="D251" s="128" t="s">
        <v>656</v>
      </c>
      <c r="E251" s="128" t="s">
        <v>591</v>
      </c>
      <c r="F251" s="128" t="s">
        <v>657</v>
      </c>
      <c r="G251" s="128" t="s">
        <v>658</v>
      </c>
      <c r="H251" s="128" t="s">
        <v>659</v>
      </c>
      <c r="I251" s="145"/>
      <c r="J251" s="145"/>
      <c r="K251" s="146"/>
    </row>
    <row r="252" ht="15.75" customHeight="1">
      <c r="A252" s="158">
        <v>63011.83</v>
      </c>
      <c r="B252" s="159">
        <v>115539.06</v>
      </c>
      <c r="C252" s="159">
        <v>149255.0</v>
      </c>
      <c r="D252" s="159">
        <v>53979.7</v>
      </c>
      <c r="E252" s="160">
        <v>80462.0</v>
      </c>
      <c r="F252" s="159">
        <v>11810.93</v>
      </c>
      <c r="G252" s="159">
        <v>5521.0</v>
      </c>
      <c r="H252" s="159">
        <v>40250.92</v>
      </c>
      <c r="I252" s="151"/>
      <c r="J252" s="151"/>
      <c r="K252" s="152"/>
    </row>
    <row r="253" ht="15.75" customHeight="1"/>
    <row r="254" ht="15.75" customHeight="1"/>
    <row r="255" ht="15.75" customHeight="1">
      <c r="A255" s="161" t="s">
        <v>698</v>
      </c>
    </row>
    <row r="256" ht="15.75" customHeight="1"/>
    <row r="257" ht="15.75" customHeight="1"/>
    <row r="258" ht="15.75" customHeight="1"/>
    <row r="259" ht="15.75" customHeight="1">
      <c r="A259" s="136" t="s">
        <v>651</v>
      </c>
      <c r="B259" s="137"/>
      <c r="C259" s="137"/>
      <c r="D259" s="137"/>
      <c r="E259" s="137"/>
      <c r="F259" s="137"/>
      <c r="G259" s="137"/>
      <c r="H259" s="137"/>
      <c r="I259" s="137"/>
      <c r="J259" s="137"/>
      <c r="K259" s="138"/>
    </row>
    <row r="260" ht="15.75" customHeight="1">
      <c r="A260" s="139"/>
      <c r="B260" s="140"/>
      <c r="C260" s="140"/>
      <c r="D260" s="140"/>
      <c r="E260" s="140"/>
      <c r="F260" s="140"/>
      <c r="G260" s="140"/>
      <c r="H260" s="140"/>
      <c r="I260" s="140"/>
      <c r="J260" s="140"/>
      <c r="K260" s="141"/>
    </row>
    <row r="261" ht="15.75" customHeight="1">
      <c r="A261" s="142" t="s">
        <v>12</v>
      </c>
      <c r="B261" s="128" t="s">
        <v>652</v>
      </c>
      <c r="C261" s="128" t="s">
        <v>653</v>
      </c>
      <c r="D261" s="128" t="s">
        <v>654</v>
      </c>
      <c r="E261" s="128" t="s">
        <v>655</v>
      </c>
      <c r="F261" s="128" t="s">
        <v>8</v>
      </c>
      <c r="G261" s="128" t="s">
        <v>656</v>
      </c>
      <c r="H261" s="128" t="s">
        <v>591</v>
      </c>
      <c r="I261" s="128" t="s">
        <v>657</v>
      </c>
      <c r="J261" s="128" t="s">
        <v>658</v>
      </c>
      <c r="K261" s="143" t="s">
        <v>659</v>
      </c>
    </row>
    <row r="262" ht="15.75" customHeight="1">
      <c r="A262" s="144">
        <v>1.0</v>
      </c>
      <c r="B262" s="145">
        <v>2319.0</v>
      </c>
      <c r="C262" s="126">
        <v>3572.23</v>
      </c>
      <c r="D262" s="145" t="s">
        <v>365</v>
      </c>
      <c r="E262" s="126">
        <v>3572.23</v>
      </c>
      <c r="F262" s="126">
        <v>7765.0</v>
      </c>
      <c r="G262" s="126">
        <v>2606.89</v>
      </c>
      <c r="H262" s="129">
        <v>4035.0</v>
      </c>
      <c r="I262" s="126">
        <v>2939.5</v>
      </c>
      <c r="J262" s="145"/>
      <c r="K262" s="146"/>
    </row>
    <row r="263" ht="15.75" customHeight="1">
      <c r="A263" s="144">
        <v>1.0</v>
      </c>
      <c r="B263" s="145"/>
      <c r="C263" s="145"/>
      <c r="D263" s="145" t="s">
        <v>660</v>
      </c>
      <c r="E263" s="126">
        <v>6511.73</v>
      </c>
      <c r="F263" s="145"/>
      <c r="G263" s="145"/>
      <c r="H263" s="145"/>
      <c r="I263" s="145"/>
      <c r="J263" s="145"/>
      <c r="K263" s="146"/>
    </row>
    <row r="264" ht="15.75" customHeight="1">
      <c r="A264" s="144">
        <v>2.0</v>
      </c>
      <c r="B264" s="145">
        <v>9308.0</v>
      </c>
      <c r="C264" s="145"/>
      <c r="D264" s="145" t="s">
        <v>624</v>
      </c>
      <c r="E264" s="145"/>
      <c r="F264" s="145"/>
      <c r="G264" s="145"/>
      <c r="H264" s="145"/>
      <c r="I264" s="145"/>
      <c r="J264" s="145"/>
      <c r="K264" s="147">
        <v>6199.55</v>
      </c>
    </row>
    <row r="265" ht="15.75" customHeight="1">
      <c r="A265" s="144">
        <v>2.0</v>
      </c>
      <c r="B265" s="145"/>
      <c r="C265" s="145"/>
      <c r="D265" s="145" t="s">
        <v>660</v>
      </c>
      <c r="E265" s="145"/>
      <c r="F265" s="145"/>
      <c r="G265" s="145"/>
      <c r="H265" s="145"/>
      <c r="I265" s="145"/>
      <c r="J265" s="145"/>
      <c r="K265" s="146"/>
    </row>
    <row r="266" ht="15.75" customHeight="1">
      <c r="A266" s="144">
        <v>3.0</v>
      </c>
      <c r="B266" s="145">
        <v>6960.0</v>
      </c>
      <c r="C266" s="126">
        <v>1413.57</v>
      </c>
      <c r="D266" s="145" t="s">
        <v>636</v>
      </c>
      <c r="E266" s="126">
        <v>1413.57</v>
      </c>
      <c r="F266" s="126">
        <v>5600.0</v>
      </c>
      <c r="G266" s="126">
        <v>2406.73</v>
      </c>
      <c r="H266" s="129">
        <v>3439.0</v>
      </c>
      <c r="I266" s="126">
        <v>-4700.78</v>
      </c>
      <c r="J266" s="145"/>
      <c r="K266" s="147">
        <v>7778.19</v>
      </c>
    </row>
    <row r="267" ht="15.75" customHeight="1">
      <c r="A267" s="144">
        <v>3.0</v>
      </c>
      <c r="B267" s="145"/>
      <c r="C267" s="126">
        <v>1413.57</v>
      </c>
      <c r="D267" s="145" t="s">
        <v>661</v>
      </c>
      <c r="E267" s="126">
        <v>1413.57</v>
      </c>
      <c r="F267" s="145"/>
      <c r="G267" s="145"/>
      <c r="H267" s="145"/>
      <c r="I267" s="145"/>
      <c r="J267" s="145"/>
      <c r="K267" s="146"/>
    </row>
    <row r="268" ht="15.75" customHeight="1">
      <c r="A268" s="144">
        <v>3.0</v>
      </c>
      <c r="B268" s="145"/>
      <c r="C268" s="145"/>
      <c r="D268" s="145" t="s">
        <v>660</v>
      </c>
      <c r="E268" s="126">
        <v>-3287.21</v>
      </c>
      <c r="F268" s="145"/>
      <c r="G268" s="145"/>
      <c r="H268" s="145"/>
      <c r="I268" s="145"/>
      <c r="J268" s="145"/>
      <c r="K268" s="146"/>
    </row>
    <row r="269" ht="15.75" customHeight="1">
      <c r="A269" s="144">
        <v>4.0</v>
      </c>
      <c r="B269" s="145">
        <v>5653.0</v>
      </c>
      <c r="C269" s="145"/>
      <c r="D269" s="145"/>
      <c r="E269" s="145"/>
      <c r="F269" s="145"/>
      <c r="G269" s="145"/>
      <c r="H269" s="145"/>
      <c r="I269" s="145"/>
      <c r="J269" s="145"/>
      <c r="K269" s="146"/>
    </row>
    <row r="270" ht="15.75" customHeight="1">
      <c r="A270" s="144">
        <v>4.0</v>
      </c>
      <c r="B270" s="145"/>
      <c r="C270" s="145"/>
      <c r="D270" s="145" t="s">
        <v>660</v>
      </c>
      <c r="E270" s="145"/>
      <c r="F270" s="145"/>
      <c r="G270" s="145"/>
      <c r="H270" s="145"/>
      <c r="I270" s="145"/>
      <c r="J270" s="145"/>
      <c r="K270" s="146"/>
    </row>
    <row r="271" ht="15.75" customHeight="1">
      <c r="A271" s="144">
        <v>5.0</v>
      </c>
      <c r="B271" s="145">
        <v>7048.0</v>
      </c>
      <c r="C271" s="126">
        <v>3105.2</v>
      </c>
      <c r="D271" s="145" t="s">
        <v>506</v>
      </c>
      <c r="E271" s="126">
        <v>3105.2</v>
      </c>
      <c r="F271" s="126">
        <v>8300.0</v>
      </c>
      <c r="G271" s="126">
        <v>3470.72</v>
      </c>
      <c r="H271" s="129">
        <v>4436.0</v>
      </c>
      <c r="I271" s="126">
        <v>1891.18</v>
      </c>
      <c r="J271" s="145"/>
      <c r="K271" s="146"/>
    </row>
    <row r="272" ht="15.75" customHeight="1">
      <c r="A272" s="144">
        <v>5.0</v>
      </c>
      <c r="B272" s="145"/>
      <c r="C272" s="145"/>
      <c r="D272" s="145" t="s">
        <v>660</v>
      </c>
      <c r="E272" s="126">
        <v>4996.38</v>
      </c>
      <c r="F272" s="145"/>
      <c r="G272" s="145"/>
      <c r="H272" s="145"/>
      <c r="I272" s="145"/>
      <c r="J272" s="145"/>
      <c r="K272" s="146"/>
    </row>
    <row r="273" ht="15.75" customHeight="1">
      <c r="A273" s="144">
        <v>6.0</v>
      </c>
      <c r="B273" s="145">
        <v>9309.0</v>
      </c>
      <c r="C273" s="126">
        <v>2738.45</v>
      </c>
      <c r="D273" s="145" t="s">
        <v>609</v>
      </c>
      <c r="E273" s="126">
        <v>2738.45</v>
      </c>
      <c r="F273" s="126">
        <v>7700.0</v>
      </c>
      <c r="G273" s="126">
        <v>2640.11</v>
      </c>
      <c r="H273" s="129">
        <v>4213.0</v>
      </c>
      <c r="I273" s="126">
        <v>2860.05</v>
      </c>
      <c r="J273" s="145"/>
      <c r="K273" s="146"/>
    </row>
    <row r="274" ht="15.75" customHeight="1">
      <c r="A274" s="144">
        <v>6.0</v>
      </c>
      <c r="B274" s="145"/>
      <c r="C274" s="145"/>
      <c r="D274" s="145" t="s">
        <v>660</v>
      </c>
      <c r="E274" s="126">
        <v>5598.5</v>
      </c>
      <c r="F274" s="145"/>
      <c r="G274" s="145"/>
      <c r="H274" s="145"/>
      <c r="I274" s="145"/>
      <c r="J274" s="145"/>
      <c r="K274" s="146"/>
    </row>
    <row r="275" ht="15.75" customHeight="1">
      <c r="A275" s="144">
        <v>7.0</v>
      </c>
      <c r="B275" s="145">
        <v>8136.0</v>
      </c>
      <c r="C275" s="145"/>
      <c r="D275" s="145"/>
      <c r="E275" s="145"/>
      <c r="F275" s="145"/>
      <c r="G275" s="145"/>
      <c r="H275" s="145"/>
      <c r="I275" s="145"/>
      <c r="J275" s="145"/>
      <c r="K275" s="147">
        <v>3153.04</v>
      </c>
    </row>
    <row r="276" ht="15.75" customHeight="1">
      <c r="A276" s="144">
        <v>7.0</v>
      </c>
      <c r="B276" s="145"/>
      <c r="C276" s="145"/>
      <c r="D276" s="145" t="s">
        <v>660</v>
      </c>
      <c r="E276" s="145"/>
      <c r="F276" s="145"/>
      <c r="G276" s="145"/>
      <c r="H276" s="145"/>
      <c r="I276" s="145"/>
      <c r="J276" s="145"/>
      <c r="K276" s="146"/>
    </row>
    <row r="277" ht="15.75" customHeight="1">
      <c r="A277" s="144">
        <v>8.0</v>
      </c>
      <c r="B277" s="145">
        <v>5490.0</v>
      </c>
      <c r="C277" s="145"/>
      <c r="D277" s="145" t="s">
        <v>603</v>
      </c>
      <c r="E277" s="145"/>
      <c r="F277" s="145"/>
      <c r="G277" s="145"/>
      <c r="H277" s="145"/>
      <c r="I277" s="145"/>
      <c r="J277" s="145"/>
      <c r="K277" s="146"/>
    </row>
    <row r="278" ht="15.75" customHeight="1">
      <c r="A278" s="144">
        <v>8.0</v>
      </c>
      <c r="B278" s="145"/>
      <c r="C278" s="145"/>
      <c r="D278" s="145" t="s">
        <v>660</v>
      </c>
      <c r="E278" s="145"/>
      <c r="F278" s="145"/>
      <c r="G278" s="145"/>
      <c r="H278" s="145"/>
      <c r="I278" s="145"/>
      <c r="J278" s="145"/>
      <c r="K278" s="146"/>
    </row>
    <row r="279" ht="15.75" customHeight="1">
      <c r="A279" s="144">
        <v>9.0</v>
      </c>
      <c r="B279" s="145">
        <v>7607.0</v>
      </c>
      <c r="C279" s="145"/>
      <c r="D279" s="145" t="s">
        <v>606</v>
      </c>
      <c r="E279" s="145"/>
      <c r="F279" s="145"/>
      <c r="G279" s="145"/>
      <c r="H279" s="145"/>
      <c r="I279" s="145"/>
      <c r="J279" s="145"/>
      <c r="K279" s="147">
        <v>1239.54</v>
      </c>
    </row>
    <row r="280" ht="15.75" customHeight="1">
      <c r="A280" s="144">
        <v>9.0</v>
      </c>
      <c r="B280" s="145"/>
      <c r="C280" s="145"/>
      <c r="D280" s="145" t="s">
        <v>660</v>
      </c>
      <c r="E280" s="145"/>
      <c r="F280" s="145"/>
      <c r="G280" s="145"/>
      <c r="H280" s="145"/>
      <c r="I280" s="145"/>
      <c r="J280" s="145"/>
      <c r="K280" s="146"/>
    </row>
    <row r="281" ht="15.75" customHeight="1">
      <c r="A281" s="144"/>
      <c r="B281" s="145"/>
      <c r="C281" s="145"/>
      <c r="D281" s="145"/>
      <c r="E281" s="145"/>
      <c r="F281" s="145"/>
      <c r="G281" s="145"/>
      <c r="H281" s="145"/>
      <c r="I281" s="145"/>
      <c r="J281" s="145"/>
      <c r="K281" s="146"/>
    </row>
    <row r="282" ht="15.75" customHeight="1">
      <c r="A282" s="148" t="s">
        <v>662</v>
      </c>
      <c r="B282" s="145"/>
      <c r="C282" s="145"/>
      <c r="D282" s="145"/>
      <c r="E282" s="145"/>
      <c r="F282" s="145"/>
      <c r="G282" s="145"/>
      <c r="H282" s="145"/>
      <c r="I282" s="145"/>
      <c r="J282" s="145"/>
      <c r="K282" s="146"/>
    </row>
    <row r="283" ht="15.75" customHeight="1">
      <c r="A283" s="144"/>
      <c r="B283" s="145"/>
      <c r="C283" s="145"/>
      <c r="D283" s="145"/>
      <c r="E283" s="145"/>
      <c r="F283" s="145"/>
      <c r="G283" s="145"/>
      <c r="H283" s="145"/>
      <c r="I283" s="145"/>
      <c r="J283" s="145"/>
      <c r="K283" s="146"/>
    </row>
    <row r="284" ht="15.75" customHeight="1">
      <c r="A284" s="142" t="s">
        <v>653</v>
      </c>
      <c r="B284" s="128" t="s">
        <v>655</v>
      </c>
      <c r="C284" s="128" t="s">
        <v>8</v>
      </c>
      <c r="D284" s="128" t="s">
        <v>656</v>
      </c>
      <c r="E284" s="128" t="s">
        <v>591</v>
      </c>
      <c r="F284" s="128" t="s">
        <v>657</v>
      </c>
      <c r="G284" s="128" t="s">
        <v>658</v>
      </c>
      <c r="H284" s="128" t="s">
        <v>659</v>
      </c>
      <c r="I284" s="145"/>
      <c r="J284" s="145"/>
      <c r="K284" s="146"/>
    </row>
    <row r="285" ht="15.75" customHeight="1">
      <c r="A285" s="149">
        <v>12243.02</v>
      </c>
      <c r="B285" s="126">
        <v>26062.42</v>
      </c>
      <c r="C285" s="126">
        <v>29365.0</v>
      </c>
      <c r="D285" s="126">
        <v>11124.45</v>
      </c>
      <c r="E285" s="129">
        <v>16123.0</v>
      </c>
      <c r="F285" s="126">
        <v>2989.95</v>
      </c>
      <c r="G285" s="126">
        <v>0.0</v>
      </c>
      <c r="H285" s="126">
        <v>18370.32</v>
      </c>
      <c r="I285" s="145"/>
      <c r="J285" s="145"/>
      <c r="K285" s="146"/>
    </row>
    <row r="286" ht="15.75" customHeight="1">
      <c r="A286" s="144"/>
      <c r="B286" s="145"/>
      <c r="C286" s="145"/>
      <c r="D286" s="145"/>
      <c r="E286" s="145"/>
      <c r="F286" s="145"/>
      <c r="G286" s="145"/>
      <c r="H286" s="145"/>
      <c r="I286" s="145"/>
      <c r="J286" s="145"/>
      <c r="K286" s="146"/>
    </row>
    <row r="287" ht="15.75" customHeight="1">
      <c r="A287" s="150"/>
      <c r="B287" s="151"/>
      <c r="C287" s="151"/>
      <c r="D287" s="151"/>
      <c r="E287" s="151"/>
      <c r="F287" s="151"/>
      <c r="G287" s="151"/>
      <c r="H287" s="151"/>
      <c r="I287" s="151"/>
      <c r="J287" s="151"/>
      <c r="K287" s="152"/>
    </row>
    <row r="288" ht="15.75" customHeight="1">
      <c r="A288" s="136" t="s">
        <v>663</v>
      </c>
      <c r="B288" s="137"/>
      <c r="C288" s="137"/>
      <c r="D288" s="137"/>
      <c r="E288" s="137"/>
      <c r="F288" s="137"/>
      <c r="G288" s="137"/>
      <c r="H288" s="137"/>
      <c r="I288" s="137"/>
      <c r="J288" s="137"/>
      <c r="K288" s="138"/>
    </row>
    <row r="289" ht="15.75" customHeight="1">
      <c r="A289" s="139"/>
      <c r="B289" s="140"/>
      <c r="C289" s="140"/>
      <c r="D289" s="140"/>
      <c r="E289" s="140"/>
      <c r="F289" s="140"/>
      <c r="G289" s="140"/>
      <c r="H289" s="140"/>
      <c r="I289" s="140"/>
      <c r="J289" s="140"/>
      <c r="K289" s="141"/>
    </row>
    <row r="290" ht="15.75" customHeight="1">
      <c r="A290" s="142" t="s">
        <v>12</v>
      </c>
      <c r="B290" s="128" t="s">
        <v>652</v>
      </c>
      <c r="C290" s="128" t="s">
        <v>653</v>
      </c>
      <c r="D290" s="128" t="s">
        <v>654</v>
      </c>
      <c r="E290" s="128" t="s">
        <v>655</v>
      </c>
      <c r="F290" s="128" t="s">
        <v>8</v>
      </c>
      <c r="G290" s="128" t="s">
        <v>656</v>
      </c>
      <c r="H290" s="128" t="s">
        <v>591</v>
      </c>
      <c r="I290" s="128" t="s">
        <v>657</v>
      </c>
      <c r="J290" s="128" t="s">
        <v>658</v>
      </c>
      <c r="K290" s="143" t="s">
        <v>659</v>
      </c>
    </row>
    <row r="291" ht="15.75" customHeight="1">
      <c r="A291" s="144">
        <v>10.0</v>
      </c>
      <c r="B291" s="145">
        <v>427.0</v>
      </c>
      <c r="C291" s="126">
        <v>3116.45</v>
      </c>
      <c r="D291" s="145" t="s">
        <v>430</v>
      </c>
      <c r="E291" s="126">
        <v>2560.9</v>
      </c>
      <c r="F291" s="126">
        <v>6900.0</v>
      </c>
      <c r="G291" s="126">
        <v>3453.55</v>
      </c>
      <c r="H291" s="129">
        <v>3786.0</v>
      </c>
      <c r="I291" s="126">
        <v>555.55</v>
      </c>
      <c r="J291" s="145"/>
      <c r="K291" s="146"/>
    </row>
    <row r="292" ht="15.75" customHeight="1">
      <c r="A292" s="144">
        <v>10.0</v>
      </c>
      <c r="B292" s="145"/>
      <c r="C292" s="145"/>
      <c r="D292" s="145" t="s">
        <v>664</v>
      </c>
      <c r="E292" s="126">
        <v>3116.45</v>
      </c>
      <c r="F292" s="145"/>
      <c r="G292" s="145"/>
      <c r="H292" s="145"/>
      <c r="I292" s="145"/>
      <c r="J292" s="145"/>
      <c r="K292" s="146"/>
    </row>
    <row r="293" ht="15.75" customHeight="1">
      <c r="A293" s="144">
        <v>11.0</v>
      </c>
      <c r="B293" s="145">
        <v>7265.0</v>
      </c>
      <c r="C293" s="145"/>
      <c r="D293" s="145" t="s">
        <v>595</v>
      </c>
      <c r="E293" s="145"/>
      <c r="F293" s="145"/>
      <c r="G293" s="145"/>
      <c r="H293" s="145"/>
      <c r="I293" s="145"/>
      <c r="J293" s="145"/>
      <c r="K293" s="146"/>
    </row>
    <row r="294" ht="15.75" customHeight="1">
      <c r="A294" s="144">
        <v>11.0</v>
      </c>
      <c r="B294" s="145"/>
      <c r="C294" s="145"/>
      <c r="D294" s="145" t="s">
        <v>664</v>
      </c>
      <c r="E294" s="145"/>
      <c r="F294" s="145"/>
      <c r="G294" s="145"/>
      <c r="H294" s="145"/>
      <c r="I294" s="145"/>
      <c r="J294" s="145"/>
      <c r="K294" s="146"/>
    </row>
    <row r="295" ht="15.75" customHeight="1">
      <c r="A295" s="144">
        <v>12.0</v>
      </c>
      <c r="B295" s="145">
        <v>3819.0</v>
      </c>
      <c r="C295" s="126">
        <v>6021.09</v>
      </c>
      <c r="D295" s="145" t="s">
        <v>594</v>
      </c>
      <c r="E295" s="126">
        <v>3906.4</v>
      </c>
      <c r="F295" s="126">
        <v>10700.0</v>
      </c>
      <c r="G295" s="126">
        <v>3579.76</v>
      </c>
      <c r="H295" s="129">
        <v>5856.0</v>
      </c>
      <c r="I295" s="126">
        <v>2114.69</v>
      </c>
      <c r="J295" s="145"/>
      <c r="K295" s="147">
        <v>66.15</v>
      </c>
    </row>
    <row r="296" ht="15.75" customHeight="1">
      <c r="A296" s="144">
        <v>12.0</v>
      </c>
      <c r="B296" s="145"/>
      <c r="C296" s="145"/>
      <c r="D296" s="145" t="s">
        <v>664</v>
      </c>
      <c r="E296" s="126">
        <v>6021.09</v>
      </c>
      <c r="F296" s="145"/>
      <c r="G296" s="145"/>
      <c r="H296" s="145"/>
      <c r="I296" s="145"/>
      <c r="J296" s="145"/>
      <c r="K296" s="146"/>
    </row>
    <row r="297" ht="15.75" customHeight="1">
      <c r="A297" s="144">
        <v>13.0</v>
      </c>
      <c r="B297" s="145">
        <v>9348.0</v>
      </c>
      <c r="C297" s="126">
        <v>2355.4</v>
      </c>
      <c r="D297" s="145" t="s">
        <v>528</v>
      </c>
      <c r="E297" s="126">
        <v>1799.85</v>
      </c>
      <c r="F297" s="126">
        <v>5800.0</v>
      </c>
      <c r="G297" s="126">
        <v>1539.4</v>
      </c>
      <c r="H297" s="129">
        <v>2769.0</v>
      </c>
      <c r="I297" s="126">
        <v>555.55</v>
      </c>
      <c r="J297" s="145"/>
      <c r="K297" s="146"/>
    </row>
    <row r="298" ht="15.75" customHeight="1">
      <c r="A298" s="144">
        <v>13.0</v>
      </c>
      <c r="B298" s="145"/>
      <c r="C298" s="145"/>
      <c r="D298" s="145" t="s">
        <v>664</v>
      </c>
      <c r="E298" s="126">
        <v>2355.4</v>
      </c>
      <c r="F298" s="145"/>
      <c r="G298" s="145"/>
      <c r="H298" s="145"/>
      <c r="I298" s="145"/>
      <c r="J298" s="145"/>
      <c r="K298" s="146"/>
    </row>
    <row r="299" ht="15.75" customHeight="1">
      <c r="A299" s="144">
        <v>14.0</v>
      </c>
      <c r="B299" s="145">
        <v>7807.0</v>
      </c>
      <c r="C299" s="126">
        <v>3087.05</v>
      </c>
      <c r="D299" s="145" t="s">
        <v>552</v>
      </c>
      <c r="E299" s="126">
        <v>2575.95</v>
      </c>
      <c r="F299" s="126">
        <v>7500.0</v>
      </c>
      <c r="G299" s="126">
        <v>2820.36</v>
      </c>
      <c r="H299" s="129">
        <v>3963.0</v>
      </c>
      <c r="I299" s="126">
        <v>511.1</v>
      </c>
      <c r="J299" s="145"/>
      <c r="K299" s="146"/>
    </row>
    <row r="300" ht="15.75" customHeight="1">
      <c r="A300" s="144">
        <v>14.0</v>
      </c>
      <c r="B300" s="145"/>
      <c r="C300" s="145"/>
      <c r="D300" s="145" t="s">
        <v>665</v>
      </c>
      <c r="E300" s="126">
        <v>3087.05</v>
      </c>
      <c r="F300" s="145"/>
      <c r="G300" s="145"/>
      <c r="H300" s="145"/>
      <c r="I300" s="145"/>
      <c r="J300" s="145"/>
      <c r="K300" s="146"/>
    </row>
    <row r="301" ht="15.75" customHeight="1">
      <c r="A301" s="144">
        <v>15.0</v>
      </c>
      <c r="B301" s="145">
        <v>8479.0</v>
      </c>
      <c r="C301" s="145"/>
      <c r="D301" s="145" t="s">
        <v>437</v>
      </c>
      <c r="E301" s="145"/>
      <c r="F301" s="145"/>
      <c r="G301" s="145"/>
      <c r="H301" s="145"/>
      <c r="I301" s="145"/>
      <c r="J301" s="145"/>
      <c r="K301" s="147">
        <v>1732.1</v>
      </c>
    </row>
    <row r="302" ht="15.75" customHeight="1">
      <c r="A302" s="144">
        <v>15.0</v>
      </c>
      <c r="B302" s="145"/>
      <c r="C302" s="145"/>
      <c r="D302" s="145" t="s">
        <v>666</v>
      </c>
      <c r="E302" s="145"/>
      <c r="F302" s="145"/>
      <c r="G302" s="145"/>
      <c r="H302" s="145"/>
      <c r="I302" s="145"/>
      <c r="J302" s="145"/>
      <c r="K302" s="146"/>
    </row>
    <row r="303" ht="15.75" customHeight="1">
      <c r="A303" s="144"/>
      <c r="B303" s="145"/>
      <c r="C303" s="145"/>
      <c r="D303" s="145"/>
      <c r="E303" s="145"/>
      <c r="F303" s="145"/>
      <c r="G303" s="145"/>
      <c r="H303" s="145"/>
      <c r="I303" s="145"/>
      <c r="J303" s="145"/>
      <c r="K303" s="146"/>
    </row>
    <row r="304" ht="15.75" customHeight="1">
      <c r="A304" s="153" t="s">
        <v>667</v>
      </c>
      <c r="B304" s="145"/>
      <c r="C304" s="145"/>
      <c r="D304" s="145"/>
      <c r="E304" s="145"/>
      <c r="F304" s="145"/>
      <c r="G304" s="145"/>
      <c r="H304" s="145"/>
      <c r="I304" s="145"/>
      <c r="J304" s="145"/>
      <c r="K304" s="146"/>
    </row>
    <row r="305" ht="15.75" customHeight="1">
      <c r="A305" s="142" t="s">
        <v>668</v>
      </c>
      <c r="B305" s="145"/>
      <c r="C305" s="145"/>
      <c r="D305" s="145"/>
      <c r="E305" s="145"/>
      <c r="F305" s="145"/>
      <c r="G305" s="145"/>
      <c r="H305" s="145"/>
      <c r="I305" s="145"/>
      <c r="J305" s="145"/>
      <c r="K305" s="146"/>
    </row>
    <row r="306" ht="15.75" customHeight="1">
      <c r="A306" s="144"/>
      <c r="B306" s="145"/>
      <c r="C306" s="145"/>
      <c r="D306" s="145"/>
      <c r="E306" s="145"/>
      <c r="F306" s="145"/>
      <c r="G306" s="145"/>
      <c r="H306" s="145"/>
      <c r="I306" s="145"/>
      <c r="J306" s="145"/>
      <c r="K306" s="146"/>
    </row>
    <row r="307" ht="15.75" customHeight="1">
      <c r="A307" s="144" t="s">
        <v>669</v>
      </c>
      <c r="B307" s="145"/>
      <c r="C307" s="145"/>
      <c r="D307" s="145"/>
      <c r="E307" s="145"/>
      <c r="F307" s="145"/>
      <c r="G307" s="145"/>
      <c r="H307" s="145"/>
      <c r="I307" s="145"/>
      <c r="J307" s="145"/>
      <c r="K307" s="146"/>
    </row>
    <row r="308" ht="15.75" customHeight="1">
      <c r="A308" s="144"/>
      <c r="B308" s="145"/>
      <c r="C308" s="145"/>
      <c r="D308" s="145"/>
      <c r="E308" s="145"/>
      <c r="F308" s="145"/>
      <c r="G308" s="145"/>
      <c r="H308" s="145"/>
      <c r="I308" s="145"/>
      <c r="J308" s="145"/>
      <c r="K308" s="146"/>
    </row>
    <row r="309" ht="15.75" customHeight="1">
      <c r="A309" s="144" t="s">
        <v>670</v>
      </c>
      <c r="B309" s="145"/>
      <c r="C309" s="145"/>
      <c r="D309" s="145"/>
      <c r="E309" s="145"/>
      <c r="F309" s="145"/>
      <c r="G309" s="145"/>
      <c r="H309" s="145"/>
      <c r="I309" s="145"/>
      <c r="J309" s="145"/>
      <c r="K309" s="146"/>
    </row>
    <row r="310" ht="15.75" customHeight="1">
      <c r="A310" s="144"/>
      <c r="B310" s="145"/>
      <c r="C310" s="145"/>
      <c r="D310" s="145"/>
      <c r="E310" s="145"/>
      <c r="F310" s="145"/>
      <c r="G310" s="145"/>
      <c r="H310" s="145"/>
      <c r="I310" s="145"/>
      <c r="J310" s="145"/>
      <c r="K310" s="146"/>
    </row>
    <row r="311" ht="15.75" customHeight="1">
      <c r="A311" s="144" t="s">
        <v>671</v>
      </c>
      <c r="B311" s="145"/>
      <c r="C311" s="145"/>
      <c r="D311" s="145"/>
      <c r="E311" s="145"/>
      <c r="F311" s="145"/>
      <c r="G311" s="145"/>
      <c r="H311" s="145"/>
      <c r="I311" s="145"/>
      <c r="J311" s="145"/>
      <c r="K311" s="146"/>
    </row>
    <row r="312" ht="15.75" customHeight="1">
      <c r="A312" s="128" t="s">
        <v>672</v>
      </c>
      <c r="B312" s="145"/>
      <c r="C312" s="145"/>
      <c r="D312" s="145"/>
      <c r="E312" s="145"/>
      <c r="F312" s="145"/>
      <c r="G312" s="145"/>
      <c r="H312" s="145"/>
      <c r="I312" s="145"/>
      <c r="J312" s="145"/>
      <c r="K312" s="154"/>
    </row>
    <row r="313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55"/>
    </row>
    <row r="314" ht="15.75" customHeight="1">
      <c r="A314" s="142" t="s">
        <v>12</v>
      </c>
      <c r="B314" s="128" t="s">
        <v>652</v>
      </c>
      <c r="C314" s="128" t="s">
        <v>653</v>
      </c>
      <c r="D314" s="128" t="s">
        <v>654</v>
      </c>
      <c r="E314" s="128" t="s">
        <v>655</v>
      </c>
      <c r="F314" s="128" t="s">
        <v>8</v>
      </c>
      <c r="G314" s="128" t="s">
        <v>656</v>
      </c>
      <c r="H314" s="128" t="s">
        <v>591</v>
      </c>
      <c r="I314" s="128" t="s">
        <v>657</v>
      </c>
      <c r="J314" s="128" t="s">
        <v>658</v>
      </c>
      <c r="K314" s="143" t="s">
        <v>659</v>
      </c>
    </row>
    <row r="315" ht="15.75" customHeight="1">
      <c r="A315" s="144">
        <v>16.0</v>
      </c>
      <c r="B315" s="145">
        <v>9617.0</v>
      </c>
      <c r="C315" s="126">
        <v>5000.1</v>
      </c>
      <c r="D315" s="145" t="s">
        <v>392</v>
      </c>
      <c r="E315" s="126">
        <v>3784.95</v>
      </c>
      <c r="F315" s="126">
        <v>11500.0</v>
      </c>
      <c r="G315" s="126">
        <v>3548.51</v>
      </c>
      <c r="H315" s="129">
        <v>5823.0</v>
      </c>
      <c r="I315" s="126">
        <v>1215.15</v>
      </c>
      <c r="J315" s="145"/>
      <c r="K315" s="147">
        <v>2168.69</v>
      </c>
    </row>
    <row r="316" ht="15.75" customHeight="1">
      <c r="A316" s="144">
        <v>16.0</v>
      </c>
      <c r="B316" s="145"/>
      <c r="C316" s="145"/>
      <c r="D316" s="145" t="s">
        <v>673</v>
      </c>
      <c r="E316" s="126">
        <v>5000.1</v>
      </c>
      <c r="F316" s="145"/>
      <c r="G316" s="145"/>
      <c r="H316" s="145"/>
      <c r="I316" s="145"/>
      <c r="J316" s="145"/>
      <c r="K316" s="146"/>
    </row>
    <row r="317" ht="15.75" customHeight="1">
      <c r="A317" s="144">
        <v>17.0</v>
      </c>
      <c r="B317" s="145">
        <v>2693.0</v>
      </c>
      <c r="C317" s="126">
        <v>873.45</v>
      </c>
      <c r="D317" s="145" t="s">
        <v>501</v>
      </c>
      <c r="E317" s="126">
        <v>1586.4</v>
      </c>
      <c r="F317" s="126">
        <v>3800.0</v>
      </c>
      <c r="G317" s="126">
        <v>1327.41</v>
      </c>
      <c r="H317" s="129">
        <v>2256.0</v>
      </c>
      <c r="I317" s="126">
        <v>-712.95</v>
      </c>
      <c r="J317" s="145"/>
      <c r="K317" s="147">
        <v>2532.41</v>
      </c>
    </row>
    <row r="318" ht="15.75" customHeight="1">
      <c r="A318" s="144">
        <v>17.0</v>
      </c>
      <c r="B318" s="145"/>
      <c r="C318" s="145"/>
      <c r="D318" s="145" t="s">
        <v>674</v>
      </c>
      <c r="E318" s="126">
        <v>873.45</v>
      </c>
      <c r="F318" s="145"/>
      <c r="G318" s="145"/>
      <c r="H318" s="145"/>
      <c r="I318" s="145"/>
      <c r="J318" s="145"/>
      <c r="K318" s="146"/>
    </row>
    <row r="319" ht="15.75" customHeight="1">
      <c r="A319" s="144">
        <v>18.0</v>
      </c>
      <c r="B319" s="145">
        <v>3403.0</v>
      </c>
      <c r="C319" s="126">
        <v>4368.65</v>
      </c>
      <c r="D319" s="145" t="s">
        <v>621</v>
      </c>
      <c r="E319" s="126">
        <v>2405.2</v>
      </c>
      <c r="F319" s="126">
        <v>7500.0</v>
      </c>
      <c r="G319" s="126">
        <v>2370.94</v>
      </c>
      <c r="H319" s="129">
        <v>3933.0</v>
      </c>
      <c r="I319" s="126">
        <v>1963.45</v>
      </c>
      <c r="J319" s="145"/>
      <c r="K319" s="146"/>
    </row>
    <row r="320" ht="15.75" customHeight="1">
      <c r="A320" s="144">
        <v>18.0</v>
      </c>
      <c r="B320" s="145"/>
      <c r="C320" s="145"/>
      <c r="D320" s="145" t="s">
        <v>674</v>
      </c>
      <c r="E320" s="126">
        <v>4368.65</v>
      </c>
      <c r="F320" s="145"/>
      <c r="G320" s="145"/>
      <c r="H320" s="145"/>
      <c r="I320" s="145"/>
      <c r="J320" s="145"/>
      <c r="K320" s="146"/>
    </row>
    <row r="321" ht="15.75" customHeight="1">
      <c r="A321" s="144">
        <v>19.0</v>
      </c>
      <c r="B321" s="145">
        <v>9334.0</v>
      </c>
      <c r="C321" s="126">
        <v>399.71</v>
      </c>
      <c r="D321" s="145" t="s">
        <v>443</v>
      </c>
      <c r="E321" s="126">
        <v>1845.9</v>
      </c>
      <c r="F321" s="126">
        <v>4807.0</v>
      </c>
      <c r="G321" s="126">
        <v>2334.84</v>
      </c>
      <c r="H321" s="129">
        <v>2796.0</v>
      </c>
      <c r="I321" s="126">
        <v>-1446.19</v>
      </c>
      <c r="J321" s="145"/>
      <c r="K321" s="147">
        <v>2107.51</v>
      </c>
    </row>
    <row r="322" ht="15.75" customHeight="1">
      <c r="A322" s="144">
        <v>19.0</v>
      </c>
      <c r="B322" s="145"/>
      <c r="C322" s="145"/>
      <c r="D322" s="145" t="s">
        <v>675</v>
      </c>
      <c r="E322" s="126">
        <v>399.71</v>
      </c>
      <c r="F322" s="145"/>
      <c r="G322" s="145"/>
      <c r="H322" s="145"/>
      <c r="I322" s="145"/>
      <c r="J322" s="145"/>
      <c r="K322" s="146"/>
    </row>
    <row r="323" ht="15.75" customHeight="1">
      <c r="A323" s="144">
        <v>20.0</v>
      </c>
      <c r="B323" s="145">
        <v>2890.0</v>
      </c>
      <c r="C323" s="126">
        <v>-522.45</v>
      </c>
      <c r="D323" s="145" t="s">
        <v>465</v>
      </c>
      <c r="E323" s="126">
        <v>292.5</v>
      </c>
      <c r="F323" s="126">
        <v>800.0</v>
      </c>
      <c r="G323" s="126">
        <v>418.45</v>
      </c>
      <c r="H323" s="145">
        <v>450.0</v>
      </c>
      <c r="I323" s="126">
        <v>-814.95</v>
      </c>
      <c r="J323" s="145"/>
      <c r="K323" s="147">
        <v>290.44</v>
      </c>
    </row>
    <row r="324" ht="15.75" customHeight="1">
      <c r="A324" s="144">
        <v>20.0</v>
      </c>
      <c r="B324" s="145"/>
      <c r="C324" s="145"/>
      <c r="D324" s="145" t="s">
        <v>676</v>
      </c>
      <c r="E324" s="126">
        <v>-522.45</v>
      </c>
      <c r="F324" s="145"/>
      <c r="G324" s="145"/>
      <c r="H324" s="145"/>
      <c r="I324" s="145"/>
      <c r="J324" s="145"/>
      <c r="K324" s="146"/>
    </row>
    <row r="325" ht="15.75" customHeight="1">
      <c r="A325" s="144">
        <v>21.0</v>
      </c>
      <c r="B325" s="145">
        <v>2316.0</v>
      </c>
      <c r="C325" s="126">
        <v>1516.46</v>
      </c>
      <c r="D325" s="145" t="s">
        <v>615</v>
      </c>
      <c r="E325" s="126">
        <v>2236.0</v>
      </c>
      <c r="F325" s="126">
        <v>6705.0</v>
      </c>
      <c r="G325" s="126">
        <v>3007.03</v>
      </c>
      <c r="H325" s="129">
        <v>3440.0</v>
      </c>
      <c r="I325" s="126">
        <v>-719.54</v>
      </c>
      <c r="J325" s="145"/>
      <c r="K325" s="147">
        <v>1480.34</v>
      </c>
    </row>
    <row r="326" ht="15.75" customHeight="1">
      <c r="A326" s="144">
        <v>21.0</v>
      </c>
      <c r="B326" s="145"/>
      <c r="C326" s="145"/>
      <c r="D326" s="145" t="s">
        <v>676</v>
      </c>
      <c r="E326" s="126">
        <v>1516.46</v>
      </c>
      <c r="F326" s="145"/>
      <c r="G326" s="145"/>
      <c r="H326" s="145"/>
      <c r="I326" s="145"/>
      <c r="J326" s="145"/>
      <c r="K326" s="146"/>
    </row>
    <row r="327" ht="15.75" customHeight="1">
      <c r="A327" s="144">
        <v>22.0</v>
      </c>
      <c r="B327" s="145">
        <v>1002.0</v>
      </c>
      <c r="C327" s="145"/>
      <c r="D327" s="145" t="s">
        <v>677</v>
      </c>
      <c r="E327" s="145"/>
      <c r="F327" s="145"/>
      <c r="G327" s="145"/>
      <c r="H327" s="145"/>
      <c r="I327" s="145"/>
      <c r="J327" s="145"/>
      <c r="K327" s="146"/>
    </row>
    <row r="328" ht="15.75" customHeight="1">
      <c r="A328" s="144">
        <v>22.0</v>
      </c>
      <c r="B328" s="145"/>
      <c r="C328" s="145"/>
      <c r="D328" s="145" t="s">
        <v>678</v>
      </c>
      <c r="E328" s="145"/>
      <c r="F328" s="145"/>
      <c r="G328" s="145"/>
      <c r="H328" s="145"/>
      <c r="I328" s="145"/>
      <c r="J328" s="145"/>
      <c r="K328" s="146"/>
    </row>
    <row r="329" ht="15.75" customHeight="1">
      <c r="A329" s="144">
        <v>23.0</v>
      </c>
      <c r="B329" s="145">
        <v>515.0</v>
      </c>
      <c r="C329" s="126">
        <v>2444.85</v>
      </c>
      <c r="D329" s="145" t="s">
        <v>489</v>
      </c>
      <c r="E329" s="126">
        <v>1258.6</v>
      </c>
      <c r="F329" s="126">
        <v>5300.0</v>
      </c>
      <c r="G329" s="126">
        <v>1848.95</v>
      </c>
      <c r="H329" s="129">
        <v>2790.0</v>
      </c>
      <c r="I329" s="126">
        <v>1186.25</v>
      </c>
      <c r="J329" s="126">
        <v>1661.6</v>
      </c>
      <c r="K329" s="147">
        <v>1721.75</v>
      </c>
    </row>
    <row r="330" ht="15.75" customHeight="1">
      <c r="A330" s="144">
        <v>23.0</v>
      </c>
      <c r="B330" s="145"/>
      <c r="C330" s="145"/>
      <c r="D330" s="145" t="s">
        <v>679</v>
      </c>
      <c r="E330" s="126">
        <v>2444.85</v>
      </c>
      <c r="F330" s="145"/>
      <c r="G330" s="145"/>
      <c r="H330" s="145"/>
      <c r="I330" s="145"/>
      <c r="J330" s="145"/>
      <c r="K330" s="146"/>
    </row>
    <row r="331" ht="15.75" customHeight="1">
      <c r="A331" s="144">
        <v>24.0</v>
      </c>
      <c r="B331" s="145">
        <v>514.0</v>
      </c>
      <c r="C331" s="126">
        <v>1552.31</v>
      </c>
      <c r="D331" s="145" t="s">
        <v>539</v>
      </c>
      <c r="E331" s="126">
        <v>1802.45</v>
      </c>
      <c r="F331" s="126">
        <v>3299.0</v>
      </c>
      <c r="G331" s="126">
        <v>1560.47</v>
      </c>
      <c r="H331" s="129">
        <v>2603.0</v>
      </c>
      <c r="I331" s="126">
        <v>-250.14</v>
      </c>
      <c r="J331" s="145"/>
      <c r="K331" s="146"/>
    </row>
    <row r="332" ht="15.75" customHeight="1">
      <c r="A332" s="144">
        <v>24.0</v>
      </c>
      <c r="B332" s="145"/>
      <c r="C332" s="145"/>
      <c r="D332" s="145" t="s">
        <v>679</v>
      </c>
      <c r="E332" s="126">
        <v>1552.31</v>
      </c>
      <c r="F332" s="145"/>
      <c r="G332" s="145"/>
      <c r="H332" s="145"/>
      <c r="I332" s="145"/>
      <c r="J332" s="145"/>
      <c r="K332" s="146"/>
    </row>
    <row r="333" ht="15.75" customHeight="1">
      <c r="A333" s="144">
        <v>25.0</v>
      </c>
      <c r="B333" s="145">
        <v>2932.0</v>
      </c>
      <c r="C333" s="126">
        <v>3212.0</v>
      </c>
      <c r="D333" s="145" t="s">
        <v>613</v>
      </c>
      <c r="E333" s="126">
        <v>2192.95</v>
      </c>
      <c r="F333" s="126">
        <v>7975.0</v>
      </c>
      <c r="G333" s="126">
        <v>2468.84</v>
      </c>
      <c r="H333" s="129">
        <v>4143.0</v>
      </c>
      <c r="I333" s="126">
        <v>1019.05</v>
      </c>
      <c r="J333" s="126">
        <v>1000.0</v>
      </c>
      <c r="K333" s="147">
        <v>3100.0</v>
      </c>
    </row>
    <row r="334" ht="15.75" customHeight="1">
      <c r="A334" s="144">
        <v>25.0</v>
      </c>
      <c r="B334" s="145"/>
      <c r="C334" s="145"/>
      <c r="D334" s="145" t="s">
        <v>680</v>
      </c>
      <c r="E334" s="126">
        <v>3212.0</v>
      </c>
      <c r="F334" s="145"/>
      <c r="G334" s="145"/>
      <c r="H334" s="145"/>
      <c r="I334" s="145"/>
      <c r="J334" s="145"/>
      <c r="K334" s="146"/>
    </row>
    <row r="335" ht="15.75" customHeight="1">
      <c r="A335" s="144">
        <v>26.0</v>
      </c>
      <c r="B335" s="145">
        <v>2774.0</v>
      </c>
      <c r="C335" s="126">
        <v>-1239.4</v>
      </c>
      <c r="D335" s="145" t="s">
        <v>482</v>
      </c>
      <c r="E335" s="126">
        <v>1599.15</v>
      </c>
      <c r="F335" s="126">
        <v>2900.0</v>
      </c>
      <c r="G335" s="126">
        <v>963.61</v>
      </c>
      <c r="H335" s="129">
        <v>1691.0</v>
      </c>
      <c r="I335" s="126">
        <v>-2838.55</v>
      </c>
      <c r="J335" s="145"/>
      <c r="K335" s="147">
        <v>3495.5</v>
      </c>
    </row>
    <row r="336" ht="15.75" customHeight="1">
      <c r="A336" s="144">
        <v>26.0</v>
      </c>
      <c r="B336" s="145"/>
      <c r="C336" s="145"/>
      <c r="D336" s="145" t="s">
        <v>680</v>
      </c>
      <c r="E336" s="126">
        <v>-1239.4</v>
      </c>
      <c r="F336" s="145"/>
      <c r="G336" s="145"/>
      <c r="H336" s="145"/>
      <c r="I336" s="145"/>
      <c r="J336" s="145"/>
      <c r="K336" s="146"/>
    </row>
    <row r="337" ht="15.75" customHeight="1">
      <c r="A337" s="144">
        <v>27.0</v>
      </c>
      <c r="B337" s="145">
        <v>659.0</v>
      </c>
      <c r="C337" s="126">
        <v>2299.58</v>
      </c>
      <c r="D337" s="145" t="s">
        <v>681</v>
      </c>
      <c r="E337" s="126">
        <v>3095.95</v>
      </c>
      <c r="F337" s="126">
        <v>6200.0</v>
      </c>
      <c r="G337" s="126">
        <v>2561.37</v>
      </c>
      <c r="H337" s="129">
        <v>3423.0</v>
      </c>
      <c r="I337" s="126">
        <v>-796.37</v>
      </c>
      <c r="J337" s="145"/>
      <c r="K337" s="146"/>
    </row>
    <row r="338" ht="15.75" customHeight="1">
      <c r="A338" s="144">
        <v>27.0</v>
      </c>
      <c r="B338" s="145"/>
      <c r="C338" s="145"/>
      <c r="D338" s="145" t="s">
        <v>680</v>
      </c>
      <c r="E338" s="126">
        <v>2299.58</v>
      </c>
      <c r="F338" s="145"/>
      <c r="G338" s="145"/>
      <c r="H338" s="145"/>
      <c r="I338" s="145"/>
      <c r="J338" s="145"/>
      <c r="K338" s="146"/>
    </row>
    <row r="339" ht="15.75" customHeight="1">
      <c r="A339" s="144">
        <v>28.0</v>
      </c>
      <c r="B339" s="145">
        <v>3301.0</v>
      </c>
      <c r="C339" s="126">
        <v>3232.44</v>
      </c>
      <c r="D339" s="145" t="s">
        <v>616</v>
      </c>
      <c r="E339" s="126">
        <v>2100.98</v>
      </c>
      <c r="F339" s="126">
        <v>5865.0</v>
      </c>
      <c r="G339" s="126">
        <v>2738.49</v>
      </c>
      <c r="H339" s="129">
        <v>3686.0</v>
      </c>
      <c r="I339" s="126">
        <v>1131.46</v>
      </c>
      <c r="J339" s="126">
        <v>2859.4</v>
      </c>
      <c r="K339" s="147">
        <v>2859.4</v>
      </c>
    </row>
    <row r="340" ht="15.75" customHeight="1">
      <c r="A340" s="144">
        <v>28.0</v>
      </c>
      <c r="B340" s="145"/>
      <c r="C340" s="145"/>
      <c r="D340" s="145" t="s">
        <v>682</v>
      </c>
      <c r="E340" s="126">
        <v>3232.44</v>
      </c>
      <c r="F340" s="145"/>
      <c r="G340" s="145"/>
      <c r="H340" s="145"/>
      <c r="I340" s="145"/>
      <c r="J340" s="145"/>
      <c r="K340" s="146"/>
    </row>
    <row r="341" ht="15.75" customHeight="1">
      <c r="A341" s="144">
        <v>29.0</v>
      </c>
      <c r="B341" s="145">
        <v>913.0</v>
      </c>
      <c r="C341" s="126">
        <v>1854.25</v>
      </c>
      <c r="D341" s="145" t="s">
        <v>630</v>
      </c>
      <c r="E341" s="126">
        <v>1277.25</v>
      </c>
      <c r="F341" s="126">
        <v>4134.0</v>
      </c>
      <c r="G341" s="126">
        <v>1009.62</v>
      </c>
      <c r="H341" s="129">
        <v>1965.0</v>
      </c>
      <c r="I341" s="126">
        <v>577.0</v>
      </c>
      <c r="J341" s="145"/>
      <c r="K341" s="146"/>
    </row>
    <row r="342" ht="15.75" customHeight="1">
      <c r="A342" s="144">
        <v>29.0</v>
      </c>
      <c r="B342" s="145"/>
      <c r="C342" s="145"/>
      <c r="D342" s="145" t="s">
        <v>683</v>
      </c>
      <c r="E342" s="126">
        <v>1854.25</v>
      </c>
      <c r="F342" s="145"/>
      <c r="G342" s="145"/>
      <c r="H342" s="145"/>
      <c r="I342" s="145"/>
      <c r="J342" s="145"/>
      <c r="K342" s="146"/>
    </row>
    <row r="343" ht="15.75" customHeight="1">
      <c r="A343" s="144">
        <v>30.0</v>
      </c>
      <c r="B343" s="145">
        <v>2516.0</v>
      </c>
      <c r="C343" s="126">
        <v>3139.83</v>
      </c>
      <c r="D343" s="145" t="s">
        <v>619</v>
      </c>
      <c r="E343" s="126">
        <v>1740.7</v>
      </c>
      <c r="F343" s="126">
        <v>5900.0</v>
      </c>
      <c r="G343" s="126">
        <v>1929.75</v>
      </c>
      <c r="H343" s="129">
        <v>2678.0</v>
      </c>
      <c r="I343" s="126">
        <v>1399.13</v>
      </c>
      <c r="J343" s="145"/>
      <c r="K343" s="147">
        <v>326.31</v>
      </c>
    </row>
    <row r="344" ht="15.75" customHeight="1">
      <c r="A344" s="144">
        <v>30.0</v>
      </c>
      <c r="B344" s="145"/>
      <c r="C344" s="145"/>
      <c r="D344" s="145" t="s">
        <v>684</v>
      </c>
      <c r="E344" s="126">
        <v>3139.83</v>
      </c>
      <c r="F344" s="145"/>
      <c r="G344" s="145"/>
      <c r="H344" s="145"/>
      <c r="I344" s="145"/>
      <c r="J344" s="145"/>
      <c r="K344" s="146"/>
    </row>
    <row r="345" ht="15.75" customHeight="1">
      <c r="A345" s="144">
        <v>31.0</v>
      </c>
      <c r="B345" s="145">
        <v>997.0</v>
      </c>
      <c r="C345" s="126">
        <v>3167.82</v>
      </c>
      <c r="D345" s="145" t="s">
        <v>685</v>
      </c>
      <c r="E345" s="126">
        <v>2265.75</v>
      </c>
      <c r="F345" s="126">
        <v>6000.0</v>
      </c>
      <c r="G345" s="126">
        <v>1362.18</v>
      </c>
      <c r="H345" s="129">
        <v>3021.0</v>
      </c>
      <c r="I345" s="126">
        <v>902.07</v>
      </c>
      <c r="J345" s="145"/>
      <c r="K345" s="146"/>
    </row>
    <row r="346" ht="15.75" customHeight="1">
      <c r="A346" s="144">
        <v>31.0</v>
      </c>
      <c r="B346" s="145"/>
      <c r="C346" s="145"/>
      <c r="D346" s="145" t="s">
        <v>684</v>
      </c>
      <c r="E346" s="126">
        <v>3167.82</v>
      </c>
      <c r="F346" s="145"/>
      <c r="G346" s="145"/>
      <c r="H346" s="145"/>
      <c r="I346" s="145"/>
      <c r="J346" s="145"/>
      <c r="K346" s="146"/>
    </row>
    <row r="347" ht="15.75" customHeight="1">
      <c r="A347" s="144"/>
      <c r="B347" s="145"/>
      <c r="C347" s="145"/>
      <c r="D347" s="145"/>
      <c r="E347" s="145"/>
      <c r="F347" s="145"/>
      <c r="G347" s="145"/>
      <c r="H347" s="145"/>
      <c r="I347" s="145"/>
      <c r="J347" s="145"/>
      <c r="K347" s="146"/>
    </row>
    <row r="348" ht="15.75" customHeight="1">
      <c r="A348" s="148" t="s">
        <v>686</v>
      </c>
      <c r="B348" s="145"/>
      <c r="C348" s="145"/>
      <c r="D348" s="145"/>
      <c r="E348" s="145"/>
      <c r="F348" s="145"/>
      <c r="G348" s="145"/>
      <c r="H348" s="145"/>
      <c r="I348" s="145"/>
      <c r="J348" s="145"/>
      <c r="K348" s="146"/>
    </row>
    <row r="349" ht="15.75" customHeight="1">
      <c r="A349" s="144"/>
      <c r="B349" s="145"/>
      <c r="C349" s="145"/>
      <c r="D349" s="145"/>
      <c r="E349" s="145"/>
      <c r="F349" s="145"/>
      <c r="G349" s="145"/>
      <c r="H349" s="145"/>
      <c r="I349" s="145"/>
      <c r="J349" s="145"/>
      <c r="K349" s="146"/>
    </row>
    <row r="350" ht="15.75" customHeight="1">
      <c r="A350" s="142" t="s">
        <v>653</v>
      </c>
      <c r="B350" s="128" t="s">
        <v>655</v>
      </c>
      <c r="C350" s="128" t="s">
        <v>8</v>
      </c>
      <c r="D350" s="128" t="s">
        <v>656</v>
      </c>
      <c r="E350" s="128" t="s">
        <v>591</v>
      </c>
      <c r="F350" s="128" t="s">
        <v>657</v>
      </c>
      <c r="G350" s="128" t="s">
        <v>658</v>
      </c>
      <c r="H350" s="128" t="s">
        <v>659</v>
      </c>
      <c r="I350" s="145"/>
      <c r="J350" s="145"/>
      <c r="K350" s="146"/>
    </row>
    <row r="351" ht="15.75" customHeight="1">
      <c r="A351" s="149">
        <v>47499.59</v>
      </c>
      <c r="B351" s="126">
        <v>86207.42</v>
      </c>
      <c r="C351" s="126">
        <v>113585.0</v>
      </c>
      <c r="D351" s="126">
        <v>40843.53</v>
      </c>
      <c r="E351" s="129">
        <v>61072.0</v>
      </c>
      <c r="F351" s="126">
        <v>5551.76</v>
      </c>
      <c r="G351" s="126">
        <v>5521.0</v>
      </c>
      <c r="H351" s="126">
        <v>21880.6</v>
      </c>
      <c r="I351" s="145"/>
      <c r="J351" s="145"/>
      <c r="K351" s="146"/>
    </row>
    <row r="352" ht="15.75" customHeight="1">
      <c r="A352" s="144"/>
      <c r="B352" s="145"/>
      <c r="C352" s="145"/>
      <c r="D352" s="145"/>
      <c r="E352" s="145"/>
      <c r="F352" s="145"/>
      <c r="G352" s="145"/>
      <c r="H352" s="145"/>
      <c r="I352" s="145"/>
      <c r="J352" s="145"/>
      <c r="K352" s="146"/>
    </row>
    <row r="353" ht="15.75" customHeight="1">
      <c r="A353" s="150"/>
      <c r="B353" s="151"/>
      <c r="C353" s="151"/>
      <c r="D353" s="151"/>
      <c r="E353" s="151"/>
      <c r="F353" s="151"/>
      <c r="G353" s="151"/>
      <c r="H353" s="151"/>
      <c r="I353" s="151"/>
      <c r="J353" s="151"/>
      <c r="K353" s="152"/>
    </row>
    <row r="354" ht="15.75" customHeight="1">
      <c r="A354" s="136" t="s">
        <v>687</v>
      </c>
      <c r="B354" s="137"/>
      <c r="C354" s="137"/>
      <c r="D354" s="137"/>
      <c r="E354" s="137"/>
      <c r="F354" s="137"/>
      <c r="G354" s="137"/>
      <c r="H354" s="137"/>
      <c r="I354" s="137"/>
      <c r="J354" s="137"/>
      <c r="K354" s="138"/>
    </row>
    <row r="355" ht="15.75" customHeight="1">
      <c r="A355" s="139"/>
      <c r="B355" s="140"/>
      <c r="C355" s="140"/>
      <c r="D355" s="140"/>
      <c r="E355" s="140"/>
      <c r="F355" s="140"/>
      <c r="G355" s="140"/>
      <c r="H355" s="140"/>
      <c r="I355" s="140"/>
      <c r="J355" s="140"/>
      <c r="K355" s="141"/>
    </row>
    <row r="356" ht="15.75" customHeight="1">
      <c r="A356" s="153" t="s">
        <v>688</v>
      </c>
      <c r="B356" s="145"/>
      <c r="C356" s="145"/>
      <c r="D356" s="145"/>
      <c r="E356" s="145"/>
      <c r="F356" s="145"/>
      <c r="G356" s="145"/>
      <c r="H356" s="145"/>
      <c r="I356" s="145"/>
      <c r="J356" s="145"/>
      <c r="K356" s="146"/>
    </row>
    <row r="357" ht="15.75" customHeight="1">
      <c r="A357" s="142" t="s">
        <v>668</v>
      </c>
      <c r="B357" s="145"/>
      <c r="C357" s="145"/>
      <c r="D357" s="145"/>
      <c r="E357" s="145"/>
      <c r="F357" s="145"/>
      <c r="G357" s="145"/>
      <c r="H357" s="145"/>
      <c r="I357" s="145"/>
      <c r="J357" s="145"/>
      <c r="K357" s="146"/>
    </row>
    <row r="358" ht="15.75" customHeight="1">
      <c r="A358" s="144"/>
      <c r="B358" s="145"/>
      <c r="C358" s="145"/>
      <c r="D358" s="145"/>
      <c r="E358" s="145"/>
      <c r="F358" s="145"/>
      <c r="G358" s="145"/>
      <c r="H358" s="145"/>
      <c r="I358" s="145"/>
      <c r="J358" s="145"/>
      <c r="K358" s="146"/>
    </row>
    <row r="359" ht="15.75" customHeight="1">
      <c r="A359" s="144" t="s">
        <v>689</v>
      </c>
      <c r="B359" s="145"/>
      <c r="C359" s="145"/>
      <c r="D359" s="145"/>
      <c r="E359" s="145"/>
      <c r="F359" s="145"/>
      <c r="G359" s="145"/>
      <c r="H359" s="145"/>
      <c r="I359" s="145"/>
      <c r="J359" s="145"/>
      <c r="K359" s="146"/>
    </row>
    <row r="360" ht="15.75" customHeight="1">
      <c r="A360" s="144"/>
      <c r="B360" s="145"/>
      <c r="C360" s="145"/>
      <c r="D360" s="145"/>
      <c r="E360" s="145"/>
      <c r="F360" s="145"/>
      <c r="G360" s="145"/>
      <c r="H360" s="145"/>
      <c r="I360" s="145"/>
      <c r="J360" s="145"/>
      <c r="K360" s="146"/>
    </row>
    <row r="361" ht="15.75" customHeight="1">
      <c r="A361" s="144" t="s">
        <v>690</v>
      </c>
      <c r="B361" s="145"/>
      <c r="C361" s="145"/>
      <c r="D361" s="145"/>
      <c r="E361" s="145"/>
      <c r="F361" s="145"/>
      <c r="G361" s="145"/>
      <c r="H361" s="145"/>
      <c r="I361" s="145"/>
      <c r="J361" s="145"/>
      <c r="K361" s="146"/>
    </row>
    <row r="362" ht="15.75" customHeight="1">
      <c r="A362" s="144"/>
      <c r="B362" s="145"/>
      <c r="C362" s="145"/>
      <c r="D362" s="145"/>
      <c r="E362" s="145"/>
      <c r="F362" s="145"/>
      <c r="G362" s="145"/>
      <c r="H362" s="145"/>
      <c r="I362" s="145"/>
      <c r="J362" s="145"/>
      <c r="K362" s="146"/>
    </row>
    <row r="363" ht="15.75" customHeight="1">
      <c r="A363" s="144" t="s">
        <v>691</v>
      </c>
      <c r="B363" s="145"/>
      <c r="C363" s="145"/>
      <c r="D363" s="145"/>
      <c r="E363" s="145"/>
      <c r="F363" s="145"/>
      <c r="G363" s="145"/>
      <c r="H363" s="145"/>
      <c r="I363" s="145"/>
      <c r="J363" s="145"/>
      <c r="K363" s="146"/>
    </row>
    <row r="364" ht="15.75" customHeight="1">
      <c r="A364" s="142" t="s">
        <v>692</v>
      </c>
      <c r="B364" s="145"/>
      <c r="C364" s="145"/>
      <c r="D364" s="145"/>
      <c r="E364" s="145"/>
      <c r="F364" s="145"/>
      <c r="G364" s="145"/>
      <c r="H364" s="145"/>
      <c r="I364" s="145"/>
      <c r="J364" s="145"/>
      <c r="K364" s="146"/>
    </row>
    <row r="365" ht="15.75" customHeight="1">
      <c r="A365" s="144"/>
      <c r="B365" s="145"/>
      <c r="C365" s="145"/>
      <c r="D365" s="145"/>
      <c r="E365" s="145"/>
      <c r="F365" s="145"/>
      <c r="G365" s="145"/>
      <c r="H365" s="145"/>
      <c r="I365" s="145"/>
      <c r="J365" s="145"/>
      <c r="K365" s="146"/>
    </row>
    <row r="366" ht="15.75" customHeight="1">
      <c r="A366" s="142" t="s">
        <v>12</v>
      </c>
      <c r="B366" s="128" t="s">
        <v>652</v>
      </c>
      <c r="C366" s="128" t="s">
        <v>653</v>
      </c>
      <c r="D366" s="128" t="s">
        <v>654</v>
      </c>
      <c r="E366" s="128" t="s">
        <v>655</v>
      </c>
      <c r="F366" s="128" t="s">
        <v>8</v>
      </c>
      <c r="G366" s="128" t="s">
        <v>656</v>
      </c>
      <c r="H366" s="128" t="s">
        <v>591</v>
      </c>
      <c r="I366" s="128" t="s">
        <v>657</v>
      </c>
      <c r="J366" s="128" t="s">
        <v>658</v>
      </c>
      <c r="K366" s="143" t="s">
        <v>659</v>
      </c>
    </row>
    <row r="367" ht="15.75" customHeight="1">
      <c r="A367" s="144">
        <v>34.0</v>
      </c>
      <c r="B367" s="145">
        <v>6643.0</v>
      </c>
      <c r="C367" s="145"/>
      <c r="D367" s="145" t="s">
        <v>693</v>
      </c>
      <c r="E367" s="145"/>
      <c r="F367" s="145"/>
      <c r="G367" s="145"/>
      <c r="H367" s="145"/>
      <c r="I367" s="145"/>
      <c r="J367" s="145"/>
      <c r="K367" s="146"/>
    </row>
    <row r="368" ht="15.75" customHeight="1">
      <c r="A368" s="144">
        <v>35.0</v>
      </c>
      <c r="B368" s="145">
        <v>8775.0</v>
      </c>
      <c r="C368" s="126">
        <v>3269.22</v>
      </c>
      <c r="D368" s="145" t="s">
        <v>694</v>
      </c>
      <c r="E368" s="126">
        <v>3269.22</v>
      </c>
      <c r="F368" s="126">
        <v>6305.0</v>
      </c>
      <c r="G368" s="126">
        <v>2011.72</v>
      </c>
      <c r="H368" s="129">
        <v>3267.0</v>
      </c>
      <c r="I368" s="126">
        <v>3269.22</v>
      </c>
      <c r="J368" s="145"/>
      <c r="K368" s="146"/>
    </row>
    <row r="369" ht="15.75" customHeight="1">
      <c r="A369" s="144"/>
      <c r="B369" s="145"/>
      <c r="C369" s="145"/>
      <c r="D369" s="145"/>
      <c r="E369" s="145"/>
      <c r="F369" s="145"/>
      <c r="G369" s="145"/>
      <c r="H369" s="145"/>
      <c r="I369" s="145"/>
      <c r="J369" s="145"/>
      <c r="K369" s="146"/>
    </row>
    <row r="370" ht="15.75" customHeight="1">
      <c r="A370" s="148" t="s">
        <v>695</v>
      </c>
      <c r="B370" s="145"/>
      <c r="C370" s="145"/>
      <c r="D370" s="145"/>
      <c r="E370" s="145"/>
      <c r="F370" s="145"/>
      <c r="G370" s="145"/>
      <c r="H370" s="145"/>
      <c r="I370" s="145"/>
      <c r="J370" s="145"/>
      <c r="K370" s="146"/>
    </row>
    <row r="371" ht="15.75" customHeight="1">
      <c r="A371" s="144"/>
      <c r="B371" s="145"/>
      <c r="C371" s="145"/>
      <c r="D371" s="145"/>
      <c r="E371" s="145"/>
      <c r="F371" s="145"/>
      <c r="G371" s="145"/>
      <c r="H371" s="145"/>
      <c r="I371" s="145"/>
      <c r="J371" s="145"/>
      <c r="K371" s="146"/>
    </row>
    <row r="372" ht="15.75" customHeight="1">
      <c r="A372" s="142" t="s">
        <v>653</v>
      </c>
      <c r="B372" s="128" t="s">
        <v>655</v>
      </c>
      <c r="C372" s="128" t="s">
        <v>8</v>
      </c>
      <c r="D372" s="128" t="s">
        <v>656</v>
      </c>
      <c r="E372" s="128" t="s">
        <v>591</v>
      </c>
      <c r="F372" s="128" t="s">
        <v>657</v>
      </c>
      <c r="G372" s="145"/>
      <c r="H372" s="145"/>
      <c r="I372" s="145"/>
      <c r="J372" s="145"/>
      <c r="K372" s="146"/>
    </row>
    <row r="373" ht="15.75" customHeight="1">
      <c r="A373" s="149">
        <v>3269.22</v>
      </c>
      <c r="B373" s="126">
        <v>3269.22</v>
      </c>
      <c r="C373" s="126">
        <v>6305.0</v>
      </c>
      <c r="D373" s="126">
        <v>2011.72</v>
      </c>
      <c r="E373" s="129">
        <v>3267.0</v>
      </c>
      <c r="F373" s="126">
        <v>3269.22</v>
      </c>
      <c r="G373" s="145"/>
      <c r="H373" s="145"/>
      <c r="I373" s="145"/>
      <c r="J373" s="145"/>
      <c r="K373" s="146"/>
    </row>
    <row r="374" ht="15.75" customHeight="1">
      <c r="A374" s="150"/>
      <c r="B374" s="151"/>
      <c r="C374" s="151"/>
      <c r="D374" s="151"/>
      <c r="E374" s="151"/>
      <c r="F374" s="151"/>
      <c r="G374" s="151"/>
      <c r="H374" s="151"/>
      <c r="I374" s="151"/>
      <c r="J374" s="151"/>
      <c r="K374" s="152"/>
    </row>
    <row r="375" ht="15.75" customHeight="1">
      <c r="A375" s="156"/>
      <c r="B375" s="137"/>
      <c r="C375" s="137"/>
      <c r="D375" s="137"/>
      <c r="E375" s="137"/>
      <c r="F375" s="137"/>
      <c r="G375" s="137"/>
      <c r="H375" s="137"/>
      <c r="I375" s="137"/>
      <c r="J375" s="137"/>
      <c r="K375" s="138"/>
    </row>
    <row r="376" ht="15.75" customHeight="1">
      <c r="A376" s="157" t="s">
        <v>696</v>
      </c>
      <c r="B376" s="140"/>
      <c r="C376" s="140"/>
      <c r="D376" s="140"/>
      <c r="E376" s="140"/>
      <c r="F376" s="140"/>
      <c r="G376" s="140"/>
      <c r="H376" s="140"/>
      <c r="I376" s="140"/>
      <c r="J376" s="140"/>
      <c r="K376" s="141"/>
    </row>
    <row r="377" ht="15.75" customHeight="1">
      <c r="A377" s="144"/>
      <c r="B377" s="145"/>
      <c r="C377" s="145"/>
      <c r="D377" s="145"/>
      <c r="E377" s="145"/>
      <c r="F377" s="145"/>
      <c r="G377" s="145"/>
      <c r="H377" s="145"/>
      <c r="I377" s="145"/>
      <c r="J377" s="145"/>
      <c r="K377" s="146"/>
    </row>
    <row r="378" ht="15.75" customHeight="1">
      <c r="A378" s="142" t="s">
        <v>653</v>
      </c>
      <c r="B378" s="128" t="s">
        <v>655</v>
      </c>
      <c r="C378" s="128" t="s">
        <v>8</v>
      </c>
      <c r="D378" s="128" t="s">
        <v>656</v>
      </c>
      <c r="E378" s="128" t="s">
        <v>591</v>
      </c>
      <c r="F378" s="128" t="s">
        <v>657</v>
      </c>
      <c r="G378" s="128" t="s">
        <v>658</v>
      </c>
      <c r="H378" s="128" t="s">
        <v>659</v>
      </c>
      <c r="I378" s="145"/>
      <c r="J378" s="145"/>
      <c r="K378" s="146"/>
    </row>
    <row r="379" ht="15.75" customHeight="1">
      <c r="A379" s="158">
        <v>63011.83</v>
      </c>
      <c r="B379" s="159">
        <v>115539.06</v>
      </c>
      <c r="C379" s="159">
        <v>149255.0</v>
      </c>
      <c r="D379" s="159">
        <v>53979.7</v>
      </c>
      <c r="E379" s="160">
        <v>80462.0</v>
      </c>
      <c r="F379" s="159">
        <v>11810.93</v>
      </c>
      <c r="G379" s="159">
        <v>5521.0</v>
      </c>
      <c r="H379" s="159">
        <v>40250.92</v>
      </c>
      <c r="I379" s="151"/>
      <c r="J379" s="151"/>
      <c r="K379" s="152"/>
    </row>
    <row r="380" ht="15.75" customHeight="1"/>
    <row r="381" ht="15.75" customHeight="1"/>
    <row r="382" ht="15.75" customHeight="1">
      <c r="A382" s="162" t="s">
        <v>699</v>
      </c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</row>
    <row r="386" ht="15.75" customHeight="1">
      <c r="A386" s="164" t="s">
        <v>651</v>
      </c>
      <c r="B386" s="165"/>
      <c r="C386" s="165"/>
      <c r="D386" s="165"/>
      <c r="E386" s="165"/>
      <c r="F386" s="165"/>
      <c r="G386" s="165"/>
      <c r="H386" s="165"/>
      <c r="I386" s="165"/>
      <c r="J386" s="165"/>
      <c r="K386" s="166"/>
    </row>
    <row r="387" ht="15.75" customHeight="1">
      <c r="A387" s="167"/>
      <c r="B387" s="168"/>
      <c r="C387" s="168"/>
      <c r="D387" s="168"/>
      <c r="E387" s="168"/>
      <c r="F387" s="168"/>
      <c r="G387" s="168"/>
      <c r="H387" s="168"/>
      <c r="I387" s="168"/>
      <c r="J387" s="168"/>
      <c r="K387" s="169"/>
    </row>
    <row r="388" ht="15.75" customHeight="1">
      <c r="A388" s="170" t="s">
        <v>12</v>
      </c>
      <c r="B388" s="171" t="s">
        <v>652</v>
      </c>
      <c r="C388" s="171" t="s">
        <v>653</v>
      </c>
      <c r="D388" s="171" t="s">
        <v>654</v>
      </c>
      <c r="E388" s="171" t="s">
        <v>655</v>
      </c>
      <c r="F388" s="171" t="s">
        <v>8</v>
      </c>
      <c r="G388" s="171" t="s">
        <v>656</v>
      </c>
      <c r="H388" s="171" t="s">
        <v>591</v>
      </c>
      <c r="I388" s="171" t="s">
        <v>657</v>
      </c>
      <c r="J388" s="171" t="s">
        <v>658</v>
      </c>
      <c r="K388" s="172" t="s">
        <v>659</v>
      </c>
    </row>
    <row r="389" ht="15.75" customHeight="1">
      <c r="A389" s="173">
        <v>1.0</v>
      </c>
      <c r="B389" s="174">
        <v>2319.0</v>
      </c>
      <c r="C389" s="175">
        <v>3572.23</v>
      </c>
      <c r="D389" s="163" t="s">
        <v>365</v>
      </c>
      <c r="E389" s="175">
        <v>3572.23</v>
      </c>
      <c r="F389" s="175">
        <v>7765.0</v>
      </c>
      <c r="G389" s="175">
        <v>2606.89</v>
      </c>
      <c r="H389" s="176">
        <v>4035.0</v>
      </c>
      <c r="I389" s="175">
        <v>2939.5</v>
      </c>
      <c r="J389" s="163"/>
      <c r="K389" s="177"/>
    </row>
    <row r="390" ht="15.75" customHeight="1">
      <c r="A390" s="173">
        <v>1.0</v>
      </c>
      <c r="B390" s="163"/>
      <c r="C390" s="163"/>
      <c r="D390" s="163" t="s">
        <v>660</v>
      </c>
      <c r="E390" s="175">
        <v>6511.73</v>
      </c>
      <c r="F390" s="163"/>
      <c r="G390" s="163"/>
      <c r="H390" s="163"/>
      <c r="I390" s="163"/>
      <c r="J390" s="163"/>
      <c r="K390" s="177"/>
    </row>
    <row r="391" ht="15.75" customHeight="1">
      <c r="A391" s="173">
        <v>2.0</v>
      </c>
      <c r="B391" s="174">
        <v>9308.0</v>
      </c>
      <c r="C391" s="163"/>
      <c r="D391" s="163" t="s">
        <v>624</v>
      </c>
      <c r="E391" s="163"/>
      <c r="F391" s="163"/>
      <c r="G391" s="163"/>
      <c r="H391" s="163"/>
      <c r="I391" s="163"/>
      <c r="J391" s="163"/>
      <c r="K391" s="178">
        <v>6199.55</v>
      </c>
    </row>
    <row r="392" ht="15.75" customHeight="1">
      <c r="A392" s="173">
        <v>2.0</v>
      </c>
      <c r="B392" s="163"/>
      <c r="C392" s="163"/>
      <c r="D392" s="163" t="s">
        <v>660</v>
      </c>
      <c r="E392" s="163"/>
      <c r="F392" s="163"/>
      <c r="G392" s="163"/>
      <c r="H392" s="163"/>
      <c r="I392" s="163"/>
      <c r="J392" s="163"/>
      <c r="K392" s="177"/>
    </row>
    <row r="393" ht="15.75" customHeight="1">
      <c r="A393" s="173">
        <v>3.0</v>
      </c>
      <c r="B393" s="174">
        <v>6960.0</v>
      </c>
      <c r="C393" s="175">
        <v>1413.57</v>
      </c>
      <c r="D393" s="163" t="s">
        <v>636</v>
      </c>
      <c r="E393" s="175">
        <v>1413.57</v>
      </c>
      <c r="F393" s="175">
        <v>5600.0</v>
      </c>
      <c r="G393" s="175">
        <v>2406.73</v>
      </c>
      <c r="H393" s="176">
        <v>3439.0</v>
      </c>
      <c r="I393" s="179">
        <v>-4700.78</v>
      </c>
      <c r="J393" s="163"/>
      <c r="K393" s="178">
        <v>7778.19</v>
      </c>
    </row>
    <row r="394" ht="15.75" customHeight="1">
      <c r="A394" s="173">
        <v>3.0</v>
      </c>
      <c r="B394" s="163"/>
      <c r="C394" s="175">
        <v>1413.57</v>
      </c>
      <c r="D394" s="163" t="s">
        <v>661</v>
      </c>
      <c r="E394" s="175">
        <v>1413.57</v>
      </c>
      <c r="F394" s="163"/>
      <c r="G394" s="163"/>
      <c r="H394" s="163"/>
      <c r="I394" s="163"/>
      <c r="J394" s="163"/>
      <c r="K394" s="177"/>
    </row>
    <row r="395" ht="15.75" customHeight="1">
      <c r="A395" s="173">
        <v>3.0</v>
      </c>
      <c r="B395" s="163"/>
      <c r="C395" s="163"/>
      <c r="D395" s="163" t="s">
        <v>660</v>
      </c>
      <c r="E395" s="179">
        <v>-3287.21</v>
      </c>
      <c r="F395" s="163"/>
      <c r="G395" s="163"/>
      <c r="H395" s="163"/>
      <c r="I395" s="163"/>
      <c r="J395" s="163"/>
      <c r="K395" s="177"/>
    </row>
    <row r="396" ht="15.75" customHeight="1">
      <c r="A396" s="173">
        <v>4.0</v>
      </c>
      <c r="B396" s="174">
        <v>5653.0</v>
      </c>
      <c r="C396" s="163"/>
      <c r="D396" s="163"/>
      <c r="E396" s="163"/>
      <c r="F396" s="163"/>
      <c r="G396" s="163"/>
      <c r="H396" s="163"/>
      <c r="I396" s="163"/>
      <c r="J396" s="163"/>
      <c r="K396" s="177"/>
    </row>
    <row r="397" ht="15.75" customHeight="1">
      <c r="A397" s="173">
        <v>4.0</v>
      </c>
      <c r="B397" s="163"/>
      <c r="C397" s="163"/>
      <c r="D397" s="163" t="s">
        <v>660</v>
      </c>
      <c r="E397" s="163"/>
      <c r="F397" s="163"/>
      <c r="G397" s="163"/>
      <c r="H397" s="163"/>
      <c r="I397" s="163"/>
      <c r="J397" s="163"/>
      <c r="K397" s="177"/>
    </row>
    <row r="398" ht="15.75" customHeight="1">
      <c r="A398" s="173">
        <v>5.0</v>
      </c>
      <c r="B398" s="174">
        <v>7048.0</v>
      </c>
      <c r="C398" s="175">
        <v>3105.2</v>
      </c>
      <c r="D398" s="163" t="s">
        <v>506</v>
      </c>
      <c r="E398" s="175">
        <v>3105.2</v>
      </c>
      <c r="F398" s="175">
        <v>8300.0</v>
      </c>
      <c r="G398" s="175">
        <v>3470.72</v>
      </c>
      <c r="H398" s="176">
        <v>4436.0</v>
      </c>
      <c r="I398" s="175">
        <v>1891.18</v>
      </c>
      <c r="J398" s="163"/>
      <c r="K398" s="177"/>
    </row>
    <row r="399" ht="15.75" customHeight="1">
      <c r="A399" s="173">
        <v>5.0</v>
      </c>
      <c r="B399" s="163"/>
      <c r="C399" s="163"/>
      <c r="D399" s="163" t="s">
        <v>660</v>
      </c>
      <c r="E399" s="175">
        <v>4996.38</v>
      </c>
      <c r="F399" s="163"/>
      <c r="G399" s="163"/>
      <c r="H399" s="163"/>
      <c r="I399" s="163"/>
      <c r="J399" s="163"/>
      <c r="K399" s="177"/>
    </row>
    <row r="400" ht="15.75" customHeight="1">
      <c r="A400" s="173">
        <v>6.0</v>
      </c>
      <c r="B400" s="174">
        <v>9309.0</v>
      </c>
      <c r="C400" s="175">
        <v>2738.45</v>
      </c>
      <c r="D400" s="163" t="s">
        <v>609</v>
      </c>
      <c r="E400" s="175">
        <v>2738.45</v>
      </c>
      <c r="F400" s="175">
        <v>7700.0</v>
      </c>
      <c r="G400" s="175">
        <v>2640.11</v>
      </c>
      <c r="H400" s="176">
        <v>4213.0</v>
      </c>
      <c r="I400" s="175">
        <v>2860.05</v>
      </c>
      <c r="J400" s="163"/>
      <c r="K400" s="177"/>
    </row>
    <row r="401" ht="15.75" customHeight="1">
      <c r="A401" s="173">
        <v>6.0</v>
      </c>
      <c r="B401" s="163"/>
      <c r="C401" s="163"/>
      <c r="D401" s="163" t="s">
        <v>660</v>
      </c>
      <c r="E401" s="175">
        <v>5598.5</v>
      </c>
      <c r="F401" s="163"/>
      <c r="G401" s="163"/>
      <c r="H401" s="163"/>
      <c r="I401" s="163"/>
      <c r="J401" s="163"/>
      <c r="K401" s="177"/>
    </row>
    <row r="402" ht="15.75" customHeight="1">
      <c r="A402" s="173">
        <v>7.0</v>
      </c>
      <c r="B402" s="174">
        <v>8136.0</v>
      </c>
      <c r="C402" s="163"/>
      <c r="D402" s="163"/>
      <c r="E402" s="163"/>
      <c r="F402" s="163"/>
      <c r="G402" s="163"/>
      <c r="H402" s="163"/>
      <c r="I402" s="163"/>
      <c r="J402" s="163"/>
      <c r="K402" s="178">
        <v>3153.04</v>
      </c>
    </row>
    <row r="403" ht="15.75" customHeight="1">
      <c r="A403" s="173">
        <v>7.0</v>
      </c>
      <c r="B403" s="163"/>
      <c r="C403" s="163"/>
      <c r="D403" s="163" t="s">
        <v>660</v>
      </c>
      <c r="E403" s="163"/>
      <c r="F403" s="163"/>
      <c r="G403" s="163"/>
      <c r="H403" s="163"/>
      <c r="I403" s="163"/>
      <c r="J403" s="163"/>
      <c r="K403" s="177"/>
    </row>
    <row r="404" ht="15.75" customHeight="1">
      <c r="A404" s="173">
        <v>8.0</v>
      </c>
      <c r="B404" s="174">
        <v>5490.0</v>
      </c>
      <c r="C404" s="163"/>
      <c r="D404" s="163" t="s">
        <v>603</v>
      </c>
      <c r="E404" s="163"/>
      <c r="F404" s="163"/>
      <c r="G404" s="163"/>
      <c r="H404" s="163"/>
      <c r="I404" s="163"/>
      <c r="J404" s="163"/>
      <c r="K404" s="177"/>
    </row>
    <row r="405" ht="15.75" customHeight="1">
      <c r="A405" s="173">
        <v>8.0</v>
      </c>
      <c r="B405" s="163"/>
      <c r="C405" s="163"/>
      <c r="D405" s="163" t="s">
        <v>660</v>
      </c>
      <c r="E405" s="163"/>
      <c r="F405" s="163"/>
      <c r="G405" s="163"/>
      <c r="H405" s="163"/>
      <c r="I405" s="163"/>
      <c r="J405" s="163"/>
      <c r="K405" s="177"/>
    </row>
    <row r="406" ht="15.75" customHeight="1">
      <c r="A406" s="173">
        <v>9.0</v>
      </c>
      <c r="B406" s="174">
        <v>7607.0</v>
      </c>
      <c r="C406" s="163"/>
      <c r="D406" s="163" t="s">
        <v>606</v>
      </c>
      <c r="E406" s="163"/>
      <c r="F406" s="163"/>
      <c r="G406" s="163"/>
      <c r="H406" s="163"/>
      <c r="I406" s="163"/>
      <c r="J406" s="163"/>
      <c r="K406" s="178">
        <v>1239.54</v>
      </c>
    </row>
    <row r="407" ht="15.75" customHeight="1">
      <c r="A407" s="173">
        <v>9.0</v>
      </c>
      <c r="B407" s="163"/>
      <c r="C407" s="163"/>
      <c r="D407" s="163" t="s">
        <v>660</v>
      </c>
      <c r="E407" s="163"/>
      <c r="F407" s="163"/>
      <c r="G407" s="163"/>
      <c r="H407" s="163"/>
      <c r="I407" s="163"/>
      <c r="J407" s="163"/>
      <c r="K407" s="177"/>
    </row>
    <row r="408" ht="15.75" customHeight="1">
      <c r="A408" s="180"/>
      <c r="B408" s="163"/>
      <c r="C408" s="163"/>
      <c r="D408" s="163"/>
      <c r="E408" s="163"/>
      <c r="F408" s="163"/>
      <c r="G408" s="163"/>
      <c r="H408" s="163"/>
      <c r="I408" s="163"/>
      <c r="J408" s="163"/>
      <c r="K408" s="177"/>
    </row>
    <row r="409" ht="15.75" customHeight="1">
      <c r="A409" s="181" t="s">
        <v>662</v>
      </c>
      <c r="B409" s="163"/>
      <c r="C409" s="163"/>
      <c r="D409" s="163"/>
      <c r="E409" s="163"/>
      <c r="F409" s="163"/>
      <c r="G409" s="163"/>
      <c r="H409" s="163"/>
      <c r="I409" s="163"/>
      <c r="J409" s="163"/>
      <c r="K409" s="177"/>
    </row>
    <row r="410" ht="15.75" customHeight="1">
      <c r="A410" s="180"/>
      <c r="B410" s="163"/>
      <c r="C410" s="163"/>
      <c r="D410" s="163"/>
      <c r="E410" s="163"/>
      <c r="F410" s="163"/>
      <c r="G410" s="163"/>
      <c r="H410" s="163"/>
      <c r="I410" s="163"/>
      <c r="J410" s="163"/>
      <c r="K410" s="177"/>
    </row>
    <row r="411" ht="15.75" customHeight="1">
      <c r="A411" s="170" t="s">
        <v>653</v>
      </c>
      <c r="B411" s="171" t="s">
        <v>655</v>
      </c>
      <c r="C411" s="171" t="s">
        <v>8</v>
      </c>
      <c r="D411" s="171" t="s">
        <v>656</v>
      </c>
      <c r="E411" s="171" t="s">
        <v>591</v>
      </c>
      <c r="F411" s="171" t="s">
        <v>657</v>
      </c>
      <c r="G411" s="171" t="s">
        <v>658</v>
      </c>
      <c r="H411" s="171" t="s">
        <v>659</v>
      </c>
      <c r="I411" s="163"/>
      <c r="J411" s="163"/>
      <c r="K411" s="177"/>
    </row>
    <row r="412" ht="15.75" customHeight="1">
      <c r="A412" s="182">
        <v>12243.02</v>
      </c>
      <c r="B412" s="175">
        <v>26062.42</v>
      </c>
      <c r="C412" s="175">
        <v>29365.0</v>
      </c>
      <c r="D412" s="175">
        <v>11124.45</v>
      </c>
      <c r="E412" s="176">
        <v>16123.0</v>
      </c>
      <c r="F412" s="175">
        <v>2989.95</v>
      </c>
      <c r="G412" s="175">
        <v>0.0</v>
      </c>
      <c r="H412" s="175">
        <v>18370.32</v>
      </c>
      <c r="I412" s="163"/>
      <c r="J412" s="163"/>
      <c r="K412" s="177"/>
    </row>
    <row r="413" ht="15.75" customHeight="1">
      <c r="A413" s="180"/>
      <c r="B413" s="163"/>
      <c r="C413" s="163"/>
      <c r="D413" s="163"/>
      <c r="E413" s="163"/>
      <c r="F413" s="163"/>
      <c r="G413" s="163"/>
      <c r="H413" s="163"/>
      <c r="I413" s="163"/>
      <c r="J413" s="163"/>
      <c r="K413" s="177"/>
    </row>
    <row r="414" ht="15.75" customHeight="1">
      <c r="A414" s="183"/>
      <c r="B414" s="184"/>
      <c r="C414" s="184"/>
      <c r="D414" s="184"/>
      <c r="E414" s="184"/>
      <c r="F414" s="184"/>
      <c r="G414" s="184"/>
      <c r="H414" s="184"/>
      <c r="I414" s="184"/>
      <c r="J414" s="184"/>
      <c r="K414" s="185"/>
    </row>
    <row r="415" ht="15.75" customHeight="1">
      <c r="A415" s="164" t="s">
        <v>663</v>
      </c>
      <c r="B415" s="165"/>
      <c r="C415" s="165"/>
      <c r="D415" s="165"/>
      <c r="E415" s="165"/>
      <c r="F415" s="165"/>
      <c r="G415" s="165"/>
      <c r="H415" s="165"/>
      <c r="I415" s="165"/>
      <c r="J415" s="165"/>
      <c r="K415" s="166"/>
    </row>
    <row r="416" ht="15.75" customHeight="1">
      <c r="A416" s="167"/>
      <c r="B416" s="168"/>
      <c r="C416" s="168"/>
      <c r="D416" s="168"/>
      <c r="E416" s="168"/>
      <c r="F416" s="168"/>
      <c r="G416" s="168"/>
      <c r="H416" s="168"/>
      <c r="I416" s="168"/>
      <c r="J416" s="168"/>
      <c r="K416" s="169"/>
    </row>
    <row r="417" ht="15.75" customHeight="1">
      <c r="A417" s="170" t="s">
        <v>12</v>
      </c>
      <c r="B417" s="171" t="s">
        <v>652</v>
      </c>
      <c r="C417" s="171" t="s">
        <v>653</v>
      </c>
      <c r="D417" s="171" t="s">
        <v>654</v>
      </c>
      <c r="E417" s="171" t="s">
        <v>655</v>
      </c>
      <c r="F417" s="171" t="s">
        <v>8</v>
      </c>
      <c r="G417" s="171" t="s">
        <v>656</v>
      </c>
      <c r="H417" s="171" t="s">
        <v>591</v>
      </c>
      <c r="I417" s="171" t="s">
        <v>657</v>
      </c>
      <c r="J417" s="171" t="s">
        <v>658</v>
      </c>
      <c r="K417" s="172" t="s">
        <v>659</v>
      </c>
    </row>
    <row r="418" ht="15.75" customHeight="1">
      <c r="A418" s="173">
        <v>10.0</v>
      </c>
      <c r="B418" s="174">
        <v>427.0</v>
      </c>
      <c r="C418" s="175">
        <v>3116.45</v>
      </c>
      <c r="D418" s="163" t="s">
        <v>430</v>
      </c>
      <c r="E418" s="175">
        <v>2560.9</v>
      </c>
      <c r="F418" s="175">
        <v>6900.0</v>
      </c>
      <c r="G418" s="175">
        <v>3453.55</v>
      </c>
      <c r="H418" s="176">
        <v>3786.0</v>
      </c>
      <c r="I418" s="175">
        <v>555.55</v>
      </c>
      <c r="J418" s="163"/>
      <c r="K418" s="177"/>
    </row>
    <row r="419" ht="15.75" customHeight="1">
      <c r="A419" s="173">
        <v>10.0</v>
      </c>
      <c r="B419" s="163"/>
      <c r="C419" s="163"/>
      <c r="D419" s="163" t="s">
        <v>664</v>
      </c>
      <c r="E419" s="175">
        <v>3116.45</v>
      </c>
      <c r="F419" s="163"/>
      <c r="G419" s="163"/>
      <c r="H419" s="163"/>
      <c r="I419" s="163"/>
      <c r="J419" s="163"/>
      <c r="K419" s="177"/>
    </row>
    <row r="420" ht="15.75" customHeight="1">
      <c r="A420" s="173">
        <v>11.0</v>
      </c>
      <c r="B420" s="174">
        <v>7265.0</v>
      </c>
      <c r="C420" s="163"/>
      <c r="D420" s="163" t="s">
        <v>595</v>
      </c>
      <c r="E420" s="163"/>
      <c r="F420" s="163"/>
      <c r="G420" s="163"/>
      <c r="H420" s="163"/>
      <c r="I420" s="163"/>
      <c r="J420" s="163"/>
      <c r="K420" s="177"/>
    </row>
    <row r="421" ht="15.75" customHeight="1">
      <c r="A421" s="173">
        <v>11.0</v>
      </c>
      <c r="B421" s="163"/>
      <c r="C421" s="163"/>
      <c r="D421" s="163" t="s">
        <v>664</v>
      </c>
      <c r="E421" s="163"/>
      <c r="F421" s="163"/>
      <c r="G421" s="163"/>
      <c r="H421" s="163"/>
      <c r="I421" s="163"/>
      <c r="J421" s="163"/>
      <c r="K421" s="177"/>
    </row>
    <row r="422" ht="15.75" customHeight="1">
      <c r="A422" s="173">
        <v>12.0</v>
      </c>
      <c r="B422" s="174">
        <v>3819.0</v>
      </c>
      <c r="C422" s="175">
        <v>6021.09</v>
      </c>
      <c r="D422" s="163" t="s">
        <v>594</v>
      </c>
      <c r="E422" s="175">
        <v>3906.4</v>
      </c>
      <c r="F422" s="175">
        <v>10700.0</v>
      </c>
      <c r="G422" s="175">
        <v>3579.76</v>
      </c>
      <c r="H422" s="176">
        <v>5856.0</v>
      </c>
      <c r="I422" s="175">
        <v>2114.69</v>
      </c>
      <c r="J422" s="163"/>
      <c r="K422" s="178">
        <v>66.15</v>
      </c>
    </row>
    <row r="423" ht="15.75" customHeight="1">
      <c r="A423" s="173">
        <v>12.0</v>
      </c>
      <c r="B423" s="163"/>
      <c r="C423" s="163"/>
      <c r="D423" s="163" t="s">
        <v>664</v>
      </c>
      <c r="E423" s="175">
        <v>6021.09</v>
      </c>
      <c r="F423" s="163"/>
      <c r="G423" s="163"/>
      <c r="H423" s="163"/>
      <c r="I423" s="163"/>
      <c r="J423" s="163"/>
      <c r="K423" s="177"/>
    </row>
    <row r="424" ht="15.75" customHeight="1">
      <c r="A424" s="173">
        <v>13.0</v>
      </c>
      <c r="B424" s="174">
        <v>9348.0</v>
      </c>
      <c r="C424" s="175">
        <v>2355.4</v>
      </c>
      <c r="D424" s="163" t="s">
        <v>528</v>
      </c>
      <c r="E424" s="175">
        <v>1799.85</v>
      </c>
      <c r="F424" s="175">
        <v>5800.0</v>
      </c>
      <c r="G424" s="175">
        <v>1539.4</v>
      </c>
      <c r="H424" s="176">
        <v>2769.0</v>
      </c>
      <c r="I424" s="175">
        <v>555.55</v>
      </c>
      <c r="J424" s="163"/>
      <c r="K424" s="177"/>
    </row>
    <row r="425" ht="15.75" customHeight="1">
      <c r="A425" s="173">
        <v>13.0</v>
      </c>
      <c r="B425" s="163"/>
      <c r="C425" s="163"/>
      <c r="D425" s="163" t="s">
        <v>664</v>
      </c>
      <c r="E425" s="175">
        <v>2355.4</v>
      </c>
      <c r="F425" s="163"/>
      <c r="G425" s="163"/>
      <c r="H425" s="163"/>
      <c r="I425" s="163"/>
      <c r="J425" s="163"/>
      <c r="K425" s="177"/>
    </row>
    <row r="426" ht="15.75" customHeight="1">
      <c r="A426" s="173">
        <v>14.0</v>
      </c>
      <c r="B426" s="174">
        <v>7807.0</v>
      </c>
      <c r="C426" s="175">
        <v>3087.05</v>
      </c>
      <c r="D426" s="163" t="s">
        <v>552</v>
      </c>
      <c r="E426" s="175">
        <v>2575.95</v>
      </c>
      <c r="F426" s="175">
        <v>7500.0</v>
      </c>
      <c r="G426" s="175">
        <v>2820.36</v>
      </c>
      <c r="H426" s="176">
        <v>3963.0</v>
      </c>
      <c r="I426" s="175">
        <v>511.1</v>
      </c>
      <c r="J426" s="163"/>
      <c r="K426" s="177"/>
    </row>
    <row r="427" ht="15.75" customHeight="1">
      <c r="A427" s="173">
        <v>14.0</v>
      </c>
      <c r="B427" s="163"/>
      <c r="C427" s="163"/>
      <c r="D427" s="163" t="s">
        <v>665</v>
      </c>
      <c r="E427" s="175">
        <v>3087.05</v>
      </c>
      <c r="F427" s="163"/>
      <c r="G427" s="163"/>
      <c r="H427" s="163"/>
      <c r="I427" s="163"/>
      <c r="J427" s="163"/>
      <c r="K427" s="177"/>
    </row>
    <row r="428" ht="15.75" customHeight="1">
      <c r="A428" s="173">
        <v>15.0</v>
      </c>
      <c r="B428" s="174">
        <v>8479.0</v>
      </c>
      <c r="C428" s="163"/>
      <c r="D428" s="163" t="s">
        <v>437</v>
      </c>
      <c r="E428" s="163"/>
      <c r="F428" s="163"/>
      <c r="G428" s="163"/>
      <c r="H428" s="163"/>
      <c r="I428" s="163"/>
      <c r="J428" s="163"/>
      <c r="K428" s="178">
        <v>1732.1</v>
      </c>
    </row>
    <row r="429" ht="15.75" customHeight="1">
      <c r="A429" s="173">
        <v>15.0</v>
      </c>
      <c r="B429" s="163"/>
      <c r="C429" s="163"/>
      <c r="D429" s="163" t="s">
        <v>666</v>
      </c>
      <c r="E429" s="163"/>
      <c r="F429" s="163"/>
      <c r="G429" s="163"/>
      <c r="H429" s="163"/>
      <c r="I429" s="163"/>
      <c r="J429" s="163"/>
      <c r="K429" s="177"/>
    </row>
    <row r="430" ht="15.75" customHeight="1">
      <c r="A430" s="180"/>
      <c r="B430" s="163"/>
      <c r="C430" s="163"/>
      <c r="D430" s="163"/>
      <c r="E430" s="163"/>
      <c r="F430" s="163"/>
      <c r="G430" s="163"/>
      <c r="H430" s="163"/>
      <c r="I430" s="163"/>
      <c r="J430" s="163"/>
      <c r="K430" s="177"/>
    </row>
    <row r="431" ht="15.75" customHeight="1">
      <c r="A431" s="186" t="s">
        <v>667</v>
      </c>
      <c r="B431" s="163"/>
      <c r="C431" s="163"/>
      <c r="D431" s="163"/>
      <c r="E431" s="163"/>
      <c r="F431" s="163"/>
      <c r="G431" s="163"/>
      <c r="H431" s="163"/>
      <c r="I431" s="163"/>
      <c r="J431" s="163"/>
      <c r="K431" s="177"/>
    </row>
    <row r="432" ht="15.75" customHeight="1">
      <c r="A432" s="170" t="s">
        <v>668</v>
      </c>
      <c r="B432" s="163"/>
      <c r="C432" s="163"/>
      <c r="D432" s="163"/>
      <c r="E432" s="163"/>
      <c r="F432" s="163"/>
      <c r="G432" s="163"/>
      <c r="H432" s="163"/>
      <c r="I432" s="163"/>
      <c r="J432" s="163"/>
      <c r="K432" s="177"/>
    </row>
    <row r="433" ht="15.75" customHeight="1">
      <c r="A433" s="180"/>
      <c r="B433" s="163"/>
      <c r="C433" s="163"/>
      <c r="D433" s="163"/>
      <c r="E433" s="163"/>
      <c r="F433" s="163"/>
      <c r="G433" s="163"/>
      <c r="H433" s="163"/>
      <c r="I433" s="163"/>
      <c r="J433" s="163"/>
      <c r="K433" s="177"/>
    </row>
    <row r="434" ht="15.75" customHeight="1">
      <c r="A434" s="180" t="s">
        <v>669</v>
      </c>
      <c r="B434" s="163"/>
      <c r="C434" s="163"/>
      <c r="D434" s="163"/>
      <c r="E434" s="163"/>
      <c r="F434" s="163"/>
      <c r="G434" s="163"/>
      <c r="H434" s="163"/>
      <c r="I434" s="163"/>
      <c r="J434" s="163"/>
      <c r="K434" s="177"/>
    </row>
    <row r="435" ht="15.75" customHeight="1">
      <c r="A435" s="180"/>
      <c r="B435" s="163"/>
      <c r="C435" s="163"/>
      <c r="D435" s="163"/>
      <c r="E435" s="163"/>
      <c r="F435" s="163"/>
      <c r="G435" s="163"/>
      <c r="H435" s="163"/>
      <c r="I435" s="163"/>
      <c r="J435" s="163"/>
      <c r="K435" s="177"/>
    </row>
    <row r="436" ht="15.75" customHeight="1">
      <c r="A436" s="180" t="s">
        <v>670</v>
      </c>
      <c r="B436" s="163"/>
      <c r="C436" s="163"/>
      <c r="D436" s="163"/>
      <c r="E436" s="163"/>
      <c r="F436" s="163"/>
      <c r="G436" s="163"/>
      <c r="H436" s="163"/>
      <c r="I436" s="163"/>
      <c r="J436" s="163"/>
      <c r="K436" s="177"/>
    </row>
    <row r="437" ht="15.75" customHeight="1">
      <c r="A437" s="180"/>
      <c r="B437" s="163"/>
      <c r="C437" s="163"/>
      <c r="D437" s="163"/>
      <c r="E437" s="163"/>
      <c r="F437" s="163"/>
      <c r="G437" s="163"/>
      <c r="H437" s="163"/>
      <c r="I437" s="163"/>
      <c r="J437" s="163"/>
      <c r="K437" s="177"/>
    </row>
    <row r="438" ht="15.75" customHeight="1">
      <c r="A438" s="180" t="s">
        <v>671</v>
      </c>
      <c r="B438" s="163"/>
      <c r="C438" s="163"/>
      <c r="D438" s="163"/>
      <c r="E438" s="163"/>
      <c r="F438" s="163"/>
      <c r="G438" s="163"/>
      <c r="H438" s="163"/>
      <c r="I438" s="163"/>
      <c r="J438" s="163"/>
      <c r="K438" s="177"/>
    </row>
    <row r="439" ht="15.75" customHeight="1">
      <c r="A439" s="171" t="s">
        <v>672</v>
      </c>
      <c r="B439" s="163"/>
      <c r="C439" s="163"/>
      <c r="D439" s="163"/>
      <c r="E439" s="163"/>
      <c r="F439" s="163"/>
      <c r="G439" s="163"/>
      <c r="H439" s="163"/>
      <c r="I439" s="163"/>
      <c r="J439" s="163"/>
      <c r="K439" s="187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88"/>
    </row>
    <row r="441" ht="15.75" customHeight="1">
      <c r="A441" s="170" t="s">
        <v>12</v>
      </c>
      <c r="B441" s="171" t="s">
        <v>652</v>
      </c>
      <c r="C441" s="171" t="s">
        <v>653</v>
      </c>
      <c r="D441" s="171" t="s">
        <v>654</v>
      </c>
      <c r="E441" s="171" t="s">
        <v>655</v>
      </c>
      <c r="F441" s="171" t="s">
        <v>8</v>
      </c>
      <c r="G441" s="171" t="s">
        <v>656</v>
      </c>
      <c r="H441" s="171" t="s">
        <v>591</v>
      </c>
      <c r="I441" s="171" t="s">
        <v>657</v>
      </c>
      <c r="J441" s="171" t="s">
        <v>658</v>
      </c>
      <c r="K441" s="172" t="s">
        <v>659</v>
      </c>
    </row>
    <row r="442" ht="15.75" customHeight="1">
      <c r="A442" s="173">
        <v>16.0</v>
      </c>
      <c r="B442" s="174">
        <v>9617.0</v>
      </c>
      <c r="C442" s="175">
        <v>5000.1</v>
      </c>
      <c r="D442" s="163" t="s">
        <v>392</v>
      </c>
      <c r="E442" s="175">
        <v>3784.95</v>
      </c>
      <c r="F442" s="175">
        <v>11500.0</v>
      </c>
      <c r="G442" s="175">
        <v>3548.51</v>
      </c>
      <c r="H442" s="176">
        <v>5823.0</v>
      </c>
      <c r="I442" s="175">
        <v>1215.15</v>
      </c>
      <c r="J442" s="163"/>
      <c r="K442" s="178">
        <v>2168.69</v>
      </c>
    </row>
    <row r="443" ht="15.75" customHeight="1">
      <c r="A443" s="173">
        <v>16.0</v>
      </c>
      <c r="B443" s="163"/>
      <c r="C443" s="163"/>
      <c r="D443" s="163" t="s">
        <v>673</v>
      </c>
      <c r="E443" s="175">
        <v>5000.1</v>
      </c>
      <c r="F443" s="163"/>
      <c r="G443" s="163"/>
      <c r="H443" s="163"/>
      <c r="I443" s="163"/>
      <c r="J443" s="163"/>
      <c r="K443" s="177"/>
    </row>
    <row r="444" ht="15.75" customHeight="1">
      <c r="A444" s="173">
        <v>17.0</v>
      </c>
      <c r="B444" s="174">
        <v>2693.0</v>
      </c>
      <c r="C444" s="175">
        <v>873.45</v>
      </c>
      <c r="D444" s="163" t="s">
        <v>501</v>
      </c>
      <c r="E444" s="175">
        <v>1586.4</v>
      </c>
      <c r="F444" s="175">
        <v>3800.0</v>
      </c>
      <c r="G444" s="175">
        <v>1327.41</v>
      </c>
      <c r="H444" s="176">
        <v>2256.0</v>
      </c>
      <c r="I444" s="179">
        <v>-712.95</v>
      </c>
      <c r="J444" s="163"/>
      <c r="K444" s="178">
        <v>2532.41</v>
      </c>
    </row>
    <row r="445" ht="15.75" customHeight="1">
      <c r="A445" s="173">
        <v>17.0</v>
      </c>
      <c r="B445" s="163"/>
      <c r="C445" s="163"/>
      <c r="D445" s="163" t="s">
        <v>674</v>
      </c>
      <c r="E445" s="175">
        <v>873.45</v>
      </c>
      <c r="F445" s="163"/>
      <c r="G445" s="163"/>
      <c r="H445" s="163"/>
      <c r="I445" s="163"/>
      <c r="J445" s="163"/>
      <c r="K445" s="177"/>
    </row>
    <row r="446" ht="15.75" customHeight="1">
      <c r="A446" s="173">
        <v>18.0</v>
      </c>
      <c r="B446" s="174">
        <v>3403.0</v>
      </c>
      <c r="C446" s="175">
        <v>4368.65</v>
      </c>
      <c r="D446" s="163" t="s">
        <v>621</v>
      </c>
      <c r="E446" s="175">
        <v>2405.2</v>
      </c>
      <c r="F446" s="175">
        <v>7500.0</v>
      </c>
      <c r="G446" s="175">
        <v>2370.94</v>
      </c>
      <c r="H446" s="176">
        <v>3933.0</v>
      </c>
      <c r="I446" s="175">
        <v>1963.45</v>
      </c>
      <c r="J446" s="163"/>
      <c r="K446" s="177"/>
    </row>
    <row r="447" ht="15.75" customHeight="1">
      <c r="A447" s="173">
        <v>18.0</v>
      </c>
      <c r="B447" s="163"/>
      <c r="C447" s="163"/>
      <c r="D447" s="163" t="s">
        <v>674</v>
      </c>
      <c r="E447" s="175">
        <v>4368.65</v>
      </c>
      <c r="F447" s="163"/>
      <c r="G447" s="163"/>
      <c r="H447" s="163"/>
      <c r="I447" s="163"/>
      <c r="J447" s="163"/>
      <c r="K447" s="177"/>
    </row>
    <row r="448" ht="15.75" customHeight="1">
      <c r="A448" s="173">
        <v>19.0</v>
      </c>
      <c r="B448" s="174">
        <v>9334.0</v>
      </c>
      <c r="C448" s="175">
        <v>399.71</v>
      </c>
      <c r="D448" s="163" t="s">
        <v>443</v>
      </c>
      <c r="E448" s="175">
        <v>1845.9</v>
      </c>
      <c r="F448" s="175">
        <v>4807.0</v>
      </c>
      <c r="G448" s="175">
        <v>2334.84</v>
      </c>
      <c r="H448" s="176">
        <v>2796.0</v>
      </c>
      <c r="I448" s="179">
        <v>-1446.19</v>
      </c>
      <c r="J448" s="163"/>
      <c r="K448" s="178">
        <v>2107.51</v>
      </c>
    </row>
    <row r="449" ht="15.75" customHeight="1">
      <c r="A449" s="173">
        <v>19.0</v>
      </c>
      <c r="B449" s="163"/>
      <c r="C449" s="163"/>
      <c r="D449" s="163" t="s">
        <v>675</v>
      </c>
      <c r="E449" s="175">
        <v>399.71</v>
      </c>
      <c r="F449" s="163"/>
      <c r="G449" s="163"/>
      <c r="H449" s="163"/>
      <c r="I449" s="163"/>
      <c r="J449" s="163"/>
      <c r="K449" s="177"/>
    </row>
    <row r="450" ht="15.75" customHeight="1">
      <c r="A450" s="173">
        <v>20.0</v>
      </c>
      <c r="B450" s="174">
        <v>2890.0</v>
      </c>
      <c r="C450" s="179">
        <v>-522.45</v>
      </c>
      <c r="D450" s="163" t="s">
        <v>465</v>
      </c>
      <c r="E450" s="175">
        <v>292.5</v>
      </c>
      <c r="F450" s="175">
        <v>800.0</v>
      </c>
      <c r="G450" s="175">
        <v>418.45</v>
      </c>
      <c r="H450" s="174">
        <v>450.0</v>
      </c>
      <c r="I450" s="179">
        <v>-814.95</v>
      </c>
      <c r="J450" s="163"/>
      <c r="K450" s="178">
        <v>290.44</v>
      </c>
    </row>
    <row r="451" ht="15.75" customHeight="1">
      <c r="A451" s="173">
        <v>20.0</v>
      </c>
      <c r="B451" s="163"/>
      <c r="C451" s="163"/>
      <c r="D451" s="163" t="s">
        <v>676</v>
      </c>
      <c r="E451" s="179">
        <v>-522.45</v>
      </c>
      <c r="F451" s="163"/>
      <c r="G451" s="163"/>
      <c r="H451" s="163"/>
      <c r="I451" s="163"/>
      <c r="J451" s="163"/>
      <c r="K451" s="177"/>
    </row>
    <row r="452" ht="15.75" customHeight="1">
      <c r="A452" s="173">
        <v>21.0</v>
      </c>
      <c r="B452" s="174">
        <v>2316.0</v>
      </c>
      <c r="C452" s="175">
        <v>1516.46</v>
      </c>
      <c r="D452" s="163" t="s">
        <v>615</v>
      </c>
      <c r="E452" s="175">
        <v>2236.0</v>
      </c>
      <c r="F452" s="175">
        <v>6705.0</v>
      </c>
      <c r="G452" s="175">
        <v>3007.03</v>
      </c>
      <c r="H452" s="176">
        <v>3440.0</v>
      </c>
      <c r="I452" s="179">
        <v>-719.54</v>
      </c>
      <c r="J452" s="163"/>
      <c r="K452" s="178">
        <v>1480.34</v>
      </c>
    </row>
    <row r="453" ht="15.75" customHeight="1">
      <c r="A453" s="173">
        <v>21.0</v>
      </c>
      <c r="B453" s="163"/>
      <c r="C453" s="163"/>
      <c r="D453" s="163" t="s">
        <v>676</v>
      </c>
      <c r="E453" s="175">
        <v>1516.46</v>
      </c>
      <c r="F453" s="163"/>
      <c r="G453" s="163"/>
      <c r="H453" s="163"/>
      <c r="I453" s="163"/>
      <c r="J453" s="163"/>
      <c r="K453" s="177"/>
    </row>
    <row r="454" ht="15.75" customHeight="1">
      <c r="A454" s="173">
        <v>22.0</v>
      </c>
      <c r="B454" s="174">
        <v>1002.0</v>
      </c>
      <c r="C454" s="163"/>
      <c r="D454" s="163" t="s">
        <v>677</v>
      </c>
      <c r="E454" s="163"/>
      <c r="F454" s="163"/>
      <c r="G454" s="163"/>
      <c r="H454" s="163"/>
      <c r="I454" s="163"/>
      <c r="J454" s="163"/>
      <c r="K454" s="177"/>
    </row>
    <row r="455" ht="15.75" customHeight="1">
      <c r="A455" s="173">
        <v>22.0</v>
      </c>
      <c r="B455" s="163"/>
      <c r="C455" s="163"/>
      <c r="D455" s="163" t="s">
        <v>678</v>
      </c>
      <c r="E455" s="163"/>
      <c r="F455" s="163"/>
      <c r="G455" s="163"/>
      <c r="H455" s="163"/>
      <c r="I455" s="163"/>
      <c r="J455" s="163"/>
      <c r="K455" s="177"/>
    </row>
    <row r="456" ht="15.75" customHeight="1">
      <c r="A456" s="173">
        <v>23.0</v>
      </c>
      <c r="B456" s="174">
        <v>515.0</v>
      </c>
      <c r="C456" s="175">
        <v>2444.85</v>
      </c>
      <c r="D456" s="163" t="s">
        <v>489</v>
      </c>
      <c r="E456" s="175">
        <v>1258.6</v>
      </c>
      <c r="F456" s="175">
        <v>5300.0</v>
      </c>
      <c r="G456" s="175">
        <v>1848.95</v>
      </c>
      <c r="H456" s="176">
        <v>2790.0</v>
      </c>
      <c r="I456" s="175">
        <v>1186.25</v>
      </c>
      <c r="J456" s="175">
        <v>1661.6</v>
      </c>
      <c r="K456" s="178">
        <v>1721.75</v>
      </c>
    </row>
    <row r="457" ht="15.75" customHeight="1">
      <c r="A457" s="173">
        <v>23.0</v>
      </c>
      <c r="B457" s="163"/>
      <c r="C457" s="163"/>
      <c r="D457" s="163" t="s">
        <v>679</v>
      </c>
      <c r="E457" s="175">
        <v>2444.85</v>
      </c>
      <c r="F457" s="163"/>
      <c r="G457" s="163"/>
      <c r="H457" s="163"/>
      <c r="I457" s="163"/>
      <c r="J457" s="163"/>
      <c r="K457" s="177"/>
    </row>
    <row r="458" ht="15.75" customHeight="1">
      <c r="A458" s="173">
        <v>24.0</v>
      </c>
      <c r="B458" s="174">
        <v>514.0</v>
      </c>
      <c r="C458" s="175">
        <v>1552.31</v>
      </c>
      <c r="D458" s="163" t="s">
        <v>539</v>
      </c>
      <c r="E458" s="175">
        <v>1802.45</v>
      </c>
      <c r="F458" s="175">
        <v>3299.0</v>
      </c>
      <c r="G458" s="175">
        <v>1560.47</v>
      </c>
      <c r="H458" s="176">
        <v>2603.0</v>
      </c>
      <c r="I458" s="179">
        <v>-250.14</v>
      </c>
      <c r="J458" s="163"/>
      <c r="K458" s="177"/>
    </row>
    <row r="459" ht="15.75" customHeight="1">
      <c r="A459" s="173">
        <v>24.0</v>
      </c>
      <c r="B459" s="163"/>
      <c r="C459" s="163"/>
      <c r="D459" s="163" t="s">
        <v>679</v>
      </c>
      <c r="E459" s="175">
        <v>1552.31</v>
      </c>
      <c r="F459" s="163"/>
      <c r="G459" s="163"/>
      <c r="H459" s="163"/>
      <c r="I459" s="163"/>
      <c r="J459" s="163"/>
      <c r="K459" s="177"/>
    </row>
    <row r="460" ht="15.75" customHeight="1">
      <c r="A460" s="173">
        <v>25.0</v>
      </c>
      <c r="B460" s="174">
        <v>2932.0</v>
      </c>
      <c r="C460" s="175">
        <v>3212.0</v>
      </c>
      <c r="D460" s="163" t="s">
        <v>613</v>
      </c>
      <c r="E460" s="175">
        <v>2192.95</v>
      </c>
      <c r="F460" s="175">
        <v>7975.0</v>
      </c>
      <c r="G460" s="175">
        <v>2468.84</v>
      </c>
      <c r="H460" s="176">
        <v>4143.0</v>
      </c>
      <c r="I460" s="175">
        <v>1019.05</v>
      </c>
      <c r="J460" s="175">
        <v>1000.0</v>
      </c>
      <c r="K460" s="178">
        <v>3100.0</v>
      </c>
    </row>
    <row r="461" ht="15.75" customHeight="1">
      <c r="A461" s="173">
        <v>25.0</v>
      </c>
      <c r="B461" s="163"/>
      <c r="C461" s="163"/>
      <c r="D461" s="163" t="s">
        <v>680</v>
      </c>
      <c r="E461" s="175">
        <v>3212.0</v>
      </c>
      <c r="F461" s="163"/>
      <c r="G461" s="163"/>
      <c r="H461" s="163"/>
      <c r="I461" s="163"/>
      <c r="J461" s="163"/>
      <c r="K461" s="177"/>
    </row>
    <row r="462" ht="15.75" customHeight="1">
      <c r="A462" s="173">
        <v>26.0</v>
      </c>
      <c r="B462" s="174">
        <v>2774.0</v>
      </c>
      <c r="C462" s="179">
        <v>-1239.4</v>
      </c>
      <c r="D462" s="163" t="s">
        <v>482</v>
      </c>
      <c r="E462" s="175">
        <v>1599.15</v>
      </c>
      <c r="F462" s="175">
        <v>2900.0</v>
      </c>
      <c r="G462" s="175">
        <v>963.61</v>
      </c>
      <c r="H462" s="176">
        <v>1691.0</v>
      </c>
      <c r="I462" s="179">
        <v>-2838.55</v>
      </c>
      <c r="J462" s="163"/>
      <c r="K462" s="178">
        <v>3495.5</v>
      </c>
    </row>
    <row r="463" ht="15.75" customHeight="1">
      <c r="A463" s="173">
        <v>26.0</v>
      </c>
      <c r="B463" s="163"/>
      <c r="C463" s="163"/>
      <c r="D463" s="163" t="s">
        <v>680</v>
      </c>
      <c r="E463" s="179">
        <v>-1239.4</v>
      </c>
      <c r="F463" s="163"/>
      <c r="G463" s="163"/>
      <c r="H463" s="163"/>
      <c r="I463" s="163"/>
      <c r="J463" s="163"/>
      <c r="K463" s="177"/>
    </row>
    <row r="464" ht="15.75" customHeight="1">
      <c r="A464" s="173">
        <v>27.0</v>
      </c>
      <c r="B464" s="174">
        <v>659.0</v>
      </c>
      <c r="C464" s="175">
        <v>2299.58</v>
      </c>
      <c r="D464" s="163" t="s">
        <v>681</v>
      </c>
      <c r="E464" s="175">
        <v>3095.95</v>
      </c>
      <c r="F464" s="175">
        <v>6200.0</v>
      </c>
      <c r="G464" s="175">
        <v>2561.37</v>
      </c>
      <c r="H464" s="176">
        <v>3423.0</v>
      </c>
      <c r="I464" s="179">
        <v>-796.37</v>
      </c>
      <c r="J464" s="163"/>
      <c r="K464" s="177"/>
    </row>
    <row r="465" ht="15.75" customHeight="1">
      <c r="A465" s="173">
        <v>27.0</v>
      </c>
      <c r="B465" s="163"/>
      <c r="C465" s="163"/>
      <c r="D465" s="163" t="s">
        <v>680</v>
      </c>
      <c r="E465" s="175">
        <v>2299.58</v>
      </c>
      <c r="F465" s="163"/>
      <c r="G465" s="163"/>
      <c r="H465" s="163"/>
      <c r="I465" s="163"/>
      <c r="J465" s="163"/>
      <c r="K465" s="177"/>
    </row>
    <row r="466" ht="15.75" customHeight="1">
      <c r="A466" s="173">
        <v>28.0</v>
      </c>
      <c r="B466" s="174">
        <v>3301.0</v>
      </c>
      <c r="C466" s="175">
        <v>3232.44</v>
      </c>
      <c r="D466" s="163" t="s">
        <v>616</v>
      </c>
      <c r="E466" s="175">
        <v>2100.98</v>
      </c>
      <c r="F466" s="175">
        <v>5865.0</v>
      </c>
      <c r="G466" s="175">
        <v>2738.49</v>
      </c>
      <c r="H466" s="176">
        <v>3686.0</v>
      </c>
      <c r="I466" s="175">
        <v>1131.46</v>
      </c>
      <c r="J466" s="175">
        <v>2859.4</v>
      </c>
      <c r="K466" s="178">
        <v>2859.4</v>
      </c>
    </row>
    <row r="467" ht="15.75" customHeight="1">
      <c r="A467" s="173">
        <v>28.0</v>
      </c>
      <c r="B467" s="163"/>
      <c r="C467" s="163"/>
      <c r="D467" s="163" t="s">
        <v>682</v>
      </c>
      <c r="E467" s="175">
        <v>3232.44</v>
      </c>
      <c r="F467" s="163"/>
      <c r="G467" s="163"/>
      <c r="H467" s="163"/>
      <c r="I467" s="163"/>
      <c r="J467" s="163"/>
      <c r="K467" s="177"/>
    </row>
    <row r="468" ht="15.75" customHeight="1">
      <c r="A468" s="173">
        <v>29.0</v>
      </c>
      <c r="B468" s="174">
        <v>913.0</v>
      </c>
      <c r="C468" s="175">
        <v>1854.25</v>
      </c>
      <c r="D468" s="163" t="s">
        <v>630</v>
      </c>
      <c r="E468" s="175">
        <v>1277.25</v>
      </c>
      <c r="F468" s="175">
        <v>4134.0</v>
      </c>
      <c r="G468" s="175">
        <v>1009.62</v>
      </c>
      <c r="H468" s="176">
        <v>1965.0</v>
      </c>
      <c r="I468" s="175">
        <v>577.0</v>
      </c>
      <c r="J468" s="163"/>
      <c r="K468" s="177"/>
    </row>
    <row r="469" ht="15.75" customHeight="1">
      <c r="A469" s="173">
        <v>29.0</v>
      </c>
      <c r="B469" s="163"/>
      <c r="C469" s="163"/>
      <c r="D469" s="163" t="s">
        <v>683</v>
      </c>
      <c r="E469" s="175">
        <v>1854.25</v>
      </c>
      <c r="F469" s="163"/>
      <c r="G469" s="163"/>
      <c r="H469" s="163"/>
      <c r="I469" s="163"/>
      <c r="J469" s="163"/>
      <c r="K469" s="177"/>
    </row>
    <row r="470" ht="15.75" customHeight="1">
      <c r="A470" s="173">
        <v>30.0</v>
      </c>
      <c r="B470" s="174">
        <v>2516.0</v>
      </c>
      <c r="C470" s="175">
        <v>3139.83</v>
      </c>
      <c r="D470" s="163" t="s">
        <v>619</v>
      </c>
      <c r="E470" s="175">
        <v>1740.7</v>
      </c>
      <c r="F470" s="175">
        <v>5900.0</v>
      </c>
      <c r="G470" s="175">
        <v>1929.75</v>
      </c>
      <c r="H470" s="176">
        <v>2678.0</v>
      </c>
      <c r="I470" s="175">
        <v>1399.13</v>
      </c>
      <c r="J470" s="163"/>
      <c r="K470" s="178">
        <v>326.31</v>
      </c>
    </row>
    <row r="471" ht="15.75" customHeight="1">
      <c r="A471" s="173">
        <v>30.0</v>
      </c>
      <c r="B471" s="163"/>
      <c r="C471" s="163"/>
      <c r="D471" s="163" t="s">
        <v>684</v>
      </c>
      <c r="E471" s="175">
        <v>3139.83</v>
      </c>
      <c r="F471" s="163"/>
      <c r="G471" s="163"/>
      <c r="H471" s="163"/>
      <c r="I471" s="163"/>
      <c r="J471" s="163"/>
      <c r="K471" s="177"/>
    </row>
    <row r="472" ht="15.75" customHeight="1">
      <c r="A472" s="173">
        <v>31.0</v>
      </c>
      <c r="B472" s="174">
        <v>997.0</v>
      </c>
      <c r="C472" s="175">
        <v>3167.82</v>
      </c>
      <c r="D472" s="163" t="s">
        <v>685</v>
      </c>
      <c r="E472" s="175">
        <v>2265.75</v>
      </c>
      <c r="F472" s="175">
        <v>6000.0</v>
      </c>
      <c r="G472" s="175">
        <v>1362.18</v>
      </c>
      <c r="H472" s="176">
        <v>3021.0</v>
      </c>
      <c r="I472" s="175">
        <v>902.07</v>
      </c>
      <c r="J472" s="163"/>
      <c r="K472" s="177"/>
    </row>
    <row r="473" ht="15.75" customHeight="1">
      <c r="A473" s="173">
        <v>31.0</v>
      </c>
      <c r="B473" s="163"/>
      <c r="C473" s="163"/>
      <c r="D473" s="163" t="s">
        <v>684</v>
      </c>
      <c r="E473" s="175">
        <v>3167.82</v>
      </c>
      <c r="F473" s="163"/>
      <c r="G473" s="163"/>
      <c r="H473" s="163"/>
      <c r="I473" s="163"/>
      <c r="J473" s="163"/>
      <c r="K473" s="177"/>
    </row>
    <row r="474" ht="15.75" customHeight="1">
      <c r="A474" s="180"/>
      <c r="B474" s="163"/>
      <c r="C474" s="163"/>
      <c r="D474" s="163"/>
      <c r="E474" s="163"/>
      <c r="F474" s="163"/>
      <c r="G474" s="163"/>
      <c r="H474" s="163"/>
      <c r="I474" s="163"/>
      <c r="J474" s="163"/>
      <c r="K474" s="177"/>
    </row>
    <row r="475" ht="15.75" customHeight="1">
      <c r="A475" s="181" t="s">
        <v>686</v>
      </c>
      <c r="B475" s="163"/>
      <c r="C475" s="163"/>
      <c r="D475" s="163"/>
      <c r="E475" s="163"/>
      <c r="F475" s="163"/>
      <c r="G475" s="163"/>
      <c r="H475" s="163"/>
      <c r="I475" s="163"/>
      <c r="J475" s="163"/>
      <c r="K475" s="177"/>
    </row>
    <row r="476" ht="15.75" customHeight="1">
      <c r="A476" s="180"/>
      <c r="B476" s="163"/>
      <c r="C476" s="163"/>
      <c r="D476" s="163"/>
      <c r="E476" s="163"/>
      <c r="F476" s="163"/>
      <c r="G476" s="163"/>
      <c r="H476" s="163"/>
      <c r="I476" s="163"/>
      <c r="J476" s="163"/>
      <c r="K476" s="177"/>
    </row>
    <row r="477" ht="15.75" customHeight="1">
      <c r="A477" s="170" t="s">
        <v>653</v>
      </c>
      <c r="B477" s="171" t="s">
        <v>655</v>
      </c>
      <c r="C477" s="171" t="s">
        <v>8</v>
      </c>
      <c r="D477" s="171" t="s">
        <v>656</v>
      </c>
      <c r="E477" s="171" t="s">
        <v>591</v>
      </c>
      <c r="F477" s="171" t="s">
        <v>657</v>
      </c>
      <c r="G477" s="171" t="s">
        <v>658</v>
      </c>
      <c r="H477" s="171" t="s">
        <v>659</v>
      </c>
      <c r="I477" s="163"/>
      <c r="J477" s="163"/>
      <c r="K477" s="177"/>
    </row>
    <row r="478" ht="15.75" customHeight="1">
      <c r="A478" s="182">
        <v>47499.59</v>
      </c>
      <c r="B478" s="175">
        <v>86207.42</v>
      </c>
      <c r="C478" s="175">
        <v>113585.0</v>
      </c>
      <c r="D478" s="175">
        <v>40843.53</v>
      </c>
      <c r="E478" s="176">
        <v>61072.0</v>
      </c>
      <c r="F478" s="175">
        <v>5551.76</v>
      </c>
      <c r="G478" s="175">
        <v>5521.0</v>
      </c>
      <c r="H478" s="175">
        <v>21880.6</v>
      </c>
      <c r="I478" s="163"/>
      <c r="J478" s="163"/>
      <c r="K478" s="177"/>
    </row>
    <row r="479" ht="15.75" customHeight="1">
      <c r="A479" s="180"/>
      <c r="B479" s="163"/>
      <c r="C479" s="163"/>
      <c r="D479" s="163"/>
      <c r="E479" s="163"/>
      <c r="F479" s="163"/>
      <c r="G479" s="163"/>
      <c r="H479" s="163"/>
      <c r="I479" s="163"/>
      <c r="J479" s="163"/>
      <c r="K479" s="177"/>
    </row>
    <row r="480" ht="15.75" customHeight="1">
      <c r="A480" s="183"/>
      <c r="B480" s="184"/>
      <c r="C480" s="184"/>
      <c r="D480" s="184"/>
      <c r="E480" s="184"/>
      <c r="F480" s="184"/>
      <c r="G480" s="184"/>
      <c r="H480" s="184"/>
      <c r="I480" s="184"/>
      <c r="J480" s="184"/>
      <c r="K480" s="185"/>
    </row>
    <row r="481" ht="15.75" customHeight="1">
      <c r="A481" s="164" t="s">
        <v>687</v>
      </c>
      <c r="B481" s="165"/>
      <c r="C481" s="165"/>
      <c r="D481" s="165"/>
      <c r="E481" s="165"/>
      <c r="F481" s="165"/>
      <c r="G481" s="165"/>
      <c r="H481" s="165"/>
      <c r="I481" s="165"/>
      <c r="J481" s="165"/>
      <c r="K481" s="166"/>
    </row>
    <row r="482" ht="15.75" customHeight="1">
      <c r="A482" s="167"/>
      <c r="B482" s="168"/>
      <c r="C482" s="168"/>
      <c r="D482" s="168"/>
      <c r="E482" s="168"/>
      <c r="F482" s="168"/>
      <c r="G482" s="168"/>
      <c r="H482" s="168"/>
      <c r="I482" s="168"/>
      <c r="J482" s="168"/>
      <c r="K482" s="169"/>
    </row>
    <row r="483" ht="15.75" customHeight="1">
      <c r="A483" s="186" t="s">
        <v>688</v>
      </c>
      <c r="B483" s="163"/>
      <c r="C483" s="163"/>
      <c r="D483" s="163"/>
      <c r="E483" s="163"/>
      <c r="F483" s="163"/>
      <c r="G483" s="163"/>
      <c r="H483" s="163"/>
      <c r="I483" s="163"/>
      <c r="J483" s="163"/>
      <c r="K483" s="177"/>
    </row>
    <row r="484" ht="15.75" customHeight="1">
      <c r="A484" s="170" t="s">
        <v>668</v>
      </c>
      <c r="B484" s="163"/>
      <c r="C484" s="163"/>
      <c r="D484" s="163"/>
      <c r="E484" s="163"/>
      <c r="F484" s="163"/>
      <c r="G484" s="163"/>
      <c r="H484" s="163"/>
      <c r="I484" s="163"/>
      <c r="J484" s="163"/>
      <c r="K484" s="177"/>
    </row>
    <row r="485" ht="15.75" customHeight="1">
      <c r="A485" s="180"/>
      <c r="B485" s="163"/>
      <c r="C485" s="163"/>
      <c r="D485" s="163"/>
      <c r="E485" s="163"/>
      <c r="F485" s="163"/>
      <c r="G485" s="163"/>
      <c r="H485" s="163"/>
      <c r="I485" s="163"/>
      <c r="J485" s="163"/>
      <c r="K485" s="177"/>
    </row>
    <row r="486" ht="15.75" customHeight="1">
      <c r="A486" s="180" t="s">
        <v>689</v>
      </c>
      <c r="B486" s="163"/>
      <c r="C486" s="163"/>
      <c r="D486" s="163"/>
      <c r="E486" s="163"/>
      <c r="F486" s="163"/>
      <c r="G486" s="163"/>
      <c r="H486" s="163"/>
      <c r="I486" s="163"/>
      <c r="J486" s="163"/>
      <c r="K486" s="177"/>
    </row>
    <row r="487" ht="15.75" customHeight="1">
      <c r="A487" s="180"/>
      <c r="B487" s="163"/>
      <c r="C487" s="163"/>
      <c r="D487" s="163"/>
      <c r="E487" s="163"/>
      <c r="F487" s="163"/>
      <c r="G487" s="163"/>
      <c r="H487" s="163"/>
      <c r="I487" s="163"/>
      <c r="J487" s="163"/>
      <c r="K487" s="177"/>
    </row>
    <row r="488" ht="15.75" customHeight="1">
      <c r="A488" s="180" t="s">
        <v>690</v>
      </c>
      <c r="B488" s="163"/>
      <c r="C488" s="163"/>
      <c r="D488" s="163"/>
      <c r="E488" s="163"/>
      <c r="F488" s="163"/>
      <c r="G488" s="163"/>
      <c r="H488" s="163"/>
      <c r="I488" s="163"/>
      <c r="J488" s="163"/>
      <c r="K488" s="177"/>
    </row>
    <row r="489" ht="15.75" customHeight="1">
      <c r="A489" s="180"/>
      <c r="B489" s="163"/>
      <c r="C489" s="163"/>
      <c r="D489" s="163"/>
      <c r="E489" s="163"/>
      <c r="F489" s="163"/>
      <c r="G489" s="163"/>
      <c r="H489" s="163"/>
      <c r="I489" s="163"/>
      <c r="J489" s="163"/>
      <c r="K489" s="177"/>
    </row>
    <row r="490" ht="15.75" customHeight="1">
      <c r="A490" s="180" t="s">
        <v>691</v>
      </c>
      <c r="B490" s="163"/>
      <c r="C490" s="163"/>
      <c r="D490" s="163"/>
      <c r="E490" s="163"/>
      <c r="F490" s="163"/>
      <c r="G490" s="163"/>
      <c r="H490" s="163"/>
      <c r="I490" s="163"/>
      <c r="J490" s="163"/>
      <c r="K490" s="177"/>
    </row>
    <row r="491" ht="15.75" customHeight="1">
      <c r="A491" s="170" t="s">
        <v>692</v>
      </c>
      <c r="B491" s="163"/>
      <c r="C491" s="163"/>
      <c r="D491" s="163"/>
      <c r="E491" s="163"/>
      <c r="F491" s="163"/>
      <c r="G491" s="163"/>
      <c r="H491" s="163"/>
      <c r="I491" s="163"/>
      <c r="J491" s="163"/>
      <c r="K491" s="177"/>
    </row>
    <row r="492" ht="15.75" customHeight="1">
      <c r="A492" s="180"/>
      <c r="B492" s="163"/>
      <c r="C492" s="163"/>
      <c r="D492" s="163"/>
      <c r="E492" s="163"/>
      <c r="F492" s="163"/>
      <c r="G492" s="163"/>
      <c r="H492" s="163"/>
      <c r="I492" s="163"/>
      <c r="J492" s="163"/>
      <c r="K492" s="177"/>
    </row>
    <row r="493" ht="15.75" customHeight="1">
      <c r="A493" s="170" t="s">
        <v>12</v>
      </c>
      <c r="B493" s="171" t="s">
        <v>652</v>
      </c>
      <c r="C493" s="171" t="s">
        <v>653</v>
      </c>
      <c r="D493" s="171" t="s">
        <v>654</v>
      </c>
      <c r="E493" s="171" t="s">
        <v>655</v>
      </c>
      <c r="F493" s="171" t="s">
        <v>8</v>
      </c>
      <c r="G493" s="171" t="s">
        <v>656</v>
      </c>
      <c r="H493" s="171" t="s">
        <v>591</v>
      </c>
      <c r="I493" s="171" t="s">
        <v>657</v>
      </c>
      <c r="J493" s="171" t="s">
        <v>658</v>
      </c>
      <c r="K493" s="172" t="s">
        <v>659</v>
      </c>
    </row>
    <row r="494" ht="15.75" customHeight="1">
      <c r="A494" s="173">
        <v>34.0</v>
      </c>
      <c r="B494" s="174">
        <v>6643.0</v>
      </c>
      <c r="C494" s="163"/>
      <c r="D494" s="163" t="s">
        <v>693</v>
      </c>
      <c r="E494" s="163"/>
      <c r="F494" s="163"/>
      <c r="G494" s="163"/>
      <c r="H494" s="163"/>
      <c r="I494" s="163"/>
      <c r="J494" s="163"/>
      <c r="K494" s="177"/>
    </row>
    <row r="495" ht="15.75" customHeight="1">
      <c r="A495" s="173">
        <v>35.0</v>
      </c>
      <c r="B495" s="174">
        <v>8775.0</v>
      </c>
      <c r="C495" s="175">
        <v>3269.22</v>
      </c>
      <c r="D495" s="163" t="s">
        <v>694</v>
      </c>
      <c r="E495" s="175">
        <v>3269.22</v>
      </c>
      <c r="F495" s="175">
        <v>6305.0</v>
      </c>
      <c r="G495" s="175">
        <v>2011.72</v>
      </c>
      <c r="H495" s="176">
        <v>3267.0</v>
      </c>
      <c r="I495" s="175">
        <v>3269.22</v>
      </c>
      <c r="J495" s="163"/>
      <c r="K495" s="177"/>
    </row>
    <row r="496" ht="15.75" customHeight="1">
      <c r="A496" s="180"/>
      <c r="B496" s="163"/>
      <c r="C496" s="163"/>
      <c r="D496" s="163"/>
      <c r="E496" s="163"/>
      <c r="F496" s="163"/>
      <c r="G496" s="163"/>
      <c r="H496" s="163"/>
      <c r="I496" s="163"/>
      <c r="J496" s="163"/>
      <c r="K496" s="177"/>
    </row>
    <row r="497" ht="15.75" customHeight="1">
      <c r="A497" s="181" t="s">
        <v>695</v>
      </c>
      <c r="B497" s="163"/>
      <c r="C497" s="163"/>
      <c r="D497" s="163"/>
      <c r="E497" s="163"/>
      <c r="F497" s="163"/>
      <c r="G497" s="163"/>
      <c r="H497" s="163"/>
      <c r="I497" s="163"/>
      <c r="J497" s="163"/>
      <c r="K497" s="177"/>
    </row>
    <row r="498" ht="15.75" customHeight="1">
      <c r="A498" s="180"/>
      <c r="B498" s="163"/>
      <c r="C498" s="163"/>
      <c r="D498" s="163"/>
      <c r="E498" s="163"/>
      <c r="F498" s="163"/>
      <c r="G498" s="163"/>
      <c r="H498" s="163"/>
      <c r="I498" s="163"/>
      <c r="J498" s="163"/>
      <c r="K498" s="177"/>
    </row>
    <row r="499" ht="15.75" customHeight="1">
      <c r="A499" s="170" t="s">
        <v>653</v>
      </c>
      <c r="B499" s="171" t="s">
        <v>655</v>
      </c>
      <c r="C499" s="171" t="s">
        <v>8</v>
      </c>
      <c r="D499" s="171" t="s">
        <v>656</v>
      </c>
      <c r="E499" s="171" t="s">
        <v>591</v>
      </c>
      <c r="F499" s="171" t="s">
        <v>657</v>
      </c>
      <c r="G499" s="163"/>
      <c r="H499" s="163"/>
      <c r="I499" s="163"/>
      <c r="J499" s="163"/>
      <c r="K499" s="177"/>
    </row>
    <row r="500" ht="15.75" customHeight="1">
      <c r="A500" s="182">
        <v>3269.22</v>
      </c>
      <c r="B500" s="175">
        <v>3269.22</v>
      </c>
      <c r="C500" s="175">
        <v>6305.0</v>
      </c>
      <c r="D500" s="175">
        <v>2011.72</v>
      </c>
      <c r="E500" s="176">
        <v>3267.0</v>
      </c>
      <c r="F500" s="175">
        <v>3269.22</v>
      </c>
      <c r="G500" s="163"/>
      <c r="H500" s="163"/>
      <c r="I500" s="163"/>
      <c r="J500" s="163"/>
      <c r="K500" s="177"/>
    </row>
    <row r="501" ht="15.75" customHeight="1">
      <c r="A501" s="183"/>
      <c r="B501" s="184"/>
      <c r="C501" s="184"/>
      <c r="D501" s="184"/>
      <c r="E501" s="184"/>
      <c r="F501" s="184"/>
      <c r="G501" s="184"/>
      <c r="H501" s="184"/>
      <c r="I501" s="184"/>
      <c r="J501" s="184"/>
      <c r="K501" s="185"/>
    </row>
    <row r="502" ht="15.75" customHeight="1">
      <c r="A502" s="189"/>
      <c r="B502" s="165"/>
      <c r="C502" s="165"/>
      <c r="D502" s="165"/>
      <c r="E502" s="165"/>
      <c r="F502" s="165"/>
      <c r="G502" s="165"/>
      <c r="H502" s="165"/>
      <c r="I502" s="165"/>
      <c r="J502" s="165"/>
      <c r="K502" s="166"/>
    </row>
    <row r="503" ht="15.75" customHeight="1">
      <c r="A503" s="190" t="s">
        <v>696</v>
      </c>
      <c r="B503" s="168"/>
      <c r="C503" s="168"/>
      <c r="D503" s="168"/>
      <c r="E503" s="168"/>
      <c r="F503" s="168"/>
      <c r="G503" s="168"/>
      <c r="H503" s="168"/>
      <c r="I503" s="168"/>
      <c r="J503" s="168"/>
      <c r="K503" s="169"/>
    </row>
    <row r="504" ht="15.75" customHeight="1">
      <c r="A504" s="180"/>
      <c r="B504" s="163"/>
      <c r="C504" s="163"/>
      <c r="D504" s="163"/>
      <c r="E504" s="163"/>
      <c r="F504" s="163"/>
      <c r="G504" s="163"/>
      <c r="H504" s="163"/>
      <c r="I504" s="163"/>
      <c r="J504" s="163"/>
      <c r="K504" s="177"/>
    </row>
    <row r="505" ht="15.75" customHeight="1">
      <c r="A505" s="170" t="s">
        <v>653</v>
      </c>
      <c r="B505" s="171" t="s">
        <v>655</v>
      </c>
      <c r="C505" s="171" t="s">
        <v>8</v>
      </c>
      <c r="D505" s="171" t="s">
        <v>656</v>
      </c>
      <c r="E505" s="171" t="s">
        <v>591</v>
      </c>
      <c r="F505" s="171" t="s">
        <v>657</v>
      </c>
      <c r="G505" s="171" t="s">
        <v>658</v>
      </c>
      <c r="H505" s="171" t="s">
        <v>659</v>
      </c>
      <c r="I505" s="163"/>
      <c r="J505" s="163"/>
      <c r="K505" s="177"/>
    </row>
    <row r="506" ht="15.75" customHeight="1">
      <c r="A506" s="191">
        <v>63011.83</v>
      </c>
      <c r="B506" s="192">
        <v>115539.06</v>
      </c>
      <c r="C506" s="192">
        <v>149255.0</v>
      </c>
      <c r="D506" s="192">
        <v>53979.7</v>
      </c>
      <c r="E506" s="193">
        <v>80462.0</v>
      </c>
      <c r="F506" s="192">
        <v>11810.93</v>
      </c>
      <c r="G506" s="192">
        <v>5521.0</v>
      </c>
      <c r="H506" s="192">
        <v>40250.92</v>
      </c>
      <c r="I506" s="184"/>
      <c r="J506" s="184"/>
      <c r="K506" s="185"/>
    </row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3" max="3" width="14.2"/>
    <col customWidth="1" min="14" max="14" width="14.5"/>
  </cols>
  <sheetData>
    <row r="1">
      <c r="A1" s="194"/>
      <c r="B1" s="195"/>
      <c r="C1" s="195"/>
      <c r="D1" s="195"/>
      <c r="E1" s="196"/>
      <c r="F1" s="196"/>
      <c r="G1" s="197"/>
      <c r="H1" s="197"/>
      <c r="I1" s="198"/>
      <c r="J1" s="198"/>
      <c r="K1" s="198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</row>
    <row r="2">
      <c r="A2" s="194"/>
      <c r="B2" s="195"/>
      <c r="C2" s="195"/>
      <c r="D2" s="195"/>
      <c r="E2" s="196"/>
      <c r="F2" s="196"/>
      <c r="G2" s="197"/>
      <c r="H2" s="197"/>
      <c r="I2" s="198"/>
      <c r="J2" s="198"/>
      <c r="K2" s="198"/>
      <c r="L2" s="199"/>
      <c r="M2" s="200"/>
      <c r="N2" s="199"/>
      <c r="O2" s="199"/>
      <c r="P2" s="199"/>
      <c r="Q2" s="199"/>
      <c r="R2" s="199"/>
      <c r="S2" s="199"/>
      <c r="T2" s="199"/>
      <c r="U2" s="199"/>
      <c r="V2" s="199"/>
      <c r="W2" s="199"/>
    </row>
    <row r="3">
      <c r="A3" s="201">
        <v>1.0</v>
      </c>
      <c r="B3" s="202"/>
      <c r="C3" s="203"/>
      <c r="D3" s="203"/>
      <c r="E3" s="204"/>
      <c r="F3" s="204"/>
      <c r="G3" s="205" t="s">
        <v>700</v>
      </c>
      <c r="H3" s="206"/>
      <c r="I3" s="207" t="s">
        <v>701</v>
      </c>
      <c r="J3" s="203"/>
      <c r="K3" s="208"/>
      <c r="L3" s="199"/>
      <c r="M3" s="209"/>
      <c r="R3" s="210" t="s">
        <v>700</v>
      </c>
      <c r="S3" s="211"/>
      <c r="T3" s="212" t="s">
        <v>701</v>
      </c>
      <c r="U3" s="213"/>
      <c r="V3" s="211"/>
      <c r="W3" s="199"/>
    </row>
    <row r="4">
      <c r="A4" s="194"/>
      <c r="B4" s="214"/>
      <c r="E4" s="196"/>
      <c r="F4" s="195"/>
      <c r="G4" s="215"/>
      <c r="H4" s="64"/>
      <c r="I4" s="215"/>
      <c r="J4" s="216"/>
      <c r="K4" s="217"/>
      <c r="L4" s="199"/>
      <c r="R4" s="215"/>
      <c r="S4" s="64"/>
      <c r="T4" s="215"/>
      <c r="U4" s="216"/>
      <c r="V4" s="64"/>
      <c r="W4" s="199"/>
    </row>
    <row r="5">
      <c r="A5" s="194"/>
      <c r="B5" s="214"/>
      <c r="E5" s="195"/>
      <c r="F5" s="195"/>
      <c r="G5" s="218" t="s">
        <v>702</v>
      </c>
      <c r="H5" s="211"/>
      <c r="I5" s="219" t="s">
        <v>660</v>
      </c>
      <c r="J5" s="213"/>
      <c r="K5" s="220"/>
      <c r="L5" s="199"/>
      <c r="R5" s="210" t="s">
        <v>351</v>
      </c>
      <c r="S5" s="211"/>
      <c r="T5" s="212" t="s">
        <v>365</v>
      </c>
      <c r="U5" s="213"/>
      <c r="V5" s="211"/>
      <c r="W5" s="199"/>
    </row>
    <row r="6">
      <c r="A6" s="194"/>
      <c r="B6" s="214"/>
      <c r="E6" s="195"/>
      <c r="F6" s="195"/>
      <c r="G6" s="215"/>
      <c r="H6" s="64"/>
      <c r="I6" s="215"/>
      <c r="J6" s="216"/>
      <c r="K6" s="217"/>
      <c r="L6" s="199"/>
      <c r="R6" s="215"/>
      <c r="S6" s="64"/>
      <c r="T6" s="215"/>
      <c r="U6" s="216"/>
      <c r="V6" s="64"/>
      <c r="W6" s="199"/>
    </row>
    <row r="7">
      <c r="A7" s="194"/>
      <c r="B7" s="214"/>
      <c r="E7" s="195"/>
      <c r="F7" s="195"/>
      <c r="G7" s="218" t="s">
        <v>703</v>
      </c>
      <c r="H7" s="211"/>
      <c r="I7" s="219">
        <v>2319.0</v>
      </c>
      <c r="J7" s="213"/>
      <c r="K7" s="220"/>
      <c r="L7" s="199"/>
      <c r="R7" s="210" t="s">
        <v>703</v>
      </c>
      <c r="S7" s="211"/>
      <c r="T7" s="212">
        <v>2319.0</v>
      </c>
      <c r="U7" s="213"/>
      <c r="V7" s="211"/>
      <c r="W7" s="199"/>
    </row>
    <row r="8">
      <c r="A8" s="194"/>
      <c r="B8" s="214"/>
      <c r="E8" s="195"/>
      <c r="F8" s="195"/>
      <c r="G8" s="215"/>
      <c r="H8" s="64"/>
      <c r="I8" s="215"/>
      <c r="J8" s="216"/>
      <c r="K8" s="217"/>
      <c r="L8" s="199"/>
      <c r="R8" s="215"/>
      <c r="S8" s="64"/>
      <c r="T8" s="215"/>
      <c r="U8" s="216"/>
      <c r="V8" s="64"/>
      <c r="W8" s="199"/>
    </row>
    <row r="9">
      <c r="A9" s="197"/>
      <c r="B9" s="221" t="s">
        <v>704</v>
      </c>
      <c r="C9" s="222"/>
      <c r="D9" s="223" t="s">
        <v>5</v>
      </c>
      <c r="E9" s="222"/>
      <c r="F9" s="223" t="s">
        <v>705</v>
      </c>
      <c r="G9" s="224"/>
      <c r="H9" s="222"/>
      <c r="I9" s="225" t="s">
        <v>8</v>
      </c>
      <c r="J9" s="225" t="s">
        <v>706</v>
      </c>
      <c r="K9" s="226" t="s">
        <v>707</v>
      </c>
      <c r="L9" s="199"/>
      <c r="M9" s="227" t="s">
        <v>704</v>
      </c>
      <c r="N9" s="222"/>
      <c r="O9" s="227" t="s">
        <v>5</v>
      </c>
      <c r="P9" s="222"/>
      <c r="Q9" s="227" t="s">
        <v>705</v>
      </c>
      <c r="R9" s="224"/>
      <c r="S9" s="222"/>
      <c r="T9" s="228" t="s">
        <v>591</v>
      </c>
      <c r="U9" s="228" t="s">
        <v>708</v>
      </c>
      <c r="V9" s="228" t="s">
        <v>707</v>
      </c>
      <c r="W9" s="199"/>
    </row>
    <row r="10">
      <c r="A10" s="229"/>
      <c r="B10" s="230">
        <v>45972.0</v>
      </c>
      <c r="C10" s="222"/>
      <c r="D10" s="231">
        <v>2.0572738E7</v>
      </c>
      <c r="E10" s="222"/>
      <c r="F10" s="223" t="s">
        <v>709</v>
      </c>
      <c r="G10" s="224"/>
      <c r="H10" s="222"/>
      <c r="I10" s="232">
        <v>600.0</v>
      </c>
      <c r="J10" s="233">
        <v>1.0</v>
      </c>
      <c r="K10" s="234">
        <v>600.0</v>
      </c>
      <c r="L10" s="199"/>
      <c r="M10" s="235">
        <v>45972.0</v>
      </c>
      <c r="N10" s="222"/>
      <c r="O10" s="236">
        <v>2.0572738E7</v>
      </c>
      <c r="P10" s="222"/>
      <c r="Q10" s="227" t="s">
        <v>709</v>
      </c>
      <c r="R10" s="224"/>
      <c r="S10" s="222"/>
      <c r="T10" s="228">
        <v>356.0</v>
      </c>
      <c r="U10" s="228">
        <v>0.65</v>
      </c>
      <c r="V10" s="237">
        <v>231.4</v>
      </c>
      <c r="W10" s="199"/>
    </row>
    <row r="11">
      <c r="A11" s="229"/>
      <c r="B11" s="230">
        <v>45973.0</v>
      </c>
      <c r="C11" s="222"/>
      <c r="D11" s="223">
        <v>2.0556385E7</v>
      </c>
      <c r="E11" s="222"/>
      <c r="F11" s="223" t="s">
        <v>710</v>
      </c>
      <c r="G11" s="224"/>
      <c r="H11" s="222"/>
      <c r="I11" s="232">
        <v>5500.0</v>
      </c>
      <c r="J11" s="233">
        <v>1.0</v>
      </c>
      <c r="K11" s="234">
        <v>5500.0</v>
      </c>
      <c r="L11" s="199"/>
      <c r="M11" s="235">
        <v>45973.0</v>
      </c>
      <c r="N11" s="222"/>
      <c r="O11" s="227">
        <v>2.0556385E7</v>
      </c>
      <c r="P11" s="222"/>
      <c r="Q11" s="227" t="s">
        <v>710</v>
      </c>
      <c r="R11" s="224"/>
      <c r="S11" s="222"/>
      <c r="T11" s="228">
        <v>2621.0</v>
      </c>
      <c r="U11" s="228">
        <v>0.65</v>
      </c>
      <c r="V11" s="237">
        <v>1703.65</v>
      </c>
      <c r="W11" s="199"/>
    </row>
    <row r="12">
      <c r="A12" s="238"/>
      <c r="B12" s="239"/>
      <c r="C12" s="222"/>
      <c r="D12" s="240"/>
      <c r="E12" s="222"/>
      <c r="F12" s="240"/>
      <c r="G12" s="224"/>
      <c r="H12" s="222"/>
      <c r="I12" s="241"/>
      <c r="J12" s="233">
        <v>1.0</v>
      </c>
      <c r="K12" s="234">
        <v>0.0</v>
      </c>
      <c r="L12" s="199"/>
      <c r="M12" s="242"/>
      <c r="N12" s="222"/>
      <c r="O12" s="243"/>
      <c r="P12" s="222"/>
      <c r="Q12" s="243"/>
      <c r="R12" s="224"/>
      <c r="S12" s="222"/>
      <c r="T12" s="244"/>
      <c r="U12" s="228"/>
      <c r="V12" s="237"/>
      <c r="W12" s="199"/>
    </row>
    <row r="13">
      <c r="A13" s="238"/>
      <c r="B13" s="239"/>
      <c r="C13" s="222"/>
      <c r="D13" s="240"/>
      <c r="E13" s="222"/>
      <c r="F13" s="240"/>
      <c r="G13" s="224"/>
      <c r="H13" s="222"/>
      <c r="I13" s="241"/>
      <c r="J13" s="233">
        <v>1.0</v>
      </c>
      <c r="K13" s="234">
        <v>0.0</v>
      </c>
      <c r="L13" s="199"/>
      <c r="M13" s="242"/>
      <c r="N13" s="222"/>
      <c r="O13" s="243"/>
      <c r="P13" s="222"/>
      <c r="Q13" s="243"/>
      <c r="R13" s="224"/>
      <c r="S13" s="222"/>
      <c r="T13" s="244"/>
      <c r="U13" s="228"/>
      <c r="V13" s="237"/>
      <c r="W13" s="199"/>
    </row>
    <row r="14">
      <c r="A14" s="238"/>
      <c r="B14" s="239"/>
      <c r="C14" s="222"/>
      <c r="D14" s="240"/>
      <c r="E14" s="222"/>
      <c r="F14" s="240"/>
      <c r="G14" s="224"/>
      <c r="H14" s="222"/>
      <c r="I14" s="241"/>
      <c r="J14" s="233">
        <v>1.0</v>
      </c>
      <c r="K14" s="234">
        <v>0.0</v>
      </c>
      <c r="L14" s="199"/>
      <c r="M14" s="242"/>
      <c r="N14" s="222"/>
      <c r="O14" s="243"/>
      <c r="P14" s="222"/>
      <c r="Q14" s="243"/>
      <c r="R14" s="224"/>
      <c r="S14" s="222"/>
      <c r="T14" s="244"/>
      <c r="U14" s="228"/>
      <c r="V14" s="237"/>
      <c r="W14" s="199"/>
    </row>
    <row r="15">
      <c r="A15" s="238"/>
      <c r="B15" s="239"/>
      <c r="C15" s="222"/>
      <c r="D15" s="240"/>
      <c r="E15" s="222"/>
      <c r="F15" s="240"/>
      <c r="G15" s="224"/>
      <c r="H15" s="222"/>
      <c r="I15" s="241"/>
      <c r="J15" s="233">
        <v>1.0</v>
      </c>
      <c r="K15" s="234">
        <v>0.0</v>
      </c>
      <c r="L15" s="199"/>
      <c r="M15" s="242"/>
      <c r="N15" s="222"/>
      <c r="O15" s="243"/>
      <c r="P15" s="222"/>
      <c r="Q15" s="243"/>
      <c r="R15" s="224"/>
      <c r="S15" s="222"/>
      <c r="T15" s="244"/>
      <c r="U15" s="228"/>
      <c r="V15" s="237"/>
      <c r="W15" s="199"/>
    </row>
    <row r="16">
      <c r="A16" s="197"/>
      <c r="B16" s="245" t="s">
        <v>711</v>
      </c>
      <c r="C16" s="224"/>
      <c r="D16" s="224"/>
      <c r="E16" s="224"/>
      <c r="F16" s="224"/>
      <c r="G16" s="224"/>
      <c r="H16" s="222"/>
      <c r="I16" s="232">
        <v>6100.0</v>
      </c>
      <c r="J16" s="241"/>
      <c r="K16" s="234">
        <v>6100.0</v>
      </c>
      <c r="L16" s="199"/>
      <c r="M16" s="246" t="s">
        <v>711</v>
      </c>
      <c r="N16" s="224"/>
      <c r="O16" s="224"/>
      <c r="P16" s="224"/>
      <c r="Q16" s="224"/>
      <c r="R16" s="224"/>
      <c r="S16" s="222"/>
      <c r="T16" s="228">
        <v>2977.0</v>
      </c>
      <c r="U16" s="244"/>
      <c r="V16" s="237">
        <v>1935.05</v>
      </c>
      <c r="W16" s="199"/>
    </row>
    <row r="17">
      <c r="A17" s="238"/>
      <c r="B17" s="247"/>
      <c r="C17" s="248"/>
      <c r="D17" s="248"/>
      <c r="E17" s="248"/>
      <c r="F17" s="248"/>
      <c r="G17" s="248"/>
      <c r="H17" s="248"/>
      <c r="I17" s="248"/>
      <c r="J17" s="248"/>
      <c r="K17" s="249"/>
      <c r="L17" s="199"/>
      <c r="M17" s="250"/>
      <c r="N17" s="251"/>
      <c r="O17" s="251"/>
      <c r="P17" s="251"/>
      <c r="Q17" s="251"/>
      <c r="R17" s="251"/>
      <c r="S17" s="251"/>
      <c r="T17" s="251"/>
      <c r="U17" s="251"/>
      <c r="V17" s="251"/>
      <c r="W17" s="199"/>
    </row>
    <row r="18">
      <c r="A18" s="197"/>
      <c r="B18" s="252" t="s">
        <v>712</v>
      </c>
      <c r="C18" s="222"/>
      <c r="D18" s="253"/>
      <c r="E18" s="222"/>
      <c r="F18" s="248"/>
      <c r="G18" s="248"/>
      <c r="H18" s="248"/>
      <c r="I18" s="248"/>
      <c r="J18" s="248"/>
      <c r="K18" s="249"/>
      <c r="L18" s="199"/>
      <c r="M18" s="254" t="s">
        <v>712</v>
      </c>
      <c r="N18" s="222"/>
      <c r="O18" s="255"/>
      <c r="P18" s="222"/>
      <c r="Q18" s="251"/>
      <c r="R18" s="251"/>
      <c r="S18" s="251"/>
      <c r="T18" s="251"/>
      <c r="U18" s="251"/>
      <c r="V18" s="251"/>
      <c r="W18" s="199"/>
    </row>
    <row r="19">
      <c r="A19" s="197"/>
      <c r="B19" s="256" t="s">
        <v>713</v>
      </c>
      <c r="C19" s="222"/>
      <c r="D19" s="257">
        <v>500.0</v>
      </c>
      <c r="E19" s="222"/>
      <c r="F19" s="248"/>
      <c r="G19" s="248"/>
      <c r="H19" s="248"/>
      <c r="I19" s="248"/>
      <c r="J19" s="248"/>
      <c r="K19" s="249"/>
      <c r="L19" s="199"/>
      <c r="M19" s="258"/>
      <c r="N19" s="222"/>
      <c r="O19" s="255"/>
      <c r="P19" s="222"/>
      <c r="Q19" s="251"/>
      <c r="R19" s="251"/>
      <c r="S19" s="251"/>
      <c r="T19" s="251"/>
      <c r="U19" s="251"/>
      <c r="V19" s="251"/>
      <c r="W19" s="199"/>
    </row>
    <row r="20">
      <c r="A20" s="238"/>
      <c r="B20" s="259"/>
      <c r="C20" s="222"/>
      <c r="D20" s="253"/>
      <c r="E20" s="222"/>
      <c r="F20" s="248"/>
      <c r="G20" s="260"/>
      <c r="H20" s="260"/>
      <c r="I20" s="260"/>
      <c r="J20" s="260"/>
      <c r="K20" s="261"/>
      <c r="L20" s="199"/>
      <c r="M20" s="258"/>
      <c r="N20" s="222"/>
      <c r="O20" s="255"/>
      <c r="P20" s="222"/>
      <c r="Q20" s="251"/>
      <c r="R20" s="251"/>
      <c r="S20" s="251"/>
      <c r="T20" s="251"/>
      <c r="U20" s="251"/>
      <c r="V20" s="251"/>
      <c r="W20" s="199"/>
    </row>
    <row r="21">
      <c r="A21" s="197"/>
      <c r="B21" s="262" t="s">
        <v>714</v>
      </c>
      <c r="C21" s="222"/>
      <c r="D21" s="257">
        <v>500.0</v>
      </c>
      <c r="E21" s="222"/>
      <c r="F21" s="248"/>
      <c r="G21" s="260"/>
      <c r="H21" s="260"/>
      <c r="I21" s="260"/>
      <c r="J21" s="260"/>
      <c r="K21" s="261"/>
      <c r="L21" s="199"/>
      <c r="M21" s="258"/>
      <c r="N21" s="222"/>
      <c r="O21" s="255"/>
      <c r="P21" s="222"/>
      <c r="Q21" s="251"/>
      <c r="R21" s="251"/>
      <c r="S21" s="251"/>
      <c r="T21" s="251"/>
      <c r="U21" s="251"/>
      <c r="V21" s="251"/>
      <c r="W21" s="199"/>
    </row>
    <row r="22">
      <c r="A22" s="238"/>
      <c r="B22" s="263"/>
      <c r="C22" s="224"/>
      <c r="D22" s="224"/>
      <c r="E22" s="222"/>
      <c r="F22" s="248"/>
      <c r="G22" s="260"/>
      <c r="H22" s="260"/>
      <c r="I22" s="260"/>
      <c r="J22" s="260"/>
      <c r="K22" s="261"/>
      <c r="L22" s="199"/>
      <c r="M22" s="258"/>
      <c r="N22" s="222"/>
      <c r="O22" s="255"/>
      <c r="P22" s="222"/>
      <c r="Q22" s="251"/>
      <c r="R22" s="251"/>
      <c r="S22" s="251"/>
      <c r="T22" s="251"/>
      <c r="U22" s="251"/>
      <c r="V22" s="251"/>
      <c r="W22" s="199"/>
    </row>
    <row r="23">
      <c r="A23" s="197"/>
      <c r="B23" s="264" t="s">
        <v>715</v>
      </c>
      <c r="C23" s="222"/>
      <c r="D23" s="265"/>
      <c r="E23" s="222"/>
      <c r="F23" s="248"/>
      <c r="G23" s="260"/>
      <c r="H23" s="260"/>
      <c r="I23" s="260"/>
      <c r="J23" s="260"/>
      <c r="K23" s="261"/>
      <c r="L23" s="199"/>
      <c r="M23" s="258"/>
      <c r="N23" s="222"/>
      <c r="O23" s="255"/>
      <c r="P23" s="222"/>
      <c r="Q23" s="251"/>
      <c r="R23" s="251"/>
      <c r="S23" s="251"/>
      <c r="T23" s="251"/>
      <c r="U23" s="251"/>
      <c r="V23" s="251"/>
      <c r="W23" s="199"/>
    </row>
    <row r="24">
      <c r="A24" s="197"/>
      <c r="B24" s="266" t="s">
        <v>716</v>
      </c>
      <c r="C24" s="222"/>
      <c r="D24" s="267">
        <v>150.0</v>
      </c>
      <c r="E24" s="222"/>
      <c r="F24" s="248"/>
      <c r="G24" s="260"/>
      <c r="H24" s="260"/>
      <c r="I24" s="260"/>
      <c r="J24" s="260"/>
      <c r="K24" s="261"/>
      <c r="L24" s="199"/>
      <c r="M24" s="268" t="s">
        <v>714</v>
      </c>
      <c r="N24" s="222"/>
      <c r="O24" s="269">
        <v>0.0</v>
      </c>
      <c r="P24" s="222"/>
      <c r="Q24" s="251"/>
      <c r="R24" s="251"/>
      <c r="S24" s="251"/>
      <c r="T24" s="251"/>
      <c r="U24" s="251"/>
      <c r="V24" s="251"/>
      <c r="W24" s="199"/>
    </row>
    <row r="25">
      <c r="A25" s="197"/>
      <c r="B25" s="266" t="s">
        <v>717</v>
      </c>
      <c r="C25" s="222"/>
      <c r="D25" s="267">
        <v>400.0</v>
      </c>
      <c r="E25" s="222"/>
      <c r="F25" s="248"/>
      <c r="G25" s="260"/>
      <c r="H25" s="260"/>
      <c r="I25" s="260"/>
      <c r="J25" s="260"/>
      <c r="K25" s="261"/>
      <c r="L25" s="199"/>
      <c r="M25" s="251"/>
      <c r="N25" s="251"/>
      <c r="O25" s="270"/>
      <c r="Q25" s="251"/>
      <c r="R25" s="251"/>
      <c r="S25" s="251"/>
      <c r="T25" s="251"/>
      <c r="U25" s="251"/>
      <c r="V25" s="251"/>
      <c r="W25" s="199"/>
    </row>
    <row r="26">
      <c r="A26" s="197"/>
      <c r="B26" s="266" t="s">
        <v>718</v>
      </c>
      <c r="C26" s="222"/>
      <c r="D26" s="267">
        <v>200.0</v>
      </c>
      <c r="E26" s="222"/>
      <c r="F26" s="248"/>
      <c r="G26" s="260"/>
      <c r="H26" s="260"/>
      <c r="I26" s="260"/>
      <c r="J26" s="260"/>
      <c r="K26" s="261"/>
      <c r="L26" s="199"/>
      <c r="M26" s="271" t="s">
        <v>715</v>
      </c>
      <c r="N26" s="222"/>
      <c r="O26" s="272"/>
      <c r="P26" s="222"/>
      <c r="Q26" s="251"/>
      <c r="R26" s="251"/>
      <c r="S26" s="251"/>
      <c r="T26" s="251"/>
      <c r="U26" s="251"/>
      <c r="V26" s="251"/>
      <c r="W26" s="199"/>
    </row>
    <row r="27">
      <c r="A27" s="197"/>
      <c r="B27" s="266" t="s">
        <v>656</v>
      </c>
      <c r="C27" s="222"/>
      <c r="D27" s="267">
        <v>2702.77</v>
      </c>
      <c r="E27" s="222"/>
      <c r="F27" s="248"/>
      <c r="G27" s="260"/>
      <c r="H27" s="260"/>
      <c r="I27" s="260"/>
      <c r="J27" s="260"/>
      <c r="K27" s="261"/>
      <c r="L27" s="199"/>
      <c r="M27" s="272"/>
      <c r="N27" s="222"/>
      <c r="O27" s="272"/>
      <c r="P27" s="222"/>
      <c r="Q27" s="251"/>
      <c r="R27" s="251"/>
      <c r="S27" s="273" t="s">
        <v>719</v>
      </c>
      <c r="T27" s="211"/>
      <c r="U27" s="274">
        <v>1935.05</v>
      </c>
      <c r="V27" s="211"/>
      <c r="W27" s="199"/>
    </row>
    <row r="28">
      <c r="A28" s="238"/>
      <c r="B28" s="275"/>
      <c r="C28" s="222"/>
      <c r="D28" s="265"/>
      <c r="E28" s="222"/>
      <c r="F28" s="248"/>
      <c r="G28" s="248"/>
      <c r="H28" s="276" t="s">
        <v>720</v>
      </c>
      <c r="I28" s="211"/>
      <c r="J28" s="277">
        <v>3147.23</v>
      </c>
      <c r="K28" s="220"/>
      <c r="L28" s="199"/>
      <c r="M28" s="272"/>
      <c r="N28" s="222"/>
      <c r="O28" s="272"/>
      <c r="P28" s="222"/>
      <c r="Q28" s="251"/>
      <c r="R28" s="251"/>
      <c r="S28" s="278"/>
      <c r="T28" s="56"/>
      <c r="U28" s="278"/>
      <c r="V28" s="56"/>
      <c r="W28" s="199"/>
    </row>
    <row r="29">
      <c r="A29" s="238"/>
      <c r="B29" s="275"/>
      <c r="C29" s="222"/>
      <c r="D29" s="265"/>
      <c r="E29" s="222"/>
      <c r="F29" s="248"/>
      <c r="G29" s="248"/>
      <c r="H29" s="278"/>
      <c r="I29" s="56"/>
      <c r="J29" s="278"/>
      <c r="K29" s="279"/>
      <c r="L29" s="199"/>
      <c r="M29" s="272"/>
      <c r="N29" s="222"/>
      <c r="O29" s="272"/>
      <c r="P29" s="222"/>
      <c r="Q29" s="251"/>
      <c r="R29" s="251"/>
      <c r="S29" s="215"/>
      <c r="T29" s="64"/>
      <c r="U29" s="215"/>
      <c r="V29" s="64"/>
      <c r="W29" s="199"/>
    </row>
    <row r="30">
      <c r="A30" s="238"/>
      <c r="B30" s="275"/>
      <c r="C30" s="222"/>
      <c r="D30" s="265"/>
      <c r="E30" s="222"/>
      <c r="F30" s="248"/>
      <c r="G30" s="248"/>
      <c r="H30" s="215"/>
      <c r="I30" s="64"/>
      <c r="J30" s="215"/>
      <c r="K30" s="217"/>
      <c r="L30" s="199"/>
      <c r="M30" s="272"/>
      <c r="N30" s="222"/>
      <c r="O30" s="272"/>
      <c r="P30" s="222"/>
      <c r="Q30" s="251"/>
      <c r="R30" s="251"/>
      <c r="S30" s="251"/>
      <c r="T30" s="251"/>
      <c r="U30" s="251"/>
      <c r="V30" s="251"/>
      <c r="W30" s="199"/>
    </row>
    <row r="31">
      <c r="A31" s="238"/>
      <c r="B31" s="275"/>
      <c r="C31" s="222"/>
      <c r="D31" s="265"/>
      <c r="E31" s="222"/>
      <c r="F31" s="248"/>
      <c r="G31" s="248"/>
      <c r="H31" s="248"/>
      <c r="I31" s="248"/>
      <c r="J31" s="248"/>
      <c r="K31" s="249"/>
      <c r="L31" s="199"/>
      <c r="M31" s="272"/>
      <c r="N31" s="222"/>
      <c r="O31" s="272"/>
      <c r="P31" s="222"/>
      <c r="Q31" s="251"/>
      <c r="R31" s="251"/>
      <c r="S31" s="251"/>
      <c r="T31" s="251"/>
      <c r="U31" s="251"/>
      <c r="V31" s="251"/>
      <c r="W31" s="199"/>
    </row>
    <row r="32">
      <c r="A32" s="238"/>
      <c r="B32" s="275"/>
      <c r="C32" s="222"/>
      <c r="D32" s="265"/>
      <c r="E32" s="222"/>
      <c r="F32" s="248"/>
      <c r="G32" s="248"/>
      <c r="H32" s="248"/>
      <c r="I32" s="248"/>
      <c r="J32" s="248"/>
      <c r="K32" s="249"/>
      <c r="L32" s="199"/>
      <c r="M32" s="280" t="s">
        <v>721</v>
      </c>
      <c r="N32" s="222"/>
      <c r="O32" s="281">
        <v>0.0</v>
      </c>
      <c r="P32" s="222"/>
      <c r="Q32" s="251"/>
      <c r="R32" s="251"/>
      <c r="S32" s="251"/>
      <c r="T32" s="251"/>
      <c r="U32" s="251"/>
      <c r="V32" s="251"/>
      <c r="W32" s="199"/>
    </row>
    <row r="33">
      <c r="A33" s="197"/>
      <c r="B33" s="266" t="s">
        <v>721</v>
      </c>
      <c r="C33" s="222"/>
      <c r="D33" s="267">
        <v>3452.77</v>
      </c>
      <c r="E33" s="222"/>
      <c r="F33" s="248"/>
      <c r="G33" s="248"/>
      <c r="H33" s="248"/>
      <c r="I33" s="248"/>
      <c r="J33" s="248"/>
      <c r="K33" s="249"/>
      <c r="L33" s="199"/>
      <c r="M33" s="282"/>
      <c r="N33" s="282"/>
      <c r="O33" s="282"/>
      <c r="P33" s="282"/>
      <c r="Q33" s="282"/>
      <c r="R33" s="282"/>
      <c r="S33" s="282"/>
      <c r="T33" s="282"/>
      <c r="U33" s="282"/>
      <c r="V33" s="282"/>
      <c r="W33" s="199"/>
    </row>
    <row r="34">
      <c r="A34" s="283"/>
      <c r="B34" s="284"/>
      <c r="C34" s="285"/>
      <c r="D34" s="285"/>
      <c r="E34" s="285"/>
      <c r="F34" s="285"/>
      <c r="G34" s="285"/>
      <c r="H34" s="285"/>
      <c r="I34" s="285"/>
      <c r="J34" s="285"/>
      <c r="K34" s="286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</row>
    <row r="35">
      <c r="A35" s="283"/>
      <c r="B35" s="199"/>
      <c r="C35" s="199"/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</row>
    <row r="36">
      <c r="A36" s="283"/>
      <c r="B36" s="199"/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  <c r="O36" s="199"/>
      <c r="P36" s="199"/>
      <c r="Q36" s="199"/>
      <c r="R36" s="199"/>
      <c r="S36" s="199"/>
      <c r="T36" s="199"/>
      <c r="U36" s="199"/>
      <c r="V36" s="199"/>
      <c r="W36" s="199"/>
    </row>
    <row r="37">
      <c r="A37" s="201">
        <v>2.0</v>
      </c>
      <c r="B37" s="202"/>
      <c r="C37" s="203"/>
      <c r="D37" s="203"/>
      <c r="E37" s="204"/>
      <c r="F37" s="204"/>
      <c r="G37" s="205" t="s">
        <v>700</v>
      </c>
      <c r="H37" s="206"/>
      <c r="I37" s="207" t="s">
        <v>701</v>
      </c>
      <c r="J37" s="203"/>
      <c r="K37" s="208"/>
      <c r="L37" s="199"/>
      <c r="M37" s="287"/>
      <c r="R37" s="210" t="s">
        <v>700</v>
      </c>
      <c r="S37" s="211"/>
      <c r="T37" s="212" t="s">
        <v>701</v>
      </c>
      <c r="U37" s="213"/>
      <c r="V37" s="211"/>
      <c r="W37" s="199"/>
    </row>
    <row r="38">
      <c r="A38" s="194"/>
      <c r="B38" s="214"/>
      <c r="E38" s="196"/>
      <c r="F38" s="196"/>
      <c r="G38" s="215"/>
      <c r="H38" s="64"/>
      <c r="I38" s="215"/>
      <c r="J38" s="216"/>
      <c r="K38" s="217"/>
      <c r="L38" s="199"/>
      <c r="R38" s="215"/>
      <c r="S38" s="64"/>
      <c r="T38" s="215"/>
      <c r="U38" s="216"/>
      <c r="V38" s="64"/>
      <c r="W38" s="199"/>
    </row>
    <row r="39">
      <c r="A39" s="194"/>
      <c r="B39" s="214"/>
      <c r="E39" s="195"/>
      <c r="F39" s="195"/>
      <c r="G39" s="218" t="s">
        <v>702</v>
      </c>
      <c r="H39" s="211"/>
      <c r="I39" s="219" t="s">
        <v>693</v>
      </c>
      <c r="J39" s="213"/>
      <c r="K39" s="220"/>
      <c r="L39" s="199"/>
      <c r="R39" s="210" t="s">
        <v>351</v>
      </c>
      <c r="S39" s="211"/>
      <c r="T39" s="212" t="s">
        <v>693</v>
      </c>
      <c r="U39" s="213"/>
      <c r="V39" s="211"/>
      <c r="W39" s="199"/>
    </row>
    <row r="40">
      <c r="A40" s="194"/>
      <c r="B40" s="214"/>
      <c r="E40" s="195"/>
      <c r="F40" s="195"/>
      <c r="G40" s="215"/>
      <c r="H40" s="64"/>
      <c r="I40" s="215"/>
      <c r="J40" s="216"/>
      <c r="K40" s="217"/>
      <c r="L40" s="199"/>
      <c r="R40" s="215"/>
      <c r="S40" s="64"/>
      <c r="T40" s="215"/>
      <c r="U40" s="216"/>
      <c r="V40" s="64"/>
      <c r="W40" s="199"/>
    </row>
    <row r="41">
      <c r="A41" s="194"/>
      <c r="B41" s="214"/>
      <c r="E41" s="195"/>
      <c r="F41" s="195"/>
      <c r="G41" s="218" t="s">
        <v>703</v>
      </c>
      <c r="H41" s="211"/>
      <c r="I41" s="219">
        <v>6643.0</v>
      </c>
      <c r="J41" s="213"/>
      <c r="K41" s="220"/>
      <c r="L41" s="199"/>
      <c r="R41" s="210" t="s">
        <v>703</v>
      </c>
      <c r="S41" s="211"/>
      <c r="T41" s="212">
        <v>6643.0</v>
      </c>
      <c r="U41" s="213"/>
      <c r="V41" s="211"/>
      <c r="W41" s="199"/>
    </row>
    <row r="42">
      <c r="A42" s="194"/>
      <c r="B42" s="214"/>
      <c r="E42" s="195"/>
      <c r="F42" s="195"/>
      <c r="G42" s="215"/>
      <c r="H42" s="64"/>
      <c r="I42" s="215"/>
      <c r="J42" s="216"/>
      <c r="K42" s="217"/>
      <c r="L42" s="199"/>
      <c r="R42" s="215"/>
      <c r="S42" s="64"/>
      <c r="T42" s="215"/>
      <c r="U42" s="216"/>
      <c r="V42" s="64"/>
      <c r="W42" s="199"/>
    </row>
    <row r="43">
      <c r="A43" s="197"/>
      <c r="B43" s="221" t="s">
        <v>704</v>
      </c>
      <c r="C43" s="222"/>
      <c r="D43" s="223" t="s">
        <v>5</v>
      </c>
      <c r="E43" s="222"/>
      <c r="F43" s="223" t="s">
        <v>705</v>
      </c>
      <c r="G43" s="224"/>
      <c r="H43" s="222"/>
      <c r="I43" s="225" t="s">
        <v>8</v>
      </c>
      <c r="J43" s="225" t="s">
        <v>706</v>
      </c>
      <c r="K43" s="226" t="s">
        <v>707</v>
      </c>
      <c r="L43" s="199"/>
      <c r="M43" s="227" t="s">
        <v>704</v>
      </c>
      <c r="N43" s="222"/>
      <c r="O43" s="227" t="s">
        <v>5</v>
      </c>
      <c r="P43" s="222"/>
      <c r="Q43" s="227" t="s">
        <v>705</v>
      </c>
      <c r="R43" s="224"/>
      <c r="S43" s="222"/>
      <c r="T43" s="228" t="s">
        <v>591</v>
      </c>
      <c r="U43" s="228" t="s">
        <v>708</v>
      </c>
      <c r="V43" s="228" t="s">
        <v>707</v>
      </c>
      <c r="W43" s="199"/>
    </row>
    <row r="44">
      <c r="A44" s="229"/>
      <c r="B44" s="230">
        <v>45971.0</v>
      </c>
      <c r="C44" s="222"/>
      <c r="D44" s="223">
        <v>2452607.0</v>
      </c>
      <c r="E44" s="222"/>
      <c r="F44" s="223" t="s">
        <v>722</v>
      </c>
      <c r="G44" s="224"/>
      <c r="H44" s="222"/>
      <c r="I44" s="232">
        <v>1537.0</v>
      </c>
      <c r="J44" s="233">
        <v>0.88</v>
      </c>
      <c r="K44" s="234">
        <v>1352.56</v>
      </c>
      <c r="L44" s="199"/>
      <c r="M44" s="235">
        <v>45971.0</v>
      </c>
      <c r="N44" s="222"/>
      <c r="O44" s="227">
        <v>2452607.0</v>
      </c>
      <c r="P44" s="222"/>
      <c r="Q44" s="227" t="s">
        <v>722</v>
      </c>
      <c r="R44" s="224"/>
      <c r="S44" s="222"/>
      <c r="T44" s="228">
        <v>616.0</v>
      </c>
      <c r="U44" s="228">
        <v>0.65</v>
      </c>
      <c r="V44" s="237">
        <v>400.4</v>
      </c>
      <c r="W44" s="199"/>
    </row>
    <row r="45">
      <c r="A45" s="229"/>
      <c r="B45" s="230">
        <v>45973.0</v>
      </c>
      <c r="C45" s="222"/>
      <c r="D45" s="223" t="s">
        <v>723</v>
      </c>
      <c r="E45" s="222"/>
      <c r="F45" s="223" t="s">
        <v>724</v>
      </c>
      <c r="G45" s="224"/>
      <c r="H45" s="222"/>
      <c r="I45" s="232">
        <v>1275.0</v>
      </c>
      <c r="J45" s="233">
        <v>0.88</v>
      </c>
      <c r="K45" s="234">
        <v>1122.0</v>
      </c>
      <c r="L45" s="199"/>
      <c r="M45" s="235">
        <v>45973.0</v>
      </c>
      <c r="N45" s="222"/>
      <c r="O45" s="227" t="s">
        <v>723</v>
      </c>
      <c r="P45" s="222"/>
      <c r="Q45" s="227" t="s">
        <v>724</v>
      </c>
      <c r="R45" s="224"/>
      <c r="S45" s="222"/>
      <c r="T45" s="228">
        <v>796.0</v>
      </c>
      <c r="U45" s="228">
        <v>0.65</v>
      </c>
      <c r="V45" s="237">
        <v>517.4</v>
      </c>
      <c r="W45" s="199"/>
    </row>
    <row r="46">
      <c r="A46" s="229"/>
      <c r="B46" s="230">
        <v>45975.0</v>
      </c>
      <c r="C46" s="222"/>
      <c r="D46" s="223" t="s">
        <v>725</v>
      </c>
      <c r="E46" s="222"/>
      <c r="F46" s="223" t="s">
        <v>726</v>
      </c>
      <c r="G46" s="224"/>
      <c r="H46" s="222"/>
      <c r="I46" s="232">
        <v>1401.0</v>
      </c>
      <c r="J46" s="233">
        <v>0.88</v>
      </c>
      <c r="K46" s="234">
        <v>1232.88</v>
      </c>
      <c r="L46" s="199"/>
      <c r="M46" s="235">
        <v>45975.0</v>
      </c>
      <c r="N46" s="222"/>
      <c r="O46" s="227" t="s">
        <v>725</v>
      </c>
      <c r="P46" s="222"/>
      <c r="Q46" s="227" t="s">
        <v>726</v>
      </c>
      <c r="R46" s="224"/>
      <c r="S46" s="222"/>
      <c r="T46" s="228">
        <v>729.0</v>
      </c>
      <c r="U46" s="228">
        <v>0.65</v>
      </c>
      <c r="V46" s="237">
        <v>473.85</v>
      </c>
      <c r="W46" s="199"/>
    </row>
    <row r="47">
      <c r="A47" s="229"/>
      <c r="B47" s="230">
        <v>45976.0</v>
      </c>
      <c r="C47" s="222"/>
      <c r="D47" s="223">
        <v>2.0615951E7</v>
      </c>
      <c r="E47" s="222"/>
      <c r="F47" s="223" t="s">
        <v>727</v>
      </c>
      <c r="G47" s="224"/>
      <c r="H47" s="222"/>
      <c r="I47" s="232">
        <v>2900.0</v>
      </c>
      <c r="J47" s="233">
        <v>0.88</v>
      </c>
      <c r="K47" s="234">
        <v>2552.0</v>
      </c>
      <c r="L47" s="199"/>
      <c r="M47" s="235">
        <v>45976.0</v>
      </c>
      <c r="N47" s="222"/>
      <c r="O47" s="227">
        <v>2.0615951E7</v>
      </c>
      <c r="P47" s="222"/>
      <c r="Q47" s="227" t="s">
        <v>727</v>
      </c>
      <c r="R47" s="224"/>
      <c r="S47" s="222"/>
      <c r="T47" s="228">
        <v>1239.0</v>
      </c>
      <c r="U47" s="228">
        <v>0.65</v>
      </c>
      <c r="V47" s="237">
        <v>805.35</v>
      </c>
      <c r="W47" s="199"/>
    </row>
    <row r="48">
      <c r="A48" s="238"/>
      <c r="B48" s="239"/>
      <c r="C48" s="222"/>
      <c r="D48" s="240"/>
      <c r="E48" s="222"/>
      <c r="F48" s="240"/>
      <c r="G48" s="224"/>
      <c r="H48" s="222"/>
      <c r="I48" s="288"/>
      <c r="J48" s="241"/>
      <c r="K48" s="289"/>
      <c r="L48" s="199"/>
      <c r="M48" s="243"/>
      <c r="N48" s="222"/>
      <c r="O48" s="243"/>
      <c r="P48" s="222"/>
      <c r="Q48" s="243"/>
      <c r="R48" s="224"/>
      <c r="S48" s="222"/>
      <c r="T48" s="244"/>
      <c r="U48" s="290"/>
      <c r="V48" s="244"/>
      <c r="W48" s="199"/>
    </row>
    <row r="49">
      <c r="A49" s="197"/>
      <c r="B49" s="245" t="s">
        <v>711</v>
      </c>
      <c r="C49" s="224"/>
      <c r="D49" s="224"/>
      <c r="E49" s="224"/>
      <c r="F49" s="224"/>
      <c r="G49" s="224"/>
      <c r="H49" s="222"/>
      <c r="I49" s="291">
        <v>7113.0</v>
      </c>
      <c r="J49" s="241"/>
      <c r="K49" s="292">
        <v>6259.44</v>
      </c>
      <c r="L49" s="199"/>
      <c r="M49" s="243"/>
      <c r="N49" s="222"/>
      <c r="O49" s="243"/>
      <c r="P49" s="222"/>
      <c r="Q49" s="243"/>
      <c r="R49" s="224"/>
      <c r="S49" s="222"/>
      <c r="T49" s="290"/>
      <c r="U49" s="290"/>
      <c r="V49" s="244"/>
      <c r="W49" s="199"/>
    </row>
    <row r="50">
      <c r="A50" s="238"/>
      <c r="B50" s="247"/>
      <c r="C50" s="248"/>
      <c r="D50" s="248"/>
      <c r="E50" s="248"/>
      <c r="F50" s="248"/>
      <c r="G50" s="248"/>
      <c r="H50" s="248"/>
      <c r="I50" s="248"/>
      <c r="J50" s="248"/>
      <c r="K50" s="249"/>
      <c r="L50" s="199"/>
      <c r="M50" s="246" t="s">
        <v>711</v>
      </c>
      <c r="N50" s="224"/>
      <c r="O50" s="224"/>
      <c r="P50" s="224"/>
      <c r="Q50" s="224"/>
      <c r="R50" s="224"/>
      <c r="S50" s="222"/>
      <c r="T50" s="228">
        <v>3380.0</v>
      </c>
      <c r="U50" s="244"/>
      <c r="V50" s="237">
        <v>2197.0</v>
      </c>
      <c r="W50" s="199"/>
    </row>
    <row r="51">
      <c r="A51" s="197"/>
      <c r="B51" s="252" t="s">
        <v>712</v>
      </c>
      <c r="C51" s="222"/>
      <c r="D51" s="253"/>
      <c r="E51" s="222"/>
      <c r="F51" s="248"/>
      <c r="G51" s="248"/>
      <c r="H51" s="248"/>
      <c r="I51" s="248"/>
      <c r="J51" s="248"/>
      <c r="K51" s="249"/>
      <c r="L51" s="199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199"/>
    </row>
    <row r="52">
      <c r="A52" s="238"/>
      <c r="B52" s="259"/>
      <c r="C52" s="222"/>
      <c r="D52" s="253"/>
      <c r="E52" s="222"/>
      <c r="F52" s="248"/>
      <c r="G52" s="248"/>
      <c r="H52" s="248"/>
      <c r="I52" s="248"/>
      <c r="J52" s="248"/>
      <c r="K52" s="249"/>
      <c r="L52" s="199"/>
      <c r="M52" s="254" t="s">
        <v>712</v>
      </c>
      <c r="N52" s="222"/>
      <c r="O52" s="255"/>
      <c r="P52" s="222"/>
      <c r="Q52" s="251"/>
      <c r="R52" s="251"/>
      <c r="S52" s="251"/>
      <c r="T52" s="251"/>
      <c r="U52" s="251"/>
      <c r="V52" s="251"/>
      <c r="W52" s="199"/>
    </row>
    <row r="53">
      <c r="A53" s="238"/>
      <c r="B53" s="259"/>
      <c r="C53" s="222"/>
      <c r="D53" s="253"/>
      <c r="E53" s="222"/>
      <c r="F53" s="248"/>
      <c r="G53" s="260"/>
      <c r="H53" s="260"/>
      <c r="I53" s="260"/>
      <c r="J53" s="260"/>
      <c r="K53" s="261"/>
      <c r="L53" s="199"/>
      <c r="M53" s="255"/>
      <c r="N53" s="222"/>
      <c r="O53" s="255"/>
      <c r="P53" s="222"/>
      <c r="Q53" s="251"/>
      <c r="R53" s="251"/>
      <c r="S53" s="251"/>
      <c r="T53" s="251"/>
      <c r="U53" s="251"/>
      <c r="V53" s="251"/>
      <c r="W53" s="199"/>
    </row>
    <row r="54">
      <c r="A54" s="197"/>
      <c r="B54" s="262" t="s">
        <v>714</v>
      </c>
      <c r="C54" s="222"/>
      <c r="D54" s="257">
        <v>0.0</v>
      </c>
      <c r="E54" s="222"/>
      <c r="F54" s="248"/>
      <c r="G54" s="260"/>
      <c r="H54" s="260"/>
      <c r="I54" s="260"/>
      <c r="J54" s="260"/>
      <c r="K54" s="261"/>
      <c r="L54" s="199"/>
      <c r="M54" s="255"/>
      <c r="N54" s="222"/>
      <c r="O54" s="255"/>
      <c r="P54" s="222"/>
      <c r="Q54" s="251"/>
      <c r="R54" s="251"/>
      <c r="S54" s="251"/>
      <c r="T54" s="251"/>
      <c r="U54" s="251"/>
      <c r="V54" s="251"/>
      <c r="W54" s="199"/>
    </row>
    <row r="55">
      <c r="A55" s="238"/>
      <c r="B55" s="263"/>
      <c r="C55" s="224"/>
      <c r="D55" s="224"/>
      <c r="E55" s="222"/>
      <c r="F55" s="248"/>
      <c r="G55" s="260"/>
      <c r="H55" s="260"/>
      <c r="I55" s="260"/>
      <c r="J55" s="260"/>
      <c r="K55" s="261"/>
      <c r="L55" s="199"/>
      <c r="M55" s="255"/>
      <c r="N55" s="222"/>
      <c r="O55" s="255"/>
      <c r="P55" s="222"/>
      <c r="Q55" s="251"/>
      <c r="R55" s="251"/>
      <c r="S55" s="251"/>
      <c r="T55" s="251"/>
      <c r="U55" s="251"/>
      <c r="V55" s="251"/>
      <c r="W55" s="199"/>
    </row>
    <row r="56">
      <c r="A56" s="197"/>
      <c r="B56" s="264" t="s">
        <v>715</v>
      </c>
      <c r="C56" s="222"/>
      <c r="D56" s="265"/>
      <c r="E56" s="222"/>
      <c r="F56" s="248"/>
      <c r="G56" s="260"/>
      <c r="H56" s="260"/>
      <c r="I56" s="260"/>
      <c r="J56" s="260"/>
      <c r="K56" s="261"/>
      <c r="L56" s="199"/>
      <c r="M56" s="255"/>
      <c r="N56" s="222"/>
      <c r="O56" s="255"/>
      <c r="P56" s="222"/>
      <c r="Q56" s="251"/>
      <c r="R56" s="251"/>
      <c r="S56" s="251"/>
      <c r="T56" s="251"/>
      <c r="U56" s="251"/>
      <c r="V56" s="251"/>
      <c r="W56" s="199"/>
    </row>
    <row r="57">
      <c r="A57" s="197"/>
      <c r="B57" s="266" t="s">
        <v>716</v>
      </c>
      <c r="C57" s="222"/>
      <c r="D57" s="267">
        <v>150.0</v>
      </c>
      <c r="E57" s="222"/>
      <c r="F57" s="248"/>
      <c r="G57" s="260"/>
      <c r="H57" s="260"/>
      <c r="I57" s="260"/>
      <c r="J57" s="260"/>
      <c r="K57" s="261"/>
      <c r="L57" s="199"/>
      <c r="M57" s="255"/>
      <c r="N57" s="222"/>
      <c r="O57" s="255"/>
      <c r="P57" s="222"/>
      <c r="Q57" s="251"/>
      <c r="R57" s="251"/>
      <c r="S57" s="251"/>
      <c r="T57" s="251"/>
      <c r="U57" s="251"/>
      <c r="V57" s="251"/>
      <c r="W57" s="199"/>
    </row>
    <row r="58">
      <c r="A58" s="197"/>
      <c r="B58" s="266" t="s">
        <v>717</v>
      </c>
      <c r="C58" s="222"/>
      <c r="D58" s="267">
        <v>400.0</v>
      </c>
      <c r="E58" s="222"/>
      <c r="F58" s="248"/>
      <c r="G58" s="260"/>
      <c r="H58" s="260"/>
      <c r="I58" s="260"/>
      <c r="J58" s="260"/>
      <c r="K58" s="261"/>
      <c r="L58" s="199"/>
      <c r="M58" s="268" t="s">
        <v>714</v>
      </c>
      <c r="N58" s="222"/>
      <c r="O58" s="269">
        <v>0.0</v>
      </c>
      <c r="P58" s="222"/>
      <c r="Q58" s="251"/>
      <c r="R58" s="251"/>
      <c r="S58" s="251"/>
      <c r="T58" s="251"/>
      <c r="U58" s="251"/>
      <c r="V58" s="251"/>
      <c r="W58" s="199"/>
    </row>
    <row r="59">
      <c r="A59" s="197"/>
      <c r="B59" s="266" t="s">
        <v>718</v>
      </c>
      <c r="C59" s="222"/>
      <c r="D59" s="267">
        <v>0.0</v>
      </c>
      <c r="E59" s="222"/>
      <c r="F59" s="248"/>
      <c r="G59" s="260"/>
      <c r="H59" s="260"/>
      <c r="I59" s="260"/>
      <c r="J59" s="260"/>
      <c r="K59" s="261"/>
      <c r="L59" s="199"/>
      <c r="M59" s="251"/>
      <c r="N59" s="251"/>
      <c r="O59" s="270"/>
      <c r="Q59" s="251"/>
      <c r="R59" s="251"/>
      <c r="S59" s="251"/>
      <c r="T59" s="251"/>
      <c r="U59" s="251"/>
      <c r="V59" s="251"/>
      <c r="W59" s="199"/>
    </row>
    <row r="60">
      <c r="A60" s="197"/>
      <c r="B60" s="266" t="s">
        <v>656</v>
      </c>
      <c r="C60" s="222"/>
      <c r="D60" s="267">
        <v>2017.67</v>
      </c>
      <c r="E60" s="222"/>
      <c r="F60" s="248"/>
      <c r="G60" s="260"/>
      <c r="H60" s="260"/>
      <c r="I60" s="260"/>
      <c r="J60" s="260"/>
      <c r="K60" s="261"/>
      <c r="L60" s="199"/>
      <c r="M60" s="271" t="s">
        <v>715</v>
      </c>
      <c r="N60" s="222"/>
      <c r="O60" s="272"/>
      <c r="P60" s="222"/>
      <c r="Q60" s="251"/>
      <c r="R60" s="251"/>
      <c r="S60" s="251"/>
      <c r="T60" s="251"/>
      <c r="U60" s="251"/>
      <c r="V60" s="251"/>
      <c r="W60" s="199"/>
    </row>
    <row r="61">
      <c r="A61" s="238"/>
      <c r="B61" s="275"/>
      <c r="C61" s="222"/>
      <c r="D61" s="265"/>
      <c r="E61" s="222"/>
      <c r="F61" s="248"/>
      <c r="G61" s="248"/>
      <c r="H61" s="276" t="s">
        <v>720</v>
      </c>
      <c r="I61" s="211"/>
      <c r="J61" s="277">
        <v>3691.77</v>
      </c>
      <c r="K61" s="220"/>
      <c r="L61" s="199"/>
      <c r="M61" s="272"/>
      <c r="N61" s="222"/>
      <c r="O61" s="272"/>
      <c r="P61" s="222"/>
      <c r="Q61" s="251"/>
      <c r="R61" s="251"/>
      <c r="S61" s="273" t="s">
        <v>719</v>
      </c>
      <c r="T61" s="211"/>
      <c r="U61" s="274">
        <v>2197.0</v>
      </c>
      <c r="V61" s="211"/>
      <c r="W61" s="199"/>
    </row>
    <row r="62">
      <c r="A62" s="238"/>
      <c r="B62" s="275"/>
      <c r="C62" s="222"/>
      <c r="D62" s="265"/>
      <c r="E62" s="222"/>
      <c r="F62" s="248"/>
      <c r="G62" s="248"/>
      <c r="H62" s="278"/>
      <c r="I62" s="56"/>
      <c r="J62" s="278"/>
      <c r="K62" s="279"/>
      <c r="L62" s="199"/>
      <c r="M62" s="272"/>
      <c r="N62" s="222"/>
      <c r="O62" s="272"/>
      <c r="P62" s="222"/>
      <c r="Q62" s="251"/>
      <c r="R62" s="251"/>
      <c r="S62" s="278"/>
      <c r="T62" s="56"/>
      <c r="U62" s="278"/>
      <c r="V62" s="56"/>
      <c r="W62" s="199"/>
    </row>
    <row r="63">
      <c r="A63" s="238"/>
      <c r="B63" s="275"/>
      <c r="C63" s="222"/>
      <c r="D63" s="265"/>
      <c r="E63" s="222"/>
      <c r="F63" s="248"/>
      <c r="G63" s="248"/>
      <c r="H63" s="215"/>
      <c r="I63" s="64"/>
      <c r="J63" s="215"/>
      <c r="K63" s="217"/>
      <c r="L63" s="199"/>
      <c r="M63" s="272"/>
      <c r="N63" s="222"/>
      <c r="O63" s="272"/>
      <c r="P63" s="222"/>
      <c r="Q63" s="251"/>
      <c r="R63" s="251"/>
      <c r="S63" s="215"/>
      <c r="T63" s="64"/>
      <c r="U63" s="215"/>
      <c r="V63" s="64"/>
      <c r="W63" s="199"/>
    </row>
    <row r="64">
      <c r="A64" s="238"/>
      <c r="B64" s="275"/>
      <c r="C64" s="222"/>
      <c r="D64" s="265"/>
      <c r="E64" s="222"/>
      <c r="F64" s="248"/>
      <c r="G64" s="248"/>
      <c r="H64" s="248"/>
      <c r="I64" s="248"/>
      <c r="J64" s="248"/>
      <c r="K64" s="249"/>
      <c r="L64" s="199"/>
      <c r="M64" s="272"/>
      <c r="N64" s="222"/>
      <c r="O64" s="272"/>
      <c r="P64" s="222"/>
      <c r="Q64" s="251"/>
      <c r="R64" s="251"/>
      <c r="S64" s="251"/>
      <c r="T64" s="251"/>
      <c r="U64" s="251"/>
      <c r="V64" s="251"/>
      <c r="W64" s="199"/>
    </row>
    <row r="65">
      <c r="A65" s="238"/>
      <c r="B65" s="275"/>
      <c r="C65" s="222"/>
      <c r="D65" s="265"/>
      <c r="E65" s="222"/>
      <c r="F65" s="248"/>
      <c r="G65" s="248"/>
      <c r="H65" s="248"/>
      <c r="I65" s="248"/>
      <c r="J65" s="248"/>
      <c r="K65" s="249"/>
      <c r="L65" s="199"/>
      <c r="M65" s="272"/>
      <c r="N65" s="222"/>
      <c r="O65" s="272"/>
      <c r="P65" s="222"/>
      <c r="Q65" s="251"/>
      <c r="R65" s="251"/>
      <c r="S65" s="251"/>
      <c r="T65" s="251"/>
      <c r="U65" s="251"/>
      <c r="V65" s="251"/>
      <c r="W65" s="199"/>
    </row>
    <row r="66">
      <c r="A66" s="197"/>
      <c r="B66" s="266" t="s">
        <v>721</v>
      </c>
      <c r="C66" s="222"/>
      <c r="D66" s="267">
        <v>2567.67</v>
      </c>
      <c r="E66" s="222"/>
      <c r="F66" s="248"/>
      <c r="G66" s="248"/>
      <c r="H66" s="248"/>
      <c r="I66" s="248"/>
      <c r="J66" s="248"/>
      <c r="K66" s="249"/>
      <c r="L66" s="199"/>
      <c r="M66" s="280" t="s">
        <v>721</v>
      </c>
      <c r="N66" s="222"/>
      <c r="O66" s="281">
        <v>0.0</v>
      </c>
      <c r="P66" s="222"/>
      <c r="Q66" s="251"/>
      <c r="R66" s="251"/>
      <c r="S66" s="251"/>
      <c r="T66" s="251"/>
      <c r="U66" s="251"/>
      <c r="V66" s="251"/>
      <c r="W66" s="199"/>
    </row>
    <row r="67">
      <c r="A67" s="293"/>
      <c r="B67" s="294"/>
      <c r="C67" s="295"/>
      <c r="D67" s="295"/>
      <c r="E67" s="295"/>
      <c r="F67" s="295"/>
      <c r="G67" s="295"/>
      <c r="H67" s="295"/>
      <c r="I67" s="295"/>
      <c r="J67" s="295"/>
      <c r="K67" s="296"/>
      <c r="L67" s="199"/>
      <c r="M67" s="282"/>
      <c r="N67" s="282"/>
      <c r="O67" s="282"/>
      <c r="P67" s="282"/>
      <c r="Q67" s="282"/>
      <c r="R67" s="282"/>
      <c r="S67" s="282"/>
      <c r="T67" s="282"/>
      <c r="U67" s="282"/>
      <c r="V67" s="282"/>
      <c r="W67" s="199"/>
    </row>
    <row r="68">
      <c r="A68" s="194"/>
      <c r="B68" s="195"/>
      <c r="C68" s="195"/>
      <c r="D68" s="195"/>
      <c r="E68" s="196"/>
      <c r="F68" s="195"/>
      <c r="G68" s="197"/>
      <c r="H68" s="197"/>
      <c r="I68" s="198"/>
      <c r="J68" s="198"/>
      <c r="K68" s="198"/>
      <c r="L68" s="199"/>
      <c r="M68" s="199"/>
      <c r="N68" s="199"/>
      <c r="O68" s="199"/>
      <c r="P68" s="199"/>
      <c r="Q68" s="199"/>
      <c r="R68" s="199"/>
      <c r="S68" s="199"/>
      <c r="T68" s="199"/>
      <c r="U68" s="199"/>
      <c r="V68" s="199"/>
      <c r="W68" s="199"/>
    </row>
    <row r="69">
      <c r="A69" s="194"/>
      <c r="B69" s="202"/>
      <c r="C69" s="203"/>
      <c r="D69" s="203"/>
      <c r="E69" s="204" t="s">
        <v>703</v>
      </c>
      <c r="F69" s="297"/>
      <c r="G69" s="205" t="s">
        <v>700</v>
      </c>
      <c r="H69" s="206"/>
      <c r="I69" s="207" t="s">
        <v>701</v>
      </c>
      <c r="J69" s="203"/>
      <c r="K69" s="208"/>
      <c r="L69" s="199"/>
      <c r="M69" s="287"/>
      <c r="R69" s="210" t="s">
        <v>700</v>
      </c>
      <c r="S69" s="211"/>
      <c r="T69" s="212" t="s">
        <v>701</v>
      </c>
      <c r="U69" s="213"/>
      <c r="V69" s="211"/>
      <c r="W69" s="199"/>
    </row>
    <row r="70">
      <c r="A70" s="201">
        <v>3.0</v>
      </c>
      <c r="B70" s="214"/>
      <c r="E70" s="196" t="s">
        <v>728</v>
      </c>
      <c r="F70" s="195"/>
      <c r="G70" s="215"/>
      <c r="H70" s="64"/>
      <c r="I70" s="215"/>
      <c r="J70" s="216"/>
      <c r="K70" s="217"/>
      <c r="L70" s="199"/>
      <c r="R70" s="215"/>
      <c r="S70" s="64"/>
      <c r="T70" s="215"/>
      <c r="U70" s="216"/>
      <c r="V70" s="64"/>
      <c r="W70" s="199"/>
    </row>
    <row r="71">
      <c r="A71" s="194"/>
      <c r="B71" s="214"/>
      <c r="E71" s="195"/>
      <c r="F71" s="195"/>
      <c r="G71" s="218" t="s">
        <v>702</v>
      </c>
      <c r="H71" s="211"/>
      <c r="I71" s="219" t="s">
        <v>682</v>
      </c>
      <c r="J71" s="213"/>
      <c r="K71" s="220"/>
      <c r="L71" s="199"/>
      <c r="R71" s="210" t="s">
        <v>351</v>
      </c>
      <c r="S71" s="211"/>
      <c r="T71" s="212" t="s">
        <v>616</v>
      </c>
      <c r="U71" s="213"/>
      <c r="V71" s="211"/>
      <c r="W71" s="199"/>
    </row>
    <row r="72">
      <c r="A72" s="194"/>
      <c r="B72" s="214"/>
      <c r="E72" s="195"/>
      <c r="F72" s="195"/>
      <c r="G72" s="215"/>
      <c r="H72" s="64"/>
      <c r="I72" s="215"/>
      <c r="J72" s="216"/>
      <c r="K72" s="217"/>
      <c r="L72" s="199"/>
      <c r="R72" s="215"/>
      <c r="S72" s="64"/>
      <c r="T72" s="215"/>
      <c r="U72" s="216"/>
      <c r="V72" s="64"/>
      <c r="W72" s="199"/>
    </row>
    <row r="73">
      <c r="A73" s="194"/>
      <c r="B73" s="214"/>
      <c r="E73" s="195"/>
      <c r="F73" s="195"/>
      <c r="G73" s="218" t="s">
        <v>703</v>
      </c>
      <c r="H73" s="211"/>
      <c r="I73" s="219">
        <v>3301.0</v>
      </c>
      <c r="J73" s="213"/>
      <c r="K73" s="220"/>
      <c r="L73" s="199"/>
      <c r="R73" s="210" t="s">
        <v>703</v>
      </c>
      <c r="S73" s="211"/>
      <c r="T73" s="212">
        <v>3301.0</v>
      </c>
      <c r="U73" s="213"/>
      <c r="V73" s="211"/>
      <c r="W73" s="199"/>
    </row>
    <row r="74">
      <c r="A74" s="194"/>
      <c r="B74" s="214"/>
      <c r="E74" s="195"/>
      <c r="F74" s="195"/>
      <c r="G74" s="215"/>
      <c r="H74" s="64"/>
      <c r="I74" s="215"/>
      <c r="J74" s="216"/>
      <c r="K74" s="217"/>
      <c r="L74" s="199"/>
      <c r="R74" s="215"/>
      <c r="S74" s="64"/>
      <c r="T74" s="215"/>
      <c r="U74" s="216"/>
      <c r="V74" s="64"/>
      <c r="W74" s="199"/>
    </row>
    <row r="75">
      <c r="A75" s="197"/>
      <c r="B75" s="221" t="s">
        <v>704</v>
      </c>
      <c r="C75" s="222"/>
      <c r="D75" s="223" t="s">
        <v>5</v>
      </c>
      <c r="E75" s="222"/>
      <c r="F75" s="223" t="s">
        <v>705</v>
      </c>
      <c r="G75" s="224"/>
      <c r="H75" s="222"/>
      <c r="I75" s="225" t="s">
        <v>8</v>
      </c>
      <c r="J75" s="225" t="s">
        <v>706</v>
      </c>
      <c r="K75" s="226" t="s">
        <v>707</v>
      </c>
      <c r="L75" s="199"/>
      <c r="M75" s="227" t="s">
        <v>704</v>
      </c>
      <c r="N75" s="222"/>
      <c r="O75" s="227" t="s">
        <v>5</v>
      </c>
      <c r="P75" s="222"/>
      <c r="Q75" s="227" t="s">
        <v>705</v>
      </c>
      <c r="R75" s="224"/>
      <c r="S75" s="222"/>
      <c r="T75" s="228" t="s">
        <v>591</v>
      </c>
      <c r="U75" s="228" t="s">
        <v>708</v>
      </c>
      <c r="V75" s="228" t="s">
        <v>707</v>
      </c>
      <c r="W75" s="199"/>
    </row>
    <row r="76">
      <c r="A76" s="229"/>
      <c r="B76" s="230">
        <v>45971.0</v>
      </c>
      <c r="C76" s="222"/>
      <c r="D76" s="223">
        <v>5.3413901E8</v>
      </c>
      <c r="E76" s="222"/>
      <c r="F76" s="223" t="s">
        <v>729</v>
      </c>
      <c r="G76" s="224"/>
      <c r="H76" s="222"/>
      <c r="I76" s="232">
        <v>1300.0</v>
      </c>
      <c r="J76" s="233">
        <v>0.88</v>
      </c>
      <c r="K76" s="234">
        <v>1144.0</v>
      </c>
      <c r="L76" s="199"/>
      <c r="M76" s="235">
        <v>45971.0</v>
      </c>
      <c r="N76" s="222"/>
      <c r="O76" s="227">
        <v>5.3413901E8</v>
      </c>
      <c r="P76" s="222"/>
      <c r="Q76" s="227" t="s">
        <v>729</v>
      </c>
      <c r="R76" s="224"/>
      <c r="S76" s="222"/>
      <c r="T76" s="228">
        <v>1187.0</v>
      </c>
      <c r="U76" s="228">
        <v>0.65</v>
      </c>
      <c r="V76" s="237">
        <v>771.55</v>
      </c>
      <c r="W76" s="199"/>
    </row>
    <row r="77">
      <c r="A77" s="229"/>
      <c r="B77" s="230">
        <v>45972.0</v>
      </c>
      <c r="C77" s="222"/>
      <c r="D77" s="223" t="s">
        <v>730</v>
      </c>
      <c r="E77" s="222"/>
      <c r="F77" s="223" t="s">
        <v>731</v>
      </c>
      <c r="G77" s="224"/>
      <c r="H77" s="222"/>
      <c r="I77" s="232">
        <v>2489.0</v>
      </c>
      <c r="J77" s="233">
        <v>0.88</v>
      </c>
      <c r="K77" s="234">
        <v>2190.32</v>
      </c>
      <c r="L77" s="199"/>
      <c r="M77" s="235">
        <v>45972.0</v>
      </c>
      <c r="N77" s="222"/>
      <c r="O77" s="227" t="s">
        <v>730</v>
      </c>
      <c r="P77" s="222"/>
      <c r="Q77" s="227" t="s">
        <v>731</v>
      </c>
      <c r="R77" s="224"/>
      <c r="S77" s="222"/>
      <c r="T77" s="228">
        <v>1535.0</v>
      </c>
      <c r="U77" s="228">
        <v>0.65</v>
      </c>
      <c r="V77" s="237">
        <v>997.75</v>
      </c>
      <c r="W77" s="199"/>
    </row>
    <row r="78">
      <c r="A78" s="229"/>
      <c r="B78" s="230">
        <v>45975.0</v>
      </c>
      <c r="C78" s="222"/>
      <c r="D78" s="223">
        <v>2168540.0</v>
      </c>
      <c r="E78" s="222"/>
      <c r="F78" s="223" t="s">
        <v>732</v>
      </c>
      <c r="G78" s="224"/>
      <c r="H78" s="222"/>
      <c r="I78" s="232">
        <v>3600.0</v>
      </c>
      <c r="J78" s="233">
        <v>0.88</v>
      </c>
      <c r="K78" s="234">
        <v>3168.0</v>
      </c>
      <c r="L78" s="199"/>
      <c r="M78" s="235">
        <v>45975.0</v>
      </c>
      <c r="N78" s="222"/>
      <c r="O78" s="227">
        <v>2168540.0</v>
      </c>
      <c r="P78" s="222"/>
      <c r="Q78" s="227" t="s">
        <v>732</v>
      </c>
      <c r="R78" s="224"/>
      <c r="S78" s="222"/>
      <c r="T78" s="228">
        <v>1096.0</v>
      </c>
      <c r="U78" s="228">
        <v>0.65</v>
      </c>
      <c r="V78" s="237">
        <v>712.4</v>
      </c>
      <c r="W78" s="199"/>
    </row>
    <row r="79">
      <c r="A79" s="238"/>
      <c r="B79" s="239"/>
      <c r="C79" s="222"/>
      <c r="D79" s="240"/>
      <c r="E79" s="222"/>
      <c r="F79" s="240"/>
      <c r="G79" s="224"/>
      <c r="H79" s="222"/>
      <c r="I79" s="241"/>
      <c r="J79" s="233">
        <v>0.88</v>
      </c>
      <c r="K79" s="234">
        <v>0.0</v>
      </c>
      <c r="L79" s="199"/>
      <c r="M79" s="243"/>
      <c r="N79" s="222"/>
      <c r="O79" s="243"/>
      <c r="P79" s="222"/>
      <c r="Q79" s="243"/>
      <c r="R79" s="224"/>
      <c r="S79" s="222"/>
      <c r="T79" s="244"/>
      <c r="U79" s="228">
        <v>0.65</v>
      </c>
      <c r="V79" s="237">
        <v>0.0</v>
      </c>
      <c r="W79" s="199"/>
    </row>
    <row r="80">
      <c r="A80" s="238"/>
      <c r="B80" s="239"/>
      <c r="C80" s="222"/>
      <c r="D80" s="240"/>
      <c r="E80" s="222"/>
      <c r="F80" s="240"/>
      <c r="G80" s="224"/>
      <c r="H80" s="222"/>
      <c r="I80" s="241"/>
      <c r="J80" s="233">
        <v>0.88</v>
      </c>
      <c r="K80" s="234">
        <v>0.0</v>
      </c>
      <c r="L80" s="199"/>
      <c r="M80" s="243"/>
      <c r="N80" s="222"/>
      <c r="O80" s="243"/>
      <c r="P80" s="222"/>
      <c r="Q80" s="243"/>
      <c r="R80" s="224"/>
      <c r="S80" s="222"/>
      <c r="T80" s="244"/>
      <c r="U80" s="228">
        <v>0.65</v>
      </c>
      <c r="V80" s="237">
        <v>0.0</v>
      </c>
      <c r="W80" s="199"/>
    </row>
    <row r="81">
      <c r="A81" s="197"/>
      <c r="B81" s="245" t="s">
        <v>711</v>
      </c>
      <c r="C81" s="224"/>
      <c r="D81" s="224"/>
      <c r="E81" s="224"/>
      <c r="F81" s="224"/>
      <c r="G81" s="224"/>
      <c r="H81" s="222"/>
      <c r="I81" s="291">
        <v>7389.0</v>
      </c>
      <c r="J81" s="241"/>
      <c r="K81" s="292">
        <v>6502.32</v>
      </c>
      <c r="L81" s="199"/>
      <c r="M81" s="246" t="s">
        <v>711</v>
      </c>
      <c r="N81" s="224"/>
      <c r="O81" s="224"/>
      <c r="P81" s="224"/>
      <c r="Q81" s="224"/>
      <c r="R81" s="224"/>
      <c r="S81" s="222"/>
      <c r="T81" s="228">
        <v>3818.0</v>
      </c>
      <c r="U81" s="244"/>
      <c r="V81" s="237">
        <v>2481.7</v>
      </c>
      <c r="W81" s="199"/>
    </row>
    <row r="82">
      <c r="A82" s="238"/>
      <c r="B82" s="247"/>
      <c r="C82" s="248"/>
      <c r="D82" s="248"/>
      <c r="E82" s="248"/>
      <c r="F82" s="248"/>
      <c r="G82" s="248"/>
      <c r="H82" s="248"/>
      <c r="I82" s="248"/>
      <c r="J82" s="248"/>
      <c r="K82" s="249"/>
      <c r="L82" s="199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199"/>
    </row>
    <row r="83">
      <c r="A83" s="197"/>
      <c r="B83" s="252" t="s">
        <v>712</v>
      </c>
      <c r="C83" s="222"/>
      <c r="D83" s="253"/>
      <c r="E83" s="222"/>
      <c r="F83" s="248"/>
      <c r="G83" s="248"/>
      <c r="H83" s="248"/>
      <c r="I83" s="248"/>
      <c r="J83" s="248"/>
      <c r="K83" s="249"/>
      <c r="L83" s="199"/>
      <c r="M83" s="254" t="s">
        <v>712</v>
      </c>
      <c r="N83" s="222"/>
      <c r="O83" s="255"/>
      <c r="P83" s="222"/>
      <c r="Q83" s="251"/>
      <c r="R83" s="251"/>
      <c r="S83" s="251"/>
      <c r="T83" s="251"/>
      <c r="U83" s="251"/>
      <c r="V83" s="251"/>
      <c r="W83" s="199"/>
    </row>
    <row r="84">
      <c r="A84" s="238"/>
      <c r="B84" s="259"/>
      <c r="C84" s="222"/>
      <c r="D84" s="253"/>
      <c r="E84" s="222"/>
      <c r="F84" s="248"/>
      <c r="G84" s="248"/>
      <c r="H84" s="248"/>
      <c r="I84" s="248"/>
      <c r="J84" s="248"/>
      <c r="K84" s="249"/>
      <c r="L84" s="199"/>
      <c r="M84" s="255"/>
      <c r="N84" s="222"/>
      <c r="O84" s="255"/>
      <c r="P84" s="222"/>
      <c r="Q84" s="251"/>
      <c r="R84" s="251"/>
      <c r="S84" s="251"/>
      <c r="T84" s="251"/>
      <c r="U84" s="251"/>
      <c r="V84" s="251"/>
      <c r="W84" s="199"/>
    </row>
    <row r="85">
      <c r="A85" s="238"/>
      <c r="B85" s="259"/>
      <c r="C85" s="222"/>
      <c r="D85" s="253"/>
      <c r="E85" s="222"/>
      <c r="F85" s="248"/>
      <c r="G85" s="260"/>
      <c r="H85" s="260"/>
      <c r="I85" s="260"/>
      <c r="J85" s="260"/>
      <c r="K85" s="261"/>
      <c r="L85" s="199"/>
      <c r="M85" s="255"/>
      <c r="N85" s="222"/>
      <c r="O85" s="255"/>
      <c r="P85" s="222"/>
      <c r="Q85" s="251"/>
      <c r="R85" s="251"/>
      <c r="S85" s="251"/>
      <c r="T85" s="251"/>
      <c r="U85" s="251"/>
      <c r="V85" s="251"/>
      <c r="W85" s="199"/>
    </row>
    <row r="86">
      <c r="A86" s="197"/>
      <c r="B86" s="262" t="s">
        <v>714</v>
      </c>
      <c r="C86" s="222"/>
      <c r="D86" s="257">
        <v>0.0</v>
      </c>
      <c r="E86" s="222"/>
      <c r="F86" s="248"/>
      <c r="G86" s="260"/>
      <c r="H86" s="260"/>
      <c r="I86" s="260"/>
      <c r="J86" s="260"/>
      <c r="K86" s="261"/>
      <c r="L86" s="199"/>
      <c r="M86" s="255"/>
      <c r="N86" s="222"/>
      <c r="O86" s="255"/>
      <c r="P86" s="222"/>
      <c r="Q86" s="251"/>
      <c r="R86" s="251"/>
      <c r="S86" s="251"/>
      <c r="T86" s="251"/>
      <c r="U86" s="251"/>
      <c r="V86" s="251"/>
      <c r="W86" s="199"/>
    </row>
    <row r="87">
      <c r="A87" s="238"/>
      <c r="B87" s="263"/>
      <c r="C87" s="224"/>
      <c r="D87" s="224"/>
      <c r="E87" s="222"/>
      <c r="F87" s="248"/>
      <c r="G87" s="260"/>
      <c r="H87" s="260"/>
      <c r="I87" s="260"/>
      <c r="J87" s="260"/>
      <c r="K87" s="261"/>
      <c r="L87" s="199"/>
      <c r="M87" s="255"/>
      <c r="N87" s="222"/>
      <c r="O87" s="255"/>
      <c r="P87" s="222"/>
      <c r="Q87" s="251"/>
      <c r="R87" s="251"/>
      <c r="S87" s="251"/>
      <c r="T87" s="251"/>
      <c r="U87" s="251"/>
      <c r="V87" s="251"/>
      <c r="W87" s="199"/>
    </row>
    <row r="88">
      <c r="A88" s="197"/>
      <c r="B88" s="264" t="s">
        <v>715</v>
      </c>
      <c r="C88" s="222"/>
      <c r="D88" s="265"/>
      <c r="E88" s="222"/>
      <c r="F88" s="248"/>
      <c r="G88" s="260"/>
      <c r="H88" s="260"/>
      <c r="I88" s="260"/>
      <c r="J88" s="260"/>
      <c r="K88" s="261"/>
      <c r="L88" s="199"/>
      <c r="M88" s="255"/>
      <c r="N88" s="222"/>
      <c r="O88" s="255"/>
      <c r="P88" s="222"/>
      <c r="Q88" s="251"/>
      <c r="R88" s="251"/>
      <c r="S88" s="251"/>
      <c r="T88" s="251"/>
      <c r="U88" s="251"/>
      <c r="V88" s="251"/>
      <c r="W88" s="199"/>
    </row>
    <row r="89">
      <c r="A89" s="197"/>
      <c r="B89" s="266" t="s">
        <v>716</v>
      </c>
      <c r="C89" s="222"/>
      <c r="D89" s="267">
        <v>0.0</v>
      </c>
      <c r="E89" s="222"/>
      <c r="F89" s="248"/>
      <c r="G89" s="260"/>
      <c r="H89" s="260"/>
      <c r="I89" s="260"/>
      <c r="J89" s="260"/>
      <c r="K89" s="261"/>
      <c r="L89" s="199"/>
      <c r="M89" s="268" t="s">
        <v>714</v>
      </c>
      <c r="N89" s="222"/>
      <c r="O89" s="269">
        <v>0.0</v>
      </c>
      <c r="P89" s="222"/>
      <c r="Q89" s="251"/>
      <c r="R89" s="251"/>
      <c r="S89" s="251"/>
      <c r="T89" s="251"/>
      <c r="U89" s="251"/>
      <c r="V89" s="251"/>
      <c r="W89" s="199"/>
    </row>
    <row r="90">
      <c r="A90" s="197"/>
      <c r="B90" s="266" t="s">
        <v>717</v>
      </c>
      <c r="C90" s="222"/>
      <c r="D90" s="267">
        <v>0.0</v>
      </c>
      <c r="E90" s="222"/>
      <c r="F90" s="248"/>
      <c r="G90" s="260"/>
      <c r="H90" s="260"/>
      <c r="I90" s="260"/>
      <c r="J90" s="260"/>
      <c r="K90" s="261"/>
      <c r="L90" s="199"/>
      <c r="M90" s="251"/>
      <c r="N90" s="251"/>
      <c r="O90" s="270"/>
      <c r="Q90" s="251"/>
      <c r="R90" s="251"/>
      <c r="S90" s="251"/>
      <c r="T90" s="251"/>
      <c r="U90" s="251"/>
      <c r="V90" s="251"/>
      <c r="W90" s="199"/>
    </row>
    <row r="91">
      <c r="A91" s="197"/>
      <c r="B91" s="266" t="s">
        <v>718</v>
      </c>
      <c r="C91" s="222"/>
      <c r="D91" s="267">
        <v>0.0</v>
      </c>
      <c r="E91" s="222"/>
      <c r="F91" s="248"/>
      <c r="G91" s="260"/>
      <c r="H91" s="260"/>
      <c r="I91" s="260"/>
      <c r="J91" s="260"/>
      <c r="K91" s="261"/>
      <c r="L91" s="199"/>
      <c r="M91" s="271" t="s">
        <v>715</v>
      </c>
      <c r="N91" s="222"/>
      <c r="O91" s="272"/>
      <c r="P91" s="222"/>
      <c r="Q91" s="251"/>
      <c r="R91" s="251"/>
      <c r="S91" s="251"/>
      <c r="T91" s="251"/>
      <c r="U91" s="251"/>
      <c r="V91" s="251"/>
      <c r="W91" s="199"/>
    </row>
    <row r="92">
      <c r="A92" s="197"/>
      <c r="B92" s="266" t="s">
        <v>656</v>
      </c>
      <c r="C92" s="222"/>
      <c r="D92" s="267">
        <v>2806.39</v>
      </c>
      <c r="E92" s="222"/>
      <c r="F92" s="248"/>
      <c r="G92" s="260"/>
      <c r="H92" s="260"/>
      <c r="I92" s="260"/>
      <c r="J92" s="260"/>
      <c r="K92" s="261"/>
      <c r="L92" s="199"/>
      <c r="M92" s="298" t="s">
        <v>733</v>
      </c>
      <c r="N92" s="211"/>
      <c r="O92" s="299">
        <v>294.92</v>
      </c>
      <c r="P92" s="211"/>
      <c r="Q92" s="251"/>
      <c r="R92" s="251"/>
      <c r="S92" s="273" t="s">
        <v>719</v>
      </c>
      <c r="T92" s="211"/>
      <c r="U92" s="274">
        <v>1525.72</v>
      </c>
      <c r="V92" s="211"/>
      <c r="W92" s="199"/>
    </row>
    <row r="93">
      <c r="A93" s="300"/>
      <c r="B93" s="301" t="s">
        <v>733</v>
      </c>
      <c r="C93" s="211"/>
      <c r="D93" s="302">
        <v>294.92</v>
      </c>
      <c r="E93" s="211"/>
      <c r="F93" s="248"/>
      <c r="G93" s="248"/>
      <c r="H93" s="276" t="s">
        <v>720</v>
      </c>
      <c r="I93" s="211"/>
      <c r="J93" s="277">
        <v>3251.01</v>
      </c>
      <c r="K93" s="220"/>
      <c r="L93" s="199"/>
      <c r="M93" s="215"/>
      <c r="N93" s="64"/>
      <c r="O93" s="215"/>
      <c r="P93" s="64"/>
      <c r="Q93" s="251"/>
      <c r="R93" s="251"/>
      <c r="S93" s="278"/>
      <c r="T93" s="56"/>
      <c r="U93" s="278"/>
      <c r="V93" s="56"/>
      <c r="W93" s="199"/>
    </row>
    <row r="94">
      <c r="A94" s="300"/>
      <c r="B94" s="303"/>
      <c r="C94" s="64"/>
      <c r="D94" s="215"/>
      <c r="E94" s="64"/>
      <c r="F94" s="248"/>
      <c r="G94" s="248"/>
      <c r="H94" s="278"/>
      <c r="I94" s="56"/>
      <c r="J94" s="278"/>
      <c r="K94" s="279"/>
      <c r="L94" s="199"/>
      <c r="M94" s="304" t="s">
        <v>734</v>
      </c>
      <c r="N94" s="222"/>
      <c r="O94" s="281">
        <v>150.0</v>
      </c>
      <c r="P94" s="222"/>
      <c r="Q94" s="251"/>
      <c r="R94" s="251"/>
      <c r="S94" s="215"/>
      <c r="T94" s="64"/>
      <c r="U94" s="215"/>
      <c r="V94" s="64"/>
      <c r="W94" s="199"/>
    </row>
    <row r="95">
      <c r="A95" s="197"/>
      <c r="B95" s="266" t="s">
        <v>735</v>
      </c>
      <c r="C95" s="222"/>
      <c r="D95" s="267">
        <v>150.0</v>
      </c>
      <c r="E95" s="222"/>
      <c r="F95" s="248"/>
      <c r="G95" s="248"/>
      <c r="H95" s="215"/>
      <c r="I95" s="64"/>
      <c r="J95" s="215"/>
      <c r="K95" s="217"/>
      <c r="L95" s="199"/>
      <c r="M95" s="298" t="s">
        <v>736</v>
      </c>
      <c r="N95" s="211"/>
      <c r="O95" s="299">
        <v>511.05</v>
      </c>
      <c r="P95" s="211"/>
      <c r="Q95" s="251"/>
      <c r="R95" s="251"/>
      <c r="S95" s="251"/>
      <c r="T95" s="251"/>
      <c r="U95" s="251"/>
      <c r="V95" s="251"/>
      <c r="W95" s="199"/>
    </row>
    <row r="96">
      <c r="A96" s="238"/>
      <c r="B96" s="275"/>
      <c r="C96" s="222"/>
      <c r="D96" s="265"/>
      <c r="E96" s="222"/>
      <c r="F96" s="248"/>
      <c r="G96" s="248"/>
      <c r="H96" s="248"/>
      <c r="I96" s="248"/>
      <c r="J96" s="248"/>
      <c r="K96" s="249"/>
      <c r="L96" s="199"/>
      <c r="M96" s="215"/>
      <c r="N96" s="64"/>
      <c r="O96" s="215"/>
      <c r="P96" s="64"/>
      <c r="Q96" s="251"/>
      <c r="R96" s="251"/>
      <c r="S96" s="251"/>
      <c r="T96" s="251"/>
      <c r="U96" s="251"/>
      <c r="V96" s="251"/>
      <c r="W96" s="199"/>
    </row>
    <row r="97">
      <c r="A97" s="238"/>
      <c r="B97" s="275"/>
      <c r="C97" s="222"/>
      <c r="D97" s="265"/>
      <c r="E97" s="222"/>
      <c r="F97" s="248"/>
      <c r="G97" s="248"/>
      <c r="H97" s="248"/>
      <c r="I97" s="248"/>
      <c r="J97" s="248"/>
      <c r="K97" s="249"/>
      <c r="L97" s="199"/>
      <c r="M97" s="280" t="s">
        <v>721</v>
      </c>
      <c r="N97" s="222"/>
      <c r="O97" s="281">
        <v>955.98</v>
      </c>
      <c r="P97" s="222"/>
      <c r="Q97" s="251"/>
      <c r="R97" s="251"/>
      <c r="S97" s="251"/>
      <c r="T97" s="251"/>
      <c r="U97" s="251"/>
      <c r="V97" s="251"/>
      <c r="W97" s="199"/>
    </row>
    <row r="98">
      <c r="A98" s="197"/>
      <c r="B98" s="266" t="s">
        <v>721</v>
      </c>
      <c r="C98" s="222"/>
      <c r="D98" s="267">
        <v>3251.31</v>
      </c>
      <c r="E98" s="222"/>
      <c r="F98" s="248"/>
      <c r="G98" s="248"/>
      <c r="H98" s="248"/>
      <c r="I98" s="248"/>
      <c r="J98" s="248"/>
      <c r="K98" s="249"/>
      <c r="L98" s="199"/>
      <c r="M98" s="282"/>
      <c r="N98" s="282"/>
      <c r="O98" s="282"/>
      <c r="P98" s="282"/>
      <c r="Q98" s="282"/>
      <c r="R98" s="282"/>
      <c r="S98" s="282"/>
      <c r="T98" s="282"/>
      <c r="U98" s="282"/>
      <c r="V98" s="282"/>
      <c r="W98" s="199"/>
    </row>
    <row r="99">
      <c r="A99" s="283"/>
      <c r="B99" s="284"/>
      <c r="C99" s="285"/>
      <c r="D99" s="285"/>
      <c r="E99" s="285"/>
      <c r="F99" s="285"/>
      <c r="G99" s="285"/>
      <c r="H99" s="285"/>
      <c r="I99" s="285"/>
      <c r="J99" s="285"/>
      <c r="K99" s="286"/>
      <c r="L99" s="199"/>
      <c r="M99" s="199"/>
      <c r="N99" s="199"/>
      <c r="O99" s="199"/>
      <c r="P99" s="199"/>
      <c r="Q99" s="199"/>
      <c r="R99" s="199"/>
      <c r="S99" s="199"/>
      <c r="T99" s="199"/>
      <c r="U99" s="199"/>
      <c r="V99" s="199"/>
      <c r="W99" s="199"/>
    </row>
    <row r="100">
      <c r="A100" s="283"/>
      <c r="B100" s="199"/>
      <c r="C100" s="199"/>
      <c r="D100" s="199"/>
      <c r="E100" s="199"/>
      <c r="F100" s="199"/>
      <c r="G100" s="199"/>
      <c r="H100" s="199"/>
      <c r="I100" s="199"/>
      <c r="J100" s="199"/>
      <c r="K100" s="199"/>
      <c r="L100" s="199"/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</row>
    <row r="101">
      <c r="A101" s="305">
        <v>4.0</v>
      </c>
      <c r="B101" s="306"/>
      <c r="C101" s="307"/>
      <c r="D101" s="307"/>
      <c r="E101" s="307"/>
      <c r="F101" s="307"/>
      <c r="G101" s="308" t="s">
        <v>700</v>
      </c>
      <c r="H101" s="309"/>
      <c r="I101" s="310" t="s">
        <v>701</v>
      </c>
      <c r="J101" s="307"/>
      <c r="K101" s="311"/>
      <c r="L101" s="199"/>
      <c r="M101" s="287"/>
      <c r="R101" s="210" t="s">
        <v>700</v>
      </c>
      <c r="S101" s="211"/>
      <c r="T101" s="212" t="s">
        <v>701</v>
      </c>
      <c r="U101" s="213"/>
      <c r="V101" s="211"/>
      <c r="W101" s="199"/>
    </row>
    <row r="102">
      <c r="A102" s="283"/>
      <c r="B102" s="312"/>
      <c r="G102" s="215"/>
      <c r="H102" s="64"/>
      <c r="I102" s="215"/>
      <c r="J102" s="216"/>
      <c r="K102" s="313"/>
      <c r="L102" s="199"/>
      <c r="R102" s="215"/>
      <c r="S102" s="64"/>
      <c r="T102" s="215"/>
      <c r="U102" s="216"/>
      <c r="V102" s="64"/>
      <c r="W102" s="199"/>
    </row>
    <row r="103">
      <c r="A103" s="283"/>
      <c r="B103" s="312"/>
      <c r="G103" s="218" t="s">
        <v>702</v>
      </c>
      <c r="H103" s="211"/>
      <c r="I103" s="219" t="s">
        <v>674</v>
      </c>
      <c r="J103" s="213"/>
      <c r="K103" s="314"/>
      <c r="L103" s="199"/>
      <c r="R103" s="210" t="s">
        <v>351</v>
      </c>
      <c r="S103" s="211"/>
      <c r="T103" s="212" t="s">
        <v>621</v>
      </c>
      <c r="U103" s="213"/>
      <c r="V103" s="211"/>
      <c r="W103" s="199"/>
    </row>
    <row r="104">
      <c r="A104" s="283"/>
      <c r="B104" s="312"/>
      <c r="G104" s="215"/>
      <c r="H104" s="64"/>
      <c r="I104" s="215"/>
      <c r="J104" s="216"/>
      <c r="K104" s="313"/>
      <c r="L104" s="199"/>
      <c r="R104" s="215"/>
      <c r="S104" s="64"/>
      <c r="T104" s="215"/>
      <c r="U104" s="216"/>
      <c r="V104" s="64"/>
      <c r="W104" s="199"/>
    </row>
    <row r="105">
      <c r="A105" s="283"/>
      <c r="B105" s="312"/>
      <c r="G105" s="218" t="s">
        <v>703</v>
      </c>
      <c r="H105" s="211"/>
      <c r="I105" s="219">
        <v>3403.0</v>
      </c>
      <c r="J105" s="213"/>
      <c r="K105" s="314"/>
      <c r="L105" s="199"/>
      <c r="R105" s="210" t="s">
        <v>703</v>
      </c>
      <c r="S105" s="211"/>
      <c r="T105" s="212">
        <v>3403.0</v>
      </c>
      <c r="U105" s="213"/>
      <c r="V105" s="211"/>
      <c r="W105" s="199"/>
    </row>
    <row r="106">
      <c r="A106" s="283"/>
      <c r="B106" s="312"/>
      <c r="G106" s="215"/>
      <c r="H106" s="64"/>
      <c r="I106" s="215"/>
      <c r="J106" s="216"/>
      <c r="K106" s="313"/>
      <c r="L106" s="199"/>
      <c r="R106" s="215"/>
      <c r="S106" s="64"/>
      <c r="T106" s="215"/>
      <c r="U106" s="216"/>
      <c r="V106" s="64"/>
      <c r="W106" s="199"/>
    </row>
    <row r="107">
      <c r="A107" s="283"/>
      <c r="B107" s="315" t="s">
        <v>704</v>
      </c>
      <c r="C107" s="222"/>
      <c r="D107" s="223" t="s">
        <v>5</v>
      </c>
      <c r="E107" s="222"/>
      <c r="F107" s="223" t="s">
        <v>705</v>
      </c>
      <c r="G107" s="224"/>
      <c r="H107" s="222"/>
      <c r="I107" s="225" t="s">
        <v>8</v>
      </c>
      <c r="J107" s="225" t="s">
        <v>706</v>
      </c>
      <c r="K107" s="316" t="s">
        <v>707</v>
      </c>
      <c r="L107" s="199"/>
      <c r="M107" s="227" t="s">
        <v>704</v>
      </c>
      <c r="N107" s="222"/>
      <c r="O107" s="227" t="s">
        <v>5</v>
      </c>
      <c r="P107" s="222"/>
      <c r="Q107" s="227" t="s">
        <v>705</v>
      </c>
      <c r="R107" s="224"/>
      <c r="S107" s="222"/>
      <c r="T107" s="228" t="s">
        <v>591</v>
      </c>
      <c r="U107" s="228" t="s">
        <v>708</v>
      </c>
      <c r="V107" s="228" t="s">
        <v>707</v>
      </c>
      <c r="W107" s="199"/>
    </row>
    <row r="108">
      <c r="A108" s="283"/>
      <c r="B108" s="317">
        <v>45973.0</v>
      </c>
      <c r="C108" s="222"/>
      <c r="D108" s="223">
        <v>3.0000559E9</v>
      </c>
      <c r="E108" s="222"/>
      <c r="F108" s="223" t="s">
        <v>737</v>
      </c>
      <c r="G108" s="224"/>
      <c r="H108" s="222"/>
      <c r="I108" s="232">
        <v>1100.0</v>
      </c>
      <c r="J108" s="233">
        <v>0.88</v>
      </c>
      <c r="K108" s="318">
        <v>968.0</v>
      </c>
      <c r="L108" s="199"/>
      <c r="M108" s="235">
        <v>45973.0</v>
      </c>
      <c r="N108" s="222"/>
      <c r="O108" s="227">
        <v>3.0000559E9</v>
      </c>
      <c r="P108" s="222"/>
      <c r="Q108" s="227" t="s">
        <v>737</v>
      </c>
      <c r="R108" s="224"/>
      <c r="S108" s="222"/>
      <c r="T108" s="228">
        <v>675.0</v>
      </c>
      <c r="U108" s="228">
        <v>0.6</v>
      </c>
      <c r="V108" s="237">
        <v>405.0</v>
      </c>
      <c r="W108" s="199"/>
    </row>
    <row r="109">
      <c r="A109" s="283"/>
      <c r="B109" s="317">
        <v>45974.0</v>
      </c>
      <c r="C109" s="222"/>
      <c r="D109" s="223">
        <v>517903.0</v>
      </c>
      <c r="E109" s="222"/>
      <c r="F109" s="223" t="s">
        <v>738</v>
      </c>
      <c r="G109" s="224"/>
      <c r="H109" s="222"/>
      <c r="I109" s="232">
        <v>1200.0</v>
      </c>
      <c r="J109" s="233">
        <v>0.88</v>
      </c>
      <c r="K109" s="318">
        <v>1056.0</v>
      </c>
      <c r="L109" s="199"/>
      <c r="M109" s="235">
        <v>45974.0</v>
      </c>
      <c r="N109" s="222"/>
      <c r="O109" s="227">
        <v>517903.0</v>
      </c>
      <c r="P109" s="222"/>
      <c r="Q109" s="227" t="s">
        <v>738</v>
      </c>
      <c r="R109" s="224"/>
      <c r="S109" s="222"/>
      <c r="T109" s="228">
        <v>196.0</v>
      </c>
      <c r="U109" s="228">
        <v>0.6</v>
      </c>
      <c r="V109" s="237">
        <v>117.6</v>
      </c>
      <c r="W109" s="199"/>
    </row>
    <row r="110">
      <c r="A110" s="283"/>
      <c r="B110" s="317">
        <v>45976.0</v>
      </c>
      <c r="C110" s="222"/>
      <c r="D110" s="223">
        <v>5.34873645E8</v>
      </c>
      <c r="E110" s="222"/>
      <c r="F110" s="223" t="s">
        <v>739</v>
      </c>
      <c r="G110" s="224"/>
      <c r="H110" s="222"/>
      <c r="I110" s="232">
        <v>751.5</v>
      </c>
      <c r="J110" s="233">
        <v>0.88</v>
      </c>
      <c r="K110" s="318">
        <v>661.32</v>
      </c>
      <c r="L110" s="199"/>
      <c r="M110" s="235">
        <v>45976.0</v>
      </c>
      <c r="N110" s="222"/>
      <c r="O110" s="227">
        <v>5.34873645E8</v>
      </c>
      <c r="P110" s="222"/>
      <c r="Q110" s="227" t="s">
        <v>739</v>
      </c>
      <c r="R110" s="224"/>
      <c r="S110" s="222"/>
      <c r="T110" s="228">
        <v>311.0</v>
      </c>
      <c r="U110" s="228">
        <v>0.6</v>
      </c>
      <c r="V110" s="237">
        <v>186.6</v>
      </c>
      <c r="W110" s="199"/>
    </row>
    <row r="111">
      <c r="A111" s="283"/>
      <c r="B111" s="319"/>
      <c r="C111" s="222"/>
      <c r="D111" s="240"/>
      <c r="E111" s="222"/>
      <c r="F111" s="240"/>
      <c r="G111" s="224"/>
      <c r="H111" s="222"/>
      <c r="I111" s="241"/>
      <c r="J111" s="241"/>
      <c r="K111" s="320"/>
      <c r="L111" s="199"/>
      <c r="M111" s="243"/>
      <c r="N111" s="222"/>
      <c r="O111" s="243"/>
      <c r="P111" s="222"/>
      <c r="Q111" s="243"/>
      <c r="R111" s="224"/>
      <c r="S111" s="222"/>
      <c r="T111" s="244"/>
      <c r="U111" s="244"/>
      <c r="V111" s="237">
        <v>0.0</v>
      </c>
      <c r="W111" s="199"/>
    </row>
    <row r="112">
      <c r="A112" s="283"/>
      <c r="B112" s="319"/>
      <c r="C112" s="222"/>
      <c r="D112" s="240"/>
      <c r="E112" s="222"/>
      <c r="F112" s="240"/>
      <c r="G112" s="224"/>
      <c r="H112" s="222"/>
      <c r="I112" s="288"/>
      <c r="J112" s="241"/>
      <c r="K112" s="321"/>
      <c r="L112" s="199"/>
      <c r="M112" s="243"/>
      <c r="N112" s="222"/>
      <c r="O112" s="243"/>
      <c r="P112" s="222"/>
      <c r="Q112" s="243"/>
      <c r="R112" s="224"/>
      <c r="S112" s="222"/>
      <c r="T112" s="244"/>
      <c r="U112" s="244"/>
      <c r="V112" s="244"/>
      <c r="W112" s="199"/>
    </row>
    <row r="113">
      <c r="A113" s="283"/>
      <c r="B113" s="322" t="s">
        <v>711</v>
      </c>
      <c r="C113" s="224"/>
      <c r="D113" s="224"/>
      <c r="E113" s="224"/>
      <c r="F113" s="224"/>
      <c r="G113" s="224"/>
      <c r="H113" s="222"/>
      <c r="I113" s="291">
        <v>3051.5</v>
      </c>
      <c r="J113" s="241"/>
      <c r="K113" s="323">
        <v>2685.32</v>
      </c>
      <c r="L113" s="199"/>
      <c r="M113" s="246" t="s">
        <v>711</v>
      </c>
      <c r="N113" s="224"/>
      <c r="O113" s="224"/>
      <c r="P113" s="224"/>
      <c r="Q113" s="224"/>
      <c r="R113" s="224"/>
      <c r="S113" s="222"/>
      <c r="T113" s="228">
        <v>1182.0</v>
      </c>
      <c r="U113" s="244"/>
      <c r="V113" s="237">
        <v>709.2</v>
      </c>
      <c r="W113" s="199"/>
    </row>
    <row r="114">
      <c r="A114" s="283"/>
      <c r="B114" s="324"/>
      <c r="C114" s="248"/>
      <c r="D114" s="248"/>
      <c r="E114" s="248"/>
      <c r="F114" s="248"/>
      <c r="G114" s="248"/>
      <c r="H114" s="248"/>
      <c r="I114" s="248"/>
      <c r="J114" s="248"/>
      <c r="K114" s="325"/>
      <c r="L114" s="199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199"/>
    </row>
    <row r="115">
      <c r="A115" s="283"/>
      <c r="B115" s="326" t="s">
        <v>712</v>
      </c>
      <c r="C115" s="222"/>
      <c r="D115" s="253"/>
      <c r="E115" s="222"/>
      <c r="F115" s="248"/>
      <c r="G115" s="248"/>
      <c r="H115" s="248"/>
      <c r="I115" s="248"/>
      <c r="J115" s="248"/>
      <c r="K115" s="325"/>
      <c r="L115" s="199"/>
      <c r="M115" s="254" t="s">
        <v>712</v>
      </c>
      <c r="N115" s="222"/>
      <c r="O115" s="255"/>
      <c r="P115" s="222"/>
      <c r="Q115" s="251"/>
      <c r="R115" s="251"/>
      <c r="S115" s="251"/>
      <c r="T115" s="251"/>
      <c r="U115" s="251"/>
      <c r="V115" s="251"/>
      <c r="W115" s="199"/>
    </row>
    <row r="116">
      <c r="A116" s="283"/>
      <c r="B116" s="327"/>
      <c r="C116" s="222"/>
      <c r="D116" s="253"/>
      <c r="E116" s="222"/>
      <c r="F116" s="248"/>
      <c r="G116" s="248"/>
      <c r="H116" s="248"/>
      <c r="I116" s="248"/>
      <c r="J116" s="248"/>
      <c r="K116" s="325"/>
      <c r="L116" s="199"/>
      <c r="M116" s="255"/>
      <c r="N116" s="222"/>
      <c r="O116" s="255"/>
      <c r="P116" s="222"/>
      <c r="Q116" s="251"/>
      <c r="R116" s="251"/>
      <c r="S116" s="251"/>
      <c r="T116" s="251"/>
      <c r="U116" s="251"/>
      <c r="V116" s="251"/>
      <c r="W116" s="199"/>
    </row>
    <row r="117">
      <c r="A117" s="283"/>
      <c r="B117" s="327"/>
      <c r="C117" s="222"/>
      <c r="D117" s="253"/>
      <c r="E117" s="222"/>
      <c r="F117" s="248"/>
      <c r="G117" s="248"/>
      <c r="H117" s="248"/>
      <c r="I117" s="248"/>
      <c r="J117" s="248"/>
      <c r="K117" s="325"/>
      <c r="L117" s="199"/>
      <c r="M117" s="255"/>
      <c r="N117" s="222"/>
      <c r="O117" s="255"/>
      <c r="P117" s="222"/>
      <c r="Q117" s="251"/>
      <c r="R117" s="251"/>
      <c r="S117" s="251"/>
      <c r="T117" s="251"/>
      <c r="U117" s="251"/>
      <c r="V117" s="251"/>
      <c r="W117" s="199"/>
    </row>
    <row r="118">
      <c r="A118" s="283"/>
      <c r="B118" s="328" t="s">
        <v>714</v>
      </c>
      <c r="C118" s="222"/>
      <c r="D118" s="257">
        <v>0.0</v>
      </c>
      <c r="E118" s="222"/>
      <c r="F118" s="248"/>
      <c r="G118" s="248"/>
      <c r="H118" s="248"/>
      <c r="I118" s="248"/>
      <c r="J118" s="248"/>
      <c r="K118" s="325"/>
      <c r="L118" s="199"/>
      <c r="M118" s="255"/>
      <c r="N118" s="222"/>
      <c r="O118" s="255"/>
      <c r="P118" s="222"/>
      <c r="Q118" s="251"/>
      <c r="R118" s="251"/>
      <c r="S118" s="251"/>
      <c r="T118" s="251"/>
      <c r="U118" s="251"/>
      <c r="V118" s="251"/>
      <c r="W118" s="199"/>
    </row>
    <row r="119">
      <c r="A119" s="283"/>
      <c r="B119" s="329"/>
      <c r="C119" s="224"/>
      <c r="D119" s="224"/>
      <c r="E119" s="222"/>
      <c r="F119" s="248"/>
      <c r="G119" s="248"/>
      <c r="H119" s="248"/>
      <c r="I119" s="248"/>
      <c r="J119" s="248"/>
      <c r="K119" s="325"/>
      <c r="L119" s="199"/>
      <c r="M119" s="255"/>
      <c r="N119" s="222"/>
      <c r="O119" s="255"/>
      <c r="P119" s="222"/>
      <c r="Q119" s="251"/>
      <c r="R119" s="251"/>
      <c r="S119" s="251"/>
      <c r="T119" s="251"/>
      <c r="U119" s="251"/>
      <c r="V119" s="251"/>
      <c r="W119" s="199"/>
    </row>
    <row r="120">
      <c r="A120" s="283"/>
      <c r="B120" s="330" t="s">
        <v>715</v>
      </c>
      <c r="C120" s="222"/>
      <c r="D120" s="265"/>
      <c r="E120" s="222"/>
      <c r="F120" s="248"/>
      <c r="G120" s="248"/>
      <c r="H120" s="248"/>
      <c r="I120" s="248"/>
      <c r="J120" s="248"/>
      <c r="K120" s="325"/>
      <c r="L120" s="199"/>
      <c r="M120" s="255"/>
      <c r="N120" s="222"/>
      <c r="O120" s="255"/>
      <c r="P120" s="222"/>
      <c r="Q120" s="251"/>
      <c r="R120" s="251"/>
      <c r="S120" s="251"/>
      <c r="T120" s="251"/>
      <c r="U120" s="251"/>
      <c r="V120" s="251"/>
      <c r="W120" s="199"/>
    </row>
    <row r="121">
      <c r="A121" s="283"/>
      <c r="B121" s="331" t="s">
        <v>716</v>
      </c>
      <c r="C121" s="222"/>
      <c r="D121" s="267">
        <v>150.0</v>
      </c>
      <c r="E121" s="222"/>
      <c r="F121" s="248"/>
      <c r="G121" s="248"/>
      <c r="H121" s="248"/>
      <c r="I121" s="248"/>
      <c r="J121" s="248"/>
      <c r="K121" s="325"/>
      <c r="L121" s="199"/>
      <c r="M121" s="268" t="s">
        <v>714</v>
      </c>
      <c r="N121" s="222"/>
      <c r="O121" s="269">
        <v>0.0</v>
      </c>
      <c r="P121" s="222"/>
      <c r="Q121" s="251"/>
      <c r="R121" s="251"/>
      <c r="S121" s="251"/>
      <c r="T121" s="251"/>
      <c r="U121" s="251"/>
      <c r="V121" s="251"/>
      <c r="W121" s="199"/>
    </row>
    <row r="122">
      <c r="A122" s="283"/>
      <c r="B122" s="331" t="s">
        <v>717</v>
      </c>
      <c r="C122" s="222"/>
      <c r="D122" s="267">
        <v>400.0</v>
      </c>
      <c r="E122" s="222"/>
      <c r="F122" s="248"/>
      <c r="G122" s="248"/>
      <c r="H122" s="248"/>
      <c r="I122" s="248"/>
      <c r="J122" s="248"/>
      <c r="K122" s="325"/>
      <c r="L122" s="199"/>
      <c r="M122" s="251"/>
      <c r="N122" s="251"/>
      <c r="O122" s="270"/>
      <c r="Q122" s="251"/>
      <c r="R122" s="251"/>
      <c r="S122" s="251"/>
      <c r="T122" s="251"/>
      <c r="U122" s="251"/>
      <c r="V122" s="251"/>
      <c r="W122" s="199"/>
    </row>
    <row r="123">
      <c r="A123" s="283"/>
      <c r="B123" s="331" t="s">
        <v>718</v>
      </c>
      <c r="C123" s="222"/>
      <c r="D123" s="267">
        <v>200.0</v>
      </c>
      <c r="E123" s="222"/>
      <c r="F123" s="248"/>
      <c r="G123" s="248"/>
      <c r="H123" s="248"/>
      <c r="I123" s="248"/>
      <c r="J123" s="248"/>
      <c r="K123" s="325"/>
      <c r="L123" s="199"/>
      <c r="M123" s="271" t="s">
        <v>715</v>
      </c>
      <c r="N123" s="222"/>
      <c r="O123" s="272"/>
      <c r="P123" s="222"/>
      <c r="Q123" s="251"/>
      <c r="R123" s="251"/>
      <c r="S123" s="251"/>
      <c r="T123" s="251"/>
      <c r="U123" s="251"/>
      <c r="V123" s="251"/>
      <c r="W123" s="199"/>
    </row>
    <row r="124">
      <c r="A124" s="283"/>
      <c r="B124" s="331" t="s">
        <v>656</v>
      </c>
      <c r="C124" s="222"/>
      <c r="D124" s="267">
        <v>2184.32</v>
      </c>
      <c r="E124" s="222"/>
      <c r="F124" s="248"/>
      <c r="G124" s="248"/>
      <c r="H124" s="248"/>
      <c r="I124" s="248"/>
      <c r="J124" s="248"/>
      <c r="K124" s="325"/>
      <c r="L124" s="199"/>
      <c r="M124" s="280" t="s">
        <v>740</v>
      </c>
      <c r="N124" s="222"/>
      <c r="O124" s="281">
        <v>100.0</v>
      </c>
      <c r="P124" s="222"/>
      <c r="Q124" s="251"/>
      <c r="R124" s="251"/>
      <c r="S124" s="273" t="s">
        <v>719</v>
      </c>
      <c r="T124" s="211"/>
      <c r="U124" s="274">
        <v>609.2</v>
      </c>
      <c r="V124" s="211"/>
      <c r="W124" s="199"/>
    </row>
    <row r="125">
      <c r="A125" s="283"/>
      <c r="B125" s="331" t="s">
        <v>741</v>
      </c>
      <c r="C125" s="222"/>
      <c r="D125" s="267">
        <v>125.0</v>
      </c>
      <c r="E125" s="222"/>
      <c r="F125" s="248"/>
      <c r="G125" s="248"/>
      <c r="H125" s="276" t="s">
        <v>720</v>
      </c>
      <c r="I125" s="211"/>
      <c r="J125" s="277">
        <v>-474.0</v>
      </c>
      <c r="K125" s="314"/>
      <c r="L125" s="199"/>
      <c r="M125" s="332"/>
      <c r="N125" s="222"/>
      <c r="O125" s="272"/>
      <c r="P125" s="222"/>
      <c r="Q125" s="251"/>
      <c r="R125" s="251"/>
      <c r="S125" s="278"/>
      <c r="T125" s="56"/>
      <c r="U125" s="278"/>
      <c r="V125" s="56"/>
      <c r="W125" s="199"/>
    </row>
    <row r="126">
      <c r="A126" s="283"/>
      <c r="B126" s="331" t="s">
        <v>742</v>
      </c>
      <c r="C126" s="222"/>
      <c r="D126" s="267">
        <v>100.0</v>
      </c>
      <c r="E126" s="222"/>
      <c r="F126" s="248"/>
      <c r="G126" s="248"/>
      <c r="H126" s="278"/>
      <c r="I126" s="56"/>
      <c r="J126" s="278"/>
      <c r="K126" s="333"/>
      <c r="L126" s="199"/>
      <c r="M126" s="332"/>
      <c r="N126" s="222"/>
      <c r="O126" s="272"/>
      <c r="P126" s="222"/>
      <c r="Q126" s="251"/>
      <c r="R126" s="251"/>
      <c r="S126" s="215"/>
      <c r="T126" s="64"/>
      <c r="U126" s="215"/>
      <c r="V126" s="64"/>
      <c r="W126" s="199"/>
    </row>
    <row r="127">
      <c r="A127" s="283"/>
      <c r="B127" s="334"/>
      <c r="C127" s="222"/>
      <c r="D127" s="265"/>
      <c r="E127" s="222"/>
      <c r="F127" s="248"/>
      <c r="G127" s="248"/>
      <c r="H127" s="215"/>
      <c r="I127" s="64"/>
      <c r="J127" s="215"/>
      <c r="K127" s="313"/>
      <c r="L127" s="199"/>
      <c r="M127" s="332"/>
      <c r="N127" s="222"/>
      <c r="O127" s="272"/>
      <c r="P127" s="222"/>
      <c r="Q127" s="251"/>
      <c r="R127" s="251"/>
      <c r="S127" s="251"/>
      <c r="T127" s="251"/>
      <c r="U127" s="251"/>
      <c r="V127" s="251"/>
      <c r="W127" s="199"/>
    </row>
    <row r="128">
      <c r="A128" s="283"/>
      <c r="B128" s="334"/>
      <c r="C128" s="222"/>
      <c r="D128" s="265"/>
      <c r="E128" s="222"/>
      <c r="F128" s="248"/>
      <c r="G128" s="248"/>
      <c r="H128" s="248"/>
      <c r="I128" s="248"/>
      <c r="J128" s="248"/>
      <c r="K128" s="325"/>
      <c r="L128" s="199"/>
      <c r="M128" s="332"/>
      <c r="N128" s="222"/>
      <c r="O128" s="272"/>
      <c r="P128" s="222"/>
      <c r="Q128" s="251"/>
      <c r="R128" s="251"/>
      <c r="S128" s="251"/>
      <c r="T128" s="251"/>
      <c r="U128" s="251"/>
      <c r="V128" s="251"/>
      <c r="W128" s="199"/>
    </row>
    <row r="129">
      <c r="A129" s="283"/>
      <c r="B129" s="334"/>
      <c r="C129" s="222"/>
      <c r="D129" s="265"/>
      <c r="E129" s="222"/>
      <c r="F129" s="248"/>
      <c r="G129" s="248"/>
      <c r="H129" s="248"/>
      <c r="I129" s="248"/>
      <c r="J129" s="248"/>
      <c r="K129" s="325"/>
      <c r="L129" s="199"/>
      <c r="M129" s="332"/>
      <c r="N129" s="222"/>
      <c r="O129" s="272"/>
      <c r="P129" s="222"/>
      <c r="Q129" s="251"/>
      <c r="R129" s="251"/>
      <c r="S129" s="251"/>
      <c r="T129" s="251"/>
      <c r="U129" s="251"/>
      <c r="V129" s="251"/>
      <c r="W129" s="199"/>
    </row>
    <row r="130">
      <c r="A130" s="283"/>
      <c r="B130" s="335"/>
      <c r="C130" s="211"/>
      <c r="D130" s="265"/>
      <c r="E130" s="222"/>
      <c r="F130" s="248"/>
      <c r="G130" s="248"/>
      <c r="H130" s="248"/>
      <c r="I130" s="248"/>
      <c r="J130" s="248"/>
      <c r="K130" s="325"/>
      <c r="L130" s="199"/>
      <c r="M130" s="280" t="s">
        <v>721</v>
      </c>
      <c r="N130" s="222"/>
      <c r="O130" s="281">
        <v>100.0</v>
      </c>
      <c r="P130" s="222"/>
      <c r="Q130" s="251"/>
      <c r="R130" s="251"/>
      <c r="S130" s="251"/>
      <c r="T130" s="251"/>
      <c r="U130" s="251"/>
      <c r="V130" s="251"/>
      <c r="W130" s="199"/>
    </row>
    <row r="131">
      <c r="A131" s="283"/>
      <c r="B131" s="336" t="s">
        <v>721</v>
      </c>
      <c r="C131" s="337"/>
      <c r="D131" s="338">
        <v>3159.32</v>
      </c>
      <c r="E131" s="337"/>
      <c r="F131" s="339"/>
      <c r="G131" s="339"/>
      <c r="H131" s="339"/>
      <c r="I131" s="339"/>
      <c r="J131" s="339"/>
      <c r="K131" s="340"/>
      <c r="L131" s="199"/>
      <c r="M131" s="282"/>
      <c r="N131" s="282"/>
      <c r="O131" s="282"/>
      <c r="P131" s="282"/>
      <c r="Q131" s="282"/>
      <c r="R131" s="282"/>
      <c r="S131" s="282"/>
      <c r="T131" s="282"/>
      <c r="U131" s="282"/>
      <c r="V131" s="282"/>
      <c r="W131" s="199"/>
    </row>
    <row r="132">
      <c r="A132" s="283"/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199"/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</row>
    <row r="133">
      <c r="A133" s="283"/>
      <c r="B133" s="199"/>
      <c r="C133" s="199"/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</row>
    <row r="134">
      <c r="A134" s="283"/>
      <c r="B134" s="306"/>
      <c r="C134" s="307"/>
      <c r="D134" s="307"/>
      <c r="E134" s="307"/>
      <c r="F134" s="307"/>
      <c r="G134" s="308" t="s">
        <v>700</v>
      </c>
      <c r="H134" s="309"/>
      <c r="I134" s="310" t="s">
        <v>701</v>
      </c>
      <c r="J134" s="307"/>
      <c r="K134" s="311"/>
      <c r="L134" s="199"/>
      <c r="M134" s="287"/>
      <c r="R134" s="210" t="s">
        <v>700</v>
      </c>
      <c r="S134" s="211"/>
      <c r="T134" s="212" t="s">
        <v>701</v>
      </c>
      <c r="U134" s="213"/>
      <c r="V134" s="211"/>
      <c r="W134" s="199"/>
    </row>
    <row r="135">
      <c r="A135" s="283"/>
      <c r="B135" s="312"/>
      <c r="G135" s="215"/>
      <c r="H135" s="64"/>
      <c r="I135" s="215"/>
      <c r="J135" s="216"/>
      <c r="K135" s="313"/>
      <c r="L135" s="199"/>
      <c r="R135" s="215"/>
      <c r="S135" s="64"/>
      <c r="T135" s="215"/>
      <c r="U135" s="216"/>
      <c r="V135" s="64"/>
      <c r="W135" s="199"/>
    </row>
    <row r="136">
      <c r="A136" s="283"/>
      <c r="B136" s="312"/>
      <c r="G136" s="218" t="s">
        <v>702</v>
      </c>
      <c r="H136" s="211"/>
      <c r="I136" s="219" t="s">
        <v>743</v>
      </c>
      <c r="J136" s="213"/>
      <c r="K136" s="314"/>
      <c r="L136" s="199"/>
      <c r="R136" s="210" t="s">
        <v>351</v>
      </c>
      <c r="S136" s="211"/>
      <c r="T136" s="212" t="s">
        <v>385</v>
      </c>
      <c r="U136" s="213"/>
      <c r="V136" s="211"/>
      <c r="W136" s="199"/>
    </row>
    <row r="137">
      <c r="A137" s="283"/>
      <c r="B137" s="312"/>
      <c r="G137" s="215"/>
      <c r="H137" s="64"/>
      <c r="I137" s="215"/>
      <c r="J137" s="216"/>
      <c r="K137" s="313"/>
      <c r="L137" s="199"/>
      <c r="R137" s="215"/>
      <c r="S137" s="64"/>
      <c r="T137" s="215"/>
      <c r="U137" s="216"/>
      <c r="V137" s="64"/>
      <c r="W137" s="199"/>
    </row>
    <row r="138">
      <c r="A138" s="283"/>
      <c r="B138" s="312"/>
      <c r="G138" s="218" t="s">
        <v>703</v>
      </c>
      <c r="H138" s="211"/>
      <c r="I138" s="219">
        <v>7352.0</v>
      </c>
      <c r="J138" s="213"/>
      <c r="K138" s="314"/>
      <c r="L138" s="199"/>
      <c r="R138" s="210" t="s">
        <v>703</v>
      </c>
      <c r="S138" s="211"/>
      <c r="T138" s="212">
        <v>7352.0</v>
      </c>
      <c r="U138" s="213"/>
      <c r="V138" s="211"/>
      <c r="W138" s="199"/>
    </row>
    <row r="139">
      <c r="A139" s="283"/>
      <c r="B139" s="312"/>
      <c r="G139" s="215"/>
      <c r="H139" s="64"/>
      <c r="I139" s="215"/>
      <c r="J139" s="216"/>
      <c r="K139" s="313"/>
      <c r="L139" s="199"/>
      <c r="R139" s="215"/>
      <c r="S139" s="64"/>
      <c r="T139" s="215"/>
      <c r="U139" s="216"/>
      <c r="V139" s="64"/>
      <c r="W139" s="199"/>
    </row>
    <row r="140">
      <c r="A140" s="283"/>
      <c r="B140" s="315" t="s">
        <v>704</v>
      </c>
      <c r="C140" s="222"/>
      <c r="D140" s="223" t="s">
        <v>5</v>
      </c>
      <c r="E140" s="222"/>
      <c r="F140" s="223" t="s">
        <v>705</v>
      </c>
      <c r="G140" s="224"/>
      <c r="H140" s="222"/>
      <c r="I140" s="225" t="s">
        <v>8</v>
      </c>
      <c r="J140" s="225" t="s">
        <v>706</v>
      </c>
      <c r="K140" s="316" t="s">
        <v>707</v>
      </c>
      <c r="L140" s="199"/>
      <c r="M140" s="227" t="s">
        <v>704</v>
      </c>
      <c r="N140" s="222"/>
      <c r="O140" s="227" t="s">
        <v>5</v>
      </c>
      <c r="P140" s="222"/>
      <c r="Q140" s="227" t="s">
        <v>705</v>
      </c>
      <c r="R140" s="224"/>
      <c r="S140" s="222"/>
      <c r="T140" s="228" t="s">
        <v>591</v>
      </c>
      <c r="U140" s="228" t="s">
        <v>708</v>
      </c>
      <c r="V140" s="228" t="s">
        <v>707</v>
      </c>
      <c r="W140" s="199"/>
    </row>
    <row r="141">
      <c r="A141" s="283"/>
      <c r="B141" s="317">
        <v>45975.0</v>
      </c>
      <c r="C141" s="222"/>
      <c r="D141" s="223" t="s">
        <v>744</v>
      </c>
      <c r="E141" s="222"/>
      <c r="F141" s="223" t="s">
        <v>745</v>
      </c>
      <c r="G141" s="224"/>
      <c r="H141" s="222"/>
      <c r="I141" s="232">
        <v>5500.0</v>
      </c>
      <c r="J141" s="233">
        <v>0.88</v>
      </c>
      <c r="K141" s="318">
        <v>4840.0</v>
      </c>
      <c r="L141" s="199"/>
      <c r="M141" s="235">
        <v>45975.0</v>
      </c>
      <c r="N141" s="222"/>
      <c r="O141" s="227" t="s">
        <v>744</v>
      </c>
      <c r="P141" s="222"/>
      <c r="Q141" s="227" t="s">
        <v>745</v>
      </c>
      <c r="R141" s="224"/>
      <c r="S141" s="222"/>
      <c r="T141" s="228">
        <v>2647.0</v>
      </c>
      <c r="U141" s="228">
        <v>0.65</v>
      </c>
      <c r="V141" s="237">
        <v>1720.55</v>
      </c>
      <c r="W141" s="199"/>
    </row>
    <row r="142">
      <c r="A142" s="283"/>
      <c r="B142" s="319"/>
      <c r="C142" s="222"/>
      <c r="D142" s="240"/>
      <c r="E142" s="222"/>
      <c r="F142" s="240"/>
      <c r="G142" s="224"/>
      <c r="H142" s="222"/>
      <c r="I142" s="241"/>
      <c r="J142" s="233">
        <v>0.88</v>
      </c>
      <c r="K142" s="318">
        <v>0.0</v>
      </c>
      <c r="L142" s="199"/>
      <c r="M142" s="243"/>
      <c r="N142" s="222"/>
      <c r="O142" s="243"/>
      <c r="P142" s="222"/>
      <c r="Q142" s="243"/>
      <c r="R142" s="224"/>
      <c r="S142" s="222"/>
      <c r="T142" s="244"/>
      <c r="U142" s="228">
        <v>0.65</v>
      </c>
      <c r="V142" s="237">
        <v>0.0</v>
      </c>
      <c r="W142" s="199"/>
    </row>
    <row r="143">
      <c r="A143" s="283"/>
      <c r="B143" s="319"/>
      <c r="C143" s="222"/>
      <c r="D143" s="240"/>
      <c r="E143" s="222"/>
      <c r="F143" s="240"/>
      <c r="G143" s="224"/>
      <c r="H143" s="222"/>
      <c r="I143" s="241"/>
      <c r="J143" s="233">
        <v>0.88</v>
      </c>
      <c r="K143" s="318">
        <v>0.0</v>
      </c>
      <c r="L143" s="199"/>
      <c r="M143" s="243"/>
      <c r="N143" s="222"/>
      <c r="O143" s="243"/>
      <c r="P143" s="222"/>
      <c r="Q143" s="243"/>
      <c r="R143" s="224"/>
      <c r="S143" s="222"/>
      <c r="T143" s="244"/>
      <c r="U143" s="228">
        <v>0.65</v>
      </c>
      <c r="V143" s="237">
        <v>0.0</v>
      </c>
      <c r="W143" s="199"/>
    </row>
    <row r="144">
      <c r="A144" s="283"/>
      <c r="B144" s="319"/>
      <c r="C144" s="222"/>
      <c r="D144" s="240"/>
      <c r="E144" s="222"/>
      <c r="F144" s="240"/>
      <c r="G144" s="224"/>
      <c r="H144" s="222"/>
      <c r="I144" s="241"/>
      <c r="J144" s="241"/>
      <c r="K144" s="320"/>
      <c r="L144" s="199"/>
      <c r="M144" s="243"/>
      <c r="N144" s="222"/>
      <c r="O144" s="243"/>
      <c r="P144" s="222"/>
      <c r="Q144" s="243"/>
      <c r="R144" s="224"/>
      <c r="S144" s="222"/>
      <c r="T144" s="244"/>
      <c r="U144" s="244"/>
      <c r="V144" s="237">
        <v>0.0</v>
      </c>
      <c r="W144" s="199"/>
    </row>
    <row r="145">
      <c r="A145" s="283"/>
      <c r="B145" s="319"/>
      <c r="C145" s="222"/>
      <c r="D145" s="240"/>
      <c r="E145" s="222"/>
      <c r="F145" s="240"/>
      <c r="G145" s="224"/>
      <c r="H145" s="222"/>
      <c r="I145" s="288"/>
      <c r="J145" s="241"/>
      <c r="K145" s="321"/>
      <c r="L145" s="199"/>
      <c r="M145" s="243"/>
      <c r="N145" s="222"/>
      <c r="O145" s="243"/>
      <c r="P145" s="222"/>
      <c r="Q145" s="243"/>
      <c r="R145" s="224"/>
      <c r="S145" s="222"/>
      <c r="T145" s="244"/>
      <c r="U145" s="244"/>
      <c r="V145" s="244"/>
      <c r="W145" s="199"/>
    </row>
    <row r="146">
      <c r="A146" s="283"/>
      <c r="B146" s="322" t="s">
        <v>711</v>
      </c>
      <c r="C146" s="224"/>
      <c r="D146" s="224"/>
      <c r="E146" s="224"/>
      <c r="F146" s="224"/>
      <c r="G146" s="224"/>
      <c r="H146" s="222"/>
      <c r="I146" s="291">
        <v>5500.0</v>
      </c>
      <c r="J146" s="241"/>
      <c r="K146" s="323">
        <v>4840.0</v>
      </c>
      <c r="L146" s="199"/>
      <c r="M146" s="246" t="s">
        <v>711</v>
      </c>
      <c r="N146" s="224"/>
      <c r="O146" s="224"/>
      <c r="P146" s="224"/>
      <c r="Q146" s="224"/>
      <c r="R146" s="224"/>
      <c r="S146" s="222"/>
      <c r="T146" s="228">
        <v>2647.0</v>
      </c>
      <c r="U146" s="244"/>
      <c r="V146" s="237">
        <v>1720.55</v>
      </c>
      <c r="W146" s="199"/>
    </row>
    <row r="147">
      <c r="A147" s="283"/>
      <c r="B147" s="324"/>
      <c r="C147" s="248"/>
      <c r="D147" s="248"/>
      <c r="E147" s="248"/>
      <c r="F147" s="248"/>
      <c r="G147" s="248"/>
      <c r="H147" s="248"/>
      <c r="I147" s="248"/>
      <c r="J147" s="248"/>
      <c r="K147" s="325"/>
      <c r="L147" s="199"/>
      <c r="M147" s="251"/>
      <c r="N147" s="251"/>
      <c r="O147" s="251"/>
      <c r="P147" s="251"/>
      <c r="Q147" s="251"/>
      <c r="R147" s="251"/>
      <c r="S147" s="251"/>
      <c r="T147" s="251"/>
      <c r="U147" s="251"/>
      <c r="V147" s="251"/>
      <c r="W147" s="199"/>
    </row>
    <row r="148">
      <c r="A148" s="283"/>
      <c r="B148" s="326" t="s">
        <v>712</v>
      </c>
      <c r="C148" s="222"/>
      <c r="D148" s="253"/>
      <c r="E148" s="222"/>
      <c r="F148" s="248"/>
      <c r="G148" s="248"/>
      <c r="H148" s="248"/>
      <c r="I148" s="248"/>
      <c r="J148" s="248"/>
      <c r="K148" s="325"/>
      <c r="L148" s="199"/>
      <c r="M148" s="254" t="s">
        <v>712</v>
      </c>
      <c r="N148" s="222"/>
      <c r="O148" s="255"/>
      <c r="P148" s="222"/>
      <c r="Q148" s="251"/>
      <c r="R148" s="251"/>
      <c r="S148" s="251"/>
      <c r="T148" s="251"/>
      <c r="U148" s="251"/>
      <c r="V148" s="251"/>
      <c r="W148" s="199"/>
    </row>
    <row r="149">
      <c r="A149" s="283"/>
      <c r="B149" s="341" t="s">
        <v>746</v>
      </c>
      <c r="C149" s="222"/>
      <c r="D149" s="257">
        <v>250.0</v>
      </c>
      <c r="E149" s="222"/>
      <c r="F149" s="248"/>
      <c r="G149" s="248"/>
      <c r="H149" s="248"/>
      <c r="I149" s="248"/>
      <c r="J149" s="248"/>
      <c r="K149" s="325"/>
      <c r="L149" s="199"/>
      <c r="M149" s="342" t="s">
        <v>746</v>
      </c>
      <c r="N149" s="222"/>
      <c r="O149" s="269">
        <v>250.0</v>
      </c>
      <c r="P149" s="222"/>
      <c r="Q149" s="251"/>
      <c r="R149" s="251"/>
      <c r="S149" s="251"/>
      <c r="T149" s="251"/>
      <c r="U149" s="251"/>
      <c r="V149" s="251"/>
      <c r="W149" s="199"/>
    </row>
    <row r="150">
      <c r="A150" s="283"/>
      <c r="B150" s="327"/>
      <c r="C150" s="222"/>
      <c r="D150" s="253"/>
      <c r="E150" s="222"/>
      <c r="F150" s="248"/>
      <c r="G150" s="248"/>
      <c r="H150" s="248"/>
      <c r="I150" s="248"/>
      <c r="J150" s="248"/>
      <c r="K150" s="325"/>
      <c r="L150" s="199"/>
      <c r="M150" s="255"/>
      <c r="N150" s="222"/>
      <c r="O150" s="255"/>
      <c r="P150" s="222"/>
      <c r="Q150" s="251"/>
      <c r="R150" s="251"/>
      <c r="S150" s="251"/>
      <c r="T150" s="251"/>
      <c r="U150" s="251"/>
      <c r="V150" s="251"/>
      <c r="W150" s="199"/>
    </row>
    <row r="151">
      <c r="A151" s="283"/>
      <c r="B151" s="328" t="s">
        <v>714</v>
      </c>
      <c r="C151" s="222"/>
      <c r="D151" s="257">
        <v>250.0</v>
      </c>
      <c r="E151" s="222"/>
      <c r="F151" s="248"/>
      <c r="G151" s="248"/>
      <c r="H151" s="248"/>
      <c r="I151" s="248"/>
      <c r="J151" s="248"/>
      <c r="K151" s="325"/>
      <c r="L151" s="199"/>
      <c r="M151" s="255"/>
      <c r="N151" s="222"/>
      <c r="O151" s="255"/>
      <c r="P151" s="222"/>
      <c r="Q151" s="251"/>
      <c r="R151" s="251"/>
      <c r="S151" s="251"/>
      <c r="T151" s="251"/>
      <c r="U151" s="251"/>
      <c r="V151" s="251"/>
      <c r="W151" s="199"/>
    </row>
    <row r="152">
      <c r="A152" s="283"/>
      <c r="B152" s="329"/>
      <c r="C152" s="224"/>
      <c r="D152" s="224"/>
      <c r="E152" s="222"/>
      <c r="F152" s="248"/>
      <c r="G152" s="248"/>
      <c r="H152" s="248"/>
      <c r="I152" s="248"/>
      <c r="J152" s="248"/>
      <c r="K152" s="325"/>
      <c r="L152" s="199"/>
      <c r="M152" s="255"/>
      <c r="N152" s="222"/>
      <c r="O152" s="255"/>
      <c r="P152" s="222"/>
      <c r="Q152" s="251"/>
      <c r="R152" s="251"/>
      <c r="S152" s="251"/>
      <c r="T152" s="251"/>
      <c r="U152" s="251"/>
      <c r="V152" s="251"/>
      <c r="W152" s="199"/>
    </row>
    <row r="153">
      <c r="A153" s="283"/>
      <c r="B153" s="330" t="s">
        <v>715</v>
      </c>
      <c r="C153" s="222"/>
      <c r="D153" s="265"/>
      <c r="E153" s="222"/>
      <c r="F153" s="248"/>
      <c r="G153" s="248"/>
      <c r="H153" s="248"/>
      <c r="I153" s="248"/>
      <c r="J153" s="248"/>
      <c r="K153" s="325"/>
      <c r="L153" s="199"/>
      <c r="M153" s="255"/>
      <c r="N153" s="222"/>
      <c r="O153" s="255"/>
      <c r="P153" s="222"/>
      <c r="Q153" s="251"/>
      <c r="R153" s="251"/>
      <c r="S153" s="251"/>
      <c r="T153" s="251"/>
      <c r="U153" s="251"/>
      <c r="V153" s="251"/>
      <c r="W153" s="199"/>
    </row>
    <row r="154">
      <c r="A154" s="283"/>
      <c r="B154" s="331" t="s">
        <v>716</v>
      </c>
      <c r="C154" s="222"/>
      <c r="D154" s="267">
        <v>150.0</v>
      </c>
      <c r="E154" s="222"/>
      <c r="F154" s="248"/>
      <c r="G154" s="248"/>
      <c r="H154" s="248"/>
      <c r="I154" s="248"/>
      <c r="J154" s="248"/>
      <c r="K154" s="325"/>
      <c r="L154" s="199"/>
      <c r="M154" s="268" t="s">
        <v>714</v>
      </c>
      <c r="N154" s="222"/>
      <c r="O154" s="269">
        <v>250.0</v>
      </c>
      <c r="P154" s="222"/>
      <c r="Q154" s="251"/>
      <c r="R154" s="251"/>
      <c r="S154" s="251"/>
      <c r="T154" s="251"/>
      <c r="U154" s="251"/>
      <c r="V154" s="251"/>
      <c r="W154" s="199"/>
    </row>
    <row r="155">
      <c r="A155" s="283"/>
      <c r="B155" s="331" t="s">
        <v>717</v>
      </c>
      <c r="C155" s="222"/>
      <c r="D155" s="267">
        <v>400.0</v>
      </c>
      <c r="E155" s="222"/>
      <c r="F155" s="248"/>
      <c r="G155" s="248"/>
      <c r="H155" s="248"/>
      <c r="I155" s="248"/>
      <c r="J155" s="248"/>
      <c r="K155" s="325"/>
      <c r="L155" s="199"/>
      <c r="M155" s="251"/>
      <c r="N155" s="251"/>
      <c r="O155" s="270"/>
      <c r="Q155" s="251"/>
      <c r="R155" s="251"/>
      <c r="S155" s="251"/>
      <c r="T155" s="251"/>
      <c r="U155" s="251"/>
      <c r="V155" s="251"/>
      <c r="W155" s="199"/>
    </row>
    <row r="156">
      <c r="A156" s="283"/>
      <c r="B156" s="331" t="s">
        <v>718</v>
      </c>
      <c r="C156" s="222"/>
      <c r="D156" s="267">
        <v>200.0</v>
      </c>
      <c r="E156" s="222"/>
      <c r="F156" s="248"/>
      <c r="G156" s="248"/>
      <c r="H156" s="248"/>
      <c r="I156" s="248"/>
      <c r="J156" s="248"/>
      <c r="K156" s="325"/>
      <c r="L156" s="199"/>
      <c r="M156" s="271" t="s">
        <v>715</v>
      </c>
      <c r="N156" s="222"/>
      <c r="O156" s="272"/>
      <c r="P156" s="222"/>
      <c r="Q156" s="251"/>
      <c r="R156" s="251"/>
      <c r="S156" s="251"/>
      <c r="T156" s="251"/>
      <c r="U156" s="251"/>
      <c r="V156" s="251"/>
      <c r="W156" s="199"/>
    </row>
    <row r="157">
      <c r="A157" s="283"/>
      <c r="B157" s="331" t="s">
        <v>656</v>
      </c>
      <c r="C157" s="222"/>
      <c r="D157" s="267">
        <v>1047.6</v>
      </c>
      <c r="E157" s="222"/>
      <c r="F157" s="248"/>
      <c r="G157" s="248"/>
      <c r="H157" s="248"/>
      <c r="I157" s="248"/>
      <c r="J157" s="248"/>
      <c r="K157" s="325"/>
      <c r="L157" s="199"/>
      <c r="M157" s="332"/>
      <c r="N157" s="222"/>
      <c r="O157" s="272"/>
      <c r="P157" s="222"/>
      <c r="Q157" s="251"/>
      <c r="R157" s="251"/>
      <c r="S157" s="273" t="s">
        <v>719</v>
      </c>
      <c r="T157" s="211"/>
      <c r="U157" s="274">
        <v>1970.55</v>
      </c>
      <c r="V157" s="211"/>
      <c r="W157" s="199"/>
    </row>
    <row r="158">
      <c r="A158" s="283"/>
      <c r="B158" s="343" t="s">
        <v>747</v>
      </c>
      <c r="C158" s="211"/>
      <c r="D158" s="302">
        <v>523.44</v>
      </c>
      <c r="E158" s="211"/>
      <c r="F158" s="248"/>
      <c r="G158" s="248"/>
      <c r="H158" s="276" t="s">
        <v>720</v>
      </c>
      <c r="I158" s="211"/>
      <c r="J158" s="277">
        <v>2691.96</v>
      </c>
      <c r="K158" s="314"/>
      <c r="L158" s="199"/>
      <c r="M158" s="332"/>
      <c r="N158" s="222"/>
      <c r="O158" s="272"/>
      <c r="P158" s="222"/>
      <c r="Q158" s="251"/>
      <c r="R158" s="251"/>
      <c r="S158" s="278"/>
      <c r="T158" s="56"/>
      <c r="U158" s="278"/>
      <c r="V158" s="56"/>
      <c r="W158" s="199"/>
    </row>
    <row r="159">
      <c r="A159" s="283"/>
      <c r="B159" s="344"/>
      <c r="C159" s="64"/>
      <c r="D159" s="215"/>
      <c r="E159" s="64"/>
      <c r="F159" s="248"/>
      <c r="G159" s="248"/>
      <c r="H159" s="278"/>
      <c r="I159" s="56"/>
      <c r="J159" s="278"/>
      <c r="K159" s="333"/>
      <c r="L159" s="199"/>
      <c r="M159" s="332"/>
      <c r="N159" s="222"/>
      <c r="O159" s="272"/>
      <c r="P159" s="222"/>
      <c r="Q159" s="251"/>
      <c r="R159" s="251"/>
      <c r="S159" s="215"/>
      <c r="T159" s="64"/>
      <c r="U159" s="215"/>
      <c r="V159" s="64"/>
      <c r="W159" s="199"/>
    </row>
    <row r="160">
      <c r="A160" s="283"/>
      <c r="B160" s="331" t="s">
        <v>748</v>
      </c>
      <c r="C160" s="222"/>
      <c r="D160" s="267">
        <v>32.0</v>
      </c>
      <c r="E160" s="222"/>
      <c r="F160" s="248"/>
      <c r="G160" s="248"/>
      <c r="H160" s="215"/>
      <c r="I160" s="64"/>
      <c r="J160" s="215"/>
      <c r="K160" s="313"/>
      <c r="L160" s="199"/>
      <c r="M160" s="332"/>
      <c r="N160" s="222"/>
      <c r="O160" s="272"/>
      <c r="P160" s="222"/>
      <c r="Q160" s="251"/>
      <c r="R160" s="251"/>
      <c r="S160" s="251"/>
      <c r="T160" s="251"/>
      <c r="U160" s="251"/>
      <c r="V160" s="251"/>
      <c r="W160" s="199"/>
    </row>
    <row r="161">
      <c r="A161" s="283"/>
      <c r="B161" s="331" t="s">
        <v>749</v>
      </c>
      <c r="C161" s="222"/>
      <c r="D161" s="267">
        <v>45.0</v>
      </c>
      <c r="E161" s="222"/>
      <c r="F161" s="248"/>
      <c r="G161" s="248"/>
      <c r="H161" s="248"/>
      <c r="I161" s="248"/>
      <c r="J161" s="248"/>
      <c r="K161" s="325"/>
      <c r="L161" s="199"/>
      <c r="M161" s="332"/>
      <c r="N161" s="222"/>
      <c r="O161" s="272"/>
      <c r="P161" s="222"/>
      <c r="Q161" s="251"/>
      <c r="R161" s="251"/>
      <c r="S161" s="251"/>
      <c r="T161" s="251"/>
      <c r="U161" s="251"/>
      <c r="V161" s="251"/>
      <c r="W161" s="199"/>
    </row>
    <row r="162">
      <c r="A162" s="283"/>
      <c r="B162" s="334"/>
      <c r="C162" s="222"/>
      <c r="D162" s="265"/>
      <c r="E162" s="222"/>
      <c r="F162" s="248"/>
      <c r="G162" s="248"/>
      <c r="H162" s="248"/>
      <c r="I162" s="248"/>
      <c r="J162" s="248"/>
      <c r="K162" s="325"/>
      <c r="L162" s="199"/>
      <c r="M162" s="332"/>
      <c r="N162" s="222"/>
      <c r="O162" s="272"/>
      <c r="P162" s="222"/>
      <c r="Q162" s="251"/>
      <c r="R162" s="251"/>
      <c r="S162" s="251"/>
      <c r="T162" s="251"/>
      <c r="U162" s="251"/>
      <c r="V162" s="251"/>
      <c r="W162" s="199"/>
    </row>
    <row r="163">
      <c r="A163" s="283"/>
      <c r="B163" s="335"/>
      <c r="C163" s="211"/>
      <c r="D163" s="265"/>
      <c r="E163" s="222"/>
      <c r="F163" s="248"/>
      <c r="G163" s="248"/>
      <c r="H163" s="248"/>
      <c r="I163" s="248"/>
      <c r="J163" s="248"/>
      <c r="K163" s="325"/>
      <c r="L163" s="199"/>
      <c r="M163" s="280" t="s">
        <v>721</v>
      </c>
      <c r="N163" s="222"/>
      <c r="O163" s="281">
        <v>0.0</v>
      </c>
      <c r="P163" s="222"/>
      <c r="Q163" s="251"/>
      <c r="R163" s="251"/>
      <c r="S163" s="251"/>
      <c r="T163" s="251"/>
      <c r="U163" s="251"/>
      <c r="V163" s="251"/>
      <c r="W163" s="199"/>
    </row>
    <row r="164">
      <c r="A164" s="283"/>
      <c r="B164" s="331" t="s">
        <v>721</v>
      </c>
      <c r="C164" s="222"/>
      <c r="D164" s="267">
        <v>2398.04</v>
      </c>
      <c r="E164" s="222"/>
      <c r="F164" s="248"/>
      <c r="G164" s="248"/>
      <c r="H164" s="248"/>
      <c r="I164" s="248"/>
      <c r="J164" s="248"/>
      <c r="K164" s="325"/>
      <c r="L164" s="199"/>
      <c r="M164" s="282"/>
      <c r="N164" s="282"/>
      <c r="O164" s="282"/>
      <c r="P164" s="282"/>
      <c r="Q164" s="282"/>
      <c r="R164" s="282"/>
      <c r="S164" s="282"/>
      <c r="T164" s="282"/>
      <c r="U164" s="282"/>
      <c r="V164" s="282"/>
      <c r="W164" s="199"/>
    </row>
    <row r="165">
      <c r="A165" s="283"/>
      <c r="B165" s="345"/>
      <c r="C165" s="346"/>
      <c r="D165" s="346"/>
      <c r="E165" s="346"/>
      <c r="F165" s="346"/>
      <c r="G165" s="346"/>
      <c r="H165" s="346"/>
      <c r="I165" s="346"/>
      <c r="J165" s="346"/>
      <c r="K165" s="347"/>
      <c r="L165" s="199"/>
      <c r="M165" s="282"/>
      <c r="N165" s="282"/>
      <c r="O165" s="282"/>
      <c r="P165" s="282"/>
      <c r="Q165" s="282"/>
      <c r="R165" s="282"/>
      <c r="S165" s="282"/>
      <c r="T165" s="282"/>
      <c r="U165" s="282"/>
      <c r="V165" s="282"/>
      <c r="W165" s="199"/>
    </row>
    <row r="166">
      <c r="A166" s="283"/>
      <c r="B166" s="199"/>
      <c r="C166" s="199"/>
      <c r="D166" s="199"/>
      <c r="E166" s="199"/>
      <c r="F166" s="199"/>
      <c r="G166" s="199"/>
      <c r="H166" s="199"/>
      <c r="I166" s="199"/>
      <c r="J166" s="199"/>
      <c r="K166" s="199"/>
      <c r="L166" s="199"/>
      <c r="M166" s="199"/>
      <c r="N166" s="199"/>
      <c r="O166" s="199"/>
      <c r="P166" s="199"/>
      <c r="Q166" s="199"/>
      <c r="R166" s="199"/>
      <c r="S166" s="199"/>
      <c r="T166" s="199"/>
      <c r="U166" s="199"/>
      <c r="V166" s="199"/>
      <c r="W166" s="199"/>
    </row>
    <row r="167">
      <c r="A167" s="283"/>
      <c r="B167" s="306"/>
      <c r="C167" s="307"/>
      <c r="D167" s="307"/>
      <c r="E167" s="307"/>
      <c r="F167" s="307"/>
      <c r="G167" s="308" t="s">
        <v>700</v>
      </c>
      <c r="H167" s="309"/>
      <c r="I167" s="310" t="s">
        <v>701</v>
      </c>
      <c r="J167" s="307"/>
      <c r="K167" s="311"/>
      <c r="L167" s="199"/>
      <c r="M167" s="287"/>
      <c r="R167" s="210" t="s">
        <v>700</v>
      </c>
      <c r="S167" s="211"/>
      <c r="T167" s="212" t="s">
        <v>701</v>
      </c>
      <c r="U167" s="213"/>
      <c r="V167" s="211"/>
      <c r="W167" s="199"/>
    </row>
    <row r="168">
      <c r="A168" s="283"/>
      <c r="B168" s="312"/>
      <c r="G168" s="215"/>
      <c r="H168" s="64"/>
      <c r="I168" s="215"/>
      <c r="J168" s="216"/>
      <c r="K168" s="313"/>
      <c r="L168" s="199"/>
      <c r="R168" s="215"/>
      <c r="S168" s="64"/>
      <c r="T168" s="215"/>
      <c r="U168" s="216"/>
      <c r="V168" s="64"/>
      <c r="W168" s="199"/>
    </row>
    <row r="169">
      <c r="A169" s="283"/>
      <c r="B169" s="312"/>
      <c r="G169" s="218" t="s">
        <v>702</v>
      </c>
      <c r="H169" s="211"/>
      <c r="I169" s="219" t="s">
        <v>750</v>
      </c>
      <c r="J169" s="213"/>
      <c r="K169" s="314"/>
      <c r="L169" s="199"/>
      <c r="R169" s="210" t="s">
        <v>351</v>
      </c>
      <c r="S169" s="211"/>
      <c r="T169" s="212" t="s">
        <v>592</v>
      </c>
      <c r="U169" s="213"/>
      <c r="V169" s="211"/>
      <c r="W169" s="199"/>
    </row>
    <row r="170">
      <c r="A170" s="283"/>
      <c r="B170" s="312"/>
      <c r="G170" s="215"/>
      <c r="H170" s="64"/>
      <c r="I170" s="215"/>
      <c r="J170" s="216"/>
      <c r="K170" s="313"/>
      <c r="L170" s="199"/>
      <c r="R170" s="215"/>
      <c r="S170" s="64"/>
      <c r="T170" s="215"/>
      <c r="U170" s="216"/>
      <c r="V170" s="64"/>
      <c r="W170" s="199"/>
    </row>
    <row r="171">
      <c r="A171" s="283"/>
      <c r="B171" s="312"/>
      <c r="G171" s="218" t="s">
        <v>703</v>
      </c>
      <c r="H171" s="211"/>
      <c r="I171" s="219">
        <v>2675.0</v>
      </c>
      <c r="J171" s="213"/>
      <c r="K171" s="314"/>
      <c r="L171" s="199"/>
      <c r="R171" s="210" t="s">
        <v>703</v>
      </c>
      <c r="S171" s="211"/>
      <c r="T171" s="212">
        <v>2675.0</v>
      </c>
      <c r="U171" s="213"/>
      <c r="V171" s="211"/>
      <c r="W171" s="199"/>
    </row>
    <row r="172">
      <c r="A172" s="283"/>
      <c r="B172" s="312"/>
      <c r="G172" s="215"/>
      <c r="H172" s="64"/>
      <c r="I172" s="215"/>
      <c r="J172" s="216"/>
      <c r="K172" s="313"/>
      <c r="L172" s="199"/>
      <c r="R172" s="215"/>
      <c r="S172" s="64"/>
      <c r="T172" s="215"/>
      <c r="U172" s="216"/>
      <c r="V172" s="64"/>
      <c r="W172" s="199"/>
    </row>
    <row r="173">
      <c r="A173" s="283"/>
      <c r="B173" s="315" t="s">
        <v>704</v>
      </c>
      <c r="C173" s="222"/>
      <c r="D173" s="223" t="s">
        <v>5</v>
      </c>
      <c r="E173" s="222"/>
      <c r="F173" s="223" t="s">
        <v>705</v>
      </c>
      <c r="G173" s="224"/>
      <c r="H173" s="222"/>
      <c r="I173" s="225" t="s">
        <v>8</v>
      </c>
      <c r="J173" s="225" t="s">
        <v>706</v>
      </c>
      <c r="K173" s="316" t="s">
        <v>707</v>
      </c>
      <c r="L173" s="199"/>
      <c r="M173" s="227" t="s">
        <v>704</v>
      </c>
      <c r="N173" s="222"/>
      <c r="O173" s="227" t="s">
        <v>5</v>
      </c>
      <c r="P173" s="222"/>
      <c r="Q173" s="227" t="s">
        <v>705</v>
      </c>
      <c r="R173" s="224"/>
      <c r="S173" s="222"/>
      <c r="T173" s="228" t="s">
        <v>591</v>
      </c>
      <c r="U173" s="228" t="s">
        <v>708</v>
      </c>
      <c r="V173" s="228" t="s">
        <v>707</v>
      </c>
      <c r="W173" s="199"/>
    </row>
    <row r="174">
      <c r="A174" s="283"/>
      <c r="B174" s="317">
        <v>45972.0</v>
      </c>
      <c r="C174" s="222"/>
      <c r="D174" s="223">
        <v>2.0586551E7</v>
      </c>
      <c r="E174" s="222"/>
      <c r="F174" s="223" t="s">
        <v>751</v>
      </c>
      <c r="G174" s="224"/>
      <c r="H174" s="222"/>
      <c r="I174" s="232">
        <v>1549.0</v>
      </c>
      <c r="J174" s="233">
        <v>0.88</v>
      </c>
      <c r="K174" s="318">
        <v>1363.12</v>
      </c>
      <c r="L174" s="199"/>
      <c r="M174" s="235">
        <v>45972.0</v>
      </c>
      <c r="N174" s="222"/>
      <c r="O174" s="227">
        <v>2.0586551E7</v>
      </c>
      <c r="P174" s="222"/>
      <c r="Q174" s="227" t="s">
        <v>751</v>
      </c>
      <c r="R174" s="224"/>
      <c r="S174" s="222"/>
      <c r="T174" s="228">
        <v>1129.0</v>
      </c>
      <c r="U174" s="228">
        <v>0.65</v>
      </c>
      <c r="V174" s="237">
        <v>733.85</v>
      </c>
      <c r="W174" s="199"/>
    </row>
    <row r="175">
      <c r="A175" s="283"/>
      <c r="B175" s="317">
        <v>45974.0</v>
      </c>
      <c r="C175" s="222"/>
      <c r="D175" s="223">
        <v>5.34725816E8</v>
      </c>
      <c r="E175" s="222"/>
      <c r="F175" s="223" t="s">
        <v>752</v>
      </c>
      <c r="G175" s="224"/>
      <c r="H175" s="222"/>
      <c r="I175" s="232">
        <v>825.0</v>
      </c>
      <c r="J175" s="233">
        <v>0.88</v>
      </c>
      <c r="K175" s="318">
        <v>726.0</v>
      </c>
      <c r="L175" s="199"/>
      <c r="M175" s="235">
        <v>45974.0</v>
      </c>
      <c r="N175" s="222"/>
      <c r="O175" s="227">
        <v>5.34725816E8</v>
      </c>
      <c r="P175" s="222"/>
      <c r="Q175" s="227" t="s">
        <v>752</v>
      </c>
      <c r="R175" s="224"/>
      <c r="S175" s="222"/>
      <c r="T175" s="228">
        <v>569.0</v>
      </c>
      <c r="U175" s="228">
        <v>0.65</v>
      </c>
      <c r="V175" s="237">
        <v>369.85</v>
      </c>
      <c r="W175" s="199"/>
    </row>
    <row r="176">
      <c r="A176" s="283"/>
      <c r="B176" s="317">
        <v>45975.0</v>
      </c>
      <c r="C176" s="222"/>
      <c r="D176" s="223">
        <v>9386467.0</v>
      </c>
      <c r="E176" s="222"/>
      <c r="F176" s="223" t="s">
        <v>753</v>
      </c>
      <c r="G176" s="224"/>
      <c r="H176" s="222"/>
      <c r="I176" s="232">
        <v>4245.0</v>
      </c>
      <c r="J176" s="233">
        <v>0.88</v>
      </c>
      <c r="K176" s="318">
        <v>3735.6</v>
      </c>
      <c r="L176" s="199"/>
      <c r="M176" s="235">
        <v>45975.0</v>
      </c>
      <c r="N176" s="222"/>
      <c r="O176" s="227">
        <v>9386467.0</v>
      </c>
      <c r="P176" s="222"/>
      <c r="Q176" s="227" t="s">
        <v>753</v>
      </c>
      <c r="R176" s="224"/>
      <c r="S176" s="222"/>
      <c r="T176" s="228">
        <v>1996.0</v>
      </c>
      <c r="U176" s="228">
        <v>0.65</v>
      </c>
      <c r="V176" s="237">
        <v>1297.4</v>
      </c>
      <c r="W176" s="199"/>
    </row>
    <row r="177">
      <c r="A177" s="283"/>
      <c r="B177" s="319"/>
      <c r="C177" s="222"/>
      <c r="D177" s="240"/>
      <c r="E177" s="222"/>
      <c r="F177" s="240"/>
      <c r="G177" s="224"/>
      <c r="H177" s="222"/>
      <c r="I177" s="241"/>
      <c r="J177" s="233">
        <v>0.88</v>
      </c>
      <c r="K177" s="318">
        <v>0.0</v>
      </c>
      <c r="L177" s="199"/>
      <c r="M177" s="243"/>
      <c r="N177" s="222"/>
      <c r="O177" s="243"/>
      <c r="P177" s="222"/>
      <c r="Q177" s="243"/>
      <c r="R177" s="224"/>
      <c r="S177" s="222"/>
      <c r="T177" s="244"/>
      <c r="U177" s="228">
        <v>0.65</v>
      </c>
      <c r="V177" s="237">
        <v>0.0</v>
      </c>
      <c r="W177" s="199"/>
    </row>
    <row r="178">
      <c r="A178" s="283"/>
      <c r="B178" s="319"/>
      <c r="C178" s="222"/>
      <c r="D178" s="240"/>
      <c r="E178" s="222"/>
      <c r="F178" s="240"/>
      <c r="G178" s="224"/>
      <c r="H178" s="222"/>
      <c r="I178" s="241"/>
      <c r="J178" s="233">
        <v>0.88</v>
      </c>
      <c r="K178" s="318">
        <v>0.0</v>
      </c>
      <c r="L178" s="199"/>
      <c r="M178" s="243"/>
      <c r="N178" s="222"/>
      <c r="O178" s="243"/>
      <c r="P178" s="222"/>
      <c r="Q178" s="243"/>
      <c r="R178" s="224"/>
      <c r="S178" s="222"/>
      <c r="T178" s="244"/>
      <c r="U178" s="228">
        <v>0.65</v>
      </c>
      <c r="V178" s="237">
        <v>0.0</v>
      </c>
      <c r="W178" s="199"/>
    </row>
    <row r="179">
      <c r="A179" s="283"/>
      <c r="B179" s="322" t="s">
        <v>711</v>
      </c>
      <c r="C179" s="224"/>
      <c r="D179" s="224"/>
      <c r="E179" s="224"/>
      <c r="F179" s="224"/>
      <c r="G179" s="224"/>
      <c r="H179" s="222"/>
      <c r="I179" s="291">
        <v>6619.0</v>
      </c>
      <c r="J179" s="241"/>
      <c r="K179" s="323">
        <v>5824.72</v>
      </c>
      <c r="L179" s="199"/>
      <c r="M179" s="243"/>
      <c r="N179" s="222"/>
      <c r="O179" s="243"/>
      <c r="P179" s="222"/>
      <c r="Q179" s="243"/>
      <c r="R179" s="224"/>
      <c r="S179" s="222"/>
      <c r="T179" s="290"/>
      <c r="U179" s="290"/>
      <c r="V179" s="244"/>
      <c r="W179" s="199"/>
    </row>
    <row r="180">
      <c r="A180" s="283"/>
      <c r="B180" s="324"/>
      <c r="C180" s="248"/>
      <c r="D180" s="248"/>
      <c r="E180" s="248"/>
      <c r="F180" s="248"/>
      <c r="G180" s="248"/>
      <c r="H180" s="248"/>
      <c r="I180" s="248"/>
      <c r="J180" s="248"/>
      <c r="K180" s="325"/>
      <c r="L180" s="199"/>
      <c r="M180" s="246" t="s">
        <v>711</v>
      </c>
      <c r="N180" s="224"/>
      <c r="O180" s="224"/>
      <c r="P180" s="224"/>
      <c r="Q180" s="224"/>
      <c r="R180" s="224"/>
      <c r="S180" s="222"/>
      <c r="T180" s="228">
        <v>3694.0</v>
      </c>
      <c r="U180" s="244"/>
      <c r="V180" s="237">
        <v>2401.1</v>
      </c>
      <c r="W180" s="199"/>
    </row>
    <row r="181">
      <c r="A181" s="283"/>
      <c r="B181" s="326" t="s">
        <v>712</v>
      </c>
      <c r="C181" s="222"/>
      <c r="D181" s="253"/>
      <c r="E181" s="222"/>
      <c r="F181" s="248"/>
      <c r="G181" s="248"/>
      <c r="H181" s="248"/>
      <c r="I181" s="248"/>
      <c r="J181" s="248"/>
      <c r="K181" s="325"/>
      <c r="L181" s="199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  <c r="W181" s="199"/>
    </row>
    <row r="182">
      <c r="A182" s="283"/>
      <c r="B182" s="327"/>
      <c r="C182" s="222"/>
      <c r="D182" s="253"/>
      <c r="E182" s="222"/>
      <c r="F182" s="248"/>
      <c r="G182" s="248"/>
      <c r="H182" s="248"/>
      <c r="I182" s="248"/>
      <c r="J182" s="248"/>
      <c r="K182" s="325"/>
      <c r="L182" s="199"/>
      <c r="M182" s="254" t="s">
        <v>712</v>
      </c>
      <c r="N182" s="222"/>
      <c r="O182" s="255"/>
      <c r="P182" s="222"/>
      <c r="Q182" s="251"/>
      <c r="R182" s="251"/>
      <c r="S182" s="251"/>
      <c r="T182" s="251"/>
      <c r="U182" s="251"/>
      <c r="V182" s="251"/>
      <c r="W182" s="199"/>
    </row>
    <row r="183">
      <c r="A183" s="283"/>
      <c r="B183" s="327"/>
      <c r="C183" s="222"/>
      <c r="D183" s="253"/>
      <c r="E183" s="222"/>
      <c r="F183" s="248"/>
      <c r="G183" s="248"/>
      <c r="H183" s="260"/>
      <c r="I183" s="260"/>
      <c r="J183" s="260"/>
      <c r="K183" s="348"/>
      <c r="L183" s="199"/>
      <c r="M183" s="255"/>
      <c r="N183" s="222"/>
      <c r="O183" s="255"/>
      <c r="P183" s="222"/>
      <c r="Q183" s="251"/>
      <c r="R183" s="251"/>
      <c r="S183" s="251"/>
      <c r="T183" s="251"/>
      <c r="U183" s="251"/>
      <c r="V183" s="251"/>
      <c r="W183" s="199"/>
    </row>
    <row r="184">
      <c r="A184" s="283"/>
      <c r="B184" s="328" t="s">
        <v>714</v>
      </c>
      <c r="C184" s="222"/>
      <c r="D184" s="257">
        <v>0.0</v>
      </c>
      <c r="E184" s="222"/>
      <c r="F184" s="248"/>
      <c r="G184" s="248"/>
      <c r="H184" s="260"/>
      <c r="I184" s="260"/>
      <c r="J184" s="260"/>
      <c r="K184" s="348"/>
      <c r="L184" s="199"/>
      <c r="M184" s="255"/>
      <c r="N184" s="222"/>
      <c r="O184" s="255"/>
      <c r="P184" s="222"/>
      <c r="Q184" s="251"/>
      <c r="R184" s="251"/>
      <c r="S184" s="251"/>
      <c r="T184" s="251"/>
      <c r="U184" s="251"/>
      <c r="V184" s="251"/>
      <c r="W184" s="199"/>
    </row>
    <row r="185">
      <c r="A185" s="283"/>
      <c r="B185" s="329"/>
      <c r="C185" s="224"/>
      <c r="D185" s="224"/>
      <c r="E185" s="222"/>
      <c r="F185" s="248"/>
      <c r="G185" s="248"/>
      <c r="H185" s="260"/>
      <c r="I185" s="260"/>
      <c r="J185" s="260"/>
      <c r="K185" s="348"/>
      <c r="L185" s="199"/>
      <c r="M185" s="255"/>
      <c r="N185" s="222"/>
      <c r="O185" s="255"/>
      <c r="P185" s="222"/>
      <c r="Q185" s="251"/>
      <c r="R185" s="251"/>
      <c r="S185" s="251"/>
      <c r="T185" s="251"/>
      <c r="U185" s="251"/>
      <c r="V185" s="251"/>
      <c r="W185" s="199"/>
    </row>
    <row r="186">
      <c r="A186" s="283"/>
      <c r="B186" s="330" t="s">
        <v>715</v>
      </c>
      <c r="C186" s="222"/>
      <c r="D186" s="265"/>
      <c r="E186" s="222"/>
      <c r="F186" s="248"/>
      <c r="G186" s="248"/>
      <c r="H186" s="260"/>
      <c r="I186" s="260"/>
      <c r="J186" s="260"/>
      <c r="K186" s="348"/>
      <c r="L186" s="199"/>
      <c r="M186" s="255"/>
      <c r="N186" s="222"/>
      <c r="O186" s="255"/>
      <c r="P186" s="222"/>
      <c r="Q186" s="251"/>
      <c r="R186" s="251"/>
      <c r="S186" s="251"/>
      <c r="T186" s="251"/>
      <c r="U186" s="251"/>
      <c r="V186" s="251"/>
      <c r="W186" s="199"/>
    </row>
    <row r="187">
      <c r="A187" s="283"/>
      <c r="B187" s="331" t="s">
        <v>716</v>
      </c>
      <c r="C187" s="222"/>
      <c r="D187" s="267">
        <v>100.0</v>
      </c>
      <c r="E187" s="222"/>
      <c r="F187" s="248"/>
      <c r="G187" s="248"/>
      <c r="H187" s="260"/>
      <c r="I187" s="260"/>
      <c r="J187" s="260"/>
      <c r="K187" s="348"/>
      <c r="L187" s="199"/>
      <c r="M187" s="255"/>
      <c r="N187" s="222"/>
      <c r="O187" s="255"/>
      <c r="P187" s="222"/>
      <c r="Q187" s="251"/>
      <c r="R187" s="251"/>
      <c r="S187" s="251"/>
      <c r="T187" s="251"/>
      <c r="U187" s="251"/>
      <c r="V187" s="251"/>
      <c r="W187" s="199"/>
    </row>
    <row r="188">
      <c r="A188" s="283"/>
      <c r="B188" s="331" t="s">
        <v>717</v>
      </c>
      <c r="C188" s="222"/>
      <c r="D188" s="267">
        <v>400.0</v>
      </c>
      <c r="E188" s="222"/>
      <c r="F188" s="248"/>
      <c r="G188" s="248"/>
      <c r="H188" s="260"/>
      <c r="I188" s="260"/>
      <c r="J188" s="260"/>
      <c r="K188" s="348"/>
      <c r="L188" s="199"/>
      <c r="M188" s="268" t="s">
        <v>714</v>
      </c>
      <c r="N188" s="222"/>
      <c r="O188" s="269">
        <v>0.0</v>
      </c>
      <c r="P188" s="222"/>
      <c r="Q188" s="251"/>
      <c r="R188" s="251"/>
      <c r="S188" s="251"/>
      <c r="T188" s="251"/>
      <c r="U188" s="251"/>
      <c r="V188" s="251"/>
      <c r="W188" s="199"/>
    </row>
    <row r="189">
      <c r="A189" s="283"/>
      <c r="B189" s="331" t="s">
        <v>718</v>
      </c>
      <c r="C189" s="222"/>
      <c r="D189" s="267">
        <v>200.0</v>
      </c>
      <c r="E189" s="222"/>
      <c r="F189" s="248"/>
      <c r="G189" s="248"/>
      <c r="H189" s="260"/>
      <c r="I189" s="260"/>
      <c r="J189" s="260"/>
      <c r="K189" s="348"/>
      <c r="L189" s="199"/>
      <c r="M189" s="251"/>
      <c r="N189" s="251"/>
      <c r="O189" s="270"/>
      <c r="Q189" s="251"/>
      <c r="R189" s="251"/>
      <c r="S189" s="251"/>
      <c r="T189" s="251"/>
      <c r="U189" s="251"/>
      <c r="V189" s="251"/>
      <c r="W189" s="199"/>
    </row>
    <row r="190">
      <c r="A190" s="283"/>
      <c r="B190" s="331" t="s">
        <v>656</v>
      </c>
      <c r="C190" s="222"/>
      <c r="D190" s="267">
        <v>3287.69</v>
      </c>
      <c r="E190" s="222"/>
      <c r="F190" s="248"/>
      <c r="G190" s="248"/>
      <c r="H190" s="260"/>
      <c r="I190" s="260"/>
      <c r="J190" s="260"/>
      <c r="K190" s="348"/>
      <c r="L190" s="199"/>
      <c r="M190" s="271" t="s">
        <v>715</v>
      </c>
      <c r="N190" s="222"/>
      <c r="O190" s="272"/>
      <c r="P190" s="222"/>
      <c r="Q190" s="251"/>
      <c r="R190" s="251"/>
      <c r="S190" s="251"/>
      <c r="T190" s="251"/>
      <c r="U190" s="251"/>
      <c r="V190" s="251"/>
      <c r="W190" s="199"/>
    </row>
    <row r="191">
      <c r="A191" s="283"/>
      <c r="B191" s="343" t="s">
        <v>754</v>
      </c>
      <c r="C191" s="211"/>
      <c r="D191" s="302">
        <v>300.0</v>
      </c>
      <c r="E191" s="211"/>
      <c r="F191" s="248"/>
      <c r="G191" s="248"/>
      <c r="H191" s="276" t="s">
        <v>720</v>
      </c>
      <c r="I191" s="211"/>
      <c r="J191" s="277">
        <v>1537.03</v>
      </c>
      <c r="K191" s="314"/>
      <c r="L191" s="199"/>
      <c r="M191" s="298" t="s">
        <v>754</v>
      </c>
      <c r="N191" s="211"/>
      <c r="O191" s="299">
        <v>300.0</v>
      </c>
      <c r="P191" s="211"/>
      <c r="Q191" s="251"/>
      <c r="R191" s="251"/>
      <c r="S191" s="273" t="s">
        <v>719</v>
      </c>
      <c r="T191" s="211"/>
      <c r="U191" s="274">
        <v>2101.1</v>
      </c>
      <c r="V191" s="211"/>
      <c r="W191" s="199"/>
    </row>
    <row r="192">
      <c r="A192" s="283"/>
      <c r="B192" s="344"/>
      <c r="C192" s="64"/>
      <c r="D192" s="215"/>
      <c r="E192" s="64"/>
      <c r="F192" s="248"/>
      <c r="G192" s="248"/>
      <c r="H192" s="278"/>
      <c r="I192" s="56"/>
      <c r="J192" s="278"/>
      <c r="K192" s="333"/>
      <c r="L192" s="199"/>
      <c r="M192" s="215"/>
      <c r="N192" s="64"/>
      <c r="O192" s="215"/>
      <c r="P192" s="64"/>
      <c r="Q192" s="251"/>
      <c r="R192" s="251"/>
      <c r="S192" s="278"/>
      <c r="T192" s="56"/>
      <c r="U192" s="278"/>
      <c r="V192" s="56"/>
      <c r="W192" s="199"/>
    </row>
    <row r="193">
      <c r="A193" s="283"/>
      <c r="B193" s="334"/>
      <c r="C193" s="222"/>
      <c r="D193" s="265"/>
      <c r="E193" s="222"/>
      <c r="F193" s="248"/>
      <c r="G193" s="248"/>
      <c r="H193" s="215"/>
      <c r="I193" s="64"/>
      <c r="J193" s="215"/>
      <c r="K193" s="313"/>
      <c r="L193" s="199"/>
      <c r="M193" s="272"/>
      <c r="N193" s="222"/>
      <c r="O193" s="272"/>
      <c r="P193" s="222"/>
      <c r="Q193" s="251"/>
      <c r="R193" s="251"/>
      <c r="S193" s="215"/>
      <c r="T193" s="64"/>
      <c r="U193" s="215"/>
      <c r="V193" s="64"/>
      <c r="W193" s="199"/>
    </row>
    <row r="194">
      <c r="A194" s="283"/>
      <c r="B194" s="334"/>
      <c r="C194" s="222"/>
      <c r="D194" s="265"/>
      <c r="E194" s="222"/>
      <c r="F194" s="248"/>
      <c r="G194" s="248"/>
      <c r="H194" s="248"/>
      <c r="I194" s="248"/>
      <c r="J194" s="248"/>
      <c r="K194" s="325"/>
      <c r="L194" s="199"/>
      <c r="M194" s="272"/>
      <c r="N194" s="222"/>
      <c r="O194" s="272"/>
      <c r="P194" s="222"/>
      <c r="Q194" s="251"/>
      <c r="R194" s="251"/>
      <c r="S194" s="251"/>
      <c r="T194" s="251"/>
      <c r="U194" s="251"/>
      <c r="V194" s="251"/>
      <c r="W194" s="199"/>
    </row>
    <row r="195">
      <c r="A195" s="283"/>
      <c r="B195" s="334"/>
      <c r="C195" s="222"/>
      <c r="D195" s="265"/>
      <c r="E195" s="222"/>
      <c r="F195" s="248"/>
      <c r="G195" s="248"/>
      <c r="H195" s="248"/>
      <c r="I195" s="248"/>
      <c r="J195" s="248"/>
      <c r="K195" s="325"/>
      <c r="L195" s="199"/>
      <c r="M195" s="272"/>
      <c r="N195" s="222"/>
      <c r="O195" s="272"/>
      <c r="P195" s="222"/>
      <c r="Q195" s="251"/>
      <c r="R195" s="251"/>
      <c r="S195" s="251"/>
      <c r="T195" s="251"/>
      <c r="U195" s="251"/>
      <c r="V195" s="251"/>
      <c r="W195" s="199"/>
    </row>
    <row r="196">
      <c r="A196" s="283"/>
      <c r="B196" s="331" t="s">
        <v>721</v>
      </c>
      <c r="C196" s="222"/>
      <c r="D196" s="267">
        <v>4287.69</v>
      </c>
      <c r="E196" s="222"/>
      <c r="F196" s="248"/>
      <c r="G196" s="248"/>
      <c r="H196" s="248"/>
      <c r="I196" s="248"/>
      <c r="J196" s="248"/>
      <c r="K196" s="325"/>
      <c r="L196" s="199"/>
      <c r="M196" s="280" t="s">
        <v>721</v>
      </c>
      <c r="N196" s="222"/>
      <c r="O196" s="281">
        <v>300.0</v>
      </c>
      <c r="P196" s="222"/>
      <c r="Q196" s="251"/>
      <c r="R196" s="251"/>
      <c r="S196" s="251"/>
      <c r="T196" s="251"/>
      <c r="U196" s="251"/>
      <c r="V196" s="251"/>
      <c r="W196" s="199"/>
    </row>
    <row r="197">
      <c r="A197" s="283"/>
      <c r="B197" s="345"/>
      <c r="C197" s="346"/>
      <c r="D197" s="346"/>
      <c r="E197" s="346"/>
      <c r="F197" s="346"/>
      <c r="G197" s="346"/>
      <c r="H197" s="346"/>
      <c r="I197" s="346"/>
      <c r="J197" s="346"/>
      <c r="K197" s="347"/>
      <c r="L197" s="199"/>
      <c r="M197" s="282"/>
      <c r="N197" s="282"/>
      <c r="O197" s="282"/>
      <c r="P197" s="282"/>
      <c r="Q197" s="282"/>
      <c r="R197" s="282"/>
      <c r="S197" s="282"/>
      <c r="T197" s="282"/>
      <c r="U197" s="282"/>
      <c r="V197" s="282"/>
      <c r="W197" s="199"/>
    </row>
    <row r="198">
      <c r="A198" s="283"/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199"/>
      <c r="M198" s="199"/>
      <c r="N198" s="199"/>
      <c r="O198" s="199"/>
      <c r="P198" s="199"/>
      <c r="Q198" s="199"/>
      <c r="R198" s="199"/>
      <c r="S198" s="199"/>
      <c r="T198" s="199"/>
      <c r="U198" s="199"/>
      <c r="V198" s="199"/>
      <c r="W198" s="199"/>
    </row>
    <row r="199">
      <c r="A199" s="283"/>
      <c r="B199" s="306"/>
      <c r="C199" s="307"/>
      <c r="D199" s="307"/>
      <c r="E199" s="307"/>
      <c r="F199" s="307"/>
      <c r="G199" s="308" t="s">
        <v>700</v>
      </c>
      <c r="H199" s="309"/>
      <c r="I199" s="310" t="s">
        <v>701</v>
      </c>
      <c r="J199" s="307"/>
      <c r="K199" s="311"/>
      <c r="L199" s="199"/>
      <c r="M199" s="287"/>
      <c r="R199" s="210" t="s">
        <v>700</v>
      </c>
      <c r="S199" s="211"/>
      <c r="T199" s="212" t="s">
        <v>701</v>
      </c>
      <c r="U199" s="213"/>
      <c r="V199" s="211"/>
      <c r="W199" s="199"/>
    </row>
    <row r="200">
      <c r="A200" s="283"/>
      <c r="B200" s="312"/>
      <c r="G200" s="215"/>
      <c r="H200" s="64"/>
      <c r="I200" s="215"/>
      <c r="J200" s="216"/>
      <c r="K200" s="313"/>
      <c r="L200" s="199"/>
      <c r="R200" s="215"/>
      <c r="S200" s="64"/>
      <c r="T200" s="215"/>
      <c r="U200" s="216"/>
      <c r="V200" s="64"/>
      <c r="W200" s="199"/>
    </row>
    <row r="201">
      <c r="A201" s="283"/>
      <c r="B201" s="312"/>
      <c r="G201" s="218" t="s">
        <v>702</v>
      </c>
      <c r="H201" s="211"/>
      <c r="I201" s="219" t="s">
        <v>673</v>
      </c>
      <c r="J201" s="213"/>
      <c r="K201" s="314"/>
      <c r="L201" s="199"/>
      <c r="R201" s="210" t="s">
        <v>351</v>
      </c>
      <c r="S201" s="211"/>
      <c r="T201" s="212" t="s">
        <v>392</v>
      </c>
      <c r="U201" s="213"/>
      <c r="V201" s="211"/>
      <c r="W201" s="199"/>
    </row>
    <row r="202">
      <c r="A202" s="283"/>
      <c r="B202" s="312"/>
      <c r="G202" s="215"/>
      <c r="H202" s="64"/>
      <c r="I202" s="215"/>
      <c r="J202" s="216"/>
      <c r="K202" s="313"/>
      <c r="L202" s="199"/>
      <c r="R202" s="215"/>
      <c r="S202" s="64"/>
      <c r="T202" s="215"/>
      <c r="U202" s="216"/>
      <c r="V202" s="64"/>
      <c r="W202" s="199"/>
    </row>
    <row r="203">
      <c r="A203" s="283"/>
      <c r="B203" s="312"/>
      <c r="G203" s="218" t="s">
        <v>703</v>
      </c>
      <c r="H203" s="211"/>
      <c r="I203" s="219">
        <v>9617.0</v>
      </c>
      <c r="J203" s="213"/>
      <c r="K203" s="314"/>
      <c r="L203" s="199"/>
      <c r="R203" s="210" t="s">
        <v>703</v>
      </c>
      <c r="S203" s="211"/>
      <c r="T203" s="212">
        <v>9617.0</v>
      </c>
      <c r="U203" s="213"/>
      <c r="V203" s="211"/>
      <c r="W203" s="199"/>
    </row>
    <row r="204">
      <c r="A204" s="283"/>
      <c r="B204" s="312"/>
      <c r="G204" s="215"/>
      <c r="H204" s="64"/>
      <c r="I204" s="215"/>
      <c r="J204" s="216"/>
      <c r="K204" s="313"/>
      <c r="L204" s="199"/>
      <c r="R204" s="215"/>
      <c r="S204" s="64"/>
      <c r="T204" s="215"/>
      <c r="U204" s="216"/>
      <c r="V204" s="64"/>
      <c r="W204" s="199"/>
    </row>
    <row r="205">
      <c r="A205" s="283"/>
      <c r="B205" s="315" t="s">
        <v>704</v>
      </c>
      <c r="C205" s="222"/>
      <c r="D205" s="223" t="s">
        <v>5</v>
      </c>
      <c r="E205" s="222"/>
      <c r="F205" s="223" t="s">
        <v>705</v>
      </c>
      <c r="G205" s="224"/>
      <c r="H205" s="222"/>
      <c r="I205" s="225" t="s">
        <v>8</v>
      </c>
      <c r="J205" s="225" t="s">
        <v>706</v>
      </c>
      <c r="K205" s="316" t="s">
        <v>707</v>
      </c>
      <c r="L205" s="199"/>
      <c r="M205" s="227" t="s">
        <v>704</v>
      </c>
      <c r="N205" s="222"/>
      <c r="O205" s="227" t="s">
        <v>5</v>
      </c>
      <c r="P205" s="222"/>
      <c r="Q205" s="227" t="s">
        <v>705</v>
      </c>
      <c r="R205" s="224"/>
      <c r="S205" s="222"/>
      <c r="T205" s="228" t="s">
        <v>591</v>
      </c>
      <c r="U205" s="228" t="s">
        <v>708</v>
      </c>
      <c r="V205" s="228" t="s">
        <v>707</v>
      </c>
      <c r="W205" s="199"/>
    </row>
    <row r="206">
      <c r="A206" s="283"/>
      <c r="B206" s="317">
        <v>45972.0</v>
      </c>
      <c r="C206" s="222"/>
      <c r="D206" s="223">
        <v>3003235.0</v>
      </c>
      <c r="E206" s="222"/>
      <c r="F206" s="223" t="s">
        <v>755</v>
      </c>
      <c r="G206" s="224"/>
      <c r="H206" s="222"/>
      <c r="I206" s="232">
        <v>5750.0</v>
      </c>
      <c r="J206" s="233">
        <v>0.88</v>
      </c>
      <c r="K206" s="318">
        <v>5060.0</v>
      </c>
      <c r="L206" s="199"/>
      <c r="M206" s="235">
        <v>45972.0</v>
      </c>
      <c r="N206" s="222"/>
      <c r="O206" s="227">
        <v>3003235.0</v>
      </c>
      <c r="P206" s="222"/>
      <c r="Q206" s="227" t="s">
        <v>755</v>
      </c>
      <c r="R206" s="224"/>
      <c r="S206" s="222"/>
      <c r="T206" s="228">
        <v>2777.0</v>
      </c>
      <c r="U206" s="228">
        <v>0.65</v>
      </c>
      <c r="V206" s="237">
        <v>1805.05</v>
      </c>
      <c r="W206" s="199"/>
    </row>
    <row r="207">
      <c r="A207" s="283"/>
      <c r="B207" s="319"/>
      <c r="C207" s="222"/>
      <c r="D207" s="240"/>
      <c r="E207" s="222"/>
      <c r="F207" s="240"/>
      <c r="G207" s="224"/>
      <c r="H207" s="222"/>
      <c r="I207" s="241"/>
      <c r="J207" s="233">
        <v>0.88</v>
      </c>
      <c r="K207" s="318">
        <v>0.0</v>
      </c>
      <c r="L207" s="199"/>
      <c r="M207" s="243"/>
      <c r="N207" s="222"/>
      <c r="O207" s="243"/>
      <c r="P207" s="222"/>
      <c r="Q207" s="243"/>
      <c r="R207" s="224"/>
      <c r="S207" s="222"/>
      <c r="T207" s="244"/>
      <c r="U207" s="228">
        <v>0.65</v>
      </c>
      <c r="V207" s="237">
        <v>0.0</v>
      </c>
      <c r="W207" s="199"/>
    </row>
    <row r="208">
      <c r="A208" s="283"/>
      <c r="B208" s="319"/>
      <c r="C208" s="222"/>
      <c r="D208" s="240"/>
      <c r="E208" s="222"/>
      <c r="F208" s="240"/>
      <c r="G208" s="224"/>
      <c r="H208" s="222"/>
      <c r="I208" s="241"/>
      <c r="J208" s="233">
        <v>0.88</v>
      </c>
      <c r="K208" s="318">
        <v>0.0</v>
      </c>
      <c r="L208" s="199"/>
      <c r="M208" s="243"/>
      <c r="N208" s="222"/>
      <c r="O208" s="243"/>
      <c r="P208" s="222"/>
      <c r="Q208" s="243"/>
      <c r="R208" s="224"/>
      <c r="S208" s="222"/>
      <c r="T208" s="244"/>
      <c r="U208" s="228">
        <v>0.65</v>
      </c>
      <c r="V208" s="237">
        <v>0.0</v>
      </c>
      <c r="W208" s="199"/>
    </row>
    <row r="209">
      <c r="A209" s="283"/>
      <c r="B209" s="319"/>
      <c r="C209" s="222"/>
      <c r="D209" s="240"/>
      <c r="E209" s="222"/>
      <c r="F209" s="240"/>
      <c r="G209" s="224"/>
      <c r="H209" s="222"/>
      <c r="I209" s="241"/>
      <c r="J209" s="233">
        <v>0.88</v>
      </c>
      <c r="K209" s="318">
        <v>0.0</v>
      </c>
      <c r="L209" s="199"/>
      <c r="M209" s="243"/>
      <c r="N209" s="222"/>
      <c r="O209" s="243"/>
      <c r="P209" s="222"/>
      <c r="Q209" s="243"/>
      <c r="R209" s="224"/>
      <c r="S209" s="222"/>
      <c r="T209" s="244"/>
      <c r="U209" s="228">
        <v>0.65</v>
      </c>
      <c r="V209" s="237">
        <v>0.0</v>
      </c>
      <c r="W209" s="199"/>
    </row>
    <row r="210">
      <c r="A210" s="283"/>
      <c r="B210" s="319"/>
      <c r="C210" s="222"/>
      <c r="D210" s="240"/>
      <c r="E210" s="222"/>
      <c r="F210" s="240"/>
      <c r="G210" s="224"/>
      <c r="H210" s="222"/>
      <c r="I210" s="241"/>
      <c r="J210" s="233">
        <v>0.88</v>
      </c>
      <c r="K210" s="318">
        <v>0.0</v>
      </c>
      <c r="L210" s="199"/>
      <c r="M210" s="243"/>
      <c r="N210" s="222"/>
      <c r="O210" s="243"/>
      <c r="P210" s="222"/>
      <c r="Q210" s="243"/>
      <c r="R210" s="224"/>
      <c r="S210" s="222"/>
      <c r="T210" s="244"/>
      <c r="U210" s="228">
        <v>0.65</v>
      </c>
      <c r="V210" s="237">
        <v>0.0</v>
      </c>
      <c r="W210" s="199"/>
    </row>
    <row r="211">
      <c r="A211" s="283"/>
      <c r="B211" s="322" t="s">
        <v>711</v>
      </c>
      <c r="C211" s="224"/>
      <c r="D211" s="224"/>
      <c r="E211" s="224"/>
      <c r="F211" s="224"/>
      <c r="G211" s="224"/>
      <c r="H211" s="222"/>
      <c r="I211" s="291">
        <v>5750.0</v>
      </c>
      <c r="J211" s="241"/>
      <c r="K211" s="323">
        <v>5060.0</v>
      </c>
      <c r="L211" s="199"/>
      <c r="M211" s="246" t="s">
        <v>711</v>
      </c>
      <c r="N211" s="224"/>
      <c r="O211" s="224"/>
      <c r="P211" s="224"/>
      <c r="Q211" s="224"/>
      <c r="R211" s="224"/>
      <c r="S211" s="222"/>
      <c r="T211" s="228">
        <v>2777.0</v>
      </c>
      <c r="U211" s="244"/>
      <c r="V211" s="237">
        <v>1805.05</v>
      </c>
      <c r="W211" s="199"/>
    </row>
    <row r="212">
      <c r="A212" s="283"/>
      <c r="B212" s="324"/>
      <c r="C212" s="248"/>
      <c r="D212" s="248"/>
      <c r="E212" s="248"/>
      <c r="F212" s="248"/>
      <c r="G212" s="248"/>
      <c r="H212" s="248"/>
      <c r="I212" s="248"/>
      <c r="J212" s="248"/>
      <c r="K212" s="325"/>
      <c r="L212" s="199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  <c r="W212" s="199"/>
    </row>
    <row r="213">
      <c r="A213" s="283"/>
      <c r="B213" s="326" t="s">
        <v>712</v>
      </c>
      <c r="C213" s="222"/>
      <c r="D213" s="253"/>
      <c r="E213" s="222"/>
      <c r="F213" s="248"/>
      <c r="G213" s="248"/>
      <c r="H213" s="248"/>
      <c r="I213" s="248"/>
      <c r="J213" s="248"/>
      <c r="K213" s="325"/>
      <c r="L213" s="199"/>
      <c r="M213" s="254" t="s">
        <v>712</v>
      </c>
      <c r="N213" s="222"/>
      <c r="O213" s="255"/>
      <c r="P213" s="222"/>
      <c r="Q213" s="251"/>
      <c r="R213" s="251"/>
      <c r="S213" s="251"/>
      <c r="T213" s="251"/>
      <c r="U213" s="251"/>
      <c r="V213" s="251"/>
      <c r="W213" s="199"/>
    </row>
    <row r="214">
      <c r="A214" s="283"/>
      <c r="B214" s="327"/>
      <c r="C214" s="222"/>
      <c r="D214" s="253"/>
      <c r="E214" s="222"/>
      <c r="F214" s="248"/>
      <c r="G214" s="248"/>
      <c r="H214" s="248"/>
      <c r="I214" s="248"/>
      <c r="J214" s="248"/>
      <c r="K214" s="325"/>
      <c r="L214" s="199"/>
      <c r="M214" s="255"/>
      <c r="N214" s="222"/>
      <c r="O214" s="255"/>
      <c r="P214" s="222"/>
      <c r="Q214" s="251"/>
      <c r="R214" s="251"/>
      <c r="S214" s="282"/>
      <c r="T214" s="282"/>
      <c r="U214" s="282"/>
      <c r="V214" s="282"/>
      <c r="W214" s="199"/>
    </row>
    <row r="215">
      <c r="A215" s="283"/>
      <c r="B215" s="327"/>
      <c r="C215" s="222"/>
      <c r="D215" s="253"/>
      <c r="E215" s="222"/>
      <c r="F215" s="248"/>
      <c r="G215" s="248"/>
      <c r="H215" s="260"/>
      <c r="I215" s="260"/>
      <c r="J215" s="260"/>
      <c r="K215" s="348"/>
      <c r="L215" s="199"/>
      <c r="M215" s="255"/>
      <c r="N215" s="222"/>
      <c r="O215" s="255"/>
      <c r="P215" s="222"/>
      <c r="Q215" s="251"/>
      <c r="R215" s="251"/>
      <c r="S215" s="282"/>
      <c r="T215" s="282"/>
      <c r="U215" s="282"/>
      <c r="V215" s="282"/>
      <c r="W215" s="199"/>
    </row>
    <row r="216">
      <c r="A216" s="283"/>
      <c r="B216" s="328" t="s">
        <v>714</v>
      </c>
      <c r="C216" s="222"/>
      <c r="D216" s="257">
        <v>0.0</v>
      </c>
      <c r="E216" s="222"/>
      <c r="F216" s="248"/>
      <c r="G216" s="248"/>
      <c r="H216" s="260"/>
      <c r="I216" s="260"/>
      <c r="J216" s="260"/>
      <c r="K216" s="348"/>
      <c r="L216" s="199"/>
      <c r="M216" s="255"/>
      <c r="N216" s="222"/>
      <c r="O216" s="255"/>
      <c r="P216" s="222"/>
      <c r="Q216" s="251"/>
      <c r="R216" s="251"/>
      <c r="S216" s="282"/>
      <c r="T216" s="282"/>
      <c r="U216" s="282"/>
      <c r="V216" s="282"/>
      <c r="W216" s="199"/>
    </row>
    <row r="217">
      <c r="A217" s="283"/>
      <c r="B217" s="329"/>
      <c r="C217" s="224"/>
      <c r="D217" s="224"/>
      <c r="E217" s="222"/>
      <c r="F217" s="248"/>
      <c r="G217" s="248"/>
      <c r="H217" s="260"/>
      <c r="I217" s="260"/>
      <c r="J217" s="260"/>
      <c r="K217" s="348"/>
      <c r="L217" s="199"/>
      <c r="M217" s="255"/>
      <c r="N217" s="222"/>
      <c r="O217" s="255"/>
      <c r="P217" s="222"/>
      <c r="Q217" s="251"/>
      <c r="R217" s="251"/>
      <c r="S217" s="282"/>
      <c r="T217" s="282"/>
      <c r="U217" s="282"/>
      <c r="V217" s="282"/>
      <c r="W217" s="199"/>
    </row>
    <row r="218">
      <c r="A218" s="283"/>
      <c r="B218" s="330" t="s">
        <v>715</v>
      </c>
      <c r="C218" s="222"/>
      <c r="D218" s="265"/>
      <c r="E218" s="222"/>
      <c r="F218" s="248"/>
      <c r="G218" s="248"/>
      <c r="H218" s="260"/>
      <c r="I218" s="260"/>
      <c r="J218" s="260"/>
      <c r="K218" s="348"/>
      <c r="L218" s="199"/>
      <c r="M218" s="255"/>
      <c r="N218" s="222"/>
      <c r="O218" s="255"/>
      <c r="P218" s="222"/>
      <c r="Q218" s="251"/>
      <c r="R218" s="251"/>
      <c r="S218" s="282"/>
      <c r="T218" s="282"/>
      <c r="U218" s="282"/>
      <c r="V218" s="282"/>
      <c r="W218" s="199"/>
    </row>
    <row r="219">
      <c r="A219" s="283"/>
      <c r="B219" s="331" t="s">
        <v>716</v>
      </c>
      <c r="C219" s="222"/>
      <c r="D219" s="267">
        <v>150.0</v>
      </c>
      <c r="E219" s="222"/>
      <c r="F219" s="248"/>
      <c r="G219" s="248"/>
      <c r="H219" s="260"/>
      <c r="I219" s="260"/>
      <c r="J219" s="260"/>
      <c r="K219" s="348"/>
      <c r="L219" s="199"/>
      <c r="M219" s="268" t="s">
        <v>714</v>
      </c>
      <c r="N219" s="222"/>
      <c r="O219" s="269">
        <v>0.0</v>
      </c>
      <c r="P219" s="222"/>
      <c r="Q219" s="251"/>
      <c r="R219" s="251"/>
      <c r="S219" s="282"/>
      <c r="T219" s="282"/>
      <c r="U219" s="282"/>
      <c r="V219" s="282"/>
      <c r="W219" s="199"/>
    </row>
    <row r="220">
      <c r="A220" s="283"/>
      <c r="B220" s="331" t="s">
        <v>717</v>
      </c>
      <c r="C220" s="222"/>
      <c r="D220" s="267">
        <v>400.0</v>
      </c>
      <c r="E220" s="222"/>
      <c r="F220" s="248"/>
      <c r="G220" s="248"/>
      <c r="H220" s="260"/>
      <c r="I220" s="260"/>
      <c r="J220" s="260"/>
      <c r="K220" s="348"/>
      <c r="L220" s="199"/>
      <c r="M220" s="251"/>
      <c r="N220" s="251"/>
      <c r="O220" s="270"/>
      <c r="Q220" s="251"/>
      <c r="R220" s="251"/>
      <c r="S220" s="282"/>
      <c r="T220" s="282"/>
      <c r="U220" s="282"/>
      <c r="V220" s="282"/>
      <c r="W220" s="199"/>
    </row>
    <row r="221">
      <c r="A221" s="283"/>
      <c r="B221" s="331" t="s">
        <v>718</v>
      </c>
      <c r="C221" s="222"/>
      <c r="D221" s="267">
        <v>200.0</v>
      </c>
      <c r="E221" s="222"/>
      <c r="F221" s="248"/>
      <c r="G221" s="248"/>
      <c r="H221" s="260"/>
      <c r="I221" s="260"/>
      <c r="J221" s="260"/>
      <c r="K221" s="348"/>
      <c r="L221" s="199"/>
      <c r="M221" s="271" t="s">
        <v>715</v>
      </c>
      <c r="N221" s="222"/>
      <c r="O221" s="272"/>
      <c r="P221" s="222"/>
      <c r="Q221" s="251"/>
      <c r="R221" s="251"/>
      <c r="S221" s="282"/>
      <c r="T221" s="282"/>
      <c r="U221" s="282"/>
      <c r="V221" s="282"/>
      <c r="W221" s="199"/>
    </row>
    <row r="222">
      <c r="A222" s="283"/>
      <c r="B222" s="331" t="s">
        <v>656</v>
      </c>
      <c r="C222" s="222"/>
      <c r="D222" s="267">
        <v>1788.26</v>
      </c>
      <c r="E222" s="222"/>
      <c r="F222" s="248"/>
      <c r="G222" s="248"/>
      <c r="H222" s="260"/>
      <c r="I222" s="260"/>
      <c r="J222" s="260"/>
      <c r="K222" s="348"/>
      <c r="L222" s="199"/>
      <c r="M222" s="272"/>
      <c r="N222" s="222"/>
      <c r="O222" s="272"/>
      <c r="P222" s="222"/>
      <c r="Q222" s="251"/>
      <c r="R222" s="251"/>
      <c r="S222" s="273" t="s">
        <v>719</v>
      </c>
      <c r="T222" s="211"/>
      <c r="U222" s="274">
        <v>1805.05</v>
      </c>
      <c r="V222" s="211"/>
      <c r="W222" s="199"/>
    </row>
    <row r="223">
      <c r="A223" s="283"/>
      <c r="B223" s="334"/>
      <c r="C223" s="222"/>
      <c r="D223" s="265"/>
      <c r="E223" s="222"/>
      <c r="F223" s="248"/>
      <c r="G223" s="248"/>
      <c r="H223" s="276" t="s">
        <v>720</v>
      </c>
      <c r="I223" s="211"/>
      <c r="J223" s="277">
        <v>2521.74</v>
      </c>
      <c r="K223" s="314"/>
      <c r="L223" s="199"/>
      <c r="M223" s="272"/>
      <c r="N223" s="222"/>
      <c r="O223" s="272"/>
      <c r="P223" s="222"/>
      <c r="Q223" s="251"/>
      <c r="R223" s="251"/>
      <c r="S223" s="278"/>
      <c r="T223" s="56"/>
      <c r="U223" s="278"/>
      <c r="V223" s="56"/>
      <c r="W223" s="199"/>
    </row>
    <row r="224">
      <c r="A224" s="283"/>
      <c r="B224" s="334"/>
      <c r="C224" s="222"/>
      <c r="D224" s="265"/>
      <c r="E224" s="222"/>
      <c r="F224" s="248"/>
      <c r="G224" s="248"/>
      <c r="H224" s="278"/>
      <c r="I224" s="56"/>
      <c r="J224" s="278"/>
      <c r="K224" s="333"/>
      <c r="L224" s="199"/>
      <c r="M224" s="272"/>
      <c r="N224" s="222"/>
      <c r="O224" s="272"/>
      <c r="P224" s="222"/>
      <c r="Q224" s="251"/>
      <c r="R224" s="251"/>
      <c r="S224" s="215"/>
      <c r="T224" s="64"/>
      <c r="U224" s="215"/>
      <c r="V224" s="64"/>
      <c r="W224" s="199"/>
    </row>
    <row r="225">
      <c r="A225" s="283"/>
      <c r="B225" s="334"/>
      <c r="C225" s="222"/>
      <c r="D225" s="265"/>
      <c r="E225" s="222"/>
      <c r="F225" s="248"/>
      <c r="G225" s="248"/>
      <c r="H225" s="215"/>
      <c r="I225" s="64"/>
      <c r="J225" s="215"/>
      <c r="K225" s="313"/>
      <c r="L225" s="199"/>
      <c r="M225" s="272"/>
      <c r="N225" s="222"/>
      <c r="O225" s="272"/>
      <c r="P225" s="222"/>
      <c r="Q225" s="251"/>
      <c r="R225" s="251"/>
      <c r="S225" s="251"/>
      <c r="T225" s="251"/>
      <c r="U225" s="251"/>
      <c r="V225" s="251"/>
      <c r="W225" s="199"/>
    </row>
    <row r="226">
      <c r="A226" s="283"/>
      <c r="B226" s="334"/>
      <c r="C226" s="222"/>
      <c r="D226" s="265"/>
      <c r="E226" s="222"/>
      <c r="F226" s="248"/>
      <c r="G226" s="248"/>
      <c r="H226" s="248"/>
      <c r="I226" s="248"/>
      <c r="J226" s="248"/>
      <c r="K226" s="325"/>
      <c r="L226" s="199"/>
      <c r="M226" s="272"/>
      <c r="N226" s="222"/>
      <c r="O226" s="272"/>
      <c r="P226" s="222"/>
      <c r="Q226" s="251"/>
      <c r="R226" s="251"/>
      <c r="S226" s="251"/>
      <c r="T226" s="251"/>
      <c r="U226" s="251"/>
      <c r="V226" s="251"/>
      <c r="W226" s="199"/>
    </row>
    <row r="227">
      <c r="A227" s="283"/>
      <c r="B227" s="334"/>
      <c r="C227" s="222"/>
      <c r="D227" s="265"/>
      <c r="E227" s="222"/>
      <c r="F227" s="248"/>
      <c r="G227" s="248"/>
      <c r="H227" s="248"/>
      <c r="I227" s="248"/>
      <c r="J227" s="248"/>
      <c r="K227" s="325"/>
      <c r="L227" s="199"/>
      <c r="M227" s="280" t="s">
        <v>721</v>
      </c>
      <c r="N227" s="222"/>
      <c r="O227" s="281">
        <v>0.0</v>
      </c>
      <c r="P227" s="222"/>
      <c r="Q227" s="251"/>
      <c r="R227" s="251"/>
      <c r="S227" s="251"/>
      <c r="T227" s="251"/>
      <c r="U227" s="251"/>
      <c r="V227" s="251"/>
      <c r="W227" s="199"/>
    </row>
    <row r="228">
      <c r="A228" s="283"/>
      <c r="B228" s="331" t="s">
        <v>721</v>
      </c>
      <c r="C228" s="222"/>
      <c r="D228" s="267">
        <v>2538.26</v>
      </c>
      <c r="E228" s="222"/>
      <c r="F228" s="248"/>
      <c r="G228" s="248"/>
      <c r="H228" s="248"/>
      <c r="I228" s="248"/>
      <c r="J228" s="248"/>
      <c r="K228" s="325"/>
      <c r="L228" s="199"/>
      <c r="M228" s="282"/>
      <c r="N228" s="282"/>
      <c r="O228" s="282"/>
      <c r="P228" s="282"/>
      <c r="Q228" s="282"/>
      <c r="R228" s="282"/>
      <c r="S228" s="282"/>
      <c r="T228" s="282"/>
      <c r="U228" s="282"/>
      <c r="V228" s="282"/>
      <c r="W228" s="199"/>
    </row>
    <row r="229">
      <c r="A229" s="283"/>
      <c r="B229" s="345"/>
      <c r="C229" s="346"/>
      <c r="D229" s="346"/>
      <c r="E229" s="346"/>
      <c r="F229" s="346"/>
      <c r="G229" s="346"/>
      <c r="H229" s="346"/>
      <c r="I229" s="346"/>
      <c r="J229" s="346"/>
      <c r="K229" s="347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</row>
    <row r="230">
      <c r="A230" s="283"/>
      <c r="B230" s="260"/>
      <c r="C230" s="260"/>
      <c r="D230" s="260"/>
      <c r="E230" s="260"/>
      <c r="F230" s="260"/>
      <c r="G230" s="260"/>
      <c r="H230" s="260"/>
      <c r="I230" s="260"/>
      <c r="J230" s="260"/>
      <c r="K230" s="260"/>
      <c r="L230" s="199"/>
      <c r="M230" s="199"/>
      <c r="N230" s="199"/>
      <c r="O230" s="199"/>
      <c r="P230" s="199"/>
      <c r="Q230" s="199"/>
      <c r="R230" s="199"/>
      <c r="S230" s="199"/>
      <c r="T230" s="199"/>
      <c r="U230" s="199"/>
      <c r="V230" s="199"/>
      <c r="W230" s="199"/>
    </row>
    <row r="231">
      <c r="A231" s="283"/>
      <c r="B231" s="199"/>
      <c r="C231" s="199"/>
      <c r="D231" s="199"/>
      <c r="E231" s="199"/>
      <c r="F231" s="199"/>
      <c r="G231" s="199"/>
      <c r="H231" s="199"/>
      <c r="I231" s="199"/>
      <c r="J231" s="199"/>
      <c r="K231" s="199"/>
      <c r="L231" s="199"/>
      <c r="M231" s="199"/>
      <c r="N231" s="199"/>
      <c r="O231" s="199"/>
      <c r="P231" s="199"/>
      <c r="Q231" s="199"/>
      <c r="R231" s="199"/>
      <c r="S231" s="199"/>
      <c r="T231" s="199"/>
      <c r="U231" s="199"/>
      <c r="V231" s="199"/>
      <c r="W231" s="199"/>
    </row>
    <row r="232">
      <c r="A232" s="283"/>
      <c r="B232" s="199"/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/>
      <c r="V232" s="199"/>
      <c r="W232" s="199"/>
    </row>
    <row r="233">
      <c r="A233" s="283"/>
      <c r="B233" s="306"/>
      <c r="C233" s="307"/>
      <c r="D233" s="307"/>
      <c r="E233" s="307"/>
      <c r="F233" s="309"/>
      <c r="G233" s="308" t="s">
        <v>700</v>
      </c>
      <c r="H233" s="309"/>
      <c r="I233" s="310" t="s">
        <v>701</v>
      </c>
      <c r="J233" s="307"/>
      <c r="K233" s="311"/>
      <c r="L233" s="199"/>
      <c r="M233" s="287"/>
      <c r="R233" s="210" t="s">
        <v>700</v>
      </c>
      <c r="S233" s="211"/>
      <c r="T233" s="212" t="s">
        <v>701</v>
      </c>
      <c r="U233" s="213"/>
      <c r="V233" s="211"/>
      <c r="W233" s="199"/>
    </row>
    <row r="234">
      <c r="A234" s="283"/>
      <c r="B234" s="312"/>
      <c r="F234" s="56"/>
      <c r="G234" s="215"/>
      <c r="H234" s="64"/>
      <c r="I234" s="215"/>
      <c r="J234" s="216"/>
      <c r="K234" s="313"/>
      <c r="L234" s="199"/>
      <c r="R234" s="215"/>
      <c r="S234" s="64"/>
      <c r="T234" s="215"/>
      <c r="U234" s="216"/>
      <c r="V234" s="64"/>
      <c r="W234" s="199"/>
    </row>
    <row r="235">
      <c r="A235" s="283"/>
      <c r="B235" s="312"/>
      <c r="F235" s="56"/>
      <c r="G235" s="218" t="s">
        <v>702</v>
      </c>
      <c r="H235" s="211"/>
      <c r="I235" s="219" t="s">
        <v>684</v>
      </c>
      <c r="J235" s="213"/>
      <c r="K235" s="314"/>
      <c r="L235" s="199"/>
      <c r="R235" s="210" t="s">
        <v>351</v>
      </c>
      <c r="S235" s="211"/>
      <c r="T235" s="212" t="s">
        <v>619</v>
      </c>
      <c r="U235" s="213"/>
      <c r="V235" s="211"/>
      <c r="W235" s="199"/>
    </row>
    <row r="236">
      <c r="A236" s="283"/>
      <c r="B236" s="312"/>
      <c r="F236" s="56"/>
      <c r="G236" s="215"/>
      <c r="H236" s="64"/>
      <c r="I236" s="215"/>
      <c r="J236" s="216"/>
      <c r="K236" s="313"/>
      <c r="L236" s="199"/>
      <c r="R236" s="215"/>
      <c r="S236" s="64"/>
      <c r="T236" s="215"/>
      <c r="U236" s="216"/>
      <c r="V236" s="64"/>
      <c r="W236" s="199"/>
    </row>
    <row r="237">
      <c r="A237" s="283"/>
      <c r="B237" s="312"/>
      <c r="F237" s="56"/>
      <c r="G237" s="218" t="s">
        <v>703</v>
      </c>
      <c r="H237" s="211"/>
      <c r="I237" s="219">
        <v>2516.0</v>
      </c>
      <c r="J237" s="213"/>
      <c r="K237" s="314"/>
      <c r="L237" s="199"/>
      <c r="R237" s="210" t="s">
        <v>703</v>
      </c>
      <c r="S237" s="211"/>
      <c r="T237" s="212">
        <v>2516.0</v>
      </c>
      <c r="U237" s="213"/>
      <c r="V237" s="211"/>
      <c r="W237" s="199"/>
    </row>
    <row r="238">
      <c r="A238" s="283"/>
      <c r="B238" s="344"/>
      <c r="C238" s="216"/>
      <c r="D238" s="216"/>
      <c r="E238" s="216"/>
      <c r="F238" s="64"/>
      <c r="G238" s="215"/>
      <c r="H238" s="64"/>
      <c r="I238" s="215"/>
      <c r="J238" s="216"/>
      <c r="K238" s="313"/>
      <c r="L238" s="199"/>
      <c r="R238" s="215"/>
      <c r="S238" s="64"/>
      <c r="T238" s="215"/>
      <c r="U238" s="216"/>
      <c r="V238" s="64"/>
      <c r="W238" s="199"/>
    </row>
    <row r="239">
      <c r="A239" s="283"/>
      <c r="B239" s="315" t="s">
        <v>704</v>
      </c>
      <c r="C239" s="222"/>
      <c r="D239" s="231" t="s">
        <v>5</v>
      </c>
      <c r="E239" s="222"/>
      <c r="F239" s="231" t="s">
        <v>705</v>
      </c>
      <c r="G239" s="224"/>
      <c r="H239" s="222"/>
      <c r="I239" s="225" t="s">
        <v>8</v>
      </c>
      <c r="J239" s="225" t="s">
        <v>706</v>
      </c>
      <c r="K239" s="316" t="s">
        <v>707</v>
      </c>
      <c r="L239" s="199"/>
      <c r="M239" s="227" t="s">
        <v>704</v>
      </c>
      <c r="N239" s="222"/>
      <c r="O239" s="227" t="s">
        <v>5</v>
      </c>
      <c r="P239" s="222"/>
      <c r="Q239" s="227" t="s">
        <v>705</v>
      </c>
      <c r="R239" s="224"/>
      <c r="S239" s="222"/>
      <c r="T239" s="228" t="s">
        <v>591</v>
      </c>
      <c r="U239" s="228" t="s">
        <v>708</v>
      </c>
      <c r="V239" s="228" t="s">
        <v>707</v>
      </c>
      <c r="W239" s="199"/>
    </row>
    <row r="240">
      <c r="A240" s="283"/>
      <c r="B240" s="317">
        <v>45972.0</v>
      </c>
      <c r="C240" s="222"/>
      <c r="D240" s="231">
        <v>3.175939E7</v>
      </c>
      <c r="E240" s="222"/>
      <c r="F240" s="223" t="s">
        <v>756</v>
      </c>
      <c r="G240" s="224"/>
      <c r="H240" s="222"/>
      <c r="I240" s="232">
        <v>1400.0</v>
      </c>
      <c r="J240" s="233">
        <v>0.88</v>
      </c>
      <c r="K240" s="318">
        <v>1232.0</v>
      </c>
      <c r="L240" s="199"/>
      <c r="M240" s="235">
        <v>45972.0</v>
      </c>
      <c r="N240" s="222"/>
      <c r="O240" s="236">
        <v>3.175939E7</v>
      </c>
      <c r="P240" s="222"/>
      <c r="Q240" s="227" t="s">
        <v>756</v>
      </c>
      <c r="R240" s="224"/>
      <c r="S240" s="222"/>
      <c r="T240" s="228">
        <v>972.0</v>
      </c>
      <c r="U240" s="228">
        <v>0.65</v>
      </c>
      <c r="V240" s="237">
        <v>631.8</v>
      </c>
      <c r="W240" s="199"/>
    </row>
    <row r="241">
      <c r="A241" s="283"/>
      <c r="B241" s="317">
        <v>45974.0</v>
      </c>
      <c r="C241" s="222"/>
      <c r="D241" s="231">
        <v>5.3405258E8</v>
      </c>
      <c r="E241" s="222"/>
      <c r="F241" s="223" t="s">
        <v>757</v>
      </c>
      <c r="G241" s="224"/>
      <c r="H241" s="222"/>
      <c r="I241" s="232">
        <v>2050.0</v>
      </c>
      <c r="J241" s="233">
        <v>0.88</v>
      </c>
      <c r="K241" s="318">
        <v>1804.0</v>
      </c>
      <c r="L241" s="199"/>
      <c r="M241" s="235">
        <v>45974.0</v>
      </c>
      <c r="N241" s="222"/>
      <c r="O241" s="236">
        <v>5.3405258E8</v>
      </c>
      <c r="P241" s="222"/>
      <c r="Q241" s="227" t="s">
        <v>757</v>
      </c>
      <c r="R241" s="224"/>
      <c r="S241" s="222"/>
      <c r="T241" s="228">
        <v>899.0</v>
      </c>
      <c r="U241" s="228">
        <v>0.65</v>
      </c>
      <c r="V241" s="237">
        <v>584.35</v>
      </c>
      <c r="W241" s="199"/>
    </row>
    <row r="242">
      <c r="A242" s="283"/>
      <c r="B242" s="319"/>
      <c r="C242" s="222"/>
      <c r="D242" s="349"/>
      <c r="E242" s="222"/>
      <c r="F242" s="240"/>
      <c r="G242" s="224"/>
      <c r="H242" s="222"/>
      <c r="I242" s="241"/>
      <c r="J242" s="233">
        <v>0.88</v>
      </c>
      <c r="K242" s="318">
        <v>0.0</v>
      </c>
      <c r="L242" s="199"/>
      <c r="M242" s="243"/>
      <c r="N242" s="222"/>
      <c r="O242" s="350"/>
      <c r="P242" s="222"/>
      <c r="Q242" s="243"/>
      <c r="R242" s="224"/>
      <c r="S242" s="222"/>
      <c r="T242" s="244"/>
      <c r="U242" s="228">
        <v>0.65</v>
      </c>
      <c r="V242" s="237">
        <v>0.0</v>
      </c>
      <c r="W242" s="199"/>
    </row>
    <row r="243">
      <c r="A243" s="283"/>
      <c r="B243" s="319"/>
      <c r="C243" s="222"/>
      <c r="D243" s="240"/>
      <c r="E243" s="222"/>
      <c r="F243" s="349"/>
      <c r="G243" s="224"/>
      <c r="H243" s="222"/>
      <c r="I243" s="241"/>
      <c r="J243" s="233">
        <v>0.88</v>
      </c>
      <c r="K243" s="318">
        <v>0.0</v>
      </c>
      <c r="L243" s="199"/>
      <c r="M243" s="243"/>
      <c r="N243" s="222"/>
      <c r="O243" s="350"/>
      <c r="P243" s="222"/>
      <c r="Q243" s="243"/>
      <c r="R243" s="224"/>
      <c r="S243" s="222"/>
      <c r="T243" s="244"/>
      <c r="U243" s="228">
        <v>0.65</v>
      </c>
      <c r="V243" s="237">
        <v>0.0</v>
      </c>
      <c r="W243" s="199"/>
    </row>
    <row r="244">
      <c r="A244" s="283"/>
      <c r="B244" s="319"/>
      <c r="C244" s="222"/>
      <c r="D244" s="349"/>
      <c r="E244" s="222"/>
      <c r="F244" s="349"/>
      <c r="G244" s="224"/>
      <c r="H244" s="222"/>
      <c r="I244" s="241"/>
      <c r="J244" s="233">
        <v>0.88</v>
      </c>
      <c r="K244" s="318">
        <v>0.0</v>
      </c>
      <c r="L244" s="199"/>
      <c r="M244" s="243"/>
      <c r="N244" s="222"/>
      <c r="O244" s="243"/>
      <c r="P244" s="222"/>
      <c r="Q244" s="243"/>
      <c r="R244" s="224"/>
      <c r="S244" s="222"/>
      <c r="T244" s="244"/>
      <c r="U244" s="228">
        <v>0.65</v>
      </c>
      <c r="V244" s="237">
        <v>0.0</v>
      </c>
      <c r="W244" s="199"/>
    </row>
    <row r="245">
      <c r="A245" s="283"/>
      <c r="B245" s="322" t="s">
        <v>711</v>
      </c>
      <c r="C245" s="224"/>
      <c r="D245" s="224"/>
      <c r="E245" s="224"/>
      <c r="F245" s="224"/>
      <c r="G245" s="224"/>
      <c r="H245" s="222"/>
      <c r="I245" s="291">
        <v>3450.0</v>
      </c>
      <c r="J245" s="241"/>
      <c r="K245" s="323">
        <v>3036.0</v>
      </c>
      <c r="L245" s="199"/>
      <c r="M245" s="243"/>
      <c r="N245" s="222"/>
      <c r="O245" s="243"/>
      <c r="P245" s="222"/>
      <c r="Q245" s="243"/>
      <c r="R245" s="224"/>
      <c r="S245" s="222"/>
      <c r="T245" s="244"/>
      <c r="U245" s="228">
        <v>0.65</v>
      </c>
      <c r="V245" s="237">
        <v>0.0</v>
      </c>
      <c r="W245" s="199"/>
    </row>
    <row r="246">
      <c r="A246" s="283"/>
      <c r="B246" s="324"/>
      <c r="C246" s="248"/>
      <c r="D246" s="248"/>
      <c r="E246" s="248"/>
      <c r="F246" s="248"/>
      <c r="G246" s="248"/>
      <c r="H246" s="248"/>
      <c r="I246" s="248"/>
      <c r="J246" s="248"/>
      <c r="K246" s="325"/>
      <c r="L246" s="199"/>
      <c r="M246" s="246" t="s">
        <v>711</v>
      </c>
      <c r="N246" s="224"/>
      <c r="O246" s="224"/>
      <c r="P246" s="224"/>
      <c r="Q246" s="224"/>
      <c r="R246" s="224"/>
      <c r="S246" s="222"/>
      <c r="T246" s="228">
        <v>1871.0</v>
      </c>
      <c r="U246" s="244"/>
      <c r="V246" s="237">
        <v>1216.15</v>
      </c>
      <c r="W246" s="199"/>
    </row>
    <row r="247">
      <c r="A247" s="283"/>
      <c r="B247" s="326" t="s">
        <v>712</v>
      </c>
      <c r="C247" s="222"/>
      <c r="D247" s="351"/>
      <c r="E247" s="222"/>
      <c r="F247" s="248"/>
      <c r="G247" s="248"/>
      <c r="H247" s="248"/>
      <c r="I247" s="248"/>
      <c r="J247" s="248"/>
      <c r="K247" s="325"/>
      <c r="L247" s="199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  <c r="W247" s="199"/>
    </row>
    <row r="248">
      <c r="A248" s="283"/>
      <c r="B248" s="341" t="s">
        <v>713</v>
      </c>
      <c r="C248" s="222"/>
      <c r="D248" s="257">
        <v>500.0</v>
      </c>
      <c r="E248" s="222"/>
      <c r="F248" s="248"/>
      <c r="G248" s="248"/>
      <c r="H248" s="248"/>
      <c r="I248" s="248"/>
      <c r="J248" s="248"/>
      <c r="K248" s="325"/>
      <c r="L248" s="199"/>
      <c r="M248" s="254" t="s">
        <v>712</v>
      </c>
      <c r="N248" s="222"/>
      <c r="O248" s="255"/>
      <c r="P248" s="222"/>
      <c r="Q248" s="251"/>
      <c r="R248" s="251"/>
      <c r="S248" s="251"/>
      <c r="T248" s="251"/>
      <c r="U248" s="251"/>
      <c r="V248" s="251"/>
      <c r="W248" s="199"/>
    </row>
    <row r="249">
      <c r="A249" s="283"/>
      <c r="B249" s="327"/>
      <c r="C249" s="222"/>
      <c r="D249" s="351"/>
      <c r="E249" s="222"/>
      <c r="F249" s="248"/>
      <c r="G249" s="248"/>
      <c r="H249" s="248"/>
      <c r="I249" s="248"/>
      <c r="J249" s="248"/>
      <c r="K249" s="325"/>
      <c r="L249" s="199"/>
      <c r="M249" s="342" t="s">
        <v>758</v>
      </c>
      <c r="N249" s="222"/>
      <c r="O249" s="269">
        <v>169.0</v>
      </c>
      <c r="P249" s="222"/>
      <c r="Q249" s="251"/>
      <c r="R249" s="251"/>
      <c r="S249" s="251"/>
      <c r="T249" s="251"/>
      <c r="U249" s="251"/>
      <c r="V249" s="251"/>
      <c r="W249" s="199"/>
    </row>
    <row r="250">
      <c r="A250" s="283"/>
      <c r="B250" s="328" t="s">
        <v>714</v>
      </c>
      <c r="C250" s="222"/>
      <c r="D250" s="352">
        <v>500.0</v>
      </c>
      <c r="E250" s="222"/>
      <c r="F250" s="248"/>
      <c r="G250" s="248"/>
      <c r="H250" s="248"/>
      <c r="I250" s="248"/>
      <c r="J250" s="248"/>
      <c r="K250" s="325"/>
      <c r="L250" s="199"/>
      <c r="M250" s="342" t="s">
        <v>713</v>
      </c>
      <c r="N250" s="222"/>
      <c r="O250" s="269">
        <v>500.0</v>
      </c>
      <c r="P250" s="222"/>
      <c r="Q250" s="251"/>
      <c r="R250" s="251"/>
      <c r="S250" s="251"/>
      <c r="T250" s="251"/>
      <c r="U250" s="251"/>
      <c r="V250" s="251"/>
      <c r="W250" s="199"/>
    </row>
    <row r="251">
      <c r="A251" s="283"/>
      <c r="B251" s="329"/>
      <c r="C251" s="224"/>
      <c r="D251" s="224"/>
      <c r="E251" s="222"/>
      <c r="F251" s="248"/>
      <c r="G251" s="248"/>
      <c r="H251" s="248"/>
      <c r="I251" s="248"/>
      <c r="J251" s="248"/>
      <c r="K251" s="325"/>
      <c r="L251" s="199"/>
      <c r="M251" s="255"/>
      <c r="N251" s="222"/>
      <c r="O251" s="255"/>
      <c r="P251" s="222"/>
      <c r="Q251" s="251"/>
      <c r="R251" s="251"/>
      <c r="S251" s="251"/>
      <c r="T251" s="251"/>
      <c r="U251" s="251"/>
      <c r="V251" s="251"/>
      <c r="W251" s="199"/>
    </row>
    <row r="252">
      <c r="A252" s="283"/>
      <c r="B252" s="330" t="s">
        <v>715</v>
      </c>
      <c r="C252" s="222"/>
      <c r="D252" s="353"/>
      <c r="E252" s="222"/>
      <c r="F252" s="248"/>
      <c r="G252" s="248"/>
      <c r="H252" s="248"/>
      <c r="I252" s="248"/>
      <c r="J252" s="248"/>
      <c r="K252" s="325"/>
      <c r="L252" s="199"/>
      <c r="M252" s="255"/>
      <c r="N252" s="222"/>
      <c r="O252" s="255"/>
      <c r="P252" s="222"/>
      <c r="Q252" s="251"/>
      <c r="R252" s="251"/>
      <c r="S252" s="251"/>
      <c r="T252" s="251"/>
      <c r="U252" s="251"/>
      <c r="V252" s="251"/>
      <c r="W252" s="199"/>
    </row>
    <row r="253">
      <c r="A253" s="283"/>
      <c r="B253" s="331" t="s">
        <v>716</v>
      </c>
      <c r="C253" s="222"/>
      <c r="D253" s="267">
        <v>150.0</v>
      </c>
      <c r="E253" s="222"/>
      <c r="F253" s="248"/>
      <c r="G253" s="248"/>
      <c r="H253" s="248"/>
      <c r="I253" s="248"/>
      <c r="J253" s="248"/>
      <c r="K253" s="325"/>
      <c r="L253" s="199"/>
      <c r="M253" s="255"/>
      <c r="N253" s="222"/>
      <c r="O253" s="255"/>
      <c r="P253" s="222"/>
      <c r="Q253" s="251"/>
      <c r="R253" s="251"/>
      <c r="S253" s="251"/>
      <c r="T253" s="251"/>
      <c r="U253" s="251"/>
      <c r="V253" s="251"/>
      <c r="W253" s="199"/>
    </row>
    <row r="254">
      <c r="A254" s="283"/>
      <c r="B254" s="331" t="s">
        <v>717</v>
      </c>
      <c r="C254" s="222"/>
      <c r="D254" s="267">
        <v>400.0</v>
      </c>
      <c r="E254" s="222"/>
      <c r="F254" s="248"/>
      <c r="G254" s="248"/>
      <c r="H254" s="248"/>
      <c r="I254" s="248"/>
      <c r="J254" s="248"/>
      <c r="K254" s="325"/>
      <c r="L254" s="199"/>
      <c r="M254" s="268" t="s">
        <v>714</v>
      </c>
      <c r="N254" s="222"/>
      <c r="O254" s="269">
        <v>669.0</v>
      </c>
      <c r="P254" s="222"/>
      <c r="Q254" s="251"/>
      <c r="R254" s="251"/>
      <c r="S254" s="251"/>
      <c r="T254" s="251"/>
      <c r="U254" s="251"/>
      <c r="V254" s="251"/>
      <c r="W254" s="199"/>
    </row>
    <row r="255">
      <c r="A255" s="283"/>
      <c r="B255" s="331" t="s">
        <v>718</v>
      </c>
      <c r="C255" s="222"/>
      <c r="D255" s="267">
        <v>200.0</v>
      </c>
      <c r="E255" s="222"/>
      <c r="F255" s="248"/>
      <c r="G255" s="248"/>
      <c r="H255" s="248"/>
      <c r="I255" s="248"/>
      <c r="J255" s="248"/>
      <c r="K255" s="325"/>
      <c r="L255" s="199"/>
      <c r="M255" s="251"/>
      <c r="N255" s="251"/>
      <c r="O255" s="270"/>
      <c r="Q255" s="251"/>
      <c r="R255" s="251"/>
      <c r="S255" s="251"/>
      <c r="T255" s="251"/>
      <c r="U255" s="251"/>
      <c r="V255" s="251"/>
      <c r="W255" s="199"/>
    </row>
    <row r="256">
      <c r="A256" s="283"/>
      <c r="B256" s="331" t="s">
        <v>656</v>
      </c>
      <c r="C256" s="222"/>
      <c r="D256" s="354">
        <v>1561.14</v>
      </c>
      <c r="E256" s="222"/>
      <c r="F256" s="248"/>
      <c r="G256" s="248"/>
      <c r="H256" s="248"/>
      <c r="I256" s="248"/>
      <c r="J256" s="248"/>
      <c r="K256" s="325"/>
      <c r="L256" s="199"/>
      <c r="M256" s="271" t="s">
        <v>715</v>
      </c>
      <c r="N256" s="222"/>
      <c r="O256" s="272"/>
      <c r="P256" s="222"/>
      <c r="Q256" s="251"/>
      <c r="R256" s="251"/>
      <c r="S256" s="251"/>
      <c r="T256" s="251"/>
      <c r="U256" s="251"/>
      <c r="V256" s="251"/>
      <c r="W256" s="199"/>
    </row>
    <row r="257">
      <c r="A257" s="283"/>
      <c r="B257" s="331" t="s">
        <v>759</v>
      </c>
      <c r="C257" s="222"/>
      <c r="D257" s="354">
        <v>395.09</v>
      </c>
      <c r="E257" s="222"/>
      <c r="F257" s="248"/>
      <c r="G257" s="248"/>
      <c r="H257" s="276" t="s">
        <v>720</v>
      </c>
      <c r="I257" s="211"/>
      <c r="J257" s="277">
        <v>829.77</v>
      </c>
      <c r="K257" s="314"/>
      <c r="L257" s="199"/>
      <c r="M257" s="304" t="s">
        <v>759</v>
      </c>
      <c r="N257" s="222"/>
      <c r="O257" s="355">
        <v>395.09</v>
      </c>
      <c r="P257" s="222"/>
      <c r="Q257" s="251"/>
      <c r="R257" s="251"/>
      <c r="S257" s="273" t="s">
        <v>719</v>
      </c>
      <c r="T257" s="211"/>
      <c r="U257" s="274">
        <v>1490.06</v>
      </c>
      <c r="V257" s="211"/>
      <c r="W257" s="199"/>
    </row>
    <row r="258">
      <c r="A258" s="283"/>
      <c r="B258" s="334"/>
      <c r="C258" s="222"/>
      <c r="D258" s="353"/>
      <c r="E258" s="222"/>
      <c r="F258" s="248"/>
      <c r="G258" s="248"/>
      <c r="H258" s="278"/>
      <c r="I258" s="56"/>
      <c r="J258" s="278"/>
      <c r="K258" s="333"/>
      <c r="L258" s="199"/>
      <c r="M258" s="272"/>
      <c r="N258" s="222"/>
      <c r="O258" s="272"/>
      <c r="P258" s="222"/>
      <c r="Q258" s="251"/>
      <c r="R258" s="251"/>
      <c r="S258" s="278"/>
      <c r="T258" s="56"/>
      <c r="U258" s="278"/>
      <c r="V258" s="56"/>
      <c r="W258" s="199"/>
    </row>
    <row r="259">
      <c r="A259" s="283"/>
      <c r="B259" s="334"/>
      <c r="C259" s="222"/>
      <c r="D259" s="353"/>
      <c r="E259" s="222"/>
      <c r="F259" s="248"/>
      <c r="G259" s="248"/>
      <c r="H259" s="215"/>
      <c r="I259" s="64"/>
      <c r="J259" s="215"/>
      <c r="K259" s="313"/>
      <c r="L259" s="199"/>
      <c r="M259" s="272"/>
      <c r="N259" s="222"/>
      <c r="O259" s="272"/>
      <c r="P259" s="222"/>
      <c r="Q259" s="251"/>
      <c r="R259" s="251"/>
      <c r="S259" s="215"/>
      <c r="T259" s="64"/>
      <c r="U259" s="215"/>
      <c r="V259" s="64"/>
      <c r="W259" s="199"/>
    </row>
    <row r="260">
      <c r="A260" s="283"/>
      <c r="B260" s="334"/>
      <c r="C260" s="222"/>
      <c r="D260" s="353"/>
      <c r="E260" s="222"/>
      <c r="F260" s="248"/>
      <c r="G260" s="248"/>
      <c r="H260" s="248"/>
      <c r="I260" s="248"/>
      <c r="J260" s="248"/>
      <c r="K260" s="325"/>
      <c r="L260" s="199"/>
      <c r="M260" s="272"/>
      <c r="N260" s="222"/>
      <c r="O260" s="272"/>
      <c r="P260" s="222"/>
      <c r="Q260" s="251"/>
      <c r="R260" s="251"/>
      <c r="S260" s="251"/>
      <c r="T260" s="251"/>
      <c r="U260" s="251"/>
      <c r="V260" s="251"/>
      <c r="W260" s="199"/>
    </row>
    <row r="261">
      <c r="A261" s="283"/>
      <c r="B261" s="334"/>
      <c r="C261" s="222"/>
      <c r="D261" s="353"/>
      <c r="E261" s="222"/>
      <c r="F261" s="248"/>
      <c r="G261" s="248"/>
      <c r="H261" s="248"/>
      <c r="I261" s="248"/>
      <c r="J261" s="248"/>
      <c r="K261" s="325"/>
      <c r="L261" s="199"/>
      <c r="M261" s="272"/>
      <c r="N261" s="222"/>
      <c r="O261" s="272"/>
      <c r="P261" s="222"/>
      <c r="Q261" s="251"/>
      <c r="R261" s="251"/>
      <c r="S261" s="251"/>
      <c r="T261" s="251"/>
      <c r="U261" s="251"/>
      <c r="V261" s="251"/>
      <c r="W261" s="199"/>
    </row>
    <row r="262">
      <c r="A262" s="283"/>
      <c r="B262" s="331" t="s">
        <v>721</v>
      </c>
      <c r="C262" s="222"/>
      <c r="D262" s="354">
        <v>2706.23</v>
      </c>
      <c r="E262" s="222"/>
      <c r="F262" s="248"/>
      <c r="G262" s="248"/>
      <c r="H262" s="248"/>
      <c r="I262" s="248"/>
      <c r="J262" s="248"/>
      <c r="K262" s="325"/>
      <c r="L262" s="199"/>
      <c r="M262" s="280" t="s">
        <v>721</v>
      </c>
      <c r="N262" s="222"/>
      <c r="O262" s="281">
        <v>395.09</v>
      </c>
      <c r="P262" s="222"/>
      <c r="Q262" s="251"/>
      <c r="R262" s="251"/>
      <c r="S262" s="251"/>
      <c r="T262" s="251"/>
      <c r="U262" s="251"/>
      <c r="V262" s="251"/>
      <c r="W262" s="199"/>
    </row>
    <row r="263">
      <c r="A263" s="283"/>
      <c r="B263" s="345"/>
      <c r="C263" s="346"/>
      <c r="D263" s="346"/>
      <c r="E263" s="346"/>
      <c r="F263" s="346"/>
      <c r="G263" s="346"/>
      <c r="H263" s="346"/>
      <c r="I263" s="346"/>
      <c r="J263" s="346"/>
      <c r="K263" s="347"/>
      <c r="L263" s="199"/>
      <c r="M263" s="282"/>
      <c r="N263" s="282"/>
      <c r="O263" s="282"/>
      <c r="P263" s="282"/>
      <c r="Q263" s="282"/>
      <c r="R263" s="282"/>
      <c r="S263" s="282"/>
      <c r="T263" s="282"/>
      <c r="U263" s="282"/>
      <c r="V263" s="282"/>
      <c r="W263" s="199"/>
    </row>
    <row r="264">
      <c r="A264" s="283"/>
      <c r="B264" s="260"/>
      <c r="C264" s="260"/>
      <c r="D264" s="260"/>
      <c r="E264" s="260"/>
      <c r="F264" s="260"/>
      <c r="G264" s="260"/>
      <c r="H264" s="260"/>
      <c r="I264" s="260"/>
      <c r="J264" s="260"/>
      <c r="K264" s="260"/>
      <c r="L264" s="199"/>
      <c r="M264" s="282"/>
      <c r="N264" s="282"/>
      <c r="O264" s="282"/>
      <c r="P264" s="282"/>
      <c r="Q264" s="282"/>
      <c r="R264" s="282"/>
      <c r="S264" s="282"/>
      <c r="T264" s="282"/>
      <c r="U264" s="282"/>
      <c r="V264" s="282"/>
      <c r="W264" s="199"/>
    </row>
    <row r="265">
      <c r="A265" s="283"/>
      <c r="B265" s="199"/>
      <c r="C265" s="199"/>
      <c r="D265" s="199"/>
      <c r="E265" s="199"/>
      <c r="F265" s="199"/>
      <c r="G265" s="199"/>
      <c r="H265" s="199"/>
      <c r="I265" s="199"/>
      <c r="J265" s="199"/>
      <c r="K265" s="199"/>
      <c r="L265" s="199"/>
      <c r="M265" s="199"/>
      <c r="N265" s="199"/>
      <c r="O265" s="199"/>
      <c r="P265" s="199"/>
      <c r="Q265" s="199"/>
      <c r="R265" s="199"/>
      <c r="S265" s="199"/>
      <c r="T265" s="199"/>
      <c r="U265" s="199"/>
      <c r="V265" s="199"/>
      <c r="W265" s="199"/>
    </row>
    <row r="266">
      <c r="A266" s="283"/>
      <c r="B266" s="199"/>
      <c r="C266" s="199"/>
      <c r="D266" s="199"/>
      <c r="E266" s="199"/>
      <c r="F266" s="199"/>
      <c r="G266" s="199"/>
      <c r="H266" s="199"/>
      <c r="I266" s="199"/>
      <c r="J266" s="199"/>
      <c r="K266" s="199"/>
      <c r="L266" s="199"/>
      <c r="M266" s="199"/>
      <c r="N266" s="199"/>
      <c r="O266" s="199"/>
      <c r="P266" s="199"/>
      <c r="Q266" s="199"/>
      <c r="R266" s="199"/>
      <c r="S266" s="199"/>
      <c r="T266" s="199"/>
      <c r="U266" s="199"/>
      <c r="V266" s="199"/>
      <c r="W266" s="199"/>
    </row>
    <row r="267">
      <c r="A267" s="283"/>
      <c r="B267" s="306"/>
      <c r="C267" s="307"/>
      <c r="D267" s="307"/>
      <c r="E267" s="307"/>
      <c r="F267" s="307"/>
      <c r="G267" s="308" t="s">
        <v>700</v>
      </c>
      <c r="H267" s="309"/>
      <c r="I267" s="310" t="s">
        <v>701</v>
      </c>
      <c r="J267" s="307"/>
      <c r="K267" s="311"/>
      <c r="L267" s="199"/>
      <c r="M267" s="287"/>
      <c r="R267" s="210" t="s">
        <v>700</v>
      </c>
      <c r="S267" s="211"/>
      <c r="T267" s="212" t="s">
        <v>701</v>
      </c>
      <c r="U267" s="213"/>
      <c r="V267" s="211"/>
      <c r="W267" s="199"/>
    </row>
    <row r="268">
      <c r="A268" s="283"/>
      <c r="B268" s="312"/>
      <c r="G268" s="215"/>
      <c r="H268" s="64"/>
      <c r="I268" s="215"/>
      <c r="J268" s="216"/>
      <c r="K268" s="313"/>
      <c r="L268" s="199"/>
      <c r="R268" s="215"/>
      <c r="S268" s="64"/>
      <c r="T268" s="215"/>
      <c r="U268" s="216"/>
      <c r="V268" s="64"/>
      <c r="W268" s="199"/>
    </row>
    <row r="269">
      <c r="A269" s="283"/>
      <c r="B269" s="312"/>
      <c r="G269" s="218" t="s">
        <v>702</v>
      </c>
      <c r="H269" s="211"/>
      <c r="I269" s="219" t="s">
        <v>760</v>
      </c>
      <c r="J269" s="213"/>
      <c r="K269" s="314"/>
      <c r="L269" s="199"/>
      <c r="R269" s="210" t="s">
        <v>351</v>
      </c>
      <c r="S269" s="211"/>
      <c r="T269" s="212" t="s">
        <v>613</v>
      </c>
      <c r="U269" s="213"/>
      <c r="V269" s="211"/>
      <c r="W269" s="199"/>
    </row>
    <row r="270">
      <c r="A270" s="283"/>
      <c r="B270" s="312"/>
      <c r="G270" s="215"/>
      <c r="H270" s="64"/>
      <c r="I270" s="215"/>
      <c r="J270" s="216"/>
      <c r="K270" s="313"/>
      <c r="L270" s="199"/>
      <c r="R270" s="215"/>
      <c r="S270" s="64"/>
      <c r="T270" s="215"/>
      <c r="U270" s="216"/>
      <c r="V270" s="64"/>
      <c r="W270" s="199"/>
    </row>
    <row r="271">
      <c r="A271" s="283"/>
      <c r="B271" s="312"/>
      <c r="G271" s="218" t="s">
        <v>703</v>
      </c>
      <c r="H271" s="211"/>
      <c r="I271" s="219">
        <v>2932.0</v>
      </c>
      <c r="J271" s="213"/>
      <c r="K271" s="314"/>
      <c r="L271" s="199"/>
      <c r="R271" s="210" t="s">
        <v>703</v>
      </c>
      <c r="S271" s="211"/>
      <c r="T271" s="212">
        <v>2932.0</v>
      </c>
      <c r="U271" s="213"/>
      <c r="V271" s="211"/>
      <c r="W271" s="199"/>
    </row>
    <row r="272">
      <c r="A272" s="283"/>
      <c r="B272" s="312"/>
      <c r="G272" s="215"/>
      <c r="H272" s="64"/>
      <c r="I272" s="215"/>
      <c r="J272" s="216"/>
      <c r="K272" s="313"/>
      <c r="L272" s="199"/>
      <c r="R272" s="215"/>
      <c r="S272" s="64"/>
      <c r="T272" s="215"/>
      <c r="U272" s="216"/>
      <c r="V272" s="64"/>
      <c r="W272" s="199"/>
    </row>
    <row r="273">
      <c r="A273" s="283"/>
      <c r="B273" s="315" t="s">
        <v>704</v>
      </c>
      <c r="C273" s="222"/>
      <c r="D273" s="223" t="s">
        <v>5</v>
      </c>
      <c r="E273" s="222"/>
      <c r="F273" s="223" t="s">
        <v>705</v>
      </c>
      <c r="G273" s="224"/>
      <c r="H273" s="222"/>
      <c r="I273" s="225" t="s">
        <v>8</v>
      </c>
      <c r="J273" s="225" t="s">
        <v>706</v>
      </c>
      <c r="K273" s="316" t="s">
        <v>707</v>
      </c>
      <c r="L273" s="199"/>
      <c r="M273" s="227" t="s">
        <v>704</v>
      </c>
      <c r="N273" s="222"/>
      <c r="O273" s="227" t="s">
        <v>5</v>
      </c>
      <c r="P273" s="222"/>
      <c r="Q273" s="227" t="s">
        <v>705</v>
      </c>
      <c r="R273" s="224"/>
      <c r="S273" s="222"/>
      <c r="T273" s="228" t="s">
        <v>591</v>
      </c>
      <c r="U273" s="228" t="s">
        <v>708</v>
      </c>
      <c r="V273" s="228" t="s">
        <v>707</v>
      </c>
      <c r="W273" s="199"/>
    </row>
    <row r="274">
      <c r="A274" s="283"/>
      <c r="B274" s="317">
        <v>45971.0</v>
      </c>
      <c r="C274" s="222"/>
      <c r="D274" s="223">
        <v>5.33329684E8</v>
      </c>
      <c r="E274" s="222"/>
      <c r="F274" s="223" t="s">
        <v>761</v>
      </c>
      <c r="G274" s="224"/>
      <c r="H274" s="222"/>
      <c r="I274" s="232">
        <v>1200.0</v>
      </c>
      <c r="J274" s="233">
        <v>0.88</v>
      </c>
      <c r="K274" s="318">
        <v>1056.0</v>
      </c>
      <c r="L274" s="199"/>
      <c r="M274" s="235">
        <v>45971.0</v>
      </c>
      <c r="N274" s="222"/>
      <c r="O274" s="227">
        <v>5.33329684E8</v>
      </c>
      <c r="P274" s="222"/>
      <c r="Q274" s="227" t="s">
        <v>761</v>
      </c>
      <c r="R274" s="224"/>
      <c r="S274" s="222"/>
      <c r="T274" s="228">
        <v>726.0</v>
      </c>
      <c r="U274" s="228">
        <v>0.65</v>
      </c>
      <c r="V274" s="237">
        <v>471.9</v>
      </c>
      <c r="W274" s="199"/>
    </row>
    <row r="275">
      <c r="A275" s="283"/>
      <c r="B275" s="317">
        <v>45973.0</v>
      </c>
      <c r="C275" s="222"/>
      <c r="D275" s="223">
        <v>1880068.0</v>
      </c>
      <c r="E275" s="222"/>
      <c r="F275" s="223" t="s">
        <v>762</v>
      </c>
      <c r="G275" s="224"/>
      <c r="H275" s="222"/>
      <c r="I275" s="232">
        <v>6600.0</v>
      </c>
      <c r="J275" s="233">
        <v>0.88</v>
      </c>
      <c r="K275" s="318">
        <v>5808.0</v>
      </c>
      <c r="L275" s="199"/>
      <c r="M275" s="235">
        <v>45973.0</v>
      </c>
      <c r="N275" s="222"/>
      <c r="O275" s="227">
        <v>1880068.0</v>
      </c>
      <c r="P275" s="222"/>
      <c r="Q275" s="227" t="s">
        <v>762</v>
      </c>
      <c r="R275" s="224"/>
      <c r="S275" s="222"/>
      <c r="T275" s="228">
        <v>2888.0</v>
      </c>
      <c r="U275" s="228">
        <v>0.65</v>
      </c>
      <c r="V275" s="237">
        <v>1877.2</v>
      </c>
      <c r="W275" s="199"/>
    </row>
    <row r="276">
      <c r="A276" s="283"/>
      <c r="B276" s="319"/>
      <c r="C276" s="222"/>
      <c r="D276" s="240"/>
      <c r="E276" s="222"/>
      <c r="F276" s="240"/>
      <c r="G276" s="224"/>
      <c r="H276" s="222"/>
      <c r="I276" s="241"/>
      <c r="J276" s="233">
        <v>0.88</v>
      </c>
      <c r="K276" s="318">
        <v>0.0</v>
      </c>
      <c r="L276" s="199"/>
      <c r="M276" s="243"/>
      <c r="N276" s="222"/>
      <c r="O276" s="243"/>
      <c r="P276" s="222"/>
      <c r="Q276" s="243"/>
      <c r="R276" s="224"/>
      <c r="S276" s="222"/>
      <c r="T276" s="244"/>
      <c r="U276" s="228">
        <v>0.65</v>
      </c>
      <c r="V276" s="237">
        <v>0.0</v>
      </c>
      <c r="W276" s="199"/>
    </row>
    <row r="277">
      <c r="A277" s="283"/>
      <c r="B277" s="319"/>
      <c r="C277" s="222"/>
      <c r="D277" s="240"/>
      <c r="E277" s="222"/>
      <c r="F277" s="240"/>
      <c r="G277" s="224"/>
      <c r="H277" s="222"/>
      <c r="I277" s="241"/>
      <c r="J277" s="233">
        <v>0.88</v>
      </c>
      <c r="K277" s="318">
        <v>0.0</v>
      </c>
      <c r="L277" s="199"/>
      <c r="M277" s="243"/>
      <c r="N277" s="222"/>
      <c r="O277" s="243"/>
      <c r="P277" s="222"/>
      <c r="Q277" s="243"/>
      <c r="R277" s="224"/>
      <c r="S277" s="222"/>
      <c r="T277" s="244"/>
      <c r="U277" s="228">
        <v>0.65</v>
      </c>
      <c r="V277" s="237">
        <v>0.0</v>
      </c>
      <c r="W277" s="199"/>
    </row>
    <row r="278">
      <c r="A278" s="283"/>
      <c r="B278" s="319"/>
      <c r="C278" s="222"/>
      <c r="D278" s="240"/>
      <c r="E278" s="222"/>
      <c r="F278" s="240"/>
      <c r="G278" s="224"/>
      <c r="H278" s="222"/>
      <c r="I278" s="241"/>
      <c r="J278" s="233">
        <v>0.88</v>
      </c>
      <c r="K278" s="318">
        <v>0.0</v>
      </c>
      <c r="L278" s="199"/>
      <c r="M278" s="243"/>
      <c r="N278" s="222"/>
      <c r="O278" s="243"/>
      <c r="P278" s="222"/>
      <c r="Q278" s="243"/>
      <c r="R278" s="224"/>
      <c r="S278" s="222"/>
      <c r="T278" s="244"/>
      <c r="U278" s="228">
        <v>0.65</v>
      </c>
      <c r="V278" s="237">
        <v>0.0</v>
      </c>
      <c r="W278" s="199"/>
    </row>
    <row r="279">
      <c r="A279" s="283"/>
      <c r="B279" s="322" t="s">
        <v>711</v>
      </c>
      <c r="C279" s="224"/>
      <c r="D279" s="224"/>
      <c r="E279" s="224"/>
      <c r="F279" s="224"/>
      <c r="G279" s="224"/>
      <c r="H279" s="222"/>
      <c r="I279" s="291">
        <v>7800.0</v>
      </c>
      <c r="J279" s="241"/>
      <c r="K279" s="323">
        <v>6864.0</v>
      </c>
      <c r="L279" s="199"/>
      <c r="M279" s="243"/>
      <c r="N279" s="222"/>
      <c r="O279" s="243"/>
      <c r="P279" s="222"/>
      <c r="Q279" s="243"/>
      <c r="R279" s="224"/>
      <c r="S279" s="222"/>
      <c r="T279" s="290"/>
      <c r="U279" s="290"/>
      <c r="V279" s="244"/>
      <c r="W279" s="199"/>
    </row>
    <row r="280">
      <c r="A280" s="283"/>
      <c r="B280" s="324"/>
      <c r="C280" s="248"/>
      <c r="D280" s="248"/>
      <c r="E280" s="248"/>
      <c r="F280" s="248"/>
      <c r="G280" s="248"/>
      <c r="H280" s="248"/>
      <c r="I280" s="248"/>
      <c r="J280" s="248"/>
      <c r="K280" s="325"/>
      <c r="L280" s="199"/>
      <c r="M280" s="246" t="s">
        <v>711</v>
      </c>
      <c r="N280" s="224"/>
      <c r="O280" s="224"/>
      <c r="P280" s="224"/>
      <c r="Q280" s="224"/>
      <c r="R280" s="224"/>
      <c r="S280" s="222"/>
      <c r="T280" s="228">
        <v>3614.0</v>
      </c>
      <c r="U280" s="244"/>
      <c r="V280" s="237">
        <v>2349.1</v>
      </c>
      <c r="W280" s="199"/>
    </row>
    <row r="281">
      <c r="A281" s="283"/>
      <c r="B281" s="326" t="s">
        <v>712</v>
      </c>
      <c r="C281" s="222"/>
      <c r="D281" s="253"/>
      <c r="E281" s="222"/>
      <c r="F281" s="248"/>
      <c r="G281" s="248"/>
      <c r="H281" s="248"/>
      <c r="I281" s="248"/>
      <c r="J281" s="248"/>
      <c r="K281" s="325"/>
      <c r="L281" s="199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  <c r="W281" s="199"/>
    </row>
    <row r="282">
      <c r="A282" s="283"/>
      <c r="B282" s="327"/>
      <c r="C282" s="222"/>
      <c r="D282" s="253"/>
      <c r="E282" s="222"/>
      <c r="F282" s="248"/>
      <c r="G282" s="248"/>
      <c r="H282" s="248"/>
      <c r="I282" s="248"/>
      <c r="J282" s="248"/>
      <c r="K282" s="325"/>
      <c r="L282" s="199"/>
      <c r="M282" s="254" t="s">
        <v>712</v>
      </c>
      <c r="N282" s="222"/>
      <c r="O282" s="255"/>
      <c r="P282" s="222"/>
      <c r="Q282" s="251"/>
      <c r="R282" s="251"/>
      <c r="S282" s="251"/>
      <c r="T282" s="251"/>
      <c r="U282" s="251"/>
      <c r="V282" s="251"/>
      <c r="W282" s="199"/>
    </row>
    <row r="283">
      <c r="A283" s="283"/>
      <c r="B283" s="327"/>
      <c r="C283" s="222"/>
      <c r="D283" s="253"/>
      <c r="E283" s="222"/>
      <c r="F283" s="248"/>
      <c r="G283" s="248"/>
      <c r="H283" s="260"/>
      <c r="I283" s="260"/>
      <c r="J283" s="260"/>
      <c r="K283" s="348"/>
      <c r="L283" s="199"/>
      <c r="M283" s="342" t="s">
        <v>763</v>
      </c>
      <c r="N283" s="222"/>
      <c r="O283" s="269">
        <v>100.0</v>
      </c>
      <c r="P283" s="222"/>
      <c r="Q283" s="251"/>
      <c r="R283" s="251"/>
      <c r="S283" s="251"/>
      <c r="T283" s="251"/>
      <c r="U283" s="251"/>
      <c r="V283" s="251"/>
      <c r="W283" s="199"/>
    </row>
    <row r="284">
      <c r="A284" s="283"/>
      <c r="B284" s="328" t="s">
        <v>714</v>
      </c>
      <c r="C284" s="222"/>
      <c r="D284" s="257">
        <v>0.0</v>
      </c>
      <c r="E284" s="222"/>
      <c r="F284" s="248"/>
      <c r="G284" s="248"/>
      <c r="H284" s="260"/>
      <c r="I284" s="260"/>
      <c r="J284" s="260"/>
      <c r="K284" s="348"/>
      <c r="L284" s="199"/>
      <c r="M284" s="255"/>
      <c r="N284" s="222"/>
      <c r="O284" s="255"/>
      <c r="P284" s="222"/>
      <c r="Q284" s="251"/>
      <c r="R284" s="251"/>
      <c r="S284" s="251"/>
      <c r="T284" s="251"/>
      <c r="U284" s="251"/>
      <c r="V284" s="251"/>
      <c r="W284" s="199"/>
    </row>
    <row r="285">
      <c r="A285" s="283"/>
      <c r="B285" s="329"/>
      <c r="C285" s="224"/>
      <c r="D285" s="224"/>
      <c r="E285" s="222"/>
      <c r="F285" s="248"/>
      <c r="G285" s="248"/>
      <c r="H285" s="260"/>
      <c r="I285" s="260"/>
      <c r="J285" s="260"/>
      <c r="K285" s="348"/>
      <c r="L285" s="199"/>
      <c r="M285" s="255"/>
      <c r="N285" s="222"/>
      <c r="O285" s="255"/>
      <c r="P285" s="222"/>
      <c r="Q285" s="251"/>
      <c r="R285" s="251"/>
      <c r="S285" s="251"/>
      <c r="T285" s="251"/>
      <c r="U285" s="251"/>
      <c r="V285" s="251"/>
      <c r="W285" s="199"/>
    </row>
    <row r="286">
      <c r="A286" s="283"/>
      <c r="B286" s="330" t="s">
        <v>715</v>
      </c>
      <c r="C286" s="222"/>
      <c r="D286" s="265"/>
      <c r="E286" s="222"/>
      <c r="F286" s="248"/>
      <c r="G286" s="248"/>
      <c r="H286" s="260"/>
      <c r="I286" s="260"/>
      <c r="J286" s="260"/>
      <c r="K286" s="348"/>
      <c r="L286" s="199"/>
      <c r="M286" s="255"/>
      <c r="N286" s="222"/>
      <c r="O286" s="255"/>
      <c r="P286" s="222"/>
      <c r="Q286" s="251"/>
      <c r="R286" s="251"/>
      <c r="S286" s="251"/>
      <c r="T286" s="251"/>
      <c r="U286" s="251"/>
      <c r="V286" s="251"/>
      <c r="W286" s="199"/>
    </row>
    <row r="287">
      <c r="A287" s="283"/>
      <c r="B287" s="331" t="s">
        <v>716</v>
      </c>
      <c r="C287" s="222"/>
      <c r="D287" s="267">
        <v>150.0</v>
      </c>
      <c r="E287" s="222"/>
      <c r="F287" s="248"/>
      <c r="G287" s="248"/>
      <c r="H287" s="260"/>
      <c r="I287" s="260"/>
      <c r="J287" s="260"/>
      <c r="K287" s="348"/>
      <c r="L287" s="199"/>
      <c r="M287" s="255"/>
      <c r="N287" s="222"/>
      <c r="O287" s="255"/>
      <c r="P287" s="222"/>
      <c r="Q287" s="251"/>
      <c r="R287" s="251"/>
      <c r="S287" s="251"/>
      <c r="T287" s="251"/>
      <c r="U287" s="251"/>
      <c r="V287" s="251"/>
      <c r="W287" s="199"/>
    </row>
    <row r="288">
      <c r="A288" s="283"/>
      <c r="B288" s="331" t="s">
        <v>717</v>
      </c>
      <c r="C288" s="222"/>
      <c r="D288" s="267">
        <v>400.0</v>
      </c>
      <c r="E288" s="222"/>
      <c r="F288" s="248"/>
      <c r="G288" s="248"/>
      <c r="H288" s="260"/>
      <c r="I288" s="260"/>
      <c r="J288" s="260"/>
      <c r="K288" s="348"/>
      <c r="L288" s="199"/>
      <c r="M288" s="268" t="s">
        <v>714</v>
      </c>
      <c r="N288" s="222"/>
      <c r="O288" s="269">
        <v>100.0</v>
      </c>
      <c r="P288" s="222"/>
      <c r="Q288" s="251"/>
      <c r="R288" s="251"/>
      <c r="S288" s="251"/>
      <c r="T288" s="251"/>
      <c r="U288" s="251"/>
      <c r="V288" s="251"/>
      <c r="W288" s="199"/>
    </row>
    <row r="289">
      <c r="A289" s="283"/>
      <c r="B289" s="331" t="s">
        <v>718</v>
      </c>
      <c r="C289" s="222"/>
      <c r="D289" s="267">
        <v>200.0</v>
      </c>
      <c r="E289" s="222"/>
      <c r="F289" s="248"/>
      <c r="G289" s="248"/>
      <c r="H289" s="260"/>
      <c r="I289" s="260"/>
      <c r="J289" s="260"/>
      <c r="K289" s="348"/>
      <c r="L289" s="199"/>
      <c r="M289" s="251"/>
      <c r="N289" s="251"/>
      <c r="O289" s="270"/>
      <c r="Q289" s="251"/>
      <c r="R289" s="251"/>
      <c r="S289" s="251"/>
      <c r="T289" s="251"/>
      <c r="U289" s="251"/>
      <c r="V289" s="251"/>
      <c r="W289" s="199"/>
    </row>
    <row r="290">
      <c r="A290" s="283"/>
      <c r="B290" s="331" t="s">
        <v>656</v>
      </c>
      <c r="C290" s="222"/>
      <c r="D290" s="267">
        <v>2025.22</v>
      </c>
      <c r="E290" s="222"/>
      <c r="F290" s="248"/>
      <c r="G290" s="248"/>
      <c r="H290" s="260"/>
      <c r="I290" s="260"/>
      <c r="J290" s="260"/>
      <c r="K290" s="348"/>
      <c r="L290" s="199"/>
      <c r="M290" s="271" t="s">
        <v>715</v>
      </c>
      <c r="N290" s="222"/>
      <c r="O290" s="272"/>
      <c r="P290" s="222"/>
      <c r="Q290" s="251"/>
      <c r="R290" s="251"/>
      <c r="S290" s="251"/>
      <c r="T290" s="251"/>
      <c r="U290" s="251"/>
      <c r="V290" s="251"/>
      <c r="W290" s="199"/>
    </row>
    <row r="291">
      <c r="A291" s="283"/>
      <c r="B291" s="334"/>
      <c r="C291" s="222"/>
      <c r="D291" s="265"/>
      <c r="E291" s="222"/>
      <c r="F291" s="248"/>
      <c r="G291" s="248"/>
      <c r="H291" s="276" t="s">
        <v>720</v>
      </c>
      <c r="I291" s="211"/>
      <c r="J291" s="277">
        <v>3351.28</v>
      </c>
      <c r="K291" s="314"/>
      <c r="L291" s="199"/>
      <c r="M291" s="356"/>
      <c r="N291" s="222"/>
      <c r="O291" s="272"/>
      <c r="P291" s="222"/>
      <c r="Q291" s="251"/>
      <c r="R291" s="251"/>
      <c r="S291" s="273" t="s">
        <v>719</v>
      </c>
      <c r="T291" s="211"/>
      <c r="U291" s="274">
        <v>2449.1</v>
      </c>
      <c r="V291" s="211"/>
      <c r="W291" s="199"/>
    </row>
    <row r="292">
      <c r="A292" s="283"/>
      <c r="B292" s="334"/>
      <c r="C292" s="222"/>
      <c r="D292" s="265"/>
      <c r="E292" s="222"/>
      <c r="F292" s="248"/>
      <c r="G292" s="248"/>
      <c r="H292" s="278"/>
      <c r="I292" s="56"/>
      <c r="J292" s="278"/>
      <c r="K292" s="333"/>
      <c r="L292" s="199"/>
      <c r="M292" s="272"/>
      <c r="N292" s="222"/>
      <c r="O292" s="272"/>
      <c r="P292" s="222"/>
      <c r="Q292" s="251"/>
      <c r="R292" s="251"/>
      <c r="S292" s="278"/>
      <c r="T292" s="56"/>
      <c r="U292" s="278"/>
      <c r="V292" s="56"/>
      <c r="W292" s="199"/>
    </row>
    <row r="293">
      <c r="A293" s="283"/>
      <c r="B293" s="343" t="s">
        <v>764</v>
      </c>
      <c r="C293" s="211"/>
      <c r="D293" s="302">
        <v>737.5</v>
      </c>
      <c r="E293" s="211"/>
      <c r="F293" s="248"/>
      <c r="G293" s="248"/>
      <c r="H293" s="215"/>
      <c r="I293" s="64"/>
      <c r="J293" s="215"/>
      <c r="K293" s="313"/>
      <c r="L293" s="199"/>
      <c r="M293" s="272"/>
      <c r="N293" s="222"/>
      <c r="O293" s="272"/>
      <c r="P293" s="222"/>
      <c r="Q293" s="251"/>
      <c r="R293" s="251"/>
      <c r="S293" s="215"/>
      <c r="T293" s="64"/>
      <c r="U293" s="215"/>
      <c r="V293" s="64"/>
      <c r="W293" s="199"/>
    </row>
    <row r="294">
      <c r="A294" s="283"/>
      <c r="B294" s="344"/>
      <c r="C294" s="64"/>
      <c r="D294" s="215"/>
      <c r="E294" s="64"/>
      <c r="F294" s="248"/>
      <c r="G294" s="248"/>
      <c r="H294" s="248"/>
      <c r="I294" s="248"/>
      <c r="J294" s="248"/>
      <c r="K294" s="325"/>
      <c r="L294" s="199"/>
      <c r="M294" s="272"/>
      <c r="N294" s="222"/>
      <c r="O294" s="272"/>
      <c r="P294" s="222"/>
      <c r="Q294" s="251"/>
      <c r="R294" s="251"/>
      <c r="S294" s="251"/>
      <c r="T294" s="251"/>
      <c r="U294" s="251"/>
      <c r="V294" s="251"/>
      <c r="W294" s="199"/>
    </row>
    <row r="295">
      <c r="A295" s="283"/>
      <c r="B295" s="334"/>
      <c r="C295" s="222"/>
      <c r="D295" s="265"/>
      <c r="E295" s="222"/>
      <c r="F295" s="248"/>
      <c r="G295" s="248"/>
      <c r="H295" s="248"/>
      <c r="I295" s="248"/>
      <c r="J295" s="248"/>
      <c r="K295" s="325"/>
      <c r="L295" s="199"/>
      <c r="M295" s="272"/>
      <c r="N295" s="222"/>
      <c r="O295" s="272"/>
      <c r="P295" s="222"/>
      <c r="Q295" s="251"/>
      <c r="R295" s="251"/>
      <c r="S295" s="251"/>
      <c r="T295" s="251"/>
      <c r="U295" s="251"/>
      <c r="V295" s="251"/>
      <c r="W295" s="199"/>
    </row>
    <row r="296">
      <c r="A296" s="283"/>
      <c r="B296" s="331" t="s">
        <v>721</v>
      </c>
      <c r="C296" s="222"/>
      <c r="D296" s="267">
        <v>3512.72</v>
      </c>
      <c r="E296" s="222"/>
      <c r="F296" s="248"/>
      <c r="G296" s="248"/>
      <c r="H296" s="248"/>
      <c r="I296" s="248"/>
      <c r="J296" s="248"/>
      <c r="K296" s="325"/>
      <c r="L296" s="199"/>
      <c r="M296" s="280" t="s">
        <v>721</v>
      </c>
      <c r="N296" s="222"/>
      <c r="O296" s="281">
        <v>0.0</v>
      </c>
      <c r="P296" s="222"/>
      <c r="Q296" s="251"/>
      <c r="R296" s="251"/>
      <c r="S296" s="251"/>
      <c r="T296" s="251"/>
      <c r="U296" s="251"/>
      <c r="V296" s="251"/>
      <c r="W296" s="199"/>
    </row>
    <row r="297">
      <c r="A297" s="283"/>
      <c r="B297" s="345"/>
      <c r="C297" s="346"/>
      <c r="D297" s="346"/>
      <c r="E297" s="346"/>
      <c r="F297" s="346"/>
      <c r="G297" s="346"/>
      <c r="H297" s="346"/>
      <c r="I297" s="346"/>
      <c r="J297" s="346"/>
      <c r="K297" s="347"/>
      <c r="L297" s="199"/>
      <c r="M297" s="282"/>
      <c r="N297" s="282"/>
      <c r="O297" s="282"/>
      <c r="P297" s="282"/>
      <c r="Q297" s="282"/>
      <c r="R297" s="282"/>
      <c r="S297" s="282"/>
      <c r="T297" s="282"/>
      <c r="U297" s="282"/>
      <c r="V297" s="282"/>
      <c r="W297" s="199"/>
    </row>
    <row r="298">
      <c r="A298" s="283"/>
      <c r="B298" s="260"/>
      <c r="C298" s="260"/>
      <c r="D298" s="260"/>
      <c r="E298" s="260"/>
      <c r="F298" s="260"/>
      <c r="G298" s="260"/>
      <c r="H298" s="260"/>
      <c r="I298" s="260"/>
      <c r="J298" s="260"/>
      <c r="K298" s="260"/>
      <c r="L298" s="199"/>
      <c r="M298" s="199"/>
      <c r="N298" s="199"/>
      <c r="O298" s="199"/>
      <c r="P298" s="199"/>
      <c r="Q298" s="199"/>
      <c r="R298" s="199"/>
      <c r="S298" s="199"/>
      <c r="T298" s="199"/>
      <c r="U298" s="199"/>
      <c r="V298" s="199"/>
      <c r="W298" s="199"/>
    </row>
    <row r="299">
      <c r="A299" s="283"/>
      <c r="B299" s="199"/>
      <c r="C299" s="199"/>
      <c r="D299" s="199"/>
      <c r="E299" s="199"/>
      <c r="F299" s="199"/>
      <c r="G299" s="199"/>
      <c r="H299" s="199"/>
      <c r="I299" s="199"/>
      <c r="J299" s="199"/>
      <c r="K299" s="199"/>
      <c r="L299" s="199"/>
      <c r="M299" s="199"/>
      <c r="N299" s="199"/>
      <c r="O299" s="199"/>
      <c r="P299" s="199"/>
      <c r="Q299" s="199"/>
      <c r="R299" s="199"/>
      <c r="S299" s="199"/>
      <c r="T299" s="199"/>
      <c r="U299" s="199"/>
      <c r="V299" s="199"/>
      <c r="W299" s="199"/>
    </row>
    <row r="300">
      <c r="A300" s="283"/>
      <c r="B300" s="199"/>
      <c r="C300" s="199"/>
      <c r="D300" s="199"/>
      <c r="E300" s="199"/>
      <c r="F300" s="199"/>
      <c r="G300" s="199"/>
      <c r="H300" s="199"/>
      <c r="I300" s="199"/>
      <c r="J300" s="199"/>
      <c r="K300" s="199"/>
      <c r="L300" s="199"/>
      <c r="M300" s="199"/>
      <c r="N300" s="199"/>
      <c r="O300" s="199"/>
      <c r="P300" s="199"/>
      <c r="Q300" s="199"/>
      <c r="R300" s="199"/>
      <c r="S300" s="199"/>
      <c r="T300" s="199"/>
      <c r="U300" s="199"/>
      <c r="V300" s="199"/>
      <c r="W300" s="199"/>
    </row>
    <row r="301">
      <c r="A301" s="283"/>
      <c r="B301" s="306"/>
      <c r="C301" s="307"/>
      <c r="D301" s="307"/>
      <c r="E301" s="307"/>
      <c r="F301" s="309"/>
      <c r="G301" s="308" t="s">
        <v>700</v>
      </c>
      <c r="H301" s="309"/>
      <c r="I301" s="310" t="s">
        <v>701</v>
      </c>
      <c r="J301" s="307"/>
      <c r="K301" s="311"/>
      <c r="L301" s="199"/>
      <c r="M301" s="287"/>
      <c r="Q301" s="56"/>
      <c r="R301" s="210" t="s">
        <v>700</v>
      </c>
      <c r="S301" s="211"/>
      <c r="T301" s="212" t="s">
        <v>701</v>
      </c>
      <c r="U301" s="213"/>
      <c r="V301" s="211"/>
      <c r="W301" s="199"/>
    </row>
    <row r="302">
      <c r="A302" s="283"/>
      <c r="B302" s="312"/>
      <c r="F302" s="56"/>
      <c r="G302" s="215"/>
      <c r="H302" s="64"/>
      <c r="I302" s="215"/>
      <c r="J302" s="216"/>
      <c r="K302" s="313"/>
      <c r="L302" s="199"/>
      <c r="Q302" s="56"/>
      <c r="R302" s="215"/>
      <c r="S302" s="64"/>
      <c r="T302" s="215"/>
      <c r="U302" s="216"/>
      <c r="V302" s="64"/>
      <c r="W302" s="199"/>
    </row>
    <row r="303">
      <c r="A303" s="283"/>
      <c r="B303" s="312"/>
      <c r="F303" s="56"/>
      <c r="G303" s="218" t="s">
        <v>702</v>
      </c>
      <c r="H303" s="211"/>
      <c r="I303" s="219" t="s">
        <v>664</v>
      </c>
      <c r="J303" s="213"/>
      <c r="K303" s="314"/>
      <c r="L303" s="199"/>
      <c r="Q303" s="56"/>
      <c r="R303" s="210" t="s">
        <v>351</v>
      </c>
      <c r="S303" s="211"/>
      <c r="T303" s="212" t="s">
        <v>594</v>
      </c>
      <c r="U303" s="213"/>
      <c r="V303" s="211"/>
      <c r="W303" s="199"/>
    </row>
    <row r="304">
      <c r="A304" s="283"/>
      <c r="B304" s="312"/>
      <c r="F304" s="56"/>
      <c r="G304" s="215"/>
      <c r="H304" s="64"/>
      <c r="I304" s="215"/>
      <c r="J304" s="216"/>
      <c r="K304" s="313"/>
      <c r="L304" s="199"/>
      <c r="Q304" s="56"/>
      <c r="R304" s="215"/>
      <c r="S304" s="64"/>
      <c r="T304" s="215"/>
      <c r="U304" s="216"/>
      <c r="V304" s="64"/>
      <c r="W304" s="199"/>
    </row>
    <row r="305">
      <c r="A305" s="283"/>
      <c r="B305" s="312"/>
      <c r="F305" s="56"/>
      <c r="G305" s="218" t="s">
        <v>703</v>
      </c>
      <c r="H305" s="211"/>
      <c r="I305" s="219">
        <v>3819.0</v>
      </c>
      <c r="J305" s="213"/>
      <c r="K305" s="314"/>
      <c r="L305" s="199"/>
      <c r="Q305" s="56"/>
      <c r="R305" s="210" t="s">
        <v>703</v>
      </c>
      <c r="S305" s="211"/>
      <c r="T305" s="212">
        <v>3819.0</v>
      </c>
      <c r="U305" s="213"/>
      <c r="V305" s="211"/>
      <c r="W305" s="199"/>
    </row>
    <row r="306">
      <c r="A306" s="283"/>
      <c r="B306" s="344"/>
      <c r="C306" s="216"/>
      <c r="D306" s="216"/>
      <c r="E306" s="216"/>
      <c r="F306" s="64"/>
      <c r="G306" s="215"/>
      <c r="H306" s="64"/>
      <c r="I306" s="215"/>
      <c r="J306" s="216"/>
      <c r="K306" s="313"/>
      <c r="L306" s="199"/>
      <c r="M306" s="216"/>
      <c r="N306" s="216"/>
      <c r="O306" s="216"/>
      <c r="P306" s="216"/>
      <c r="Q306" s="64"/>
      <c r="R306" s="215"/>
      <c r="S306" s="64"/>
      <c r="T306" s="215"/>
      <c r="U306" s="216"/>
      <c r="V306" s="64"/>
      <c r="W306" s="199"/>
    </row>
    <row r="307">
      <c r="A307" s="283"/>
      <c r="B307" s="315" t="s">
        <v>704</v>
      </c>
      <c r="C307" s="222"/>
      <c r="D307" s="231" t="s">
        <v>5</v>
      </c>
      <c r="E307" s="222"/>
      <c r="F307" s="231" t="s">
        <v>705</v>
      </c>
      <c r="G307" s="224"/>
      <c r="H307" s="222"/>
      <c r="I307" s="225" t="s">
        <v>8</v>
      </c>
      <c r="J307" s="225" t="s">
        <v>706</v>
      </c>
      <c r="K307" s="316" t="s">
        <v>707</v>
      </c>
      <c r="L307" s="199"/>
      <c r="M307" s="227" t="s">
        <v>704</v>
      </c>
      <c r="N307" s="222"/>
      <c r="O307" s="236" t="s">
        <v>5</v>
      </c>
      <c r="P307" s="222"/>
      <c r="Q307" s="236" t="s">
        <v>705</v>
      </c>
      <c r="R307" s="224"/>
      <c r="S307" s="222"/>
      <c r="T307" s="228" t="s">
        <v>591</v>
      </c>
      <c r="U307" s="228" t="s">
        <v>708</v>
      </c>
      <c r="V307" s="228" t="s">
        <v>707</v>
      </c>
      <c r="W307" s="199"/>
    </row>
    <row r="308">
      <c r="A308" s="283"/>
      <c r="B308" s="317">
        <v>45972.0</v>
      </c>
      <c r="C308" s="222"/>
      <c r="D308" s="231">
        <v>2.0420613E7</v>
      </c>
      <c r="E308" s="222"/>
      <c r="F308" s="231" t="s">
        <v>765</v>
      </c>
      <c r="G308" s="224"/>
      <c r="H308" s="222"/>
      <c r="I308" s="232">
        <v>2800.0</v>
      </c>
      <c r="J308" s="233">
        <v>0.88</v>
      </c>
      <c r="K308" s="318">
        <v>2464.0</v>
      </c>
      <c r="L308" s="199"/>
      <c r="M308" s="235">
        <v>45972.0</v>
      </c>
      <c r="N308" s="222"/>
      <c r="O308" s="236">
        <v>2.0420613E7</v>
      </c>
      <c r="P308" s="222"/>
      <c r="Q308" s="236" t="s">
        <v>765</v>
      </c>
      <c r="R308" s="224"/>
      <c r="S308" s="222"/>
      <c r="T308" s="228">
        <v>1113.0</v>
      </c>
      <c r="U308" s="228">
        <v>0.65</v>
      </c>
      <c r="V308" s="237">
        <v>723.45</v>
      </c>
      <c r="W308" s="199"/>
    </row>
    <row r="309">
      <c r="A309" s="283"/>
      <c r="B309" s="317">
        <v>45973.0</v>
      </c>
      <c r="C309" s="222"/>
      <c r="D309" s="231" t="s">
        <v>766</v>
      </c>
      <c r="E309" s="222"/>
      <c r="F309" s="231" t="s">
        <v>767</v>
      </c>
      <c r="G309" s="224"/>
      <c r="H309" s="222"/>
      <c r="I309" s="232">
        <v>600.0</v>
      </c>
      <c r="J309" s="233">
        <v>0.88</v>
      </c>
      <c r="K309" s="318">
        <v>528.0</v>
      </c>
      <c r="L309" s="199"/>
      <c r="M309" s="235">
        <v>45973.0</v>
      </c>
      <c r="N309" s="222"/>
      <c r="O309" s="236" t="s">
        <v>766</v>
      </c>
      <c r="P309" s="222"/>
      <c r="Q309" s="236" t="s">
        <v>767</v>
      </c>
      <c r="R309" s="224"/>
      <c r="S309" s="222"/>
      <c r="T309" s="228">
        <v>625.0</v>
      </c>
      <c r="U309" s="228">
        <v>0.65</v>
      </c>
      <c r="V309" s="237">
        <v>406.25</v>
      </c>
      <c r="W309" s="199"/>
    </row>
    <row r="310">
      <c r="A310" s="283"/>
      <c r="B310" s="317">
        <v>45974.0</v>
      </c>
      <c r="C310" s="222"/>
      <c r="D310" s="231">
        <v>5.34634032E8</v>
      </c>
      <c r="E310" s="222"/>
      <c r="F310" s="231" t="s">
        <v>768</v>
      </c>
      <c r="G310" s="224"/>
      <c r="H310" s="222"/>
      <c r="I310" s="232">
        <v>1440.0</v>
      </c>
      <c r="J310" s="233">
        <v>0.88</v>
      </c>
      <c r="K310" s="318">
        <v>1267.2</v>
      </c>
      <c r="L310" s="199"/>
      <c r="M310" s="235">
        <v>45974.0</v>
      </c>
      <c r="N310" s="222"/>
      <c r="O310" s="236">
        <v>5.34634032E8</v>
      </c>
      <c r="P310" s="222"/>
      <c r="Q310" s="236" t="s">
        <v>768</v>
      </c>
      <c r="R310" s="224"/>
      <c r="S310" s="222"/>
      <c r="T310" s="228">
        <v>810.0</v>
      </c>
      <c r="U310" s="228">
        <v>0.65</v>
      </c>
      <c r="V310" s="237">
        <v>526.5</v>
      </c>
      <c r="W310" s="199"/>
    </row>
    <row r="311">
      <c r="A311" s="283"/>
      <c r="B311" s="317">
        <v>45975.0</v>
      </c>
      <c r="C311" s="222"/>
      <c r="D311" s="231" t="s">
        <v>769</v>
      </c>
      <c r="E311" s="222"/>
      <c r="F311" s="231" t="s">
        <v>770</v>
      </c>
      <c r="G311" s="224"/>
      <c r="H311" s="222"/>
      <c r="I311" s="232">
        <v>4900.0</v>
      </c>
      <c r="J311" s="233">
        <v>0.88</v>
      </c>
      <c r="K311" s="318">
        <v>4312.0</v>
      </c>
      <c r="L311" s="199"/>
      <c r="M311" s="235">
        <v>45975.0</v>
      </c>
      <c r="N311" s="222"/>
      <c r="O311" s="236" t="s">
        <v>769</v>
      </c>
      <c r="P311" s="222"/>
      <c r="Q311" s="236" t="s">
        <v>770</v>
      </c>
      <c r="R311" s="224"/>
      <c r="S311" s="222"/>
      <c r="T311" s="228">
        <v>3366.0</v>
      </c>
      <c r="U311" s="228">
        <v>0.65</v>
      </c>
      <c r="V311" s="237">
        <v>2187.9</v>
      </c>
      <c r="W311" s="199"/>
    </row>
    <row r="312">
      <c r="A312" s="283"/>
      <c r="B312" s="319"/>
      <c r="C312" s="222"/>
      <c r="D312" s="349"/>
      <c r="E312" s="222"/>
      <c r="F312" s="349"/>
      <c r="G312" s="224"/>
      <c r="H312" s="222"/>
      <c r="I312" s="241"/>
      <c r="J312" s="233">
        <v>0.88</v>
      </c>
      <c r="K312" s="318">
        <v>0.0</v>
      </c>
      <c r="L312" s="199"/>
      <c r="M312" s="243"/>
      <c r="N312" s="222"/>
      <c r="O312" s="350"/>
      <c r="P312" s="222"/>
      <c r="Q312" s="350"/>
      <c r="R312" s="224"/>
      <c r="S312" s="222"/>
      <c r="T312" s="244"/>
      <c r="U312" s="244"/>
      <c r="V312" s="237">
        <v>0.0</v>
      </c>
      <c r="W312" s="199"/>
    </row>
    <row r="313">
      <c r="A313" s="283"/>
      <c r="B313" s="319"/>
      <c r="C313" s="222"/>
      <c r="D313" s="349"/>
      <c r="E313" s="222"/>
      <c r="F313" s="349"/>
      <c r="G313" s="224"/>
      <c r="H313" s="222"/>
      <c r="I313" s="241"/>
      <c r="J313" s="233">
        <v>0.88</v>
      </c>
      <c r="K313" s="318">
        <v>0.0</v>
      </c>
      <c r="L313" s="199"/>
      <c r="M313" s="243"/>
      <c r="N313" s="222"/>
      <c r="O313" s="350"/>
      <c r="P313" s="222"/>
      <c r="Q313" s="350"/>
      <c r="R313" s="224"/>
      <c r="S313" s="222"/>
      <c r="T313" s="244"/>
      <c r="U313" s="244"/>
      <c r="V313" s="237">
        <v>0.0</v>
      </c>
      <c r="W313" s="199"/>
    </row>
    <row r="314">
      <c r="A314" s="283"/>
      <c r="B314" s="319"/>
      <c r="C314" s="222"/>
      <c r="D314" s="349"/>
      <c r="E314" s="222"/>
      <c r="F314" s="349"/>
      <c r="G314" s="224"/>
      <c r="H314" s="222"/>
      <c r="I314" s="241"/>
      <c r="J314" s="233">
        <v>0.88</v>
      </c>
      <c r="K314" s="318">
        <v>0.0</v>
      </c>
      <c r="L314" s="199"/>
      <c r="M314" s="243"/>
      <c r="N314" s="222"/>
      <c r="O314" s="350"/>
      <c r="P314" s="222"/>
      <c r="Q314" s="350"/>
      <c r="R314" s="224"/>
      <c r="S314" s="222"/>
      <c r="T314" s="244"/>
      <c r="U314" s="244"/>
      <c r="V314" s="237">
        <v>0.0</v>
      </c>
      <c r="W314" s="199"/>
    </row>
    <row r="315">
      <c r="A315" s="283"/>
      <c r="B315" s="322" t="s">
        <v>711</v>
      </c>
      <c r="C315" s="224"/>
      <c r="D315" s="224"/>
      <c r="E315" s="224"/>
      <c r="F315" s="224"/>
      <c r="G315" s="224"/>
      <c r="H315" s="222"/>
      <c r="I315" s="291">
        <v>9740.0</v>
      </c>
      <c r="J315" s="241"/>
      <c r="K315" s="323">
        <v>8571.2</v>
      </c>
      <c r="L315" s="199"/>
      <c r="M315" s="246" t="s">
        <v>711</v>
      </c>
      <c r="N315" s="224"/>
      <c r="O315" s="224"/>
      <c r="P315" s="224"/>
      <c r="Q315" s="224"/>
      <c r="R315" s="224"/>
      <c r="S315" s="222"/>
      <c r="T315" s="228">
        <v>5914.0</v>
      </c>
      <c r="U315" s="244"/>
      <c r="V315" s="237">
        <v>3844.1</v>
      </c>
      <c r="W315" s="199"/>
    </row>
    <row r="316">
      <c r="A316" s="283"/>
      <c r="B316" s="324"/>
      <c r="C316" s="248"/>
      <c r="D316" s="248"/>
      <c r="E316" s="248"/>
      <c r="F316" s="248"/>
      <c r="G316" s="248"/>
      <c r="H316" s="248"/>
      <c r="I316" s="248"/>
      <c r="J316" s="248"/>
      <c r="K316" s="325"/>
      <c r="L316" s="199"/>
      <c r="M316" s="251"/>
      <c r="N316" s="251"/>
      <c r="O316" s="251"/>
      <c r="P316" s="251"/>
      <c r="Q316" s="251"/>
      <c r="R316" s="251"/>
      <c r="S316" s="251"/>
      <c r="T316" s="251"/>
      <c r="U316" s="251"/>
      <c r="V316" s="251"/>
      <c r="W316" s="199"/>
    </row>
    <row r="317">
      <c r="A317" s="283"/>
      <c r="B317" s="326" t="s">
        <v>712</v>
      </c>
      <c r="C317" s="222"/>
      <c r="D317" s="351"/>
      <c r="E317" s="222"/>
      <c r="F317" s="248"/>
      <c r="G317" s="248"/>
      <c r="H317" s="248"/>
      <c r="I317" s="248"/>
      <c r="J317" s="248"/>
      <c r="K317" s="325"/>
      <c r="L317" s="199"/>
      <c r="M317" s="254" t="s">
        <v>712</v>
      </c>
      <c r="N317" s="222"/>
      <c r="O317" s="357"/>
      <c r="P317" s="222"/>
      <c r="Q317" s="251"/>
      <c r="R317" s="251"/>
      <c r="S317" s="251"/>
      <c r="T317" s="251"/>
      <c r="U317" s="251"/>
      <c r="V317" s="251"/>
      <c r="W317" s="199"/>
    </row>
    <row r="318">
      <c r="A318" s="283"/>
      <c r="B318" s="327"/>
      <c r="C318" s="222"/>
      <c r="D318" s="351"/>
      <c r="E318" s="222"/>
      <c r="F318" s="248"/>
      <c r="G318" s="248"/>
      <c r="H318" s="248"/>
      <c r="I318" s="248"/>
      <c r="J318" s="248"/>
      <c r="K318" s="325"/>
      <c r="L318" s="199"/>
      <c r="M318" s="358"/>
      <c r="N318" s="222"/>
      <c r="O318" s="357"/>
      <c r="P318" s="222"/>
      <c r="Q318" s="251"/>
      <c r="R318" s="251"/>
      <c r="S318" s="251"/>
      <c r="T318" s="251"/>
      <c r="U318" s="251"/>
      <c r="V318" s="251"/>
      <c r="W318" s="199"/>
    </row>
    <row r="319">
      <c r="A319" s="283"/>
      <c r="B319" s="327"/>
      <c r="C319" s="222"/>
      <c r="D319" s="351"/>
      <c r="E319" s="222"/>
      <c r="F319" s="248"/>
      <c r="G319" s="248"/>
      <c r="H319" s="248"/>
      <c r="I319" s="248"/>
      <c r="J319" s="248"/>
      <c r="K319" s="325"/>
      <c r="L319" s="199"/>
      <c r="M319" s="255"/>
      <c r="N319" s="222"/>
      <c r="O319" s="357"/>
      <c r="P319" s="222"/>
      <c r="Q319" s="251"/>
      <c r="R319" s="251"/>
      <c r="S319" s="251"/>
      <c r="T319" s="251"/>
      <c r="U319" s="251"/>
      <c r="V319" s="251"/>
      <c r="W319" s="199"/>
    </row>
    <row r="320">
      <c r="A320" s="283"/>
      <c r="B320" s="328" t="s">
        <v>714</v>
      </c>
      <c r="C320" s="222"/>
      <c r="D320" s="352">
        <v>0.0</v>
      </c>
      <c r="E320" s="222"/>
      <c r="F320" s="248"/>
      <c r="G320" s="248"/>
      <c r="H320" s="248"/>
      <c r="I320" s="248"/>
      <c r="J320" s="248"/>
      <c r="K320" s="325"/>
      <c r="L320" s="199"/>
      <c r="M320" s="255"/>
      <c r="N320" s="222"/>
      <c r="O320" s="357"/>
      <c r="P320" s="222"/>
      <c r="Q320" s="251"/>
      <c r="R320" s="251"/>
      <c r="S320" s="251"/>
      <c r="T320" s="251"/>
      <c r="U320" s="251"/>
      <c r="V320" s="251"/>
      <c r="W320" s="199"/>
    </row>
    <row r="321">
      <c r="A321" s="283"/>
      <c r="B321" s="329"/>
      <c r="C321" s="224"/>
      <c r="D321" s="224"/>
      <c r="E321" s="222"/>
      <c r="F321" s="248"/>
      <c r="G321" s="248"/>
      <c r="H321" s="248"/>
      <c r="I321" s="248"/>
      <c r="J321" s="248"/>
      <c r="K321" s="325"/>
      <c r="L321" s="199"/>
      <c r="M321" s="255"/>
      <c r="N321" s="222"/>
      <c r="O321" s="357"/>
      <c r="P321" s="222"/>
      <c r="Q321" s="251"/>
      <c r="R321" s="251"/>
      <c r="S321" s="251"/>
      <c r="T321" s="251"/>
      <c r="U321" s="251"/>
      <c r="V321" s="251"/>
      <c r="W321" s="199"/>
    </row>
    <row r="322">
      <c r="A322" s="283"/>
      <c r="B322" s="330" t="s">
        <v>715</v>
      </c>
      <c r="C322" s="222"/>
      <c r="D322" s="353"/>
      <c r="E322" s="222"/>
      <c r="F322" s="248"/>
      <c r="G322" s="248"/>
      <c r="H322" s="248"/>
      <c r="I322" s="248"/>
      <c r="J322" s="248"/>
      <c r="K322" s="325"/>
      <c r="L322" s="199"/>
      <c r="M322" s="255"/>
      <c r="N322" s="222"/>
      <c r="O322" s="357"/>
      <c r="P322" s="222"/>
      <c r="Q322" s="251"/>
      <c r="R322" s="251"/>
      <c r="S322" s="251"/>
      <c r="T322" s="251"/>
      <c r="U322" s="251"/>
      <c r="V322" s="251"/>
      <c r="W322" s="199"/>
    </row>
    <row r="323">
      <c r="A323" s="283"/>
      <c r="B323" s="331" t="s">
        <v>716</v>
      </c>
      <c r="C323" s="222"/>
      <c r="D323" s="267">
        <v>150.0</v>
      </c>
      <c r="E323" s="222"/>
      <c r="F323" s="248"/>
      <c r="G323" s="248"/>
      <c r="H323" s="248"/>
      <c r="I323" s="248"/>
      <c r="J323" s="248"/>
      <c r="K323" s="325"/>
      <c r="L323" s="199"/>
      <c r="M323" s="268" t="s">
        <v>714</v>
      </c>
      <c r="N323" s="222"/>
      <c r="O323" s="359">
        <v>0.0</v>
      </c>
      <c r="P323" s="222"/>
      <c r="Q323" s="251"/>
      <c r="R323" s="251"/>
      <c r="S323" s="251"/>
      <c r="T323" s="251"/>
      <c r="U323" s="251"/>
      <c r="V323" s="251"/>
      <c r="W323" s="199"/>
    </row>
    <row r="324">
      <c r="A324" s="283"/>
      <c r="B324" s="331" t="s">
        <v>717</v>
      </c>
      <c r="C324" s="222"/>
      <c r="D324" s="267">
        <v>400.0</v>
      </c>
      <c r="E324" s="222"/>
      <c r="F324" s="248"/>
      <c r="G324" s="248"/>
      <c r="H324" s="248"/>
      <c r="I324" s="248"/>
      <c r="J324" s="248"/>
      <c r="K324" s="325"/>
      <c r="L324" s="199"/>
      <c r="M324" s="251"/>
      <c r="N324" s="251"/>
      <c r="O324" s="350"/>
      <c r="P324" s="224"/>
      <c r="Q324" s="251"/>
      <c r="R324" s="251"/>
      <c r="S324" s="251"/>
      <c r="T324" s="251"/>
      <c r="U324" s="251"/>
      <c r="V324" s="251"/>
      <c r="W324" s="199"/>
    </row>
    <row r="325">
      <c r="A325" s="283"/>
      <c r="B325" s="331" t="s">
        <v>718</v>
      </c>
      <c r="C325" s="222"/>
      <c r="D325" s="267">
        <v>200.0</v>
      </c>
      <c r="E325" s="222"/>
      <c r="F325" s="248"/>
      <c r="G325" s="248"/>
      <c r="H325" s="248"/>
      <c r="I325" s="248"/>
      <c r="J325" s="248"/>
      <c r="K325" s="325"/>
      <c r="L325" s="199"/>
      <c r="M325" s="271" t="s">
        <v>715</v>
      </c>
      <c r="N325" s="222"/>
      <c r="O325" s="360"/>
      <c r="P325" s="222"/>
      <c r="Q325" s="251"/>
      <c r="R325" s="251"/>
      <c r="S325" s="251"/>
      <c r="T325" s="251"/>
      <c r="U325" s="251"/>
      <c r="V325" s="251"/>
      <c r="W325" s="199"/>
    </row>
    <row r="326">
      <c r="A326" s="283"/>
      <c r="B326" s="331" t="s">
        <v>656</v>
      </c>
      <c r="C326" s="222"/>
      <c r="D326" s="267">
        <v>1935.25</v>
      </c>
      <c r="E326" s="222"/>
      <c r="F326" s="248"/>
      <c r="G326" s="248"/>
      <c r="H326" s="248"/>
      <c r="I326" s="248"/>
      <c r="J326" s="248"/>
      <c r="K326" s="325"/>
      <c r="L326" s="199"/>
      <c r="M326" s="272"/>
      <c r="N326" s="222"/>
      <c r="O326" s="360"/>
      <c r="P326" s="222"/>
      <c r="Q326" s="251"/>
      <c r="R326" s="251"/>
      <c r="S326" s="273" t="s">
        <v>719</v>
      </c>
      <c r="T326" s="211"/>
      <c r="U326" s="274">
        <v>3844.1</v>
      </c>
      <c r="V326" s="211"/>
      <c r="W326" s="199"/>
    </row>
    <row r="327">
      <c r="A327" s="283"/>
      <c r="B327" s="331" t="s">
        <v>771</v>
      </c>
      <c r="C327" s="222"/>
      <c r="D327" s="354">
        <v>68.9</v>
      </c>
      <c r="E327" s="222"/>
      <c r="F327" s="248"/>
      <c r="G327" s="248"/>
      <c r="H327" s="276" t="s">
        <v>720</v>
      </c>
      <c r="I327" s="211"/>
      <c r="J327" s="277">
        <v>5817.05</v>
      </c>
      <c r="K327" s="314"/>
      <c r="L327" s="199"/>
      <c r="M327" s="272"/>
      <c r="N327" s="222"/>
      <c r="O327" s="360"/>
      <c r="P327" s="222"/>
      <c r="Q327" s="251"/>
      <c r="R327" s="251"/>
      <c r="S327" s="278"/>
      <c r="T327" s="56"/>
      <c r="U327" s="278"/>
      <c r="V327" s="56"/>
      <c r="W327" s="199"/>
    </row>
    <row r="328">
      <c r="A328" s="283"/>
      <c r="B328" s="334"/>
      <c r="C328" s="222"/>
      <c r="D328" s="265"/>
      <c r="E328" s="222"/>
      <c r="F328" s="248"/>
      <c r="G328" s="248"/>
      <c r="H328" s="278"/>
      <c r="I328" s="56"/>
      <c r="J328" s="278"/>
      <c r="K328" s="333"/>
      <c r="L328" s="199"/>
      <c r="M328" s="272"/>
      <c r="N328" s="222"/>
      <c r="O328" s="360"/>
      <c r="P328" s="222"/>
      <c r="Q328" s="251"/>
      <c r="R328" s="251"/>
      <c r="S328" s="215"/>
      <c r="T328" s="64"/>
      <c r="U328" s="215"/>
      <c r="V328" s="64"/>
      <c r="W328" s="199"/>
    </row>
    <row r="329">
      <c r="A329" s="283"/>
      <c r="B329" s="334"/>
      <c r="C329" s="222"/>
      <c r="D329" s="265"/>
      <c r="E329" s="222"/>
      <c r="F329" s="248"/>
      <c r="G329" s="248"/>
      <c r="H329" s="215"/>
      <c r="I329" s="64"/>
      <c r="J329" s="215"/>
      <c r="K329" s="313"/>
      <c r="L329" s="199"/>
      <c r="M329" s="272"/>
      <c r="N329" s="222"/>
      <c r="O329" s="360"/>
      <c r="P329" s="222"/>
      <c r="Q329" s="251"/>
      <c r="R329" s="251"/>
      <c r="S329" s="251"/>
      <c r="T329" s="251"/>
      <c r="U329" s="251"/>
      <c r="V329" s="251"/>
      <c r="W329" s="199"/>
    </row>
    <row r="330">
      <c r="A330" s="283"/>
      <c r="B330" s="334"/>
      <c r="C330" s="222"/>
      <c r="D330" s="353"/>
      <c r="E330" s="222"/>
      <c r="F330" s="248"/>
      <c r="G330" s="248"/>
      <c r="H330" s="248"/>
      <c r="I330" s="248"/>
      <c r="J330" s="248"/>
      <c r="K330" s="325"/>
      <c r="L330" s="199"/>
      <c r="M330" s="272"/>
      <c r="N330" s="222"/>
      <c r="O330" s="360"/>
      <c r="P330" s="222"/>
      <c r="Q330" s="251"/>
      <c r="R330" s="251"/>
      <c r="S330" s="251"/>
      <c r="T330" s="251"/>
      <c r="U330" s="251"/>
      <c r="V330" s="251"/>
      <c r="W330" s="199"/>
    </row>
    <row r="331">
      <c r="A331" s="283"/>
      <c r="B331" s="331" t="s">
        <v>721</v>
      </c>
      <c r="C331" s="222"/>
      <c r="D331" s="354">
        <v>2754.15</v>
      </c>
      <c r="E331" s="222"/>
      <c r="F331" s="248"/>
      <c r="G331" s="248"/>
      <c r="H331" s="248"/>
      <c r="I331" s="248"/>
      <c r="J331" s="248"/>
      <c r="K331" s="325"/>
      <c r="L331" s="199"/>
      <c r="M331" s="280" t="s">
        <v>721</v>
      </c>
      <c r="N331" s="222"/>
      <c r="O331" s="355">
        <v>0.0</v>
      </c>
      <c r="P331" s="222"/>
      <c r="Q331" s="251"/>
      <c r="R331" s="251"/>
      <c r="S331" s="251"/>
      <c r="T331" s="251"/>
      <c r="U331" s="251"/>
      <c r="V331" s="251"/>
      <c r="W331" s="199"/>
    </row>
    <row r="332">
      <c r="A332" s="283"/>
      <c r="B332" s="345"/>
      <c r="C332" s="346"/>
      <c r="D332" s="346"/>
      <c r="E332" s="346"/>
      <c r="F332" s="346"/>
      <c r="G332" s="346"/>
      <c r="H332" s="346"/>
      <c r="I332" s="346"/>
      <c r="J332" s="346"/>
      <c r="K332" s="347"/>
      <c r="L332" s="199"/>
      <c r="M332" s="282"/>
      <c r="N332" s="282"/>
      <c r="O332" s="282"/>
      <c r="P332" s="282"/>
      <c r="Q332" s="282"/>
      <c r="R332" s="282"/>
      <c r="S332" s="282"/>
      <c r="T332" s="282"/>
      <c r="U332" s="282"/>
      <c r="V332" s="282"/>
      <c r="W332" s="199"/>
    </row>
    <row r="333">
      <c r="A333" s="283"/>
      <c r="B333" s="260"/>
      <c r="C333" s="260"/>
      <c r="D333" s="260"/>
      <c r="E333" s="260"/>
      <c r="F333" s="260"/>
      <c r="G333" s="260"/>
      <c r="H333" s="260"/>
      <c r="I333" s="260"/>
      <c r="J333" s="260"/>
      <c r="K333" s="260"/>
      <c r="L333" s="199"/>
      <c r="M333" s="282"/>
      <c r="N333" s="282"/>
      <c r="O333" s="282"/>
      <c r="P333" s="282"/>
      <c r="Q333" s="282"/>
      <c r="R333" s="282"/>
      <c r="S333" s="282"/>
      <c r="T333" s="282"/>
      <c r="U333" s="282"/>
      <c r="V333" s="282"/>
      <c r="W333" s="199"/>
    </row>
    <row r="334">
      <c r="A334" s="283"/>
      <c r="B334" s="199"/>
      <c r="C334" s="199"/>
      <c r="D334" s="199"/>
      <c r="E334" s="199"/>
      <c r="F334" s="199"/>
      <c r="G334" s="199"/>
      <c r="H334" s="199"/>
      <c r="I334" s="199"/>
      <c r="J334" s="199"/>
      <c r="K334" s="199"/>
      <c r="L334" s="199"/>
      <c r="M334" s="199"/>
      <c r="N334" s="199"/>
      <c r="O334" s="199"/>
      <c r="P334" s="199"/>
      <c r="Q334" s="199"/>
      <c r="R334" s="199"/>
      <c r="S334" s="199"/>
      <c r="T334" s="199"/>
      <c r="U334" s="199"/>
      <c r="V334" s="199"/>
      <c r="W334" s="199"/>
    </row>
    <row r="335">
      <c r="A335" s="283"/>
      <c r="B335" s="199"/>
      <c r="C335" s="199"/>
      <c r="D335" s="199"/>
      <c r="E335" s="199"/>
      <c r="F335" s="199"/>
      <c r="G335" s="199"/>
      <c r="H335" s="199"/>
      <c r="I335" s="199"/>
      <c r="J335" s="199"/>
      <c r="K335" s="199"/>
      <c r="L335" s="199"/>
      <c r="M335" s="199"/>
      <c r="N335" s="199"/>
      <c r="O335" s="199"/>
      <c r="P335" s="199"/>
      <c r="Q335" s="199"/>
      <c r="R335" s="199"/>
      <c r="S335" s="199"/>
      <c r="T335" s="199"/>
      <c r="U335" s="199"/>
      <c r="V335" s="199"/>
      <c r="W335" s="199"/>
    </row>
    <row r="336">
      <c r="A336" s="283"/>
      <c r="B336" s="306"/>
      <c r="C336" s="307"/>
      <c r="D336" s="307"/>
      <c r="E336" s="307"/>
      <c r="F336" s="309"/>
      <c r="G336" s="308" t="s">
        <v>700</v>
      </c>
      <c r="H336" s="309"/>
      <c r="I336" s="310" t="s">
        <v>701</v>
      </c>
      <c r="J336" s="307"/>
      <c r="K336" s="311"/>
      <c r="L336" s="199"/>
      <c r="M336" s="287"/>
      <c r="R336" s="210" t="s">
        <v>700</v>
      </c>
      <c r="S336" s="211"/>
      <c r="T336" s="212" t="s">
        <v>701</v>
      </c>
      <c r="U336" s="213"/>
      <c r="V336" s="211"/>
      <c r="W336" s="199"/>
    </row>
    <row r="337">
      <c r="A337" s="283"/>
      <c r="B337" s="312"/>
      <c r="F337" s="56"/>
      <c r="G337" s="215"/>
      <c r="H337" s="64"/>
      <c r="I337" s="215"/>
      <c r="J337" s="216"/>
      <c r="K337" s="313"/>
      <c r="L337" s="199"/>
      <c r="R337" s="215"/>
      <c r="S337" s="64"/>
      <c r="T337" s="215"/>
      <c r="U337" s="216"/>
      <c r="V337" s="64"/>
      <c r="W337" s="199"/>
    </row>
    <row r="338">
      <c r="A338" s="283"/>
      <c r="B338" s="312"/>
      <c r="F338" s="56"/>
      <c r="G338" s="218" t="s">
        <v>702</v>
      </c>
      <c r="H338" s="211"/>
      <c r="I338" s="219" t="s">
        <v>772</v>
      </c>
      <c r="J338" s="213"/>
      <c r="K338" s="314"/>
      <c r="L338" s="199"/>
      <c r="R338" s="210" t="s">
        <v>351</v>
      </c>
      <c r="S338" s="211"/>
      <c r="T338" s="212" t="s">
        <v>773</v>
      </c>
      <c r="U338" s="213"/>
      <c r="V338" s="211"/>
      <c r="W338" s="199"/>
    </row>
    <row r="339">
      <c r="A339" s="283"/>
      <c r="B339" s="312"/>
      <c r="F339" s="56"/>
      <c r="G339" s="215"/>
      <c r="H339" s="64"/>
      <c r="I339" s="215"/>
      <c r="J339" s="216"/>
      <c r="K339" s="313"/>
      <c r="L339" s="199"/>
      <c r="R339" s="215"/>
      <c r="S339" s="64"/>
      <c r="T339" s="215"/>
      <c r="U339" s="216"/>
      <c r="V339" s="64"/>
      <c r="W339" s="199"/>
    </row>
    <row r="340">
      <c r="A340" s="283"/>
      <c r="B340" s="312"/>
      <c r="F340" s="56"/>
      <c r="G340" s="218" t="s">
        <v>703</v>
      </c>
      <c r="H340" s="211"/>
      <c r="I340" s="219">
        <v>1002.0</v>
      </c>
      <c r="J340" s="213"/>
      <c r="K340" s="314"/>
      <c r="L340" s="199"/>
      <c r="R340" s="210" t="s">
        <v>703</v>
      </c>
      <c r="S340" s="211"/>
      <c r="T340" s="212">
        <v>1002.0</v>
      </c>
      <c r="U340" s="213"/>
      <c r="V340" s="211"/>
      <c r="W340" s="199"/>
    </row>
    <row r="341">
      <c r="A341" s="283"/>
      <c r="B341" s="344"/>
      <c r="C341" s="216"/>
      <c r="D341" s="216"/>
      <c r="E341" s="216"/>
      <c r="F341" s="64"/>
      <c r="G341" s="215"/>
      <c r="H341" s="64"/>
      <c r="I341" s="215"/>
      <c r="J341" s="216"/>
      <c r="K341" s="313"/>
      <c r="L341" s="199"/>
      <c r="R341" s="215"/>
      <c r="S341" s="64"/>
      <c r="T341" s="215"/>
      <c r="U341" s="216"/>
      <c r="V341" s="64"/>
      <c r="W341" s="199"/>
    </row>
    <row r="342">
      <c r="A342" s="283"/>
      <c r="B342" s="315" t="s">
        <v>704</v>
      </c>
      <c r="C342" s="222"/>
      <c r="D342" s="231" t="s">
        <v>5</v>
      </c>
      <c r="E342" s="222"/>
      <c r="F342" s="231" t="s">
        <v>705</v>
      </c>
      <c r="G342" s="224"/>
      <c r="H342" s="222"/>
      <c r="I342" s="225" t="s">
        <v>591</v>
      </c>
      <c r="J342" s="225" t="s">
        <v>708</v>
      </c>
      <c r="K342" s="316" t="s">
        <v>707</v>
      </c>
      <c r="L342" s="199"/>
      <c r="M342" s="227" t="s">
        <v>704</v>
      </c>
      <c r="N342" s="222"/>
      <c r="O342" s="227" t="s">
        <v>5</v>
      </c>
      <c r="P342" s="222"/>
      <c r="Q342" s="227" t="s">
        <v>705</v>
      </c>
      <c r="R342" s="224"/>
      <c r="S342" s="222"/>
      <c r="T342" s="228" t="s">
        <v>591</v>
      </c>
      <c r="U342" s="228" t="s">
        <v>708</v>
      </c>
      <c r="V342" s="228" t="s">
        <v>707</v>
      </c>
      <c r="W342" s="199"/>
    </row>
    <row r="343">
      <c r="A343" s="283"/>
      <c r="B343" s="317">
        <v>45972.0</v>
      </c>
      <c r="C343" s="222"/>
      <c r="D343" s="231">
        <v>2850918.0</v>
      </c>
      <c r="E343" s="222"/>
      <c r="F343" s="223" t="s">
        <v>774</v>
      </c>
      <c r="G343" s="224"/>
      <c r="H343" s="222"/>
      <c r="I343" s="225">
        <v>614.0</v>
      </c>
      <c r="J343" s="225">
        <v>0.65</v>
      </c>
      <c r="K343" s="318">
        <v>399.1</v>
      </c>
      <c r="L343" s="199"/>
      <c r="M343" s="235">
        <v>45972.0</v>
      </c>
      <c r="N343" s="222"/>
      <c r="O343" s="236">
        <v>2850918.0</v>
      </c>
      <c r="P343" s="222"/>
      <c r="Q343" s="227" t="s">
        <v>774</v>
      </c>
      <c r="R343" s="224"/>
      <c r="S343" s="222"/>
      <c r="T343" s="228">
        <v>614.0</v>
      </c>
      <c r="U343" s="228">
        <v>0.65</v>
      </c>
      <c r="V343" s="237">
        <v>399.1</v>
      </c>
      <c r="W343" s="199"/>
    </row>
    <row r="344">
      <c r="A344" s="283"/>
      <c r="B344" s="317">
        <v>45973.0</v>
      </c>
      <c r="C344" s="222"/>
      <c r="D344" s="231">
        <v>1763221.0</v>
      </c>
      <c r="E344" s="222"/>
      <c r="F344" s="223" t="s">
        <v>775</v>
      </c>
      <c r="G344" s="224"/>
      <c r="H344" s="222"/>
      <c r="I344" s="225">
        <v>1637.0</v>
      </c>
      <c r="J344" s="225">
        <v>0.65</v>
      </c>
      <c r="K344" s="318">
        <v>1064.05</v>
      </c>
      <c r="L344" s="199"/>
      <c r="M344" s="235">
        <v>45973.0</v>
      </c>
      <c r="N344" s="222"/>
      <c r="O344" s="236">
        <v>1763221.0</v>
      </c>
      <c r="P344" s="222"/>
      <c r="Q344" s="227" t="s">
        <v>775</v>
      </c>
      <c r="R344" s="224"/>
      <c r="S344" s="222"/>
      <c r="T344" s="228">
        <v>1637.0</v>
      </c>
      <c r="U344" s="228">
        <v>0.65</v>
      </c>
      <c r="V344" s="237">
        <v>1064.05</v>
      </c>
      <c r="W344" s="199"/>
    </row>
    <row r="345">
      <c r="A345" s="283"/>
      <c r="B345" s="317">
        <v>45975.0</v>
      </c>
      <c r="C345" s="222"/>
      <c r="D345" s="231">
        <v>5.34646871E8</v>
      </c>
      <c r="E345" s="222"/>
      <c r="F345" s="223" t="s">
        <v>776</v>
      </c>
      <c r="G345" s="224"/>
      <c r="H345" s="222"/>
      <c r="I345" s="225">
        <v>1593.0</v>
      </c>
      <c r="J345" s="225">
        <v>0.65</v>
      </c>
      <c r="K345" s="318">
        <v>1035.45</v>
      </c>
      <c r="L345" s="199"/>
      <c r="M345" s="235">
        <v>45975.0</v>
      </c>
      <c r="N345" s="222"/>
      <c r="O345" s="236">
        <v>5.34646871E8</v>
      </c>
      <c r="P345" s="222"/>
      <c r="Q345" s="227" t="s">
        <v>776</v>
      </c>
      <c r="R345" s="224"/>
      <c r="S345" s="222"/>
      <c r="T345" s="228">
        <v>1593.0</v>
      </c>
      <c r="U345" s="228">
        <v>0.65</v>
      </c>
      <c r="V345" s="237">
        <v>1035.45</v>
      </c>
      <c r="W345" s="199"/>
    </row>
    <row r="346">
      <c r="A346" s="283"/>
      <c r="B346" s="319"/>
      <c r="C346" s="222"/>
      <c r="D346" s="349"/>
      <c r="E346" s="222"/>
      <c r="F346" s="240"/>
      <c r="G346" s="224"/>
      <c r="H346" s="222"/>
      <c r="I346" s="241"/>
      <c r="J346" s="225">
        <v>0.65</v>
      </c>
      <c r="K346" s="318">
        <v>0.0</v>
      </c>
      <c r="L346" s="199"/>
      <c r="M346" s="243"/>
      <c r="N346" s="222"/>
      <c r="O346" s="350"/>
      <c r="P346" s="222"/>
      <c r="Q346" s="243"/>
      <c r="R346" s="224"/>
      <c r="S346" s="222"/>
      <c r="T346" s="244"/>
      <c r="U346" s="228">
        <v>0.65</v>
      </c>
      <c r="V346" s="237">
        <v>0.0</v>
      </c>
      <c r="W346" s="199"/>
    </row>
    <row r="347">
      <c r="A347" s="283"/>
      <c r="B347" s="319"/>
      <c r="C347" s="222"/>
      <c r="D347" s="349"/>
      <c r="E347" s="222"/>
      <c r="F347" s="349"/>
      <c r="G347" s="224"/>
      <c r="H347" s="222"/>
      <c r="I347" s="241"/>
      <c r="J347" s="225">
        <v>0.65</v>
      </c>
      <c r="K347" s="318">
        <v>0.0</v>
      </c>
      <c r="L347" s="199"/>
      <c r="M347" s="243"/>
      <c r="N347" s="222"/>
      <c r="O347" s="350"/>
      <c r="P347" s="222"/>
      <c r="Q347" s="350"/>
      <c r="R347" s="224"/>
      <c r="S347" s="222"/>
      <c r="T347" s="244"/>
      <c r="U347" s="228">
        <v>0.65</v>
      </c>
      <c r="V347" s="237">
        <v>0.0</v>
      </c>
      <c r="W347" s="199"/>
    </row>
    <row r="348">
      <c r="A348" s="283"/>
      <c r="B348" s="319"/>
      <c r="C348" s="222"/>
      <c r="D348" s="349"/>
      <c r="E348" s="222"/>
      <c r="F348" s="349"/>
      <c r="G348" s="224"/>
      <c r="H348" s="222"/>
      <c r="I348" s="241"/>
      <c r="J348" s="225">
        <v>0.65</v>
      </c>
      <c r="K348" s="318">
        <v>0.0</v>
      </c>
      <c r="L348" s="199"/>
      <c r="M348" s="243"/>
      <c r="N348" s="222"/>
      <c r="O348" s="350"/>
      <c r="P348" s="222"/>
      <c r="Q348" s="350"/>
      <c r="R348" s="224"/>
      <c r="S348" s="222"/>
      <c r="T348" s="244"/>
      <c r="U348" s="228">
        <v>0.65</v>
      </c>
      <c r="V348" s="237">
        <v>0.0</v>
      </c>
      <c r="W348" s="199"/>
    </row>
    <row r="349">
      <c r="A349" s="283"/>
      <c r="B349" s="322" t="s">
        <v>711</v>
      </c>
      <c r="C349" s="224"/>
      <c r="D349" s="224"/>
      <c r="E349" s="224"/>
      <c r="F349" s="224"/>
      <c r="G349" s="224"/>
      <c r="H349" s="222"/>
      <c r="I349" s="361">
        <v>3844.0</v>
      </c>
      <c r="J349" s="241"/>
      <c r="K349" s="323">
        <v>2498.6</v>
      </c>
      <c r="L349" s="199"/>
      <c r="M349" s="246" t="s">
        <v>711</v>
      </c>
      <c r="N349" s="224"/>
      <c r="O349" s="224"/>
      <c r="P349" s="224"/>
      <c r="Q349" s="224"/>
      <c r="R349" s="224"/>
      <c r="S349" s="222"/>
      <c r="T349" s="228">
        <v>3844.0</v>
      </c>
      <c r="U349" s="244"/>
      <c r="V349" s="237">
        <v>2498.6</v>
      </c>
      <c r="W349" s="199"/>
    </row>
    <row r="350">
      <c r="A350" s="283"/>
      <c r="B350" s="324"/>
      <c r="C350" s="248"/>
      <c r="D350" s="248"/>
      <c r="E350" s="248"/>
      <c r="F350" s="248"/>
      <c r="G350" s="248"/>
      <c r="H350" s="248"/>
      <c r="I350" s="248"/>
      <c r="J350" s="248"/>
      <c r="K350" s="325"/>
      <c r="L350" s="199"/>
      <c r="M350" s="251"/>
      <c r="N350" s="251"/>
      <c r="O350" s="251"/>
      <c r="P350" s="251"/>
      <c r="Q350" s="251"/>
      <c r="R350" s="251"/>
      <c r="S350" s="251"/>
      <c r="T350" s="251"/>
      <c r="U350" s="251"/>
      <c r="V350" s="251"/>
      <c r="W350" s="199"/>
    </row>
    <row r="351">
      <c r="A351" s="283"/>
      <c r="B351" s="326" t="s">
        <v>712</v>
      </c>
      <c r="C351" s="222"/>
      <c r="D351" s="351"/>
      <c r="E351" s="222"/>
      <c r="F351" s="248"/>
      <c r="G351" s="248"/>
      <c r="H351" s="248"/>
      <c r="I351" s="248"/>
      <c r="J351" s="248"/>
      <c r="K351" s="325"/>
      <c r="L351" s="199"/>
      <c r="M351" s="254" t="s">
        <v>712</v>
      </c>
      <c r="N351" s="222"/>
      <c r="O351" s="255"/>
      <c r="P351" s="222"/>
      <c r="Q351" s="251"/>
      <c r="R351" s="251"/>
      <c r="S351" s="251"/>
      <c r="T351" s="251"/>
      <c r="U351" s="251"/>
      <c r="V351" s="251"/>
      <c r="W351" s="199"/>
    </row>
    <row r="352">
      <c r="A352" s="283"/>
      <c r="B352" s="327"/>
      <c r="C352" s="222"/>
      <c r="D352" s="253"/>
      <c r="E352" s="222"/>
      <c r="F352" s="248"/>
      <c r="G352" s="248"/>
      <c r="H352" s="248"/>
      <c r="I352" s="248"/>
      <c r="J352" s="248"/>
      <c r="K352" s="325"/>
      <c r="L352" s="199"/>
      <c r="M352" s="255"/>
      <c r="N352" s="222"/>
      <c r="O352" s="255"/>
      <c r="P352" s="222"/>
      <c r="Q352" s="251"/>
      <c r="R352" s="251"/>
      <c r="S352" s="251"/>
      <c r="T352" s="251"/>
      <c r="U352" s="251"/>
      <c r="V352" s="251"/>
      <c r="W352" s="199"/>
    </row>
    <row r="353">
      <c r="A353" s="283"/>
      <c r="B353" s="341" t="s">
        <v>777</v>
      </c>
      <c r="C353" s="222"/>
      <c r="D353" s="352">
        <v>555.55</v>
      </c>
      <c r="E353" s="222"/>
      <c r="F353" s="248"/>
      <c r="G353" s="248"/>
      <c r="H353" s="248"/>
      <c r="I353" s="248"/>
      <c r="J353" s="248"/>
      <c r="K353" s="325"/>
      <c r="L353" s="199"/>
      <c r="M353" s="255"/>
      <c r="N353" s="222"/>
      <c r="O353" s="255"/>
      <c r="P353" s="222"/>
      <c r="Q353" s="251"/>
      <c r="R353" s="251"/>
      <c r="S353" s="251"/>
      <c r="T353" s="251"/>
      <c r="U353" s="251"/>
      <c r="V353" s="251"/>
      <c r="W353" s="199"/>
    </row>
    <row r="354">
      <c r="A354" s="283"/>
      <c r="B354" s="327"/>
      <c r="C354" s="222"/>
      <c r="D354" s="351"/>
      <c r="E354" s="222"/>
      <c r="F354" s="248"/>
      <c r="G354" s="248"/>
      <c r="H354" s="248"/>
      <c r="I354" s="248"/>
      <c r="J354" s="248"/>
      <c r="K354" s="325"/>
      <c r="L354" s="199"/>
      <c r="M354" s="255"/>
      <c r="N354" s="222"/>
      <c r="O354" s="255"/>
      <c r="P354" s="222"/>
      <c r="Q354" s="251"/>
      <c r="R354" s="251"/>
      <c r="S354" s="251"/>
      <c r="T354" s="251"/>
      <c r="U354" s="251"/>
      <c r="V354" s="251"/>
      <c r="W354" s="199"/>
    </row>
    <row r="355">
      <c r="A355" s="283"/>
      <c r="B355" s="328" t="s">
        <v>714</v>
      </c>
      <c r="C355" s="222"/>
      <c r="D355" s="352">
        <v>555.55</v>
      </c>
      <c r="E355" s="222"/>
      <c r="F355" s="248"/>
      <c r="G355" s="248"/>
      <c r="H355" s="248"/>
      <c r="I355" s="248"/>
      <c r="J355" s="248"/>
      <c r="K355" s="325"/>
      <c r="L355" s="199"/>
      <c r="M355" s="255"/>
      <c r="N355" s="222"/>
      <c r="O355" s="255"/>
      <c r="P355" s="222"/>
      <c r="Q355" s="251"/>
      <c r="R355" s="251"/>
      <c r="S355" s="251"/>
      <c r="T355" s="251"/>
      <c r="U355" s="251"/>
      <c r="V355" s="251"/>
      <c r="W355" s="199"/>
    </row>
    <row r="356">
      <c r="A356" s="283"/>
      <c r="B356" s="329"/>
      <c r="C356" s="224"/>
      <c r="D356" s="224"/>
      <c r="E356" s="222"/>
      <c r="F356" s="248"/>
      <c r="G356" s="248"/>
      <c r="H356" s="248"/>
      <c r="I356" s="248"/>
      <c r="J356" s="248"/>
      <c r="K356" s="325"/>
      <c r="L356" s="199"/>
      <c r="M356" s="255"/>
      <c r="N356" s="222"/>
      <c r="O356" s="255"/>
      <c r="P356" s="222"/>
      <c r="Q356" s="251"/>
      <c r="R356" s="251"/>
      <c r="S356" s="251"/>
      <c r="T356" s="251"/>
      <c r="U356" s="251"/>
      <c r="V356" s="251"/>
      <c r="W356" s="199"/>
    </row>
    <row r="357">
      <c r="A357" s="283"/>
      <c r="B357" s="330" t="s">
        <v>715</v>
      </c>
      <c r="C357" s="222"/>
      <c r="D357" s="353"/>
      <c r="E357" s="222"/>
      <c r="F357" s="248"/>
      <c r="G357" s="248"/>
      <c r="H357" s="248"/>
      <c r="I357" s="248"/>
      <c r="J357" s="248"/>
      <c r="K357" s="325"/>
      <c r="L357" s="199"/>
      <c r="M357" s="268" t="s">
        <v>714</v>
      </c>
      <c r="N357" s="222"/>
      <c r="O357" s="269">
        <v>0.0</v>
      </c>
      <c r="P357" s="222"/>
      <c r="Q357" s="251"/>
      <c r="R357" s="251"/>
      <c r="S357" s="251"/>
      <c r="T357" s="251"/>
      <c r="U357" s="251"/>
      <c r="V357" s="251"/>
      <c r="W357" s="199"/>
    </row>
    <row r="358">
      <c r="A358" s="283"/>
      <c r="B358" s="362"/>
      <c r="C358" s="222"/>
      <c r="D358" s="265"/>
      <c r="E358" s="222"/>
      <c r="F358" s="248"/>
      <c r="G358" s="248"/>
      <c r="H358" s="248"/>
      <c r="I358" s="248"/>
      <c r="J358" s="248"/>
      <c r="K358" s="325"/>
      <c r="L358" s="199"/>
      <c r="M358" s="251"/>
      <c r="N358" s="251"/>
      <c r="O358" s="270"/>
      <c r="Q358" s="251"/>
      <c r="R358" s="251"/>
      <c r="S358" s="251"/>
      <c r="T358" s="251"/>
      <c r="U358" s="251"/>
      <c r="V358" s="251"/>
      <c r="W358" s="199"/>
    </row>
    <row r="359">
      <c r="A359" s="283"/>
      <c r="B359" s="334"/>
      <c r="C359" s="222"/>
      <c r="D359" s="353"/>
      <c r="E359" s="222"/>
      <c r="F359" s="248"/>
      <c r="G359" s="248"/>
      <c r="H359" s="248"/>
      <c r="I359" s="248"/>
      <c r="J359" s="248"/>
      <c r="K359" s="325"/>
      <c r="L359" s="199"/>
      <c r="M359" s="271" t="s">
        <v>715</v>
      </c>
      <c r="N359" s="222"/>
      <c r="O359" s="272"/>
      <c r="P359" s="222"/>
      <c r="Q359" s="251"/>
      <c r="R359" s="251"/>
      <c r="S359" s="251"/>
      <c r="T359" s="251"/>
      <c r="U359" s="251"/>
      <c r="V359" s="251"/>
      <c r="W359" s="199"/>
    </row>
    <row r="360">
      <c r="A360" s="283"/>
      <c r="B360" s="334"/>
      <c r="C360" s="222"/>
      <c r="D360" s="353"/>
      <c r="E360" s="222"/>
      <c r="F360" s="248"/>
      <c r="G360" s="248"/>
      <c r="H360" s="248"/>
      <c r="I360" s="248"/>
      <c r="J360" s="248"/>
      <c r="K360" s="325"/>
      <c r="L360" s="199"/>
      <c r="M360" s="272"/>
      <c r="N360" s="222"/>
      <c r="O360" s="272"/>
      <c r="P360" s="222"/>
      <c r="Q360" s="251"/>
      <c r="R360" s="251"/>
      <c r="S360" s="273" t="s">
        <v>719</v>
      </c>
      <c r="T360" s="211"/>
      <c r="U360" s="274">
        <v>2498.6</v>
      </c>
      <c r="V360" s="211"/>
      <c r="W360" s="199"/>
    </row>
    <row r="361">
      <c r="A361" s="283"/>
      <c r="B361" s="334"/>
      <c r="C361" s="222"/>
      <c r="D361" s="353"/>
      <c r="E361" s="222"/>
      <c r="F361" s="248"/>
      <c r="G361" s="248"/>
      <c r="H361" s="248"/>
      <c r="I361" s="248"/>
      <c r="J361" s="248"/>
      <c r="K361" s="325"/>
      <c r="L361" s="199"/>
      <c r="M361" s="272"/>
      <c r="N361" s="222"/>
      <c r="O361" s="272"/>
      <c r="P361" s="222"/>
      <c r="Q361" s="251"/>
      <c r="R361" s="251"/>
      <c r="S361" s="278"/>
      <c r="T361" s="56"/>
      <c r="U361" s="278"/>
      <c r="V361" s="56"/>
      <c r="W361" s="199"/>
    </row>
    <row r="362">
      <c r="A362" s="283"/>
      <c r="B362" s="334"/>
      <c r="C362" s="222"/>
      <c r="D362" s="353"/>
      <c r="E362" s="222"/>
      <c r="F362" s="248"/>
      <c r="G362" s="248"/>
      <c r="H362" s="276" t="s">
        <v>720</v>
      </c>
      <c r="I362" s="211"/>
      <c r="J362" s="277">
        <v>3054.15</v>
      </c>
      <c r="K362" s="314"/>
      <c r="L362" s="199"/>
      <c r="M362" s="272"/>
      <c r="N362" s="222"/>
      <c r="O362" s="272"/>
      <c r="P362" s="222"/>
      <c r="Q362" s="251"/>
      <c r="R362" s="251"/>
      <c r="S362" s="215"/>
      <c r="T362" s="64"/>
      <c r="U362" s="215"/>
      <c r="V362" s="64"/>
      <c r="W362" s="199"/>
    </row>
    <row r="363">
      <c r="A363" s="283"/>
      <c r="B363" s="334"/>
      <c r="C363" s="222"/>
      <c r="D363" s="265"/>
      <c r="E363" s="222"/>
      <c r="F363" s="248"/>
      <c r="G363" s="248"/>
      <c r="H363" s="278"/>
      <c r="I363" s="56"/>
      <c r="J363" s="278"/>
      <c r="K363" s="333"/>
      <c r="L363" s="199"/>
      <c r="M363" s="272"/>
      <c r="N363" s="222"/>
      <c r="O363" s="272"/>
      <c r="P363" s="222"/>
      <c r="Q363" s="251"/>
      <c r="R363" s="251"/>
      <c r="S363" s="251"/>
      <c r="T363" s="251"/>
      <c r="U363" s="251"/>
      <c r="V363" s="251"/>
      <c r="W363" s="199"/>
    </row>
    <row r="364">
      <c r="A364" s="283"/>
      <c r="B364" s="334"/>
      <c r="C364" s="222"/>
      <c r="D364" s="353"/>
      <c r="E364" s="222"/>
      <c r="F364" s="248"/>
      <c r="G364" s="248"/>
      <c r="H364" s="215"/>
      <c r="I364" s="64"/>
      <c r="J364" s="215"/>
      <c r="K364" s="313"/>
      <c r="L364" s="199"/>
      <c r="M364" s="272"/>
      <c r="N364" s="222"/>
      <c r="O364" s="272"/>
      <c r="P364" s="222"/>
      <c r="Q364" s="251"/>
      <c r="R364" s="251"/>
      <c r="S364" s="251"/>
      <c r="T364" s="251"/>
      <c r="U364" s="251"/>
      <c r="V364" s="251"/>
      <c r="W364" s="199"/>
    </row>
    <row r="365">
      <c r="A365" s="283"/>
      <c r="B365" s="334"/>
      <c r="C365" s="222"/>
      <c r="D365" s="353"/>
      <c r="E365" s="222"/>
      <c r="F365" s="248"/>
      <c r="G365" s="248"/>
      <c r="H365" s="248"/>
      <c r="I365" s="248"/>
      <c r="J365" s="248"/>
      <c r="K365" s="325"/>
      <c r="L365" s="199"/>
      <c r="M365" s="280" t="s">
        <v>721</v>
      </c>
      <c r="N365" s="222"/>
      <c r="O365" s="281">
        <v>0.0</v>
      </c>
      <c r="P365" s="222"/>
      <c r="Q365" s="251"/>
      <c r="R365" s="251"/>
      <c r="S365" s="251"/>
      <c r="T365" s="251"/>
      <c r="U365" s="251"/>
      <c r="V365" s="251"/>
      <c r="W365" s="199"/>
    </row>
    <row r="366">
      <c r="A366" s="283"/>
      <c r="B366" s="334"/>
      <c r="C366" s="222"/>
      <c r="D366" s="353"/>
      <c r="E366" s="222"/>
      <c r="F366" s="248"/>
      <c r="G366" s="248"/>
      <c r="H366" s="248"/>
      <c r="I366" s="248"/>
      <c r="J366" s="248"/>
      <c r="K366" s="325"/>
      <c r="L366" s="199"/>
      <c r="M366" s="282"/>
      <c r="N366" s="282"/>
      <c r="O366" s="282"/>
      <c r="P366" s="282"/>
      <c r="Q366" s="282"/>
      <c r="R366" s="282"/>
      <c r="S366" s="282"/>
      <c r="T366" s="282"/>
      <c r="U366" s="282"/>
      <c r="V366" s="282"/>
      <c r="W366" s="199"/>
    </row>
    <row r="367">
      <c r="A367" s="283"/>
      <c r="B367" s="331" t="s">
        <v>721</v>
      </c>
      <c r="C367" s="222"/>
      <c r="D367" s="354">
        <v>0.0</v>
      </c>
      <c r="E367" s="222"/>
      <c r="F367" s="248"/>
      <c r="G367" s="248"/>
      <c r="H367" s="248"/>
      <c r="I367" s="248"/>
      <c r="J367" s="248"/>
      <c r="K367" s="325"/>
      <c r="L367" s="199"/>
      <c r="M367" s="282"/>
      <c r="N367" s="282"/>
      <c r="O367" s="282"/>
      <c r="P367" s="282"/>
      <c r="Q367" s="282"/>
      <c r="R367" s="282"/>
      <c r="S367" s="282"/>
      <c r="T367" s="282"/>
      <c r="U367" s="282"/>
      <c r="V367" s="282"/>
      <c r="W367" s="199"/>
    </row>
    <row r="368">
      <c r="A368" s="283"/>
      <c r="B368" s="345"/>
      <c r="C368" s="346"/>
      <c r="D368" s="346"/>
      <c r="E368" s="346"/>
      <c r="F368" s="346"/>
      <c r="G368" s="346"/>
      <c r="H368" s="346"/>
      <c r="I368" s="346"/>
      <c r="J368" s="346"/>
      <c r="K368" s="347"/>
      <c r="L368" s="199"/>
      <c r="M368" s="199"/>
      <c r="N368" s="199"/>
      <c r="O368" s="199"/>
      <c r="P368" s="199"/>
      <c r="Q368" s="199"/>
      <c r="R368" s="199"/>
      <c r="S368" s="199"/>
      <c r="T368" s="199"/>
      <c r="U368" s="199"/>
      <c r="V368" s="199"/>
      <c r="W368" s="199"/>
    </row>
    <row r="369">
      <c r="A369" s="283"/>
      <c r="B369" s="260"/>
      <c r="C369" s="260"/>
      <c r="D369" s="260"/>
      <c r="E369" s="260"/>
      <c r="F369" s="260"/>
      <c r="G369" s="260"/>
      <c r="H369" s="260"/>
      <c r="I369" s="260"/>
      <c r="J369" s="260"/>
      <c r="K369" s="260"/>
      <c r="L369" s="199"/>
      <c r="M369" s="199"/>
      <c r="N369" s="199"/>
      <c r="O369" s="199"/>
      <c r="P369" s="199"/>
      <c r="Q369" s="199"/>
      <c r="R369" s="199"/>
      <c r="S369" s="199"/>
      <c r="T369" s="199"/>
      <c r="U369" s="199"/>
      <c r="V369" s="199"/>
      <c r="W369" s="199"/>
    </row>
    <row r="370">
      <c r="A370" s="283"/>
      <c r="B370" s="306"/>
      <c r="C370" s="307"/>
      <c r="D370" s="307"/>
      <c r="E370" s="307"/>
      <c r="F370" s="307"/>
      <c r="G370" s="308" t="s">
        <v>700</v>
      </c>
      <c r="H370" s="309"/>
      <c r="I370" s="310" t="s">
        <v>701</v>
      </c>
      <c r="J370" s="307"/>
      <c r="K370" s="311"/>
      <c r="L370" s="199"/>
      <c r="M370" s="287"/>
      <c r="R370" s="210" t="s">
        <v>700</v>
      </c>
      <c r="S370" s="211"/>
      <c r="T370" s="212" t="s">
        <v>701</v>
      </c>
      <c r="U370" s="213"/>
      <c r="V370" s="211"/>
      <c r="W370" s="199"/>
    </row>
    <row r="371">
      <c r="A371" s="283"/>
      <c r="B371" s="312"/>
      <c r="G371" s="215"/>
      <c r="H371" s="64"/>
      <c r="I371" s="215"/>
      <c r="J371" s="216"/>
      <c r="K371" s="313"/>
      <c r="L371" s="199"/>
      <c r="R371" s="215"/>
      <c r="S371" s="64"/>
      <c r="T371" s="215"/>
      <c r="U371" s="216"/>
      <c r="V371" s="64"/>
      <c r="W371" s="199"/>
    </row>
    <row r="372">
      <c r="A372" s="283"/>
      <c r="B372" s="312"/>
      <c r="G372" s="218" t="s">
        <v>702</v>
      </c>
      <c r="H372" s="211"/>
      <c r="I372" s="219" t="s">
        <v>664</v>
      </c>
      <c r="J372" s="213"/>
      <c r="K372" s="314"/>
      <c r="L372" s="199"/>
      <c r="R372" s="210" t="s">
        <v>351</v>
      </c>
      <c r="S372" s="211"/>
      <c r="T372" s="212" t="s">
        <v>430</v>
      </c>
      <c r="U372" s="213"/>
      <c r="V372" s="211"/>
      <c r="W372" s="199"/>
    </row>
    <row r="373">
      <c r="A373" s="283"/>
      <c r="B373" s="312"/>
      <c r="G373" s="215"/>
      <c r="H373" s="64"/>
      <c r="I373" s="215"/>
      <c r="J373" s="216"/>
      <c r="K373" s="313"/>
      <c r="L373" s="199"/>
      <c r="R373" s="215"/>
      <c r="S373" s="64"/>
      <c r="T373" s="215"/>
      <c r="U373" s="216"/>
      <c r="V373" s="64"/>
      <c r="W373" s="199"/>
    </row>
    <row r="374">
      <c r="A374" s="283"/>
      <c r="B374" s="312"/>
      <c r="G374" s="218" t="s">
        <v>778</v>
      </c>
      <c r="H374" s="211"/>
      <c r="I374" s="219">
        <v>427.0</v>
      </c>
      <c r="J374" s="213"/>
      <c r="K374" s="314"/>
      <c r="L374" s="199"/>
      <c r="R374" s="210" t="s">
        <v>703</v>
      </c>
      <c r="S374" s="211"/>
      <c r="T374" s="212">
        <v>427.0</v>
      </c>
      <c r="U374" s="213"/>
      <c r="V374" s="211"/>
      <c r="W374" s="199"/>
    </row>
    <row r="375">
      <c r="A375" s="283"/>
      <c r="B375" s="312"/>
      <c r="G375" s="215"/>
      <c r="H375" s="64"/>
      <c r="I375" s="215"/>
      <c r="J375" s="216"/>
      <c r="K375" s="313"/>
      <c r="L375" s="199"/>
      <c r="R375" s="215"/>
      <c r="S375" s="64"/>
      <c r="T375" s="215"/>
      <c r="U375" s="216"/>
      <c r="V375" s="64"/>
      <c r="W375" s="199"/>
    </row>
    <row r="376">
      <c r="A376" s="283"/>
      <c r="B376" s="315" t="s">
        <v>704</v>
      </c>
      <c r="C376" s="222"/>
      <c r="D376" s="223" t="s">
        <v>5</v>
      </c>
      <c r="E376" s="222"/>
      <c r="F376" s="223" t="s">
        <v>705</v>
      </c>
      <c r="G376" s="224"/>
      <c r="H376" s="222"/>
      <c r="I376" s="225" t="s">
        <v>8</v>
      </c>
      <c r="J376" s="225" t="s">
        <v>706</v>
      </c>
      <c r="K376" s="316" t="s">
        <v>707</v>
      </c>
      <c r="L376" s="199"/>
      <c r="M376" s="227" t="s">
        <v>704</v>
      </c>
      <c r="N376" s="222"/>
      <c r="O376" s="227" t="s">
        <v>5</v>
      </c>
      <c r="P376" s="222"/>
      <c r="Q376" s="227" t="s">
        <v>705</v>
      </c>
      <c r="R376" s="224"/>
      <c r="S376" s="222"/>
      <c r="T376" s="228" t="s">
        <v>591</v>
      </c>
      <c r="U376" s="228" t="s">
        <v>708</v>
      </c>
      <c r="V376" s="228" t="s">
        <v>707</v>
      </c>
      <c r="W376" s="199"/>
    </row>
    <row r="377">
      <c r="A377" s="283"/>
      <c r="B377" s="317">
        <v>45972.0</v>
      </c>
      <c r="C377" s="222"/>
      <c r="D377" s="223">
        <v>252713.0</v>
      </c>
      <c r="E377" s="222"/>
      <c r="F377" s="223" t="s">
        <v>779</v>
      </c>
      <c r="G377" s="224"/>
      <c r="H377" s="222"/>
      <c r="I377" s="232">
        <v>1975.35</v>
      </c>
      <c r="J377" s="233">
        <v>1.0</v>
      </c>
      <c r="K377" s="318">
        <v>1975.35</v>
      </c>
      <c r="L377" s="199"/>
      <c r="M377" s="235">
        <v>45972.0</v>
      </c>
      <c r="N377" s="222"/>
      <c r="O377" s="227">
        <v>252713.0</v>
      </c>
      <c r="P377" s="222"/>
      <c r="Q377" s="227" t="s">
        <v>779</v>
      </c>
      <c r="R377" s="224"/>
      <c r="S377" s="222"/>
      <c r="T377" s="228">
        <v>3039.0</v>
      </c>
      <c r="U377" s="228">
        <v>0.65</v>
      </c>
      <c r="V377" s="237">
        <v>1975.35</v>
      </c>
      <c r="W377" s="199"/>
    </row>
    <row r="378">
      <c r="A378" s="283"/>
      <c r="B378" s="317">
        <v>45976.0</v>
      </c>
      <c r="C378" s="222"/>
      <c r="D378" s="223">
        <v>7996411.0</v>
      </c>
      <c r="E378" s="222"/>
      <c r="F378" s="231" t="s">
        <v>780</v>
      </c>
      <c r="G378" s="224"/>
      <c r="H378" s="222"/>
      <c r="I378" s="232">
        <v>1872.0</v>
      </c>
      <c r="J378" s="233">
        <v>1.0</v>
      </c>
      <c r="K378" s="318">
        <v>1872.0</v>
      </c>
      <c r="L378" s="199"/>
      <c r="M378" s="235">
        <v>45976.0</v>
      </c>
      <c r="N378" s="222"/>
      <c r="O378" s="227">
        <v>7996411.0</v>
      </c>
      <c r="P378" s="222"/>
      <c r="Q378" s="236" t="s">
        <v>780</v>
      </c>
      <c r="R378" s="224"/>
      <c r="S378" s="222"/>
      <c r="T378" s="228">
        <v>2880.0</v>
      </c>
      <c r="U378" s="228">
        <v>0.65</v>
      </c>
      <c r="V378" s="237">
        <v>1872.0</v>
      </c>
      <c r="W378" s="199"/>
    </row>
    <row r="379">
      <c r="A379" s="283"/>
      <c r="B379" s="319"/>
      <c r="C379" s="222"/>
      <c r="D379" s="240"/>
      <c r="E379" s="222"/>
      <c r="F379" s="240"/>
      <c r="G379" s="224"/>
      <c r="H379" s="222"/>
      <c r="I379" s="241"/>
      <c r="J379" s="233"/>
      <c r="K379" s="318"/>
      <c r="L379" s="199"/>
      <c r="M379" s="243"/>
      <c r="N379" s="222"/>
      <c r="O379" s="243"/>
      <c r="P379" s="222"/>
      <c r="Q379" s="243"/>
      <c r="R379" s="224"/>
      <c r="S379" s="222"/>
      <c r="T379" s="244"/>
      <c r="U379" s="228">
        <v>0.65</v>
      </c>
      <c r="V379" s="237">
        <v>0.0</v>
      </c>
      <c r="W379" s="199"/>
    </row>
    <row r="380">
      <c r="A380" s="283"/>
      <c r="B380" s="319"/>
      <c r="C380" s="222"/>
      <c r="D380" s="240"/>
      <c r="E380" s="222"/>
      <c r="F380" s="240"/>
      <c r="G380" s="224"/>
      <c r="H380" s="222"/>
      <c r="I380" s="241"/>
      <c r="J380" s="233"/>
      <c r="K380" s="318"/>
      <c r="L380" s="199"/>
      <c r="M380" s="243"/>
      <c r="N380" s="222"/>
      <c r="O380" s="243"/>
      <c r="P380" s="222"/>
      <c r="Q380" s="243"/>
      <c r="R380" s="224"/>
      <c r="S380" s="222"/>
      <c r="T380" s="244"/>
      <c r="U380" s="228">
        <v>0.65</v>
      </c>
      <c r="V380" s="237">
        <v>0.0</v>
      </c>
      <c r="W380" s="199"/>
    </row>
    <row r="381">
      <c r="A381" s="283"/>
      <c r="B381" s="319"/>
      <c r="C381" s="222"/>
      <c r="D381" s="240"/>
      <c r="E381" s="222"/>
      <c r="F381" s="240"/>
      <c r="G381" s="224"/>
      <c r="H381" s="222"/>
      <c r="I381" s="288"/>
      <c r="J381" s="241"/>
      <c r="K381" s="321"/>
      <c r="L381" s="199"/>
      <c r="M381" s="243"/>
      <c r="N381" s="222"/>
      <c r="O381" s="243"/>
      <c r="P381" s="222"/>
      <c r="Q381" s="243"/>
      <c r="R381" s="224"/>
      <c r="S381" s="222"/>
      <c r="T381" s="244"/>
      <c r="U381" s="244"/>
      <c r="V381" s="244"/>
      <c r="W381" s="199"/>
    </row>
    <row r="382">
      <c r="A382" s="283"/>
      <c r="B382" s="322" t="s">
        <v>711</v>
      </c>
      <c r="C382" s="224"/>
      <c r="D382" s="224"/>
      <c r="E382" s="224"/>
      <c r="F382" s="224"/>
      <c r="G382" s="224"/>
      <c r="H382" s="222"/>
      <c r="I382" s="291">
        <v>3847.35</v>
      </c>
      <c r="J382" s="241"/>
      <c r="K382" s="323">
        <v>3847.35</v>
      </c>
      <c r="L382" s="199"/>
      <c r="M382" s="246" t="s">
        <v>711</v>
      </c>
      <c r="N382" s="224"/>
      <c r="O382" s="224"/>
      <c r="P382" s="224"/>
      <c r="Q382" s="224"/>
      <c r="R382" s="224"/>
      <c r="S382" s="222"/>
      <c r="T382" s="228">
        <v>5919.0</v>
      </c>
      <c r="U382" s="244"/>
      <c r="V382" s="237">
        <v>3847.35</v>
      </c>
      <c r="W382" s="199"/>
    </row>
    <row r="383">
      <c r="A383" s="283"/>
      <c r="B383" s="324"/>
      <c r="C383" s="248"/>
      <c r="D383" s="248"/>
      <c r="E383" s="248"/>
      <c r="F383" s="248"/>
      <c r="G383" s="248"/>
      <c r="H383" s="248"/>
      <c r="I383" s="248"/>
      <c r="J383" s="248"/>
      <c r="K383" s="325"/>
      <c r="L383" s="199"/>
      <c r="M383" s="251"/>
      <c r="N383" s="251"/>
      <c r="O383" s="251"/>
      <c r="P383" s="251"/>
      <c r="Q383" s="251"/>
      <c r="R383" s="251"/>
      <c r="S383" s="251"/>
      <c r="T383" s="251"/>
      <c r="U383" s="251"/>
      <c r="V383" s="251"/>
      <c r="W383" s="199"/>
    </row>
    <row r="384">
      <c r="A384" s="283"/>
      <c r="B384" s="326" t="s">
        <v>712</v>
      </c>
      <c r="C384" s="222"/>
      <c r="D384" s="253"/>
      <c r="E384" s="222"/>
      <c r="F384" s="248"/>
      <c r="G384" s="248"/>
      <c r="H384" s="248"/>
      <c r="I384" s="248"/>
      <c r="J384" s="248"/>
      <c r="K384" s="325"/>
      <c r="L384" s="199"/>
      <c r="M384" s="254" t="s">
        <v>712</v>
      </c>
      <c r="N384" s="222"/>
      <c r="O384" s="255"/>
      <c r="P384" s="222"/>
      <c r="Q384" s="251"/>
      <c r="R384" s="251"/>
      <c r="S384" s="251"/>
      <c r="T384" s="251"/>
      <c r="U384" s="251"/>
      <c r="V384" s="251"/>
      <c r="W384" s="199"/>
    </row>
    <row r="385">
      <c r="A385" s="283"/>
      <c r="B385" s="341" t="s">
        <v>781</v>
      </c>
      <c r="C385" s="222"/>
      <c r="D385" s="352">
        <v>250.0</v>
      </c>
      <c r="E385" s="222"/>
      <c r="F385" s="248"/>
      <c r="G385" s="248"/>
      <c r="H385" s="248"/>
      <c r="I385" s="248"/>
      <c r="J385" s="248"/>
      <c r="K385" s="325"/>
      <c r="L385" s="199"/>
      <c r="M385" s="363" t="s">
        <v>781</v>
      </c>
      <c r="N385" s="222"/>
      <c r="O385" s="359">
        <v>250.0</v>
      </c>
      <c r="P385" s="222"/>
      <c r="Q385" s="251"/>
      <c r="R385" s="251"/>
      <c r="S385" s="251"/>
      <c r="T385" s="251"/>
      <c r="U385" s="251"/>
      <c r="V385" s="251"/>
      <c r="W385" s="199"/>
    </row>
    <row r="386">
      <c r="A386" s="283"/>
      <c r="B386" s="341" t="s">
        <v>657</v>
      </c>
      <c r="C386" s="222"/>
      <c r="D386" s="257">
        <v>555.55</v>
      </c>
      <c r="E386" s="222"/>
      <c r="F386" s="248"/>
      <c r="G386" s="248"/>
      <c r="H386" s="248"/>
      <c r="I386" s="248"/>
      <c r="J386" s="248"/>
      <c r="K386" s="325"/>
      <c r="L386" s="199"/>
      <c r="M386" s="342" t="s">
        <v>782</v>
      </c>
      <c r="N386" s="222"/>
      <c r="O386" s="269">
        <v>100.1</v>
      </c>
      <c r="P386" s="222"/>
      <c r="Q386" s="251"/>
      <c r="R386" s="251"/>
      <c r="S386" s="251"/>
      <c r="T386" s="251"/>
      <c r="U386" s="251"/>
      <c r="V386" s="251"/>
      <c r="W386" s="199"/>
    </row>
    <row r="387">
      <c r="A387" s="283"/>
      <c r="B387" s="341" t="s">
        <v>782</v>
      </c>
      <c r="C387" s="222"/>
      <c r="D387" s="257">
        <v>100.1</v>
      </c>
      <c r="E387" s="222"/>
      <c r="F387" s="248"/>
      <c r="G387" s="248"/>
      <c r="H387" s="248"/>
      <c r="I387" s="248"/>
      <c r="J387" s="248"/>
      <c r="K387" s="325"/>
      <c r="L387" s="199"/>
      <c r="M387" s="255"/>
      <c r="N387" s="222"/>
      <c r="O387" s="255"/>
      <c r="P387" s="222"/>
      <c r="Q387" s="251"/>
      <c r="R387" s="251"/>
      <c r="S387" s="251"/>
      <c r="T387" s="251"/>
      <c r="U387" s="251"/>
      <c r="V387" s="251"/>
      <c r="W387" s="199"/>
    </row>
    <row r="388">
      <c r="A388" s="283"/>
      <c r="B388" s="328" t="s">
        <v>714</v>
      </c>
      <c r="C388" s="222"/>
      <c r="D388" s="257">
        <v>905.65</v>
      </c>
      <c r="E388" s="222"/>
      <c r="F388" s="248"/>
      <c r="G388" s="248"/>
      <c r="H388" s="248"/>
      <c r="I388" s="248"/>
      <c r="J388" s="248"/>
      <c r="K388" s="325"/>
      <c r="L388" s="199"/>
      <c r="M388" s="255"/>
      <c r="N388" s="222"/>
      <c r="O388" s="255"/>
      <c r="P388" s="222"/>
      <c r="Q388" s="251"/>
      <c r="R388" s="251"/>
      <c r="S388" s="251"/>
      <c r="T388" s="251"/>
      <c r="U388" s="251"/>
      <c r="V388" s="251"/>
      <c r="W388" s="199"/>
    </row>
    <row r="389">
      <c r="A389" s="283"/>
      <c r="B389" s="329"/>
      <c r="C389" s="224"/>
      <c r="D389" s="224"/>
      <c r="E389" s="222"/>
      <c r="F389" s="248"/>
      <c r="G389" s="248"/>
      <c r="H389" s="248"/>
      <c r="I389" s="248"/>
      <c r="J389" s="248"/>
      <c r="K389" s="325"/>
      <c r="L389" s="199"/>
      <c r="M389" s="255"/>
      <c r="N389" s="222"/>
      <c r="O389" s="255"/>
      <c r="P389" s="222"/>
      <c r="Q389" s="251"/>
      <c r="R389" s="251"/>
      <c r="S389" s="251"/>
      <c r="T389" s="251"/>
      <c r="U389" s="251"/>
      <c r="V389" s="251"/>
      <c r="W389" s="199"/>
    </row>
    <row r="390">
      <c r="A390" s="283"/>
      <c r="B390" s="330" t="s">
        <v>715</v>
      </c>
      <c r="C390" s="222"/>
      <c r="D390" s="265"/>
      <c r="E390" s="222"/>
      <c r="F390" s="248"/>
      <c r="G390" s="248"/>
      <c r="H390" s="248"/>
      <c r="I390" s="248"/>
      <c r="J390" s="248"/>
      <c r="K390" s="325"/>
      <c r="L390" s="199"/>
      <c r="M390" s="268" t="s">
        <v>714</v>
      </c>
      <c r="N390" s="222"/>
      <c r="O390" s="269">
        <v>350.1</v>
      </c>
      <c r="P390" s="222"/>
      <c r="Q390" s="251"/>
      <c r="R390" s="251"/>
      <c r="S390" s="251"/>
      <c r="T390" s="251"/>
      <c r="U390" s="251"/>
      <c r="V390" s="251"/>
      <c r="W390" s="199"/>
    </row>
    <row r="391">
      <c r="A391" s="283"/>
      <c r="B391" s="334"/>
      <c r="C391" s="222"/>
      <c r="D391" s="265"/>
      <c r="E391" s="222"/>
      <c r="F391" s="248"/>
      <c r="G391" s="248"/>
      <c r="H391" s="248"/>
      <c r="I391" s="248"/>
      <c r="J391" s="248"/>
      <c r="K391" s="325"/>
      <c r="L391" s="199"/>
      <c r="M391" s="251"/>
      <c r="N391" s="251"/>
      <c r="O391" s="270"/>
      <c r="Q391" s="251"/>
      <c r="R391" s="251"/>
      <c r="S391" s="251"/>
      <c r="T391" s="251"/>
      <c r="U391" s="251"/>
      <c r="V391" s="251"/>
      <c r="W391" s="199"/>
    </row>
    <row r="392">
      <c r="A392" s="283"/>
      <c r="B392" s="334"/>
      <c r="C392" s="222"/>
      <c r="D392" s="265"/>
      <c r="E392" s="222"/>
      <c r="F392" s="248"/>
      <c r="G392" s="248"/>
      <c r="H392" s="248"/>
      <c r="I392" s="248"/>
      <c r="J392" s="248"/>
      <c r="K392" s="325"/>
      <c r="L392" s="199"/>
      <c r="M392" s="271" t="s">
        <v>715</v>
      </c>
      <c r="N392" s="222"/>
      <c r="O392" s="272"/>
      <c r="P392" s="222"/>
      <c r="Q392" s="251"/>
      <c r="R392" s="251"/>
      <c r="S392" s="251"/>
      <c r="T392" s="251"/>
      <c r="U392" s="251"/>
      <c r="V392" s="251"/>
      <c r="W392" s="199"/>
    </row>
    <row r="393">
      <c r="A393" s="283"/>
      <c r="B393" s="334"/>
      <c r="C393" s="222"/>
      <c r="D393" s="265"/>
      <c r="E393" s="222"/>
      <c r="F393" s="248"/>
      <c r="G393" s="248"/>
      <c r="H393" s="248"/>
      <c r="I393" s="248"/>
      <c r="J393" s="248"/>
      <c r="K393" s="325"/>
      <c r="L393" s="199"/>
      <c r="M393" s="364"/>
      <c r="N393" s="222"/>
      <c r="O393" s="364"/>
      <c r="P393" s="222"/>
      <c r="Q393" s="251"/>
      <c r="R393" s="251"/>
      <c r="S393" s="273" t="s">
        <v>719</v>
      </c>
      <c r="T393" s="211"/>
      <c r="U393" s="274">
        <v>4197.45</v>
      </c>
      <c r="V393" s="211"/>
      <c r="W393" s="199"/>
    </row>
    <row r="394">
      <c r="A394" s="283"/>
      <c r="B394" s="334"/>
      <c r="C394" s="222"/>
      <c r="D394" s="265"/>
      <c r="E394" s="222"/>
      <c r="F394" s="248"/>
      <c r="G394" s="248"/>
      <c r="H394" s="248"/>
      <c r="I394" s="248"/>
      <c r="J394" s="248"/>
      <c r="K394" s="325"/>
      <c r="L394" s="199"/>
      <c r="M394" s="364"/>
      <c r="N394" s="222"/>
      <c r="O394" s="364"/>
      <c r="P394" s="222"/>
      <c r="Q394" s="251"/>
      <c r="R394" s="251"/>
      <c r="S394" s="278"/>
      <c r="T394" s="56"/>
      <c r="U394" s="278"/>
      <c r="V394" s="56"/>
      <c r="W394" s="199"/>
    </row>
    <row r="395">
      <c r="A395" s="283"/>
      <c r="B395" s="334"/>
      <c r="C395" s="222"/>
      <c r="D395" s="265"/>
      <c r="E395" s="222"/>
      <c r="F395" s="248"/>
      <c r="G395" s="248"/>
      <c r="H395" s="248"/>
      <c r="I395" s="248"/>
      <c r="J395" s="248"/>
      <c r="K395" s="325"/>
      <c r="L395" s="199"/>
      <c r="M395" s="364"/>
      <c r="N395" s="222"/>
      <c r="O395" s="364"/>
      <c r="P395" s="222"/>
      <c r="Q395" s="251"/>
      <c r="R395" s="251"/>
      <c r="S395" s="215"/>
      <c r="T395" s="64"/>
      <c r="U395" s="215"/>
      <c r="V395" s="64"/>
      <c r="W395" s="199"/>
    </row>
    <row r="396">
      <c r="A396" s="283"/>
      <c r="B396" s="334"/>
      <c r="C396" s="222"/>
      <c r="D396" s="265"/>
      <c r="E396" s="222"/>
      <c r="F396" s="248"/>
      <c r="G396" s="248"/>
      <c r="H396" s="276" t="s">
        <v>720</v>
      </c>
      <c r="I396" s="211"/>
      <c r="J396" s="277">
        <v>4753.0</v>
      </c>
      <c r="K396" s="314"/>
      <c r="L396" s="199"/>
      <c r="M396" s="364"/>
      <c r="N396" s="222"/>
      <c r="O396" s="364"/>
      <c r="P396" s="222"/>
      <c r="Q396" s="251"/>
      <c r="R396" s="251"/>
      <c r="S396" s="251"/>
      <c r="T396" s="251"/>
      <c r="U396" s="251"/>
      <c r="V396" s="251"/>
      <c r="W396" s="199"/>
    </row>
    <row r="397">
      <c r="A397" s="283"/>
      <c r="B397" s="334"/>
      <c r="C397" s="222"/>
      <c r="D397" s="265"/>
      <c r="E397" s="222"/>
      <c r="F397" s="248"/>
      <c r="G397" s="248"/>
      <c r="H397" s="215"/>
      <c r="I397" s="64"/>
      <c r="J397" s="215"/>
      <c r="K397" s="313"/>
      <c r="L397" s="199"/>
      <c r="M397" s="272"/>
      <c r="N397" s="222"/>
      <c r="O397" s="272"/>
      <c r="P397" s="222"/>
      <c r="Q397" s="251"/>
      <c r="R397" s="251"/>
      <c r="S397" s="251"/>
      <c r="T397" s="251"/>
      <c r="U397" s="251"/>
      <c r="V397" s="251"/>
      <c r="W397" s="199"/>
    </row>
    <row r="398">
      <c r="A398" s="283"/>
      <c r="B398" s="331" t="s">
        <v>721</v>
      </c>
      <c r="C398" s="222"/>
      <c r="D398" s="267">
        <v>0.0</v>
      </c>
      <c r="E398" s="222"/>
      <c r="F398" s="248"/>
      <c r="G398" s="248"/>
      <c r="H398" s="248"/>
      <c r="I398" s="248"/>
      <c r="J398" s="248"/>
      <c r="K398" s="325"/>
      <c r="L398" s="199"/>
      <c r="M398" s="280" t="s">
        <v>721</v>
      </c>
      <c r="N398" s="222"/>
      <c r="O398" s="281">
        <v>0.0</v>
      </c>
      <c r="P398" s="222"/>
      <c r="Q398" s="251"/>
      <c r="R398" s="251"/>
      <c r="S398" s="251"/>
      <c r="T398" s="251"/>
      <c r="U398" s="251"/>
      <c r="V398" s="251"/>
      <c r="W398" s="199"/>
    </row>
    <row r="399">
      <c r="A399" s="283"/>
      <c r="B399" s="345"/>
      <c r="C399" s="346"/>
      <c r="D399" s="346"/>
      <c r="E399" s="346"/>
      <c r="F399" s="346"/>
      <c r="G399" s="346"/>
      <c r="H399" s="346"/>
      <c r="I399" s="346"/>
      <c r="J399" s="346"/>
      <c r="K399" s="347"/>
      <c r="L399" s="199"/>
      <c r="M399" s="282"/>
      <c r="N399" s="282"/>
      <c r="O399" s="282"/>
      <c r="P399" s="282"/>
      <c r="Q399" s="282"/>
      <c r="R399" s="282"/>
      <c r="S399" s="282"/>
      <c r="T399" s="282"/>
      <c r="U399" s="282"/>
      <c r="V399" s="282"/>
      <c r="W399" s="199"/>
    </row>
    <row r="400">
      <c r="A400" s="283"/>
      <c r="B400" s="260"/>
      <c r="C400" s="260"/>
      <c r="D400" s="260"/>
      <c r="E400" s="260"/>
      <c r="F400" s="260"/>
      <c r="G400" s="260"/>
      <c r="H400" s="260"/>
      <c r="I400" s="260"/>
      <c r="J400" s="260"/>
      <c r="K400" s="260"/>
      <c r="L400" s="199"/>
      <c r="M400" s="199"/>
      <c r="N400" s="199"/>
      <c r="O400" s="199"/>
      <c r="P400" s="199"/>
      <c r="Q400" s="199"/>
      <c r="R400" s="199"/>
      <c r="S400" s="199"/>
      <c r="T400" s="199"/>
      <c r="U400" s="199"/>
      <c r="V400" s="199"/>
      <c r="W400" s="199"/>
    </row>
    <row r="401">
      <c r="A401" s="283"/>
      <c r="B401" s="199"/>
      <c r="C401" s="199"/>
      <c r="D401" s="199"/>
      <c r="E401" s="199"/>
      <c r="F401" s="199"/>
      <c r="G401" s="199"/>
      <c r="H401" s="199"/>
      <c r="I401" s="199"/>
      <c r="J401" s="199"/>
      <c r="K401" s="199"/>
      <c r="L401" s="199"/>
      <c r="M401" s="199"/>
      <c r="N401" s="199"/>
      <c r="O401" s="199"/>
      <c r="P401" s="199"/>
      <c r="Q401" s="199"/>
      <c r="R401" s="199"/>
      <c r="S401" s="199"/>
      <c r="T401" s="199"/>
      <c r="U401" s="199"/>
      <c r="V401" s="199"/>
      <c r="W401" s="199"/>
    </row>
    <row r="402">
      <c r="A402" s="283"/>
      <c r="B402" s="199"/>
      <c r="C402" s="199"/>
      <c r="D402" s="199"/>
      <c r="E402" s="199"/>
      <c r="F402" s="199"/>
      <c r="G402" s="199"/>
      <c r="H402" s="199"/>
      <c r="I402" s="199"/>
      <c r="J402" s="199"/>
      <c r="K402" s="199"/>
      <c r="L402" s="199"/>
      <c r="M402" s="199"/>
      <c r="N402" s="199"/>
      <c r="O402" s="199"/>
      <c r="P402" s="199"/>
      <c r="Q402" s="199"/>
      <c r="R402" s="199"/>
      <c r="S402" s="199"/>
      <c r="T402" s="199"/>
      <c r="U402" s="199"/>
      <c r="V402" s="199"/>
      <c r="W402" s="199"/>
    </row>
    <row r="403">
      <c r="A403" s="283"/>
      <c r="B403" s="306"/>
      <c r="C403" s="307"/>
      <c r="D403" s="307"/>
      <c r="E403" s="307"/>
      <c r="F403" s="307"/>
      <c r="G403" s="308" t="s">
        <v>700</v>
      </c>
      <c r="H403" s="309"/>
      <c r="I403" s="310" t="s">
        <v>701</v>
      </c>
      <c r="J403" s="307"/>
      <c r="K403" s="311"/>
      <c r="L403" s="199"/>
      <c r="M403" s="287"/>
      <c r="R403" s="210" t="s">
        <v>700</v>
      </c>
      <c r="S403" s="211"/>
      <c r="T403" s="212" t="s">
        <v>701</v>
      </c>
      <c r="U403" s="213"/>
      <c r="V403" s="211"/>
      <c r="W403" s="199"/>
    </row>
    <row r="404">
      <c r="A404" s="283"/>
      <c r="B404" s="312"/>
      <c r="G404" s="215"/>
      <c r="H404" s="64"/>
      <c r="I404" s="215"/>
      <c r="J404" s="216"/>
      <c r="K404" s="313"/>
      <c r="L404" s="199"/>
      <c r="R404" s="215"/>
      <c r="S404" s="64"/>
      <c r="T404" s="215"/>
      <c r="U404" s="216"/>
      <c r="V404" s="64"/>
      <c r="W404" s="199"/>
    </row>
    <row r="405">
      <c r="A405" s="283"/>
      <c r="B405" s="312"/>
      <c r="G405" s="218" t="s">
        <v>702</v>
      </c>
      <c r="H405" s="211"/>
      <c r="I405" s="219" t="s">
        <v>783</v>
      </c>
      <c r="J405" s="213"/>
      <c r="K405" s="314"/>
      <c r="L405" s="199"/>
      <c r="R405" s="210" t="s">
        <v>351</v>
      </c>
      <c r="S405" s="211"/>
      <c r="T405" s="212" t="s">
        <v>437</v>
      </c>
      <c r="U405" s="213"/>
      <c r="V405" s="211"/>
      <c r="W405" s="199"/>
    </row>
    <row r="406">
      <c r="A406" s="283"/>
      <c r="B406" s="312"/>
      <c r="G406" s="215"/>
      <c r="H406" s="64"/>
      <c r="I406" s="215"/>
      <c r="J406" s="216"/>
      <c r="K406" s="313"/>
      <c r="L406" s="199"/>
      <c r="R406" s="215"/>
      <c r="S406" s="64"/>
      <c r="T406" s="215"/>
      <c r="U406" s="216"/>
      <c r="V406" s="64"/>
      <c r="W406" s="199"/>
    </row>
    <row r="407">
      <c r="A407" s="283"/>
      <c r="B407" s="312"/>
      <c r="G407" s="218" t="s">
        <v>703</v>
      </c>
      <c r="H407" s="211"/>
      <c r="I407" s="219">
        <v>6338.0</v>
      </c>
      <c r="J407" s="213"/>
      <c r="K407" s="314"/>
      <c r="L407" s="199"/>
      <c r="R407" s="210" t="s">
        <v>703</v>
      </c>
      <c r="S407" s="211"/>
      <c r="T407" s="212">
        <v>6338.0</v>
      </c>
      <c r="U407" s="213"/>
      <c r="V407" s="211"/>
      <c r="W407" s="199"/>
    </row>
    <row r="408">
      <c r="A408" s="283"/>
      <c r="B408" s="312"/>
      <c r="G408" s="215"/>
      <c r="H408" s="64"/>
      <c r="I408" s="215"/>
      <c r="J408" s="216"/>
      <c r="K408" s="313"/>
      <c r="L408" s="199"/>
      <c r="R408" s="215"/>
      <c r="S408" s="64"/>
      <c r="T408" s="215"/>
      <c r="U408" s="216"/>
      <c r="V408" s="64"/>
      <c r="W408" s="199"/>
    </row>
    <row r="409">
      <c r="A409" s="283"/>
      <c r="B409" s="315" t="s">
        <v>704</v>
      </c>
      <c r="C409" s="222"/>
      <c r="D409" s="223" t="s">
        <v>5</v>
      </c>
      <c r="E409" s="222"/>
      <c r="F409" s="223" t="s">
        <v>705</v>
      </c>
      <c r="G409" s="224"/>
      <c r="H409" s="222"/>
      <c r="I409" s="225" t="s">
        <v>8</v>
      </c>
      <c r="J409" s="225" t="s">
        <v>706</v>
      </c>
      <c r="K409" s="316" t="s">
        <v>707</v>
      </c>
      <c r="L409" s="199"/>
      <c r="M409" s="227" t="s">
        <v>704</v>
      </c>
      <c r="N409" s="222"/>
      <c r="O409" s="227" t="s">
        <v>5</v>
      </c>
      <c r="P409" s="222"/>
      <c r="Q409" s="227" t="s">
        <v>705</v>
      </c>
      <c r="R409" s="224"/>
      <c r="S409" s="222"/>
      <c r="T409" s="228" t="s">
        <v>8</v>
      </c>
      <c r="U409" s="228" t="s">
        <v>706</v>
      </c>
      <c r="V409" s="228" t="s">
        <v>707</v>
      </c>
      <c r="W409" s="199"/>
    </row>
    <row r="410">
      <c r="A410" s="283"/>
      <c r="B410" s="317">
        <v>45976.0</v>
      </c>
      <c r="C410" s="222"/>
      <c r="D410" s="231" t="s">
        <v>784</v>
      </c>
      <c r="E410" s="222"/>
      <c r="F410" s="231" t="s">
        <v>785</v>
      </c>
      <c r="G410" s="224"/>
      <c r="H410" s="222"/>
      <c r="I410" s="232">
        <v>3255.0</v>
      </c>
      <c r="J410" s="233">
        <v>0.88</v>
      </c>
      <c r="K410" s="318">
        <v>2864.4</v>
      </c>
      <c r="L410" s="199"/>
      <c r="M410" s="235">
        <v>45976.0</v>
      </c>
      <c r="N410" s="222"/>
      <c r="O410" s="236" t="s">
        <v>784</v>
      </c>
      <c r="P410" s="222"/>
      <c r="Q410" s="236" t="s">
        <v>785</v>
      </c>
      <c r="R410" s="224"/>
      <c r="S410" s="222"/>
      <c r="T410" s="237">
        <v>3255.0</v>
      </c>
      <c r="U410" s="365">
        <v>0.28</v>
      </c>
      <c r="V410" s="237">
        <v>911.4</v>
      </c>
      <c r="W410" s="199"/>
    </row>
    <row r="411">
      <c r="A411" s="283"/>
      <c r="B411" s="319"/>
      <c r="C411" s="222"/>
      <c r="D411" s="240"/>
      <c r="E411" s="222"/>
      <c r="F411" s="240"/>
      <c r="G411" s="224"/>
      <c r="H411" s="222"/>
      <c r="I411" s="241"/>
      <c r="J411" s="233">
        <v>0.88</v>
      </c>
      <c r="K411" s="318">
        <v>0.0</v>
      </c>
      <c r="L411" s="199"/>
      <c r="M411" s="243"/>
      <c r="N411" s="222"/>
      <c r="O411" s="350"/>
      <c r="P411" s="222"/>
      <c r="Q411" s="350"/>
      <c r="R411" s="224"/>
      <c r="S411" s="222"/>
      <c r="T411" s="244"/>
      <c r="U411" s="365">
        <v>0.28</v>
      </c>
      <c r="V411" s="237">
        <v>0.0</v>
      </c>
      <c r="W411" s="199"/>
    </row>
    <row r="412">
      <c r="A412" s="283"/>
      <c r="B412" s="319"/>
      <c r="C412" s="222"/>
      <c r="D412" s="349"/>
      <c r="E412" s="222"/>
      <c r="F412" s="349"/>
      <c r="G412" s="224"/>
      <c r="H412" s="222"/>
      <c r="I412" s="241"/>
      <c r="J412" s="233">
        <v>0.88</v>
      </c>
      <c r="K412" s="318">
        <v>0.0</v>
      </c>
      <c r="L412" s="199"/>
      <c r="M412" s="243"/>
      <c r="N412" s="222"/>
      <c r="O412" s="243"/>
      <c r="P412" s="222"/>
      <c r="Q412" s="350"/>
      <c r="R412" s="224"/>
      <c r="S412" s="222"/>
      <c r="T412" s="244"/>
      <c r="U412" s="365">
        <v>0.28</v>
      </c>
      <c r="V412" s="237">
        <v>0.0</v>
      </c>
      <c r="W412" s="199"/>
    </row>
    <row r="413">
      <c r="A413" s="283"/>
      <c r="B413" s="319"/>
      <c r="C413" s="222"/>
      <c r="D413" s="240"/>
      <c r="E413" s="222"/>
      <c r="F413" s="240"/>
      <c r="G413" s="224"/>
      <c r="H413" s="222"/>
      <c r="I413" s="241"/>
      <c r="J413" s="241"/>
      <c r="K413" s="320"/>
      <c r="L413" s="199"/>
      <c r="M413" s="243"/>
      <c r="N413" s="222"/>
      <c r="O413" s="243"/>
      <c r="P413" s="222"/>
      <c r="Q413" s="243"/>
      <c r="R413" s="224"/>
      <c r="S413" s="222"/>
      <c r="T413" s="244"/>
      <c r="U413" s="290"/>
      <c r="V413" s="244"/>
      <c r="W413" s="199"/>
    </row>
    <row r="414">
      <c r="A414" s="283"/>
      <c r="B414" s="322" t="s">
        <v>711</v>
      </c>
      <c r="C414" s="224"/>
      <c r="D414" s="224"/>
      <c r="E414" s="224"/>
      <c r="F414" s="224"/>
      <c r="G414" s="224"/>
      <c r="H414" s="222"/>
      <c r="I414" s="291">
        <v>3255.0</v>
      </c>
      <c r="J414" s="241"/>
      <c r="K414" s="323">
        <v>2864.4</v>
      </c>
      <c r="L414" s="199"/>
      <c r="M414" s="243"/>
      <c r="N414" s="222"/>
      <c r="O414" s="243"/>
      <c r="P414" s="222"/>
      <c r="Q414" s="243"/>
      <c r="R414" s="224"/>
      <c r="S414" s="222"/>
      <c r="T414" s="244"/>
      <c r="U414" s="290"/>
      <c r="V414" s="244"/>
      <c r="W414" s="199"/>
    </row>
    <row r="415">
      <c r="A415" s="283"/>
      <c r="B415" s="324"/>
      <c r="C415" s="248"/>
      <c r="D415" s="248"/>
      <c r="E415" s="248"/>
      <c r="F415" s="248"/>
      <c r="G415" s="248"/>
      <c r="H415" s="248"/>
      <c r="I415" s="248"/>
      <c r="J415" s="248"/>
      <c r="K415" s="325"/>
      <c r="L415" s="199"/>
      <c r="M415" s="243"/>
      <c r="N415" s="222"/>
      <c r="O415" s="243"/>
      <c r="P415" s="222"/>
      <c r="Q415" s="243"/>
      <c r="R415" s="224"/>
      <c r="S415" s="222"/>
      <c r="T415" s="244"/>
      <c r="U415" s="290"/>
      <c r="V415" s="244"/>
      <c r="W415" s="199"/>
    </row>
    <row r="416">
      <c r="A416" s="283"/>
      <c r="B416" s="326" t="s">
        <v>712</v>
      </c>
      <c r="C416" s="222"/>
      <c r="D416" s="253"/>
      <c r="E416" s="222"/>
      <c r="F416" s="248"/>
      <c r="G416" s="248"/>
      <c r="H416" s="248"/>
      <c r="I416" s="248"/>
      <c r="J416" s="248"/>
      <c r="K416" s="325"/>
      <c r="L416" s="199"/>
      <c r="M416" s="246" t="s">
        <v>711</v>
      </c>
      <c r="N416" s="224"/>
      <c r="O416" s="224"/>
      <c r="P416" s="224"/>
      <c r="Q416" s="224"/>
      <c r="R416" s="224"/>
      <c r="S416" s="222"/>
      <c r="T416" s="366">
        <v>3255.0</v>
      </c>
      <c r="U416" s="244"/>
      <c r="V416" s="237">
        <v>911.4</v>
      </c>
      <c r="W416" s="199"/>
    </row>
    <row r="417">
      <c r="A417" s="283"/>
      <c r="B417" s="327"/>
      <c r="C417" s="222"/>
      <c r="D417" s="253"/>
      <c r="E417" s="222"/>
      <c r="F417" s="248"/>
      <c r="G417" s="248"/>
      <c r="H417" s="248"/>
      <c r="I417" s="248"/>
      <c r="J417" s="248"/>
      <c r="K417" s="325"/>
      <c r="L417" s="199"/>
      <c r="M417" s="251"/>
      <c r="N417" s="251"/>
      <c r="O417" s="251"/>
      <c r="P417" s="251"/>
      <c r="Q417" s="251"/>
      <c r="R417" s="251"/>
      <c r="S417" s="251"/>
      <c r="T417" s="251"/>
      <c r="U417" s="251"/>
      <c r="V417" s="251"/>
      <c r="W417" s="199"/>
    </row>
    <row r="418">
      <c r="A418" s="283"/>
      <c r="B418" s="327"/>
      <c r="C418" s="222"/>
      <c r="D418" s="253"/>
      <c r="E418" s="222"/>
      <c r="F418" s="248"/>
      <c r="G418" s="260"/>
      <c r="H418" s="260"/>
      <c r="I418" s="260"/>
      <c r="J418" s="260"/>
      <c r="K418" s="348"/>
      <c r="L418" s="199"/>
      <c r="M418" s="254" t="s">
        <v>712</v>
      </c>
      <c r="N418" s="222"/>
      <c r="O418" s="255"/>
      <c r="P418" s="222"/>
      <c r="Q418" s="251"/>
      <c r="R418" s="251"/>
      <c r="S418" s="251"/>
      <c r="T418" s="251"/>
      <c r="U418" s="251"/>
      <c r="V418" s="251"/>
      <c r="W418" s="199"/>
    </row>
    <row r="419">
      <c r="A419" s="283"/>
      <c r="B419" s="328" t="s">
        <v>714</v>
      </c>
      <c r="C419" s="222"/>
      <c r="D419" s="257">
        <v>0.0</v>
      </c>
      <c r="E419" s="222"/>
      <c r="F419" s="248"/>
      <c r="G419" s="260"/>
      <c r="H419" s="260"/>
      <c r="I419" s="260"/>
      <c r="J419" s="260"/>
      <c r="K419" s="348"/>
      <c r="L419" s="199"/>
      <c r="M419" s="255"/>
      <c r="N419" s="222"/>
      <c r="O419" s="255"/>
      <c r="P419" s="222"/>
      <c r="Q419" s="251"/>
      <c r="R419" s="251"/>
      <c r="S419" s="251"/>
      <c r="T419" s="251"/>
      <c r="U419" s="251"/>
      <c r="V419" s="251"/>
      <c r="W419" s="199"/>
    </row>
    <row r="420">
      <c r="A420" s="283"/>
      <c r="B420" s="329"/>
      <c r="C420" s="224"/>
      <c r="D420" s="224"/>
      <c r="E420" s="222"/>
      <c r="F420" s="248"/>
      <c r="G420" s="260"/>
      <c r="H420" s="260"/>
      <c r="I420" s="260"/>
      <c r="J420" s="260"/>
      <c r="K420" s="348"/>
      <c r="L420" s="199"/>
      <c r="M420" s="255"/>
      <c r="N420" s="222"/>
      <c r="O420" s="255"/>
      <c r="P420" s="222"/>
      <c r="Q420" s="251"/>
      <c r="R420" s="251"/>
      <c r="S420" s="251"/>
      <c r="T420" s="251"/>
      <c r="U420" s="251"/>
      <c r="V420" s="251"/>
      <c r="W420" s="199"/>
    </row>
    <row r="421">
      <c r="A421" s="283"/>
      <c r="B421" s="330" t="s">
        <v>715</v>
      </c>
      <c r="C421" s="222"/>
      <c r="D421" s="265"/>
      <c r="E421" s="222"/>
      <c r="F421" s="248"/>
      <c r="G421" s="260"/>
      <c r="H421" s="260"/>
      <c r="I421" s="260"/>
      <c r="J421" s="260"/>
      <c r="K421" s="348"/>
      <c r="L421" s="199"/>
      <c r="M421" s="255"/>
      <c r="N421" s="222"/>
      <c r="O421" s="255"/>
      <c r="P421" s="222"/>
      <c r="Q421" s="251"/>
      <c r="R421" s="251"/>
      <c r="S421" s="251"/>
      <c r="T421" s="251"/>
      <c r="U421" s="251"/>
      <c r="V421" s="251"/>
      <c r="W421" s="199"/>
    </row>
    <row r="422">
      <c r="A422" s="283"/>
      <c r="B422" s="331" t="s">
        <v>716</v>
      </c>
      <c r="C422" s="222"/>
      <c r="D422" s="267">
        <v>150.0</v>
      </c>
      <c r="E422" s="222"/>
      <c r="F422" s="248"/>
      <c r="G422" s="260"/>
      <c r="H422" s="260"/>
      <c r="I422" s="260"/>
      <c r="J422" s="260"/>
      <c r="K422" s="348"/>
      <c r="L422" s="199"/>
      <c r="M422" s="255"/>
      <c r="N422" s="222"/>
      <c r="O422" s="255"/>
      <c r="P422" s="222"/>
      <c r="Q422" s="251"/>
      <c r="R422" s="251"/>
      <c r="S422" s="251"/>
      <c r="T422" s="251"/>
      <c r="U422" s="251"/>
      <c r="V422" s="251"/>
      <c r="W422" s="199"/>
    </row>
    <row r="423">
      <c r="A423" s="283"/>
      <c r="B423" s="331" t="s">
        <v>717</v>
      </c>
      <c r="C423" s="222"/>
      <c r="D423" s="267">
        <v>400.0</v>
      </c>
      <c r="E423" s="222"/>
      <c r="F423" s="248"/>
      <c r="G423" s="260"/>
      <c r="H423" s="260"/>
      <c r="I423" s="260"/>
      <c r="J423" s="260"/>
      <c r="K423" s="348"/>
      <c r="L423" s="199"/>
      <c r="M423" s="255"/>
      <c r="N423" s="222"/>
      <c r="O423" s="255"/>
      <c r="P423" s="222"/>
      <c r="Q423" s="251"/>
      <c r="R423" s="251"/>
      <c r="S423" s="251"/>
      <c r="T423" s="251"/>
      <c r="U423" s="251"/>
      <c r="V423" s="251"/>
      <c r="W423" s="199"/>
    </row>
    <row r="424">
      <c r="A424" s="283"/>
      <c r="B424" s="331" t="s">
        <v>718</v>
      </c>
      <c r="C424" s="222"/>
      <c r="D424" s="267">
        <v>0.0</v>
      </c>
      <c r="E424" s="222"/>
      <c r="F424" s="248"/>
      <c r="G424" s="260"/>
      <c r="H424" s="260"/>
      <c r="I424" s="260"/>
      <c r="J424" s="260"/>
      <c r="K424" s="348"/>
      <c r="L424" s="199"/>
      <c r="M424" s="268" t="s">
        <v>714</v>
      </c>
      <c r="N424" s="222"/>
      <c r="O424" s="269">
        <v>0.0</v>
      </c>
      <c r="P424" s="222"/>
      <c r="Q424" s="251"/>
      <c r="R424" s="251"/>
      <c r="S424" s="251"/>
      <c r="T424" s="251"/>
      <c r="U424" s="251"/>
      <c r="V424" s="251"/>
      <c r="W424" s="199"/>
    </row>
    <row r="425">
      <c r="A425" s="283"/>
      <c r="B425" s="331" t="s">
        <v>656</v>
      </c>
      <c r="C425" s="222"/>
      <c r="D425" s="267">
        <v>482.71</v>
      </c>
      <c r="E425" s="222"/>
      <c r="F425" s="248"/>
      <c r="G425" s="260"/>
      <c r="H425" s="260"/>
      <c r="I425" s="260"/>
      <c r="J425" s="260"/>
      <c r="K425" s="348"/>
      <c r="L425" s="199"/>
      <c r="M425" s="251"/>
      <c r="N425" s="251"/>
      <c r="O425" s="270"/>
      <c r="Q425" s="251"/>
      <c r="R425" s="251"/>
      <c r="S425" s="251"/>
      <c r="T425" s="251"/>
      <c r="U425" s="251"/>
      <c r="V425" s="251"/>
      <c r="W425" s="199"/>
    </row>
    <row r="426">
      <c r="A426" s="283"/>
      <c r="B426" s="334"/>
      <c r="C426" s="222"/>
      <c r="D426" s="265"/>
      <c r="E426" s="222"/>
      <c r="F426" s="248"/>
      <c r="G426" s="248"/>
      <c r="H426" s="276" t="s">
        <v>720</v>
      </c>
      <c r="I426" s="211"/>
      <c r="J426" s="277">
        <v>1831.69</v>
      </c>
      <c r="K426" s="314"/>
      <c r="L426" s="199"/>
      <c r="M426" s="271" t="s">
        <v>715</v>
      </c>
      <c r="N426" s="222"/>
      <c r="O426" s="272"/>
      <c r="P426" s="222"/>
      <c r="Q426" s="251"/>
      <c r="R426" s="251"/>
      <c r="S426" s="251"/>
      <c r="T426" s="251"/>
      <c r="U426" s="251"/>
      <c r="V426" s="251"/>
      <c r="W426" s="199"/>
    </row>
    <row r="427">
      <c r="A427" s="283"/>
      <c r="B427" s="334"/>
      <c r="C427" s="222"/>
      <c r="D427" s="265"/>
      <c r="E427" s="222"/>
      <c r="F427" s="248"/>
      <c r="G427" s="248"/>
      <c r="H427" s="278"/>
      <c r="I427" s="56"/>
      <c r="J427" s="278"/>
      <c r="K427" s="333"/>
      <c r="L427" s="199"/>
      <c r="M427" s="272"/>
      <c r="N427" s="222"/>
      <c r="O427" s="272"/>
      <c r="P427" s="222"/>
      <c r="Q427" s="251"/>
      <c r="R427" s="251"/>
      <c r="S427" s="273" t="s">
        <v>719</v>
      </c>
      <c r="T427" s="211"/>
      <c r="U427" s="274">
        <v>911.4</v>
      </c>
      <c r="V427" s="211"/>
      <c r="W427" s="199"/>
    </row>
    <row r="428">
      <c r="A428" s="283"/>
      <c r="B428" s="334"/>
      <c r="C428" s="222"/>
      <c r="D428" s="265"/>
      <c r="E428" s="222"/>
      <c r="F428" s="248"/>
      <c r="G428" s="248"/>
      <c r="H428" s="215"/>
      <c r="I428" s="64"/>
      <c r="J428" s="215"/>
      <c r="K428" s="313"/>
      <c r="L428" s="199"/>
      <c r="M428" s="272"/>
      <c r="N428" s="222"/>
      <c r="O428" s="272"/>
      <c r="P428" s="222"/>
      <c r="Q428" s="251"/>
      <c r="R428" s="251"/>
      <c r="S428" s="278"/>
      <c r="T428" s="56"/>
      <c r="U428" s="278"/>
      <c r="V428" s="56"/>
      <c r="W428" s="199"/>
    </row>
    <row r="429">
      <c r="A429" s="283"/>
      <c r="B429" s="334"/>
      <c r="C429" s="222"/>
      <c r="D429" s="265"/>
      <c r="E429" s="222"/>
      <c r="F429" s="248"/>
      <c r="G429" s="248"/>
      <c r="H429" s="248"/>
      <c r="I429" s="248"/>
      <c r="J429" s="248"/>
      <c r="K429" s="325"/>
      <c r="L429" s="199"/>
      <c r="M429" s="272"/>
      <c r="N429" s="222"/>
      <c r="O429" s="272"/>
      <c r="P429" s="222"/>
      <c r="Q429" s="251"/>
      <c r="R429" s="251"/>
      <c r="S429" s="215"/>
      <c r="T429" s="64"/>
      <c r="U429" s="215"/>
      <c r="V429" s="64"/>
      <c r="W429" s="199"/>
    </row>
    <row r="430">
      <c r="A430" s="283"/>
      <c r="B430" s="334"/>
      <c r="C430" s="222"/>
      <c r="D430" s="265"/>
      <c r="E430" s="222"/>
      <c r="F430" s="248"/>
      <c r="G430" s="248"/>
      <c r="H430" s="248"/>
      <c r="I430" s="248"/>
      <c r="J430" s="248"/>
      <c r="K430" s="325"/>
      <c r="L430" s="199"/>
      <c r="M430" s="272"/>
      <c r="N430" s="222"/>
      <c r="O430" s="272"/>
      <c r="P430" s="222"/>
      <c r="Q430" s="251"/>
      <c r="R430" s="251"/>
      <c r="S430" s="251"/>
      <c r="T430" s="251"/>
      <c r="U430" s="251"/>
      <c r="V430" s="251"/>
      <c r="W430" s="199"/>
    </row>
    <row r="431">
      <c r="A431" s="283"/>
      <c r="B431" s="331" t="s">
        <v>721</v>
      </c>
      <c r="C431" s="222"/>
      <c r="D431" s="267">
        <v>1032.71</v>
      </c>
      <c r="E431" s="222"/>
      <c r="F431" s="248"/>
      <c r="G431" s="248"/>
      <c r="H431" s="248"/>
      <c r="I431" s="248"/>
      <c r="J431" s="248"/>
      <c r="K431" s="325"/>
      <c r="L431" s="199"/>
      <c r="M431" s="272"/>
      <c r="N431" s="222"/>
      <c r="O431" s="272"/>
      <c r="P431" s="222"/>
      <c r="Q431" s="251"/>
      <c r="R431" s="251"/>
      <c r="S431" s="251"/>
      <c r="T431" s="251"/>
      <c r="U431" s="251"/>
      <c r="V431" s="251"/>
      <c r="W431" s="199"/>
    </row>
    <row r="432">
      <c r="A432" s="283"/>
      <c r="B432" s="345"/>
      <c r="C432" s="346"/>
      <c r="D432" s="346"/>
      <c r="E432" s="346"/>
      <c r="F432" s="346"/>
      <c r="G432" s="346"/>
      <c r="H432" s="346"/>
      <c r="I432" s="346"/>
      <c r="J432" s="346"/>
      <c r="K432" s="347"/>
      <c r="L432" s="199"/>
      <c r="M432" s="280" t="s">
        <v>721</v>
      </c>
      <c r="N432" s="222"/>
      <c r="O432" s="281">
        <v>0.0</v>
      </c>
      <c r="P432" s="222"/>
      <c r="Q432" s="251"/>
      <c r="R432" s="251"/>
      <c r="S432" s="251"/>
      <c r="T432" s="251"/>
      <c r="U432" s="251"/>
      <c r="V432" s="251"/>
      <c r="W432" s="199"/>
    </row>
    <row r="433">
      <c r="A433" s="283"/>
      <c r="B433" s="260"/>
      <c r="C433" s="260"/>
      <c r="D433" s="260"/>
      <c r="E433" s="260"/>
      <c r="F433" s="260"/>
      <c r="G433" s="260"/>
      <c r="H433" s="260"/>
      <c r="I433" s="260"/>
      <c r="J433" s="260"/>
      <c r="K433" s="260"/>
      <c r="L433" s="199"/>
      <c r="M433" s="282"/>
      <c r="N433" s="282"/>
      <c r="O433" s="282"/>
      <c r="P433" s="282"/>
      <c r="Q433" s="282"/>
      <c r="R433" s="282"/>
      <c r="S433" s="282"/>
      <c r="T433" s="282"/>
      <c r="U433" s="282"/>
      <c r="V433" s="282"/>
      <c r="W433" s="199"/>
    </row>
    <row r="434">
      <c r="A434" s="283"/>
      <c r="B434" s="199"/>
      <c r="C434" s="199"/>
      <c r="D434" s="199"/>
      <c r="E434" s="199"/>
      <c r="F434" s="199"/>
      <c r="G434" s="199"/>
      <c r="H434" s="199"/>
      <c r="I434" s="199"/>
      <c r="J434" s="199"/>
      <c r="K434" s="199"/>
      <c r="L434" s="199"/>
      <c r="M434" s="282"/>
      <c r="N434" s="282"/>
      <c r="O434" s="282"/>
      <c r="P434" s="282"/>
      <c r="Q434" s="282"/>
      <c r="R434" s="282"/>
      <c r="S434" s="282"/>
      <c r="T434" s="282"/>
      <c r="U434" s="282"/>
      <c r="V434" s="282"/>
      <c r="W434" s="199"/>
    </row>
    <row r="435">
      <c r="A435" s="283"/>
      <c r="B435" s="199"/>
      <c r="C435" s="199"/>
      <c r="D435" s="199"/>
      <c r="E435" s="199"/>
      <c r="F435" s="199"/>
      <c r="G435" s="199"/>
      <c r="H435" s="199"/>
      <c r="I435" s="199"/>
      <c r="J435" s="199"/>
      <c r="K435" s="199"/>
      <c r="L435" s="199"/>
      <c r="M435" s="199"/>
      <c r="N435" s="199"/>
      <c r="O435" s="199"/>
      <c r="P435" s="199"/>
      <c r="Q435" s="199"/>
      <c r="R435" s="199"/>
      <c r="S435" s="199"/>
      <c r="T435" s="199"/>
      <c r="U435" s="199"/>
      <c r="V435" s="199"/>
      <c r="W435" s="199"/>
    </row>
    <row r="436">
      <c r="A436" s="283"/>
      <c r="B436" s="306"/>
      <c r="C436" s="307"/>
      <c r="D436" s="307"/>
      <c r="E436" s="307"/>
      <c r="F436" s="307"/>
      <c r="G436" s="308" t="s">
        <v>700</v>
      </c>
      <c r="H436" s="309"/>
      <c r="I436" s="310" t="s">
        <v>701</v>
      </c>
      <c r="J436" s="307"/>
      <c r="K436" s="311"/>
      <c r="L436" s="199"/>
      <c r="M436" s="287"/>
      <c r="R436" s="210" t="s">
        <v>700</v>
      </c>
      <c r="S436" s="211"/>
      <c r="T436" s="212" t="s">
        <v>701</v>
      </c>
      <c r="U436" s="213"/>
      <c r="V436" s="211"/>
      <c r="W436" s="199"/>
    </row>
    <row r="437">
      <c r="A437" s="283"/>
      <c r="B437" s="312"/>
      <c r="G437" s="215"/>
      <c r="H437" s="64"/>
      <c r="I437" s="215"/>
      <c r="J437" s="216"/>
      <c r="K437" s="313"/>
      <c r="L437" s="199"/>
      <c r="R437" s="215"/>
      <c r="S437" s="64"/>
      <c r="T437" s="215"/>
      <c r="U437" s="216"/>
      <c r="V437" s="64"/>
      <c r="W437" s="199"/>
    </row>
    <row r="438">
      <c r="A438" s="283"/>
      <c r="B438" s="312"/>
      <c r="G438" s="218" t="s">
        <v>702</v>
      </c>
      <c r="H438" s="211"/>
      <c r="I438" s="219" t="s">
        <v>675</v>
      </c>
      <c r="J438" s="213"/>
      <c r="K438" s="314"/>
      <c r="L438" s="199"/>
      <c r="R438" s="210" t="s">
        <v>351</v>
      </c>
      <c r="S438" s="211"/>
      <c r="T438" s="212" t="s">
        <v>443</v>
      </c>
      <c r="U438" s="213"/>
      <c r="V438" s="211"/>
      <c r="W438" s="199"/>
    </row>
    <row r="439">
      <c r="A439" s="283"/>
      <c r="B439" s="312"/>
      <c r="G439" s="215"/>
      <c r="H439" s="64"/>
      <c r="I439" s="215"/>
      <c r="J439" s="216"/>
      <c r="K439" s="313"/>
      <c r="L439" s="199"/>
      <c r="R439" s="215"/>
      <c r="S439" s="64"/>
      <c r="T439" s="215"/>
      <c r="U439" s="216"/>
      <c r="V439" s="64"/>
      <c r="W439" s="199"/>
    </row>
    <row r="440">
      <c r="A440" s="283"/>
      <c r="B440" s="312"/>
      <c r="G440" s="218" t="s">
        <v>703</v>
      </c>
      <c r="H440" s="211"/>
      <c r="I440" s="219">
        <v>9334.0</v>
      </c>
      <c r="J440" s="213"/>
      <c r="K440" s="314"/>
      <c r="L440" s="199"/>
      <c r="R440" s="210" t="s">
        <v>703</v>
      </c>
      <c r="S440" s="211"/>
      <c r="T440" s="212">
        <v>9334.0</v>
      </c>
      <c r="U440" s="213"/>
      <c r="V440" s="211"/>
      <c r="W440" s="199"/>
    </row>
    <row r="441">
      <c r="A441" s="283"/>
      <c r="B441" s="312"/>
      <c r="G441" s="215"/>
      <c r="H441" s="64"/>
      <c r="I441" s="215"/>
      <c r="J441" s="216"/>
      <c r="K441" s="313"/>
      <c r="L441" s="199"/>
      <c r="R441" s="215"/>
      <c r="S441" s="64"/>
      <c r="T441" s="215"/>
      <c r="U441" s="216"/>
      <c r="V441" s="64"/>
      <c r="W441" s="199"/>
    </row>
    <row r="442">
      <c r="A442" s="283"/>
      <c r="B442" s="315" t="s">
        <v>704</v>
      </c>
      <c r="C442" s="222"/>
      <c r="D442" s="223" t="s">
        <v>5</v>
      </c>
      <c r="E442" s="222"/>
      <c r="F442" s="223" t="s">
        <v>705</v>
      </c>
      <c r="G442" s="224"/>
      <c r="H442" s="222"/>
      <c r="I442" s="225" t="s">
        <v>8</v>
      </c>
      <c r="J442" s="225" t="s">
        <v>706</v>
      </c>
      <c r="K442" s="316" t="s">
        <v>707</v>
      </c>
      <c r="L442" s="199"/>
      <c r="M442" s="227" t="s">
        <v>704</v>
      </c>
      <c r="N442" s="222"/>
      <c r="O442" s="227" t="s">
        <v>5</v>
      </c>
      <c r="P442" s="222"/>
      <c r="Q442" s="227" t="s">
        <v>705</v>
      </c>
      <c r="R442" s="224"/>
      <c r="S442" s="222"/>
      <c r="T442" s="228" t="s">
        <v>591</v>
      </c>
      <c r="U442" s="228" t="s">
        <v>708</v>
      </c>
      <c r="V442" s="228" t="s">
        <v>707</v>
      </c>
      <c r="W442" s="199"/>
    </row>
    <row r="443">
      <c r="A443" s="283"/>
      <c r="B443" s="317">
        <v>45972.0</v>
      </c>
      <c r="C443" s="222"/>
      <c r="D443" s="223" t="s">
        <v>786</v>
      </c>
      <c r="E443" s="222"/>
      <c r="F443" s="223" t="s">
        <v>787</v>
      </c>
      <c r="G443" s="224"/>
      <c r="H443" s="222"/>
      <c r="I443" s="232">
        <v>2475.0</v>
      </c>
      <c r="J443" s="233">
        <v>0.88</v>
      </c>
      <c r="K443" s="318">
        <v>2178.0</v>
      </c>
      <c r="L443" s="199"/>
      <c r="M443" s="235">
        <v>45972.0</v>
      </c>
      <c r="N443" s="222"/>
      <c r="O443" s="227" t="s">
        <v>786</v>
      </c>
      <c r="P443" s="222"/>
      <c r="Q443" s="227" t="s">
        <v>787</v>
      </c>
      <c r="R443" s="224"/>
      <c r="S443" s="222"/>
      <c r="T443" s="228">
        <v>1421.0</v>
      </c>
      <c r="U443" s="228">
        <v>0.65</v>
      </c>
      <c r="V443" s="237">
        <v>923.65</v>
      </c>
      <c r="W443" s="199"/>
    </row>
    <row r="444">
      <c r="A444" s="283"/>
      <c r="B444" s="317">
        <v>45974.0</v>
      </c>
      <c r="C444" s="222"/>
      <c r="D444" s="223">
        <v>337284.0</v>
      </c>
      <c r="E444" s="222"/>
      <c r="F444" s="223" t="s">
        <v>788</v>
      </c>
      <c r="G444" s="224"/>
      <c r="H444" s="222"/>
      <c r="I444" s="232">
        <v>1350.0</v>
      </c>
      <c r="J444" s="233">
        <v>0.88</v>
      </c>
      <c r="K444" s="318">
        <v>1188.0</v>
      </c>
      <c r="L444" s="199"/>
      <c r="M444" s="235">
        <v>45974.0</v>
      </c>
      <c r="N444" s="222"/>
      <c r="O444" s="227">
        <v>337284.0</v>
      </c>
      <c r="P444" s="222"/>
      <c r="Q444" s="227" t="s">
        <v>788</v>
      </c>
      <c r="R444" s="224"/>
      <c r="S444" s="222"/>
      <c r="T444" s="228">
        <v>610.0</v>
      </c>
      <c r="U444" s="228">
        <v>0.65</v>
      </c>
      <c r="V444" s="237">
        <v>396.5</v>
      </c>
      <c r="W444" s="199"/>
    </row>
    <row r="445">
      <c r="A445" s="283"/>
      <c r="B445" s="317">
        <v>45975.0</v>
      </c>
      <c r="C445" s="222"/>
      <c r="D445" s="231">
        <v>8034034.0</v>
      </c>
      <c r="E445" s="222"/>
      <c r="F445" s="349"/>
      <c r="G445" s="224"/>
      <c r="H445" s="222"/>
      <c r="I445" s="232">
        <v>1500.0</v>
      </c>
      <c r="J445" s="233">
        <v>0.88</v>
      </c>
      <c r="K445" s="318">
        <v>1320.0</v>
      </c>
      <c r="L445" s="199"/>
      <c r="M445" s="235">
        <v>45975.0</v>
      </c>
      <c r="N445" s="222"/>
      <c r="O445" s="236">
        <v>8034034.0</v>
      </c>
      <c r="P445" s="222"/>
      <c r="Q445" s="350"/>
      <c r="R445" s="224"/>
      <c r="S445" s="222"/>
      <c r="T445" s="228">
        <v>587.0</v>
      </c>
      <c r="U445" s="228">
        <v>0.65</v>
      </c>
      <c r="V445" s="237">
        <v>381.55</v>
      </c>
      <c r="W445" s="199"/>
    </row>
    <row r="446">
      <c r="A446" s="283"/>
      <c r="B446" s="319"/>
      <c r="C446" s="222"/>
      <c r="D446" s="240"/>
      <c r="E446" s="222"/>
      <c r="F446" s="240"/>
      <c r="G446" s="224"/>
      <c r="H446" s="222"/>
      <c r="I446" s="241"/>
      <c r="J446" s="241"/>
      <c r="K446" s="320"/>
      <c r="L446" s="199"/>
      <c r="M446" s="243"/>
      <c r="N446" s="222"/>
      <c r="O446" s="243"/>
      <c r="P446" s="222"/>
      <c r="Q446" s="243"/>
      <c r="R446" s="224"/>
      <c r="S446" s="222"/>
      <c r="T446" s="244"/>
      <c r="U446" s="290"/>
      <c r="V446" s="244"/>
      <c r="W446" s="199"/>
    </row>
    <row r="447">
      <c r="A447" s="283"/>
      <c r="B447" s="322" t="s">
        <v>711</v>
      </c>
      <c r="C447" s="224"/>
      <c r="D447" s="224"/>
      <c r="E447" s="224"/>
      <c r="F447" s="224"/>
      <c r="G447" s="224"/>
      <c r="H447" s="222"/>
      <c r="I447" s="291">
        <v>5325.0</v>
      </c>
      <c r="J447" s="241"/>
      <c r="K447" s="323">
        <v>4686.0</v>
      </c>
      <c r="L447" s="199"/>
      <c r="M447" s="243"/>
      <c r="N447" s="222"/>
      <c r="O447" s="243"/>
      <c r="P447" s="222"/>
      <c r="Q447" s="243"/>
      <c r="R447" s="224"/>
      <c r="S447" s="222"/>
      <c r="T447" s="290"/>
      <c r="U447" s="290"/>
      <c r="V447" s="244"/>
      <c r="W447" s="199"/>
    </row>
    <row r="448">
      <c r="A448" s="283"/>
      <c r="B448" s="324"/>
      <c r="C448" s="248"/>
      <c r="D448" s="248"/>
      <c r="E448" s="248"/>
      <c r="F448" s="248"/>
      <c r="G448" s="248"/>
      <c r="H448" s="248"/>
      <c r="I448" s="248"/>
      <c r="J448" s="248"/>
      <c r="K448" s="325"/>
      <c r="L448" s="199"/>
      <c r="M448" s="246" t="s">
        <v>711</v>
      </c>
      <c r="N448" s="224"/>
      <c r="O448" s="224"/>
      <c r="P448" s="224"/>
      <c r="Q448" s="224"/>
      <c r="R448" s="224"/>
      <c r="S448" s="222"/>
      <c r="T448" s="228">
        <v>2618.0</v>
      </c>
      <c r="U448" s="244"/>
      <c r="V448" s="237">
        <v>1701.7</v>
      </c>
      <c r="W448" s="199"/>
    </row>
    <row r="449">
      <c r="A449" s="283"/>
      <c r="B449" s="326" t="s">
        <v>712</v>
      </c>
      <c r="C449" s="222"/>
      <c r="D449" s="253"/>
      <c r="E449" s="222"/>
      <c r="F449" s="248"/>
      <c r="G449" s="248"/>
      <c r="H449" s="248"/>
      <c r="I449" s="248"/>
      <c r="J449" s="248"/>
      <c r="K449" s="325"/>
      <c r="L449" s="199"/>
      <c r="M449" s="251"/>
      <c r="N449" s="251"/>
      <c r="O449" s="251"/>
      <c r="P449" s="251"/>
      <c r="Q449" s="251"/>
      <c r="R449" s="251"/>
      <c r="S449" s="251"/>
      <c r="T449" s="251"/>
      <c r="U449" s="251"/>
      <c r="V449" s="251"/>
      <c r="W449" s="199"/>
    </row>
    <row r="450">
      <c r="A450" s="283"/>
      <c r="B450" s="327"/>
      <c r="C450" s="222"/>
      <c r="D450" s="253"/>
      <c r="E450" s="222"/>
      <c r="F450" s="248"/>
      <c r="G450" s="248"/>
      <c r="H450" s="248"/>
      <c r="I450" s="248"/>
      <c r="J450" s="248"/>
      <c r="K450" s="325"/>
      <c r="L450" s="199"/>
      <c r="M450" s="254" t="s">
        <v>712</v>
      </c>
      <c r="N450" s="222"/>
      <c r="O450" s="255"/>
      <c r="P450" s="222"/>
      <c r="Q450" s="251"/>
      <c r="R450" s="251"/>
      <c r="S450" s="251"/>
      <c r="T450" s="251"/>
      <c r="U450" s="251"/>
      <c r="V450" s="251"/>
      <c r="W450" s="199"/>
    </row>
    <row r="451">
      <c r="A451" s="283"/>
      <c r="B451" s="327"/>
      <c r="C451" s="222"/>
      <c r="D451" s="253"/>
      <c r="E451" s="222"/>
      <c r="F451" s="248"/>
      <c r="G451" s="260"/>
      <c r="H451" s="260"/>
      <c r="I451" s="260"/>
      <c r="J451" s="260"/>
      <c r="K451" s="348"/>
      <c r="L451" s="199"/>
      <c r="M451" s="342" t="s">
        <v>763</v>
      </c>
      <c r="N451" s="222"/>
      <c r="O451" s="269">
        <v>75.0</v>
      </c>
      <c r="P451" s="222"/>
      <c r="Q451" s="251"/>
      <c r="R451" s="251"/>
      <c r="S451" s="251"/>
      <c r="T451" s="251"/>
      <c r="U451" s="251"/>
      <c r="V451" s="251"/>
      <c r="W451" s="199"/>
    </row>
    <row r="452">
      <c r="A452" s="283"/>
      <c r="B452" s="328" t="s">
        <v>714</v>
      </c>
      <c r="C452" s="222"/>
      <c r="D452" s="257">
        <v>0.0</v>
      </c>
      <c r="E452" s="222"/>
      <c r="F452" s="248"/>
      <c r="G452" s="260"/>
      <c r="H452" s="260"/>
      <c r="I452" s="260"/>
      <c r="J452" s="260"/>
      <c r="K452" s="348"/>
      <c r="L452" s="199"/>
      <c r="M452" s="255"/>
      <c r="N452" s="222"/>
      <c r="O452" s="255"/>
      <c r="P452" s="222"/>
      <c r="Q452" s="251"/>
      <c r="R452" s="251"/>
      <c r="S452" s="251"/>
      <c r="T452" s="251"/>
      <c r="U452" s="251"/>
      <c r="V452" s="251"/>
      <c r="W452" s="199"/>
    </row>
    <row r="453">
      <c r="A453" s="283"/>
      <c r="B453" s="329"/>
      <c r="C453" s="224"/>
      <c r="D453" s="224"/>
      <c r="E453" s="222"/>
      <c r="F453" s="248"/>
      <c r="G453" s="260"/>
      <c r="H453" s="260"/>
      <c r="I453" s="260"/>
      <c r="J453" s="260"/>
      <c r="K453" s="348"/>
      <c r="L453" s="199"/>
      <c r="M453" s="255"/>
      <c r="N453" s="222"/>
      <c r="O453" s="255"/>
      <c r="P453" s="222"/>
      <c r="Q453" s="251"/>
      <c r="R453" s="251"/>
      <c r="S453" s="251"/>
      <c r="T453" s="251"/>
      <c r="U453" s="251"/>
      <c r="V453" s="251"/>
      <c r="W453" s="199"/>
    </row>
    <row r="454">
      <c r="A454" s="283"/>
      <c r="B454" s="330" t="s">
        <v>715</v>
      </c>
      <c r="C454" s="222"/>
      <c r="D454" s="265"/>
      <c r="E454" s="222"/>
      <c r="F454" s="248"/>
      <c r="G454" s="260"/>
      <c r="H454" s="260"/>
      <c r="I454" s="260"/>
      <c r="J454" s="260"/>
      <c r="K454" s="348"/>
      <c r="L454" s="199"/>
      <c r="M454" s="255"/>
      <c r="N454" s="222"/>
      <c r="O454" s="255"/>
      <c r="P454" s="222"/>
      <c r="Q454" s="251"/>
      <c r="R454" s="251"/>
      <c r="S454" s="251"/>
      <c r="T454" s="251"/>
      <c r="U454" s="251"/>
      <c r="V454" s="251"/>
      <c r="W454" s="199"/>
    </row>
    <row r="455">
      <c r="A455" s="283"/>
      <c r="B455" s="331" t="s">
        <v>716</v>
      </c>
      <c r="C455" s="222"/>
      <c r="D455" s="267">
        <v>150.0</v>
      </c>
      <c r="E455" s="222"/>
      <c r="F455" s="248"/>
      <c r="G455" s="260"/>
      <c r="H455" s="260"/>
      <c r="I455" s="260"/>
      <c r="J455" s="260"/>
      <c r="K455" s="348"/>
      <c r="L455" s="199"/>
      <c r="M455" s="255"/>
      <c r="N455" s="222"/>
      <c r="O455" s="255"/>
      <c r="P455" s="222"/>
      <c r="Q455" s="251"/>
      <c r="R455" s="251"/>
      <c r="S455" s="251"/>
      <c r="T455" s="251"/>
      <c r="U455" s="251"/>
      <c r="V455" s="251"/>
      <c r="W455" s="199"/>
    </row>
    <row r="456">
      <c r="A456" s="283"/>
      <c r="B456" s="331" t="s">
        <v>717</v>
      </c>
      <c r="C456" s="222"/>
      <c r="D456" s="267">
        <v>400.0</v>
      </c>
      <c r="E456" s="222"/>
      <c r="F456" s="248"/>
      <c r="G456" s="260"/>
      <c r="H456" s="260"/>
      <c r="I456" s="260"/>
      <c r="J456" s="260"/>
      <c r="K456" s="348"/>
      <c r="L456" s="199"/>
      <c r="M456" s="268" t="s">
        <v>714</v>
      </c>
      <c r="N456" s="222"/>
      <c r="O456" s="269">
        <v>75.0</v>
      </c>
      <c r="P456" s="222"/>
      <c r="Q456" s="251"/>
      <c r="R456" s="251"/>
      <c r="S456" s="251"/>
      <c r="T456" s="251"/>
      <c r="U456" s="251"/>
      <c r="V456" s="251"/>
      <c r="W456" s="199"/>
    </row>
    <row r="457">
      <c r="A457" s="283"/>
      <c r="B457" s="331" t="s">
        <v>718</v>
      </c>
      <c r="C457" s="222"/>
      <c r="D457" s="267">
        <v>200.0</v>
      </c>
      <c r="E457" s="222"/>
      <c r="F457" s="248"/>
      <c r="G457" s="260"/>
      <c r="H457" s="260"/>
      <c r="I457" s="260"/>
      <c r="J457" s="260"/>
      <c r="K457" s="348"/>
      <c r="L457" s="199"/>
      <c r="M457" s="251"/>
      <c r="N457" s="251"/>
      <c r="O457" s="270"/>
      <c r="Q457" s="251"/>
      <c r="R457" s="251"/>
      <c r="S457" s="251"/>
      <c r="T457" s="251"/>
      <c r="U457" s="251"/>
      <c r="V457" s="251"/>
      <c r="W457" s="199"/>
    </row>
    <row r="458">
      <c r="A458" s="283"/>
      <c r="B458" s="331" t="s">
        <v>656</v>
      </c>
      <c r="C458" s="222"/>
      <c r="D458" s="267">
        <v>1961.23</v>
      </c>
      <c r="E458" s="222"/>
      <c r="F458" s="248"/>
      <c r="G458" s="260"/>
      <c r="H458" s="260"/>
      <c r="I458" s="260"/>
      <c r="J458" s="260"/>
      <c r="K458" s="348"/>
      <c r="L458" s="199"/>
      <c r="M458" s="271" t="s">
        <v>715</v>
      </c>
      <c r="N458" s="222"/>
      <c r="O458" s="272"/>
      <c r="P458" s="222"/>
      <c r="Q458" s="251"/>
      <c r="R458" s="251"/>
      <c r="S458" s="251"/>
      <c r="T458" s="251"/>
      <c r="U458" s="251"/>
      <c r="V458" s="251"/>
      <c r="W458" s="199"/>
    </row>
    <row r="459">
      <c r="A459" s="283"/>
      <c r="B459" s="334"/>
      <c r="C459" s="222"/>
      <c r="D459" s="265"/>
      <c r="E459" s="222"/>
      <c r="F459" s="248"/>
      <c r="G459" s="248"/>
      <c r="H459" s="276" t="s">
        <v>720</v>
      </c>
      <c r="I459" s="211"/>
      <c r="J459" s="277">
        <v>1974.77</v>
      </c>
      <c r="K459" s="314"/>
      <c r="L459" s="199"/>
      <c r="M459" s="272"/>
      <c r="N459" s="222"/>
      <c r="O459" s="272"/>
      <c r="P459" s="222"/>
      <c r="Q459" s="251"/>
      <c r="R459" s="251"/>
      <c r="S459" s="273" t="s">
        <v>719</v>
      </c>
      <c r="T459" s="211"/>
      <c r="U459" s="274">
        <v>1776.7</v>
      </c>
      <c r="V459" s="211"/>
      <c r="W459" s="199"/>
    </row>
    <row r="460">
      <c r="A460" s="283"/>
      <c r="B460" s="334"/>
      <c r="C460" s="222"/>
      <c r="D460" s="265"/>
      <c r="E460" s="222"/>
      <c r="F460" s="248"/>
      <c r="G460" s="248"/>
      <c r="H460" s="278"/>
      <c r="I460" s="56"/>
      <c r="J460" s="278"/>
      <c r="K460" s="333"/>
      <c r="L460" s="199"/>
      <c r="M460" s="272"/>
      <c r="N460" s="222"/>
      <c r="O460" s="272"/>
      <c r="P460" s="222"/>
      <c r="Q460" s="251"/>
      <c r="R460" s="251"/>
      <c r="S460" s="278"/>
      <c r="T460" s="56"/>
      <c r="U460" s="278"/>
      <c r="V460" s="56"/>
      <c r="W460" s="199"/>
    </row>
    <row r="461">
      <c r="A461" s="283"/>
      <c r="B461" s="334"/>
      <c r="C461" s="222"/>
      <c r="D461" s="265"/>
      <c r="E461" s="222"/>
      <c r="F461" s="248"/>
      <c r="G461" s="248"/>
      <c r="H461" s="215"/>
      <c r="I461" s="64"/>
      <c r="J461" s="215"/>
      <c r="K461" s="313"/>
      <c r="L461" s="199"/>
      <c r="M461" s="272"/>
      <c r="N461" s="222"/>
      <c r="O461" s="272"/>
      <c r="P461" s="222"/>
      <c r="Q461" s="251"/>
      <c r="R461" s="251"/>
      <c r="S461" s="215"/>
      <c r="T461" s="64"/>
      <c r="U461" s="215"/>
      <c r="V461" s="64"/>
      <c r="W461" s="199"/>
    </row>
    <row r="462">
      <c r="A462" s="283"/>
      <c r="B462" s="334"/>
      <c r="C462" s="222"/>
      <c r="D462" s="265"/>
      <c r="E462" s="222"/>
      <c r="F462" s="248"/>
      <c r="G462" s="248"/>
      <c r="H462" s="248"/>
      <c r="I462" s="248"/>
      <c r="J462" s="248"/>
      <c r="K462" s="325"/>
      <c r="L462" s="199"/>
      <c r="M462" s="272"/>
      <c r="N462" s="222"/>
      <c r="O462" s="272"/>
      <c r="P462" s="222"/>
      <c r="Q462" s="251"/>
      <c r="R462" s="251"/>
      <c r="S462" s="251"/>
      <c r="T462" s="251"/>
      <c r="U462" s="251"/>
      <c r="V462" s="251"/>
      <c r="W462" s="199"/>
    </row>
    <row r="463">
      <c r="A463" s="283"/>
      <c r="B463" s="334"/>
      <c r="C463" s="222"/>
      <c r="D463" s="265"/>
      <c r="E463" s="222"/>
      <c r="F463" s="248"/>
      <c r="G463" s="248"/>
      <c r="H463" s="248"/>
      <c r="I463" s="248"/>
      <c r="J463" s="248"/>
      <c r="K463" s="325"/>
      <c r="L463" s="199"/>
      <c r="M463" s="272"/>
      <c r="N463" s="222"/>
      <c r="O463" s="272"/>
      <c r="P463" s="222"/>
      <c r="Q463" s="251"/>
      <c r="R463" s="251"/>
      <c r="S463" s="251"/>
      <c r="T463" s="251"/>
      <c r="U463" s="251"/>
      <c r="V463" s="251"/>
      <c r="W463" s="199"/>
    </row>
    <row r="464">
      <c r="A464" s="283"/>
      <c r="B464" s="331" t="s">
        <v>721</v>
      </c>
      <c r="C464" s="222"/>
      <c r="D464" s="267">
        <v>2711.23</v>
      </c>
      <c r="E464" s="222"/>
      <c r="F464" s="248"/>
      <c r="G464" s="248"/>
      <c r="H464" s="248"/>
      <c r="I464" s="248"/>
      <c r="J464" s="248"/>
      <c r="K464" s="325"/>
      <c r="L464" s="199"/>
      <c r="M464" s="280" t="s">
        <v>721</v>
      </c>
      <c r="N464" s="222"/>
      <c r="O464" s="281">
        <v>0.0</v>
      </c>
      <c r="P464" s="222"/>
      <c r="Q464" s="251"/>
      <c r="R464" s="251"/>
      <c r="S464" s="251"/>
      <c r="T464" s="251"/>
      <c r="U464" s="251"/>
      <c r="V464" s="251"/>
      <c r="W464" s="199"/>
    </row>
    <row r="465">
      <c r="A465" s="283"/>
      <c r="B465" s="345"/>
      <c r="C465" s="346"/>
      <c r="D465" s="346"/>
      <c r="E465" s="346"/>
      <c r="F465" s="346"/>
      <c r="G465" s="346"/>
      <c r="H465" s="346"/>
      <c r="I465" s="346"/>
      <c r="J465" s="346"/>
      <c r="K465" s="347"/>
      <c r="L465" s="199"/>
      <c r="M465" s="282"/>
      <c r="N465" s="282"/>
      <c r="O465" s="282"/>
      <c r="P465" s="282"/>
      <c r="Q465" s="282"/>
      <c r="R465" s="282"/>
      <c r="S465" s="282"/>
      <c r="T465" s="282"/>
      <c r="U465" s="282"/>
      <c r="V465" s="282"/>
      <c r="W465" s="199"/>
    </row>
    <row r="466">
      <c r="A466" s="283"/>
      <c r="B466" s="260"/>
      <c r="C466" s="260"/>
      <c r="D466" s="260"/>
      <c r="E466" s="260"/>
      <c r="F466" s="260"/>
      <c r="G466" s="260"/>
      <c r="H466" s="260"/>
      <c r="I466" s="260"/>
      <c r="J466" s="260"/>
      <c r="K466" s="260"/>
      <c r="L466" s="199"/>
      <c r="M466" s="282"/>
      <c r="N466" s="282"/>
      <c r="O466" s="282"/>
      <c r="P466" s="282"/>
      <c r="Q466" s="282"/>
      <c r="R466" s="282"/>
      <c r="S466" s="282"/>
      <c r="T466" s="282"/>
      <c r="U466" s="282"/>
      <c r="V466" s="282"/>
      <c r="W466" s="199"/>
    </row>
    <row r="467">
      <c r="A467" s="283"/>
      <c r="B467" s="306"/>
      <c r="C467" s="307"/>
      <c r="D467" s="307"/>
      <c r="E467" s="307"/>
      <c r="F467" s="307"/>
      <c r="G467" s="308" t="s">
        <v>700</v>
      </c>
      <c r="H467" s="309"/>
      <c r="I467" s="310" t="s">
        <v>701</v>
      </c>
      <c r="J467" s="307"/>
      <c r="K467" s="311"/>
      <c r="L467" s="199"/>
      <c r="M467" s="287"/>
      <c r="R467" s="210" t="s">
        <v>700</v>
      </c>
      <c r="S467" s="211"/>
      <c r="T467" s="212" t="s">
        <v>701</v>
      </c>
      <c r="U467" s="213"/>
      <c r="V467" s="211"/>
      <c r="W467" s="199"/>
    </row>
    <row r="468">
      <c r="A468" s="283"/>
      <c r="B468" s="312"/>
      <c r="G468" s="215"/>
      <c r="H468" s="64"/>
      <c r="I468" s="215"/>
      <c r="J468" s="216"/>
      <c r="K468" s="313"/>
      <c r="L468" s="199"/>
      <c r="R468" s="215"/>
      <c r="S468" s="64"/>
      <c r="T468" s="215"/>
      <c r="U468" s="216"/>
      <c r="V468" s="64"/>
      <c r="W468" s="199"/>
    </row>
    <row r="469">
      <c r="A469" s="283"/>
      <c r="B469" s="312"/>
      <c r="G469" s="218" t="s">
        <v>702</v>
      </c>
      <c r="H469" s="211"/>
      <c r="I469" s="219" t="s">
        <v>660</v>
      </c>
      <c r="J469" s="213"/>
      <c r="K469" s="314"/>
      <c r="L469" s="199"/>
      <c r="R469" s="210" t="s">
        <v>351</v>
      </c>
      <c r="S469" s="211"/>
      <c r="T469" s="212" t="s">
        <v>636</v>
      </c>
      <c r="U469" s="213"/>
      <c r="V469" s="211"/>
      <c r="W469" s="199"/>
    </row>
    <row r="470">
      <c r="A470" s="283"/>
      <c r="B470" s="312"/>
      <c r="G470" s="215"/>
      <c r="H470" s="64"/>
      <c r="I470" s="215"/>
      <c r="J470" s="216"/>
      <c r="K470" s="313"/>
      <c r="L470" s="199"/>
      <c r="R470" s="215"/>
      <c r="S470" s="64"/>
      <c r="T470" s="215"/>
      <c r="U470" s="216"/>
      <c r="V470" s="64"/>
      <c r="W470" s="199"/>
    </row>
    <row r="471">
      <c r="A471" s="283"/>
      <c r="B471" s="312"/>
      <c r="G471" s="218" t="s">
        <v>703</v>
      </c>
      <c r="H471" s="211"/>
      <c r="I471" s="219">
        <v>6960.0</v>
      </c>
      <c r="J471" s="213"/>
      <c r="K471" s="314"/>
      <c r="L471" s="199"/>
      <c r="R471" s="210" t="s">
        <v>703</v>
      </c>
      <c r="S471" s="211"/>
      <c r="T471" s="212">
        <v>6960.0</v>
      </c>
      <c r="U471" s="213"/>
      <c r="V471" s="211"/>
      <c r="W471" s="199"/>
    </row>
    <row r="472">
      <c r="A472" s="283"/>
      <c r="B472" s="312"/>
      <c r="G472" s="215"/>
      <c r="H472" s="64"/>
      <c r="I472" s="215"/>
      <c r="J472" s="216"/>
      <c r="K472" s="313"/>
      <c r="L472" s="199"/>
      <c r="R472" s="215"/>
      <c r="S472" s="64"/>
      <c r="T472" s="215"/>
      <c r="U472" s="216"/>
      <c r="V472" s="64"/>
      <c r="W472" s="199"/>
    </row>
    <row r="473">
      <c r="A473" s="283"/>
      <c r="B473" s="315" t="s">
        <v>704</v>
      </c>
      <c r="C473" s="222"/>
      <c r="D473" s="223" t="s">
        <v>5</v>
      </c>
      <c r="E473" s="222"/>
      <c r="F473" s="223" t="s">
        <v>705</v>
      </c>
      <c r="G473" s="224"/>
      <c r="H473" s="222"/>
      <c r="I473" s="225" t="s">
        <v>8</v>
      </c>
      <c r="J473" s="225" t="s">
        <v>706</v>
      </c>
      <c r="K473" s="316" t="s">
        <v>707</v>
      </c>
      <c r="L473" s="199"/>
      <c r="M473" s="227" t="s">
        <v>704</v>
      </c>
      <c r="N473" s="222"/>
      <c r="O473" s="227" t="s">
        <v>5</v>
      </c>
      <c r="P473" s="222"/>
      <c r="Q473" s="227" t="s">
        <v>705</v>
      </c>
      <c r="R473" s="224"/>
      <c r="S473" s="222"/>
      <c r="T473" s="228" t="s">
        <v>591</v>
      </c>
      <c r="U473" s="228" t="s">
        <v>708</v>
      </c>
      <c r="V473" s="228" t="s">
        <v>707</v>
      </c>
      <c r="W473" s="199"/>
    </row>
    <row r="474">
      <c r="A474" s="283"/>
      <c r="B474" s="317">
        <v>45972.0</v>
      </c>
      <c r="C474" s="222"/>
      <c r="D474" s="223">
        <v>314806.0</v>
      </c>
      <c r="E474" s="222"/>
      <c r="F474" s="223" t="s">
        <v>789</v>
      </c>
      <c r="G474" s="224"/>
      <c r="H474" s="222"/>
      <c r="I474" s="232">
        <v>4125.0</v>
      </c>
      <c r="J474" s="233">
        <v>1.0</v>
      </c>
      <c r="K474" s="318">
        <v>4125.0</v>
      </c>
      <c r="L474" s="199"/>
      <c r="M474" s="235">
        <v>45972.0</v>
      </c>
      <c r="N474" s="222"/>
      <c r="O474" s="227">
        <v>314806.0</v>
      </c>
      <c r="P474" s="222"/>
      <c r="Q474" s="227" t="s">
        <v>789</v>
      </c>
      <c r="R474" s="224"/>
      <c r="S474" s="222"/>
      <c r="T474" s="228">
        <v>1156.5</v>
      </c>
      <c r="U474" s="228">
        <v>0.8</v>
      </c>
      <c r="V474" s="237">
        <v>925.2</v>
      </c>
      <c r="W474" s="199"/>
    </row>
    <row r="475">
      <c r="A475" s="283"/>
      <c r="B475" s="317">
        <v>45974.0</v>
      </c>
      <c r="C475" s="222"/>
      <c r="D475" s="223">
        <v>9.1900361E7</v>
      </c>
      <c r="E475" s="222"/>
      <c r="F475" s="223" t="s">
        <v>790</v>
      </c>
      <c r="G475" s="224"/>
      <c r="H475" s="222"/>
      <c r="I475" s="232">
        <v>3900.0</v>
      </c>
      <c r="J475" s="233">
        <v>1.0</v>
      </c>
      <c r="K475" s="318">
        <v>3900.0</v>
      </c>
      <c r="L475" s="199"/>
      <c r="M475" s="235">
        <v>45974.0</v>
      </c>
      <c r="N475" s="222"/>
      <c r="O475" s="227">
        <v>9.1900361E7</v>
      </c>
      <c r="P475" s="222"/>
      <c r="Q475" s="227" t="s">
        <v>790</v>
      </c>
      <c r="R475" s="224"/>
      <c r="S475" s="222"/>
      <c r="T475" s="228">
        <v>973.5</v>
      </c>
      <c r="U475" s="228">
        <v>0.8</v>
      </c>
      <c r="V475" s="237">
        <v>778.8</v>
      </c>
      <c r="W475" s="199"/>
    </row>
    <row r="476">
      <c r="A476" s="283"/>
      <c r="B476" s="317">
        <v>45976.0</v>
      </c>
      <c r="C476" s="222"/>
      <c r="D476" s="223" t="s">
        <v>791</v>
      </c>
      <c r="E476" s="222"/>
      <c r="F476" s="223" t="s">
        <v>792</v>
      </c>
      <c r="G476" s="224"/>
      <c r="H476" s="222"/>
      <c r="I476" s="232">
        <v>3000.0</v>
      </c>
      <c r="J476" s="233">
        <v>1.0</v>
      </c>
      <c r="K476" s="318">
        <v>3000.0</v>
      </c>
      <c r="L476" s="199"/>
      <c r="M476" s="235">
        <v>45976.0</v>
      </c>
      <c r="N476" s="222"/>
      <c r="O476" s="227" t="s">
        <v>791</v>
      </c>
      <c r="P476" s="222"/>
      <c r="Q476" s="227" t="s">
        <v>792</v>
      </c>
      <c r="R476" s="224"/>
      <c r="S476" s="222"/>
      <c r="T476" s="228">
        <v>926.0</v>
      </c>
      <c r="U476" s="228">
        <v>0.8</v>
      </c>
      <c r="V476" s="237">
        <v>740.8</v>
      </c>
      <c r="W476" s="199"/>
    </row>
    <row r="477">
      <c r="A477" s="283"/>
      <c r="B477" s="319"/>
      <c r="C477" s="222"/>
      <c r="D477" s="240"/>
      <c r="E477" s="222"/>
      <c r="F477" s="240"/>
      <c r="G477" s="224"/>
      <c r="H477" s="222"/>
      <c r="I477" s="241"/>
      <c r="J477" s="233">
        <v>1.0</v>
      </c>
      <c r="K477" s="318">
        <v>0.0</v>
      </c>
      <c r="L477" s="199"/>
      <c r="M477" s="243"/>
      <c r="N477" s="222"/>
      <c r="O477" s="243"/>
      <c r="P477" s="222"/>
      <c r="Q477" s="243"/>
      <c r="R477" s="224"/>
      <c r="S477" s="222"/>
      <c r="T477" s="244"/>
      <c r="U477" s="228">
        <v>0.8</v>
      </c>
      <c r="V477" s="237">
        <v>0.0</v>
      </c>
      <c r="W477" s="199"/>
    </row>
    <row r="478">
      <c r="A478" s="283"/>
      <c r="B478" s="319"/>
      <c r="C478" s="222"/>
      <c r="D478" s="240"/>
      <c r="E478" s="222"/>
      <c r="F478" s="240"/>
      <c r="G478" s="224"/>
      <c r="H478" s="222"/>
      <c r="I478" s="241"/>
      <c r="J478" s="233">
        <v>1.0</v>
      </c>
      <c r="K478" s="318">
        <v>0.0</v>
      </c>
      <c r="L478" s="199"/>
      <c r="M478" s="243"/>
      <c r="N478" s="222"/>
      <c r="O478" s="243"/>
      <c r="P478" s="222"/>
      <c r="Q478" s="243"/>
      <c r="R478" s="224"/>
      <c r="S478" s="222"/>
      <c r="T478" s="244"/>
      <c r="U478" s="228">
        <v>0.8</v>
      </c>
      <c r="V478" s="237">
        <v>0.0</v>
      </c>
      <c r="W478" s="199"/>
    </row>
    <row r="479">
      <c r="A479" s="283"/>
      <c r="B479" s="322" t="s">
        <v>711</v>
      </c>
      <c r="C479" s="224"/>
      <c r="D479" s="224"/>
      <c r="E479" s="224"/>
      <c r="F479" s="224"/>
      <c r="G479" s="224"/>
      <c r="H479" s="222"/>
      <c r="I479" s="291">
        <v>11025.0</v>
      </c>
      <c r="J479" s="241"/>
      <c r="K479" s="323">
        <v>11025.0</v>
      </c>
      <c r="L479" s="199"/>
      <c r="M479" s="246" t="s">
        <v>711</v>
      </c>
      <c r="N479" s="224"/>
      <c r="O479" s="224"/>
      <c r="P479" s="224"/>
      <c r="Q479" s="224"/>
      <c r="R479" s="224"/>
      <c r="S479" s="222"/>
      <c r="T479" s="228">
        <v>3056.0</v>
      </c>
      <c r="U479" s="244"/>
      <c r="V479" s="237">
        <v>2444.8</v>
      </c>
      <c r="W479" s="199"/>
    </row>
    <row r="480">
      <c r="A480" s="283"/>
      <c r="B480" s="324"/>
      <c r="C480" s="248"/>
      <c r="D480" s="248"/>
      <c r="E480" s="248"/>
      <c r="F480" s="248"/>
      <c r="G480" s="248"/>
      <c r="H480" s="248"/>
      <c r="I480" s="248"/>
      <c r="J480" s="248"/>
      <c r="K480" s="325"/>
      <c r="L480" s="199"/>
      <c r="M480" s="251"/>
      <c r="N480" s="251"/>
      <c r="O480" s="251"/>
      <c r="P480" s="251"/>
      <c r="Q480" s="251"/>
      <c r="R480" s="251"/>
      <c r="S480" s="251"/>
      <c r="T480" s="251"/>
      <c r="U480" s="251"/>
      <c r="V480" s="251"/>
      <c r="W480" s="199"/>
    </row>
    <row r="481">
      <c r="A481" s="283"/>
      <c r="B481" s="326" t="s">
        <v>712</v>
      </c>
      <c r="C481" s="222"/>
      <c r="D481" s="253"/>
      <c r="E481" s="222"/>
      <c r="F481" s="248"/>
      <c r="G481" s="248"/>
      <c r="H481" s="248"/>
      <c r="I481" s="248"/>
      <c r="J481" s="248"/>
      <c r="K481" s="325"/>
      <c r="L481" s="199"/>
      <c r="M481" s="254" t="s">
        <v>712</v>
      </c>
      <c r="N481" s="222"/>
      <c r="O481" s="255"/>
      <c r="P481" s="222"/>
      <c r="Q481" s="251"/>
      <c r="R481" s="251"/>
      <c r="S481" s="251"/>
      <c r="T481" s="251"/>
      <c r="U481" s="251"/>
      <c r="V481" s="251"/>
      <c r="W481" s="199"/>
    </row>
    <row r="482">
      <c r="A482" s="283"/>
      <c r="B482" s="327"/>
      <c r="C482" s="222"/>
      <c r="D482" s="253"/>
      <c r="E482" s="222"/>
      <c r="F482" s="248"/>
      <c r="G482" s="248"/>
      <c r="H482" s="248"/>
      <c r="I482" s="248"/>
      <c r="J482" s="248"/>
      <c r="K482" s="325"/>
      <c r="L482" s="199"/>
      <c r="M482" s="342" t="s">
        <v>793</v>
      </c>
      <c r="N482" s="222"/>
      <c r="O482" s="269">
        <v>242.0</v>
      </c>
      <c r="P482" s="222"/>
      <c r="Q482" s="251"/>
      <c r="R482" s="251"/>
      <c r="S482" s="251"/>
      <c r="T482" s="251"/>
      <c r="U482" s="251"/>
      <c r="V482" s="251"/>
      <c r="W482" s="199"/>
    </row>
    <row r="483">
      <c r="A483" s="283"/>
      <c r="B483" s="327"/>
      <c r="C483" s="222"/>
      <c r="D483" s="253"/>
      <c r="E483" s="222"/>
      <c r="F483" s="248"/>
      <c r="G483" s="248"/>
      <c r="H483" s="248"/>
      <c r="I483" s="248"/>
      <c r="J483" s="248"/>
      <c r="K483" s="325"/>
      <c r="L483" s="199"/>
      <c r="M483" s="255"/>
      <c r="N483" s="222"/>
      <c r="O483" s="255"/>
      <c r="P483" s="222"/>
      <c r="Q483" s="251"/>
      <c r="R483" s="251"/>
      <c r="S483" s="251"/>
      <c r="T483" s="251"/>
      <c r="U483" s="251"/>
      <c r="V483" s="251"/>
      <c r="W483" s="199"/>
    </row>
    <row r="484">
      <c r="A484" s="283"/>
      <c r="B484" s="328" t="s">
        <v>714</v>
      </c>
      <c r="C484" s="222"/>
      <c r="D484" s="257">
        <v>0.0</v>
      </c>
      <c r="E484" s="222"/>
      <c r="F484" s="248"/>
      <c r="G484" s="248"/>
      <c r="H484" s="248"/>
      <c r="I484" s="248"/>
      <c r="J484" s="248"/>
      <c r="K484" s="325"/>
      <c r="L484" s="199"/>
      <c r="M484" s="255"/>
      <c r="N484" s="222"/>
      <c r="O484" s="255"/>
      <c r="P484" s="222"/>
      <c r="Q484" s="251"/>
      <c r="R484" s="251"/>
      <c r="S484" s="251"/>
      <c r="T484" s="251"/>
      <c r="U484" s="251"/>
      <c r="V484" s="251"/>
      <c r="W484" s="199"/>
    </row>
    <row r="485">
      <c r="A485" s="283"/>
      <c r="B485" s="329"/>
      <c r="C485" s="224"/>
      <c r="D485" s="224"/>
      <c r="E485" s="222"/>
      <c r="F485" s="248"/>
      <c r="G485" s="248"/>
      <c r="H485" s="248"/>
      <c r="I485" s="248"/>
      <c r="J485" s="248"/>
      <c r="K485" s="325"/>
      <c r="L485" s="199"/>
      <c r="M485" s="255"/>
      <c r="N485" s="222"/>
      <c r="O485" s="255"/>
      <c r="P485" s="222"/>
      <c r="Q485" s="251"/>
      <c r="R485" s="251"/>
      <c r="S485" s="251"/>
      <c r="T485" s="251"/>
      <c r="U485" s="251"/>
      <c r="V485" s="251"/>
      <c r="W485" s="199"/>
    </row>
    <row r="486">
      <c r="A486" s="283"/>
      <c r="B486" s="330" t="s">
        <v>715</v>
      </c>
      <c r="C486" s="222"/>
      <c r="D486" s="265"/>
      <c r="E486" s="222"/>
      <c r="F486" s="248"/>
      <c r="G486" s="248"/>
      <c r="H486" s="248"/>
      <c r="I486" s="248"/>
      <c r="J486" s="248"/>
      <c r="K486" s="325"/>
      <c r="L486" s="199"/>
      <c r="M486" s="255"/>
      <c r="N486" s="222"/>
      <c r="O486" s="255"/>
      <c r="P486" s="222"/>
      <c r="Q486" s="251"/>
      <c r="R486" s="251"/>
      <c r="S486" s="251"/>
      <c r="T486" s="251"/>
      <c r="U486" s="251"/>
      <c r="V486" s="251"/>
      <c r="W486" s="199"/>
    </row>
    <row r="487">
      <c r="A487" s="283"/>
      <c r="B487" s="331" t="s">
        <v>716</v>
      </c>
      <c r="C487" s="222"/>
      <c r="D487" s="267">
        <v>150.0</v>
      </c>
      <c r="E487" s="222"/>
      <c r="F487" s="248"/>
      <c r="G487" s="248"/>
      <c r="H487" s="248"/>
      <c r="I487" s="248"/>
      <c r="J487" s="248"/>
      <c r="K487" s="325"/>
      <c r="L487" s="199"/>
      <c r="M487" s="268" t="s">
        <v>714</v>
      </c>
      <c r="N487" s="222"/>
      <c r="O487" s="269">
        <v>242.0</v>
      </c>
      <c r="P487" s="222"/>
      <c r="Q487" s="251"/>
      <c r="R487" s="251"/>
      <c r="S487" s="251"/>
      <c r="T487" s="251"/>
      <c r="U487" s="251"/>
      <c r="V487" s="251"/>
      <c r="W487" s="199"/>
    </row>
    <row r="488">
      <c r="A488" s="283"/>
      <c r="B488" s="331" t="s">
        <v>717</v>
      </c>
      <c r="C488" s="222"/>
      <c r="D488" s="267">
        <v>400.0</v>
      </c>
      <c r="E488" s="222"/>
      <c r="F488" s="248"/>
      <c r="G488" s="248"/>
      <c r="H488" s="248"/>
      <c r="I488" s="248"/>
      <c r="J488" s="248"/>
      <c r="K488" s="325"/>
      <c r="L488" s="199"/>
      <c r="M488" s="251"/>
      <c r="N488" s="251"/>
      <c r="O488" s="270"/>
      <c r="Q488" s="251"/>
      <c r="R488" s="251"/>
      <c r="S488" s="251"/>
      <c r="T488" s="251"/>
      <c r="U488" s="251"/>
      <c r="V488" s="251"/>
      <c r="W488" s="199"/>
    </row>
    <row r="489">
      <c r="A489" s="283"/>
      <c r="B489" s="331" t="s">
        <v>718</v>
      </c>
      <c r="C489" s="222"/>
      <c r="D489" s="267">
        <v>200.0</v>
      </c>
      <c r="E489" s="222"/>
      <c r="F489" s="248"/>
      <c r="G489" s="248"/>
      <c r="H489" s="248"/>
      <c r="I489" s="248"/>
      <c r="J489" s="248"/>
      <c r="K489" s="325"/>
      <c r="L489" s="199"/>
      <c r="M489" s="271" t="s">
        <v>715</v>
      </c>
      <c r="N489" s="222"/>
      <c r="O489" s="272"/>
      <c r="P489" s="222"/>
      <c r="Q489" s="251"/>
      <c r="R489" s="251"/>
      <c r="S489" s="251"/>
      <c r="T489" s="251"/>
      <c r="U489" s="251"/>
      <c r="V489" s="251"/>
      <c r="W489" s="199"/>
    </row>
    <row r="490">
      <c r="A490" s="283"/>
      <c r="B490" s="331" t="s">
        <v>656</v>
      </c>
      <c r="C490" s="222"/>
      <c r="D490" s="267">
        <v>4299.03</v>
      </c>
      <c r="E490" s="222"/>
      <c r="F490" s="248"/>
      <c r="G490" s="248"/>
      <c r="H490" s="248"/>
      <c r="I490" s="248"/>
      <c r="J490" s="248"/>
      <c r="K490" s="325"/>
      <c r="L490" s="199"/>
      <c r="M490" s="272"/>
      <c r="N490" s="222"/>
      <c r="O490" s="272"/>
      <c r="P490" s="222"/>
      <c r="Q490" s="251"/>
      <c r="R490" s="251"/>
      <c r="S490" s="273" t="s">
        <v>719</v>
      </c>
      <c r="T490" s="211"/>
      <c r="U490" s="274">
        <v>2686.8</v>
      </c>
      <c r="V490" s="211"/>
      <c r="W490" s="199"/>
    </row>
    <row r="491">
      <c r="A491" s="283"/>
      <c r="B491" s="334"/>
      <c r="C491" s="222"/>
      <c r="D491" s="265"/>
      <c r="E491" s="222"/>
      <c r="F491" s="248"/>
      <c r="G491" s="248"/>
      <c r="H491" s="276" t="s">
        <v>720</v>
      </c>
      <c r="I491" s="211"/>
      <c r="J491" s="277">
        <v>5975.97</v>
      </c>
      <c r="K491" s="314"/>
      <c r="L491" s="199"/>
      <c r="M491" s="272"/>
      <c r="N491" s="222"/>
      <c r="O491" s="272"/>
      <c r="P491" s="222"/>
      <c r="Q491" s="251"/>
      <c r="R491" s="251"/>
      <c r="S491" s="278"/>
      <c r="T491" s="56"/>
      <c r="U491" s="278"/>
      <c r="V491" s="56"/>
      <c r="W491" s="199"/>
    </row>
    <row r="492">
      <c r="A492" s="283"/>
      <c r="B492" s="334"/>
      <c r="C492" s="222"/>
      <c r="D492" s="265"/>
      <c r="E492" s="222"/>
      <c r="F492" s="248"/>
      <c r="G492" s="248"/>
      <c r="H492" s="278"/>
      <c r="I492" s="56"/>
      <c r="J492" s="278"/>
      <c r="K492" s="333"/>
      <c r="L492" s="199"/>
      <c r="M492" s="272"/>
      <c r="N492" s="222"/>
      <c r="O492" s="272"/>
      <c r="P492" s="222"/>
      <c r="Q492" s="251"/>
      <c r="R492" s="251"/>
      <c r="S492" s="215"/>
      <c r="T492" s="64"/>
      <c r="U492" s="215"/>
      <c r="V492" s="64"/>
      <c r="W492" s="199"/>
    </row>
    <row r="493">
      <c r="A493" s="283"/>
      <c r="B493" s="334"/>
      <c r="C493" s="222"/>
      <c r="D493" s="265"/>
      <c r="E493" s="222"/>
      <c r="F493" s="248"/>
      <c r="G493" s="248"/>
      <c r="H493" s="215"/>
      <c r="I493" s="64"/>
      <c r="J493" s="215"/>
      <c r="K493" s="313"/>
      <c r="L493" s="199"/>
      <c r="M493" s="272"/>
      <c r="N493" s="222"/>
      <c r="O493" s="272"/>
      <c r="P493" s="222"/>
      <c r="Q493" s="251"/>
      <c r="R493" s="251"/>
      <c r="S493" s="251"/>
      <c r="T493" s="251"/>
      <c r="U493" s="251"/>
      <c r="V493" s="251"/>
      <c r="W493" s="199"/>
    </row>
    <row r="494">
      <c r="A494" s="283"/>
      <c r="B494" s="334"/>
      <c r="C494" s="222"/>
      <c r="D494" s="265"/>
      <c r="E494" s="222"/>
      <c r="F494" s="248"/>
      <c r="G494" s="248"/>
      <c r="H494" s="248"/>
      <c r="I494" s="248"/>
      <c r="J494" s="248"/>
      <c r="K494" s="325"/>
      <c r="L494" s="199"/>
      <c r="M494" s="272"/>
      <c r="N494" s="222"/>
      <c r="O494" s="272"/>
      <c r="P494" s="222"/>
      <c r="Q494" s="251"/>
      <c r="R494" s="251"/>
      <c r="S494" s="251"/>
      <c r="T494" s="251"/>
      <c r="U494" s="251"/>
      <c r="V494" s="251"/>
      <c r="W494" s="199"/>
    </row>
    <row r="495">
      <c r="A495" s="283"/>
      <c r="B495" s="334"/>
      <c r="C495" s="222"/>
      <c r="D495" s="265"/>
      <c r="E495" s="222"/>
      <c r="F495" s="248"/>
      <c r="G495" s="248"/>
      <c r="H495" s="248"/>
      <c r="I495" s="248"/>
      <c r="J495" s="248"/>
      <c r="K495" s="325"/>
      <c r="L495" s="199"/>
      <c r="M495" s="280" t="s">
        <v>721</v>
      </c>
      <c r="N495" s="222"/>
      <c r="O495" s="281">
        <v>0.0</v>
      </c>
      <c r="P495" s="222"/>
      <c r="Q495" s="251"/>
      <c r="R495" s="251"/>
      <c r="S495" s="251"/>
      <c r="T495" s="251"/>
      <c r="U495" s="251"/>
      <c r="V495" s="251"/>
      <c r="W495" s="199"/>
    </row>
    <row r="496">
      <c r="A496" s="283"/>
      <c r="B496" s="331" t="s">
        <v>721</v>
      </c>
      <c r="C496" s="222"/>
      <c r="D496" s="267">
        <v>5049.03</v>
      </c>
      <c r="E496" s="222"/>
      <c r="F496" s="248"/>
      <c r="G496" s="248"/>
      <c r="H496" s="248"/>
      <c r="I496" s="248"/>
      <c r="J496" s="248"/>
      <c r="K496" s="325"/>
      <c r="L496" s="199"/>
      <c r="M496" s="282"/>
      <c r="N496" s="282"/>
      <c r="O496" s="282"/>
      <c r="P496" s="282"/>
      <c r="Q496" s="282"/>
      <c r="R496" s="282"/>
      <c r="S496" s="282"/>
      <c r="T496" s="282"/>
      <c r="U496" s="282"/>
      <c r="V496" s="282"/>
      <c r="W496" s="199"/>
    </row>
    <row r="497">
      <c r="A497" s="283"/>
      <c r="B497" s="345"/>
      <c r="C497" s="346"/>
      <c r="D497" s="346"/>
      <c r="E497" s="346"/>
      <c r="F497" s="346"/>
      <c r="G497" s="346"/>
      <c r="H497" s="346"/>
      <c r="I497" s="346"/>
      <c r="J497" s="346"/>
      <c r="K497" s="347"/>
      <c r="L497" s="199"/>
      <c r="M497" s="282"/>
      <c r="N497" s="282"/>
      <c r="O497" s="282"/>
      <c r="P497" s="282"/>
      <c r="Q497" s="282"/>
      <c r="R497" s="282"/>
      <c r="S497" s="282"/>
      <c r="T497" s="282"/>
      <c r="U497" s="282"/>
      <c r="V497" s="282"/>
      <c r="W497" s="199"/>
    </row>
    <row r="498">
      <c r="A498" s="283"/>
      <c r="B498" s="260"/>
      <c r="C498" s="260"/>
      <c r="D498" s="260"/>
      <c r="E498" s="260"/>
      <c r="F498" s="260"/>
      <c r="G498" s="260"/>
      <c r="H498" s="260"/>
      <c r="I498" s="260"/>
      <c r="J498" s="260"/>
      <c r="K498" s="260"/>
      <c r="L498" s="199"/>
      <c r="M498" s="287"/>
      <c r="R498" s="210" t="s">
        <v>700</v>
      </c>
      <c r="S498" s="211"/>
      <c r="T498" s="212" t="s">
        <v>701</v>
      </c>
      <c r="U498" s="213"/>
      <c r="V498" s="211"/>
      <c r="W498" s="199"/>
    </row>
    <row r="499">
      <c r="A499" s="283"/>
      <c r="B499" s="195"/>
      <c r="C499" s="195"/>
      <c r="D499" s="195"/>
      <c r="E499" s="195"/>
      <c r="F499" s="195"/>
      <c r="G499" s="197"/>
      <c r="H499" s="197"/>
      <c r="I499" s="198"/>
      <c r="J499" s="198"/>
      <c r="K499" s="198"/>
      <c r="L499" s="199"/>
      <c r="R499" s="215"/>
      <c r="S499" s="64"/>
      <c r="T499" s="215"/>
      <c r="U499" s="216"/>
      <c r="V499" s="64"/>
      <c r="W499" s="199"/>
    </row>
    <row r="500">
      <c r="A500" s="283"/>
      <c r="B500" s="195"/>
      <c r="C500" s="195"/>
      <c r="D500" s="195"/>
      <c r="E500" s="195"/>
      <c r="F500" s="195"/>
      <c r="G500" s="197"/>
      <c r="H500" s="197"/>
      <c r="I500" s="198"/>
      <c r="J500" s="198"/>
      <c r="K500" s="198"/>
      <c r="L500" s="199"/>
      <c r="R500" s="210" t="s">
        <v>351</v>
      </c>
      <c r="S500" s="211"/>
      <c r="T500" s="212" t="s">
        <v>661</v>
      </c>
      <c r="U500" s="213"/>
      <c r="V500" s="211"/>
      <c r="W500" s="199"/>
    </row>
    <row r="501">
      <c r="A501" s="283"/>
      <c r="B501" s="195"/>
      <c r="C501" s="195"/>
      <c r="D501" s="195"/>
      <c r="E501" s="195"/>
      <c r="F501" s="195"/>
      <c r="G501" s="197"/>
      <c r="H501" s="197"/>
      <c r="I501" s="198"/>
      <c r="J501" s="198"/>
      <c r="K501" s="198"/>
      <c r="L501" s="199"/>
      <c r="R501" s="215"/>
      <c r="S501" s="64"/>
      <c r="T501" s="215"/>
      <c r="U501" s="216"/>
      <c r="V501" s="64"/>
      <c r="W501" s="199"/>
    </row>
    <row r="502">
      <c r="A502" s="283"/>
      <c r="B502" s="195"/>
      <c r="C502" s="195"/>
      <c r="D502" s="195"/>
      <c r="E502" s="195"/>
      <c r="F502" s="195"/>
      <c r="G502" s="197"/>
      <c r="H502" s="197"/>
      <c r="I502" s="198"/>
      <c r="J502" s="198"/>
      <c r="K502" s="198"/>
      <c r="L502" s="199"/>
      <c r="R502" s="210" t="s">
        <v>703</v>
      </c>
      <c r="S502" s="211"/>
      <c r="T502" s="212">
        <v>6960.0</v>
      </c>
      <c r="U502" s="213"/>
      <c r="V502" s="211"/>
      <c r="W502" s="199"/>
    </row>
    <row r="503">
      <c r="A503" s="283"/>
      <c r="B503" s="195"/>
      <c r="C503" s="195"/>
      <c r="D503" s="195"/>
      <c r="E503" s="195"/>
      <c r="F503" s="195"/>
      <c r="G503" s="197"/>
      <c r="H503" s="197"/>
      <c r="I503" s="198"/>
      <c r="J503" s="198"/>
      <c r="K503" s="198"/>
      <c r="L503" s="199"/>
      <c r="R503" s="215"/>
      <c r="S503" s="64"/>
      <c r="T503" s="215"/>
      <c r="U503" s="216"/>
      <c r="V503" s="64"/>
      <c r="W503" s="199"/>
    </row>
    <row r="504">
      <c r="A504" s="283"/>
      <c r="B504" s="195"/>
      <c r="C504" s="195"/>
      <c r="D504" s="195"/>
      <c r="E504" s="195"/>
      <c r="F504" s="195"/>
      <c r="G504" s="197"/>
      <c r="H504" s="197"/>
      <c r="I504" s="198"/>
      <c r="J504" s="198"/>
      <c r="K504" s="198"/>
      <c r="L504" s="199"/>
      <c r="M504" s="227" t="s">
        <v>704</v>
      </c>
      <c r="N504" s="222"/>
      <c r="O504" s="227" t="s">
        <v>5</v>
      </c>
      <c r="P504" s="222"/>
      <c r="Q504" s="227" t="s">
        <v>705</v>
      </c>
      <c r="R504" s="224"/>
      <c r="S504" s="222"/>
      <c r="T504" s="228" t="s">
        <v>591</v>
      </c>
      <c r="U504" s="228" t="s">
        <v>708</v>
      </c>
      <c r="V504" s="228" t="s">
        <v>707</v>
      </c>
      <c r="W504" s="199"/>
    </row>
    <row r="505">
      <c r="A505" s="283"/>
      <c r="B505" s="195"/>
      <c r="C505" s="195"/>
      <c r="D505" s="195"/>
      <c r="E505" s="195"/>
      <c r="F505" s="195"/>
      <c r="G505" s="197"/>
      <c r="H505" s="197"/>
      <c r="I505" s="198"/>
      <c r="J505" s="198"/>
      <c r="K505" s="198"/>
      <c r="L505" s="199"/>
      <c r="M505" s="235">
        <v>45972.0</v>
      </c>
      <c r="N505" s="222"/>
      <c r="O505" s="227">
        <v>314806.0</v>
      </c>
      <c r="P505" s="222"/>
      <c r="Q505" s="227" t="s">
        <v>789</v>
      </c>
      <c r="R505" s="224"/>
      <c r="S505" s="222"/>
      <c r="T505" s="228">
        <v>1156.5</v>
      </c>
      <c r="U505" s="228">
        <v>0.8</v>
      </c>
      <c r="V505" s="237">
        <v>925.2</v>
      </c>
      <c r="W505" s="199"/>
    </row>
    <row r="506">
      <c r="A506" s="283"/>
      <c r="B506" s="195"/>
      <c r="C506" s="195"/>
      <c r="D506" s="195"/>
      <c r="E506" s="195"/>
      <c r="F506" s="195"/>
      <c r="G506" s="197"/>
      <c r="H506" s="197"/>
      <c r="I506" s="198"/>
      <c r="J506" s="198"/>
      <c r="K506" s="198"/>
      <c r="L506" s="199"/>
      <c r="M506" s="235">
        <v>45974.0</v>
      </c>
      <c r="N506" s="222"/>
      <c r="O506" s="227">
        <v>9.1900361E7</v>
      </c>
      <c r="P506" s="222"/>
      <c r="Q506" s="227" t="s">
        <v>790</v>
      </c>
      <c r="R506" s="224"/>
      <c r="S506" s="222"/>
      <c r="T506" s="228">
        <v>973.5</v>
      </c>
      <c r="U506" s="228">
        <v>0.8</v>
      </c>
      <c r="V506" s="237">
        <v>778.8</v>
      </c>
      <c r="W506" s="199"/>
    </row>
    <row r="507">
      <c r="A507" s="283"/>
      <c r="B507" s="195"/>
      <c r="C507" s="195"/>
      <c r="D507" s="195"/>
      <c r="E507" s="195"/>
      <c r="F507" s="195"/>
      <c r="G507" s="197"/>
      <c r="H507" s="197"/>
      <c r="I507" s="198"/>
      <c r="J507" s="198"/>
      <c r="K507" s="198"/>
      <c r="L507" s="199"/>
      <c r="M507" s="235">
        <v>45976.0</v>
      </c>
      <c r="N507" s="222"/>
      <c r="O507" s="227" t="s">
        <v>791</v>
      </c>
      <c r="P507" s="222"/>
      <c r="Q507" s="227" t="s">
        <v>792</v>
      </c>
      <c r="R507" s="224"/>
      <c r="S507" s="222"/>
      <c r="T507" s="228">
        <v>926.0</v>
      </c>
      <c r="U507" s="228">
        <v>0.8</v>
      </c>
      <c r="V507" s="237">
        <v>740.8</v>
      </c>
      <c r="W507" s="199"/>
    </row>
    <row r="508">
      <c r="A508" s="283"/>
      <c r="B508" s="195"/>
      <c r="C508" s="195"/>
      <c r="D508" s="195"/>
      <c r="E508" s="195"/>
      <c r="F508" s="195"/>
      <c r="G508" s="197"/>
      <c r="H508" s="197"/>
      <c r="I508" s="198"/>
      <c r="J508" s="198"/>
      <c r="K508" s="198"/>
      <c r="L508" s="199"/>
      <c r="M508" s="243"/>
      <c r="N508" s="222"/>
      <c r="O508" s="243"/>
      <c r="P508" s="222"/>
      <c r="Q508" s="243"/>
      <c r="R508" s="224"/>
      <c r="S508" s="222"/>
      <c r="T508" s="244"/>
      <c r="U508" s="228">
        <v>0.8</v>
      </c>
      <c r="V508" s="237">
        <v>0.0</v>
      </c>
      <c r="W508" s="199"/>
    </row>
    <row r="509">
      <c r="A509" s="283"/>
      <c r="B509" s="195"/>
      <c r="C509" s="195"/>
      <c r="D509" s="195"/>
      <c r="E509" s="195"/>
      <c r="F509" s="195"/>
      <c r="G509" s="197"/>
      <c r="H509" s="197"/>
      <c r="I509" s="198"/>
      <c r="J509" s="198"/>
      <c r="K509" s="198"/>
      <c r="L509" s="199"/>
      <c r="M509" s="243"/>
      <c r="N509" s="222"/>
      <c r="O509" s="243"/>
      <c r="P509" s="222"/>
      <c r="Q509" s="243"/>
      <c r="R509" s="224"/>
      <c r="S509" s="222"/>
      <c r="T509" s="244"/>
      <c r="U509" s="228">
        <v>0.8</v>
      </c>
      <c r="V509" s="237">
        <v>0.0</v>
      </c>
      <c r="W509" s="199"/>
    </row>
    <row r="510">
      <c r="A510" s="283"/>
      <c r="B510" s="195"/>
      <c r="C510" s="195"/>
      <c r="D510" s="195"/>
      <c r="E510" s="195"/>
      <c r="F510" s="195"/>
      <c r="G510" s="197"/>
      <c r="H510" s="197"/>
      <c r="I510" s="198"/>
      <c r="J510" s="198"/>
      <c r="K510" s="198"/>
      <c r="L510" s="199"/>
      <c r="M510" s="246" t="s">
        <v>711</v>
      </c>
      <c r="N510" s="224"/>
      <c r="O510" s="224"/>
      <c r="P510" s="224"/>
      <c r="Q510" s="224"/>
      <c r="R510" s="224"/>
      <c r="S510" s="222"/>
      <c r="T510" s="228">
        <v>3056.0</v>
      </c>
      <c r="U510" s="244"/>
      <c r="V510" s="237">
        <v>2444.8</v>
      </c>
      <c r="W510" s="199"/>
    </row>
    <row r="511">
      <c r="A511" s="283"/>
      <c r="B511" s="195"/>
      <c r="C511" s="195"/>
      <c r="D511" s="195"/>
      <c r="E511" s="195"/>
      <c r="F511" s="195"/>
      <c r="G511" s="197"/>
      <c r="H511" s="197"/>
      <c r="I511" s="198"/>
      <c r="J511" s="198"/>
      <c r="K511" s="198"/>
      <c r="L511" s="199"/>
      <c r="M511" s="251"/>
      <c r="N511" s="251"/>
      <c r="O511" s="251"/>
      <c r="P511" s="251"/>
      <c r="Q511" s="251"/>
      <c r="R511" s="251"/>
      <c r="S511" s="251"/>
      <c r="T511" s="251"/>
      <c r="U511" s="251"/>
      <c r="V511" s="251"/>
      <c r="W511" s="199"/>
    </row>
    <row r="512">
      <c r="A512" s="283"/>
      <c r="B512" s="195"/>
      <c r="C512" s="195"/>
      <c r="D512" s="195"/>
      <c r="E512" s="195"/>
      <c r="F512" s="195"/>
      <c r="G512" s="197"/>
      <c r="H512" s="197"/>
      <c r="I512" s="198"/>
      <c r="J512" s="198"/>
      <c r="K512" s="198"/>
      <c r="L512" s="199"/>
      <c r="M512" s="254" t="s">
        <v>712</v>
      </c>
      <c r="N512" s="222"/>
      <c r="O512" s="255"/>
      <c r="P512" s="222"/>
      <c r="Q512" s="251"/>
      <c r="R512" s="251"/>
      <c r="S512" s="251"/>
      <c r="T512" s="251"/>
      <c r="U512" s="251"/>
      <c r="V512" s="251"/>
      <c r="W512" s="199"/>
    </row>
    <row r="513">
      <c r="A513" s="283"/>
      <c r="B513" s="195"/>
      <c r="C513" s="195"/>
      <c r="D513" s="195"/>
      <c r="E513" s="195"/>
      <c r="F513" s="195"/>
      <c r="G513" s="197"/>
      <c r="H513" s="197"/>
      <c r="I513" s="198"/>
      <c r="J513" s="198"/>
      <c r="K513" s="198"/>
      <c r="L513" s="199"/>
      <c r="M513" s="342" t="s">
        <v>793</v>
      </c>
      <c r="N513" s="222"/>
      <c r="O513" s="269">
        <v>242.0</v>
      </c>
      <c r="P513" s="222"/>
      <c r="Q513" s="251"/>
      <c r="R513" s="251"/>
      <c r="S513" s="251"/>
      <c r="T513" s="251"/>
      <c r="U513" s="251"/>
      <c r="V513" s="251"/>
      <c r="W513" s="199"/>
    </row>
    <row r="514">
      <c r="A514" s="283"/>
      <c r="B514" s="195"/>
      <c r="C514" s="195"/>
      <c r="D514" s="195"/>
      <c r="E514" s="195"/>
      <c r="F514" s="195"/>
      <c r="G514" s="197"/>
      <c r="H514" s="197"/>
      <c r="I514" s="198"/>
      <c r="J514" s="198"/>
      <c r="K514" s="198"/>
      <c r="L514" s="199"/>
      <c r="M514" s="255"/>
      <c r="N514" s="222"/>
      <c r="O514" s="255"/>
      <c r="P514" s="222"/>
      <c r="Q514" s="251"/>
      <c r="R514" s="251"/>
      <c r="S514" s="251"/>
      <c r="T514" s="251"/>
      <c r="U514" s="251"/>
      <c r="V514" s="251"/>
      <c r="W514" s="199"/>
    </row>
    <row r="515">
      <c r="A515" s="283"/>
      <c r="B515" s="195"/>
      <c r="C515" s="195"/>
      <c r="D515" s="195"/>
      <c r="E515" s="195"/>
      <c r="F515" s="195"/>
      <c r="G515" s="197"/>
      <c r="H515" s="197"/>
      <c r="I515" s="198"/>
      <c r="J515" s="198"/>
      <c r="K515" s="198"/>
      <c r="L515" s="199"/>
      <c r="M515" s="255"/>
      <c r="N515" s="222"/>
      <c r="O515" s="255"/>
      <c r="P515" s="222"/>
      <c r="Q515" s="251"/>
      <c r="R515" s="251"/>
      <c r="S515" s="251"/>
      <c r="T515" s="251"/>
      <c r="U515" s="251"/>
      <c r="V515" s="251"/>
      <c r="W515" s="199"/>
    </row>
    <row r="516">
      <c r="A516" s="283"/>
      <c r="B516" s="195"/>
      <c r="C516" s="195"/>
      <c r="D516" s="195"/>
      <c r="E516" s="195"/>
      <c r="F516" s="195"/>
      <c r="G516" s="197"/>
      <c r="H516" s="197"/>
      <c r="I516" s="198"/>
      <c r="J516" s="198"/>
      <c r="K516" s="198"/>
      <c r="L516" s="199"/>
      <c r="M516" s="255"/>
      <c r="N516" s="222"/>
      <c r="O516" s="255"/>
      <c r="P516" s="222"/>
      <c r="Q516" s="251"/>
      <c r="R516" s="251"/>
      <c r="S516" s="251"/>
      <c r="T516" s="251"/>
      <c r="U516" s="251"/>
      <c r="V516" s="251"/>
      <c r="W516" s="199"/>
    </row>
    <row r="517">
      <c r="A517" s="283"/>
      <c r="B517" s="195"/>
      <c r="C517" s="195"/>
      <c r="D517" s="195"/>
      <c r="E517" s="195"/>
      <c r="F517" s="195"/>
      <c r="G517" s="197"/>
      <c r="H517" s="197"/>
      <c r="I517" s="198"/>
      <c r="J517" s="198"/>
      <c r="K517" s="198"/>
      <c r="L517" s="199"/>
      <c r="M517" s="255"/>
      <c r="N517" s="222"/>
      <c r="O517" s="255"/>
      <c r="P517" s="222"/>
      <c r="Q517" s="251"/>
      <c r="R517" s="251"/>
      <c r="S517" s="251"/>
      <c r="T517" s="251"/>
      <c r="U517" s="251"/>
      <c r="V517" s="251"/>
      <c r="W517" s="199"/>
    </row>
    <row r="518">
      <c r="A518" s="283"/>
      <c r="B518" s="195"/>
      <c r="C518" s="195"/>
      <c r="D518" s="195"/>
      <c r="E518" s="195"/>
      <c r="F518" s="195"/>
      <c r="G518" s="197"/>
      <c r="H518" s="197"/>
      <c r="I518" s="198"/>
      <c r="J518" s="198"/>
      <c r="K518" s="198"/>
      <c r="L518" s="199"/>
      <c r="M518" s="268" t="s">
        <v>714</v>
      </c>
      <c r="N518" s="222"/>
      <c r="O518" s="269">
        <v>242.0</v>
      </c>
      <c r="P518" s="222"/>
      <c r="Q518" s="251"/>
      <c r="R518" s="251"/>
      <c r="S518" s="251"/>
      <c r="T518" s="251"/>
      <c r="U518" s="251"/>
      <c r="V518" s="251"/>
      <c r="W518" s="199"/>
    </row>
    <row r="519">
      <c r="A519" s="283"/>
      <c r="B519" s="195"/>
      <c r="C519" s="195"/>
      <c r="D519" s="195"/>
      <c r="E519" s="195"/>
      <c r="F519" s="195"/>
      <c r="G519" s="197"/>
      <c r="H519" s="197"/>
      <c r="I519" s="198"/>
      <c r="J519" s="198"/>
      <c r="K519" s="198"/>
      <c r="L519" s="199"/>
      <c r="M519" s="251"/>
      <c r="N519" s="251"/>
      <c r="O519" s="270"/>
      <c r="Q519" s="251"/>
      <c r="R519" s="251"/>
      <c r="S519" s="251"/>
      <c r="T519" s="251"/>
      <c r="U519" s="251"/>
      <c r="V519" s="251"/>
      <c r="W519" s="199"/>
    </row>
    <row r="520">
      <c r="A520" s="283"/>
      <c r="B520" s="195"/>
      <c r="C520" s="195"/>
      <c r="D520" s="195"/>
      <c r="E520" s="195"/>
      <c r="F520" s="195"/>
      <c r="G520" s="197"/>
      <c r="H520" s="197"/>
      <c r="I520" s="198"/>
      <c r="J520" s="198"/>
      <c r="K520" s="198"/>
      <c r="L520" s="199"/>
      <c r="M520" s="271" t="s">
        <v>715</v>
      </c>
      <c r="N520" s="222"/>
      <c r="O520" s="272"/>
      <c r="P520" s="222"/>
      <c r="Q520" s="251"/>
      <c r="R520" s="251"/>
      <c r="S520" s="251"/>
      <c r="T520" s="251"/>
      <c r="U520" s="251"/>
      <c r="V520" s="251"/>
      <c r="W520" s="199"/>
    </row>
    <row r="521">
      <c r="A521" s="283"/>
      <c r="B521" s="195"/>
      <c r="C521" s="195"/>
      <c r="D521" s="195"/>
      <c r="E521" s="195"/>
      <c r="F521" s="195"/>
      <c r="G521" s="197"/>
      <c r="H521" s="197"/>
      <c r="I521" s="198"/>
      <c r="J521" s="198"/>
      <c r="K521" s="198"/>
      <c r="L521" s="199"/>
      <c r="M521" s="272"/>
      <c r="N521" s="222"/>
      <c r="O521" s="272"/>
      <c r="P521" s="222"/>
      <c r="Q521" s="251"/>
      <c r="R521" s="251"/>
      <c r="S521" s="273" t="s">
        <v>719</v>
      </c>
      <c r="T521" s="211"/>
      <c r="U521" s="274">
        <v>2686.8</v>
      </c>
      <c r="V521" s="211"/>
      <c r="W521" s="199"/>
    </row>
    <row r="522">
      <c r="A522" s="283"/>
      <c r="B522" s="195"/>
      <c r="C522" s="195"/>
      <c r="D522" s="195"/>
      <c r="E522" s="195"/>
      <c r="F522" s="195"/>
      <c r="G522" s="197"/>
      <c r="H522" s="197"/>
      <c r="I522" s="198"/>
      <c r="J522" s="198"/>
      <c r="K522" s="198"/>
      <c r="L522" s="199"/>
      <c r="M522" s="272"/>
      <c r="N522" s="222"/>
      <c r="O522" s="272"/>
      <c r="P522" s="222"/>
      <c r="Q522" s="251"/>
      <c r="R522" s="251"/>
      <c r="S522" s="278"/>
      <c r="T522" s="56"/>
      <c r="U522" s="278"/>
      <c r="V522" s="56"/>
      <c r="W522" s="199"/>
    </row>
    <row r="523">
      <c r="A523" s="283"/>
      <c r="B523" s="195"/>
      <c r="C523" s="195"/>
      <c r="D523" s="195"/>
      <c r="E523" s="195"/>
      <c r="F523" s="195"/>
      <c r="G523" s="197"/>
      <c r="H523" s="197"/>
      <c r="I523" s="198"/>
      <c r="J523" s="198"/>
      <c r="K523" s="198"/>
      <c r="L523" s="199"/>
      <c r="M523" s="272"/>
      <c r="N523" s="222"/>
      <c r="O523" s="272"/>
      <c r="P523" s="222"/>
      <c r="Q523" s="251"/>
      <c r="R523" s="251"/>
      <c r="S523" s="215"/>
      <c r="T523" s="64"/>
      <c r="U523" s="215"/>
      <c r="V523" s="64"/>
      <c r="W523" s="199"/>
    </row>
    <row r="524">
      <c r="A524" s="283"/>
      <c r="B524" s="195"/>
      <c r="C524" s="195"/>
      <c r="D524" s="195"/>
      <c r="E524" s="195"/>
      <c r="F524" s="195"/>
      <c r="G524" s="197"/>
      <c r="H524" s="197"/>
      <c r="I524" s="198"/>
      <c r="J524" s="198"/>
      <c r="K524" s="198"/>
      <c r="L524" s="199"/>
      <c r="M524" s="272"/>
      <c r="N524" s="222"/>
      <c r="O524" s="272"/>
      <c r="P524" s="222"/>
      <c r="Q524" s="251"/>
      <c r="R524" s="251"/>
      <c r="S524" s="251"/>
      <c r="T524" s="251"/>
      <c r="U524" s="251"/>
      <c r="V524" s="251"/>
      <c r="W524" s="199"/>
    </row>
    <row r="525">
      <c r="A525" s="283"/>
      <c r="B525" s="195"/>
      <c r="C525" s="195"/>
      <c r="D525" s="195"/>
      <c r="E525" s="195"/>
      <c r="F525" s="195"/>
      <c r="G525" s="197"/>
      <c r="H525" s="197"/>
      <c r="I525" s="198"/>
      <c r="J525" s="198"/>
      <c r="K525" s="198"/>
      <c r="L525" s="199"/>
      <c r="M525" s="272"/>
      <c r="N525" s="222"/>
      <c r="O525" s="272"/>
      <c r="P525" s="222"/>
      <c r="Q525" s="251"/>
      <c r="R525" s="251"/>
      <c r="S525" s="251"/>
      <c r="T525" s="251"/>
      <c r="U525" s="251"/>
      <c r="V525" s="251"/>
      <c r="W525" s="199"/>
    </row>
    <row r="526">
      <c r="A526" s="283"/>
      <c r="B526" s="195"/>
      <c r="C526" s="195"/>
      <c r="D526" s="195"/>
      <c r="E526" s="195"/>
      <c r="F526" s="195"/>
      <c r="G526" s="197"/>
      <c r="H526" s="197"/>
      <c r="I526" s="198"/>
      <c r="J526" s="198"/>
      <c r="K526" s="198"/>
      <c r="L526" s="199"/>
      <c r="M526" s="282"/>
      <c r="N526" s="282"/>
      <c r="O526" s="282"/>
      <c r="P526" s="282"/>
      <c r="Q526" s="282"/>
      <c r="R526" s="282"/>
      <c r="S526" s="282"/>
      <c r="T526" s="282"/>
      <c r="U526" s="282"/>
      <c r="V526" s="282"/>
      <c r="W526" s="199"/>
    </row>
    <row r="527">
      <c r="A527" s="283"/>
      <c r="B527" s="195"/>
      <c r="C527" s="195"/>
      <c r="D527" s="195"/>
      <c r="E527" s="195"/>
      <c r="F527" s="195"/>
      <c r="G527" s="197"/>
      <c r="H527" s="197"/>
      <c r="I527" s="198"/>
      <c r="J527" s="198"/>
      <c r="K527" s="198"/>
      <c r="L527" s="199"/>
      <c r="M527" s="287"/>
      <c r="N527" s="287"/>
      <c r="O527" s="287"/>
      <c r="P527" s="287"/>
      <c r="Q527" s="287"/>
      <c r="R527" s="367"/>
      <c r="S527" s="367"/>
      <c r="T527" s="368"/>
      <c r="U527" s="368"/>
      <c r="V527" s="368"/>
      <c r="W527" s="199"/>
    </row>
    <row r="528">
      <c r="A528" s="283"/>
      <c r="B528" s="195"/>
      <c r="C528" s="195"/>
      <c r="D528" s="195"/>
      <c r="E528" s="195"/>
      <c r="F528" s="195"/>
      <c r="G528" s="197"/>
      <c r="H528" s="197"/>
      <c r="I528" s="198"/>
      <c r="J528" s="198"/>
      <c r="K528" s="198"/>
      <c r="L528" s="199"/>
      <c r="M528" s="287"/>
      <c r="N528" s="287"/>
      <c r="O528" s="287"/>
      <c r="P528" s="287"/>
      <c r="Q528" s="287"/>
      <c r="R528" s="367"/>
      <c r="S528" s="367"/>
      <c r="T528" s="368"/>
      <c r="U528" s="368"/>
      <c r="V528" s="368"/>
      <c r="W528" s="199"/>
    </row>
    <row r="529">
      <c r="A529" s="283"/>
      <c r="B529" s="195"/>
      <c r="C529" s="195"/>
      <c r="D529" s="195"/>
      <c r="E529" s="195"/>
      <c r="F529" s="195"/>
      <c r="G529" s="197"/>
      <c r="H529" s="197"/>
      <c r="I529" s="198"/>
      <c r="J529" s="198"/>
      <c r="K529" s="198"/>
      <c r="L529" s="199"/>
      <c r="M529" s="287"/>
      <c r="N529" s="287"/>
      <c r="O529" s="287"/>
      <c r="P529" s="287"/>
      <c r="Q529" s="287"/>
      <c r="R529" s="367"/>
      <c r="S529" s="367"/>
      <c r="T529" s="368"/>
      <c r="U529" s="368"/>
      <c r="V529" s="368"/>
      <c r="W529" s="199"/>
    </row>
    <row r="530">
      <c r="A530" s="283"/>
      <c r="B530" s="306"/>
      <c r="C530" s="307"/>
      <c r="D530" s="307"/>
      <c r="E530" s="307"/>
      <c r="F530" s="307"/>
      <c r="G530" s="308" t="s">
        <v>700</v>
      </c>
      <c r="H530" s="309"/>
      <c r="I530" s="310" t="s">
        <v>701</v>
      </c>
      <c r="J530" s="307"/>
      <c r="K530" s="311"/>
      <c r="L530" s="199"/>
      <c r="M530" s="287"/>
      <c r="R530" s="210" t="s">
        <v>700</v>
      </c>
      <c r="S530" s="211"/>
      <c r="T530" s="212" t="s">
        <v>701</v>
      </c>
      <c r="U530" s="213"/>
      <c r="V530" s="211"/>
      <c r="W530" s="199"/>
    </row>
    <row r="531">
      <c r="A531" s="283"/>
      <c r="B531" s="312"/>
      <c r="G531" s="215"/>
      <c r="H531" s="64"/>
      <c r="I531" s="215"/>
      <c r="J531" s="216"/>
      <c r="K531" s="313"/>
      <c r="L531" s="199"/>
      <c r="R531" s="215"/>
      <c r="S531" s="64"/>
      <c r="T531" s="215"/>
      <c r="U531" s="216"/>
      <c r="V531" s="64"/>
      <c r="W531" s="199"/>
    </row>
    <row r="532">
      <c r="A532" s="283"/>
      <c r="B532" s="312"/>
      <c r="G532" s="218" t="s">
        <v>702</v>
      </c>
      <c r="H532" s="211"/>
      <c r="I532" s="219" t="s">
        <v>676</v>
      </c>
      <c r="J532" s="213"/>
      <c r="K532" s="314"/>
      <c r="L532" s="199"/>
      <c r="R532" s="210" t="s">
        <v>351</v>
      </c>
      <c r="S532" s="211"/>
      <c r="T532" s="212" t="s">
        <v>465</v>
      </c>
      <c r="U532" s="213"/>
      <c r="V532" s="211"/>
      <c r="W532" s="199"/>
    </row>
    <row r="533">
      <c r="A533" s="283"/>
      <c r="B533" s="312"/>
      <c r="G533" s="215"/>
      <c r="H533" s="64"/>
      <c r="I533" s="215"/>
      <c r="J533" s="216"/>
      <c r="K533" s="313"/>
      <c r="L533" s="199"/>
      <c r="R533" s="215"/>
      <c r="S533" s="64"/>
      <c r="T533" s="215"/>
      <c r="U533" s="216"/>
      <c r="V533" s="64"/>
      <c r="W533" s="199"/>
    </row>
    <row r="534">
      <c r="A534" s="283"/>
      <c r="B534" s="312"/>
      <c r="G534" s="218" t="s">
        <v>778</v>
      </c>
      <c r="H534" s="211"/>
      <c r="I534" s="219">
        <v>2890.0</v>
      </c>
      <c r="J534" s="213"/>
      <c r="K534" s="314"/>
      <c r="L534" s="199"/>
      <c r="R534" s="210" t="s">
        <v>778</v>
      </c>
      <c r="S534" s="211"/>
      <c r="T534" s="212">
        <v>2890.0</v>
      </c>
      <c r="U534" s="213"/>
      <c r="V534" s="211"/>
      <c r="W534" s="199"/>
    </row>
    <row r="535">
      <c r="A535" s="283"/>
      <c r="B535" s="312"/>
      <c r="G535" s="215"/>
      <c r="H535" s="64"/>
      <c r="I535" s="215"/>
      <c r="J535" s="216"/>
      <c r="K535" s="313"/>
      <c r="L535" s="199"/>
      <c r="R535" s="215"/>
      <c r="S535" s="64"/>
      <c r="T535" s="215"/>
      <c r="U535" s="216"/>
      <c r="V535" s="64"/>
      <c r="W535" s="199"/>
    </row>
    <row r="536">
      <c r="A536" s="283"/>
      <c r="B536" s="315" t="s">
        <v>704</v>
      </c>
      <c r="C536" s="222"/>
      <c r="D536" s="223" t="s">
        <v>5</v>
      </c>
      <c r="E536" s="222"/>
      <c r="F536" s="223" t="s">
        <v>705</v>
      </c>
      <c r="G536" s="224"/>
      <c r="H536" s="222"/>
      <c r="I536" s="225" t="s">
        <v>8</v>
      </c>
      <c r="J536" s="225" t="s">
        <v>706</v>
      </c>
      <c r="K536" s="316" t="s">
        <v>707</v>
      </c>
      <c r="L536" s="199"/>
      <c r="M536" s="227" t="s">
        <v>704</v>
      </c>
      <c r="N536" s="222"/>
      <c r="O536" s="227" t="s">
        <v>5</v>
      </c>
      <c r="P536" s="222"/>
      <c r="Q536" s="227" t="s">
        <v>705</v>
      </c>
      <c r="R536" s="224"/>
      <c r="S536" s="222"/>
      <c r="T536" s="228" t="s">
        <v>591</v>
      </c>
      <c r="U536" s="228" t="s">
        <v>708</v>
      </c>
      <c r="V536" s="228" t="s">
        <v>707</v>
      </c>
      <c r="W536" s="199"/>
    </row>
    <row r="537">
      <c r="A537" s="283"/>
      <c r="B537" s="317">
        <v>45973.0</v>
      </c>
      <c r="C537" s="222"/>
      <c r="D537" s="223">
        <v>2.890063975E9</v>
      </c>
      <c r="E537" s="222"/>
      <c r="F537" s="223" t="s">
        <v>794</v>
      </c>
      <c r="G537" s="224"/>
      <c r="H537" s="222"/>
      <c r="I537" s="232">
        <v>750.0</v>
      </c>
      <c r="J537" s="233">
        <v>0.88</v>
      </c>
      <c r="K537" s="318">
        <v>660.0</v>
      </c>
      <c r="L537" s="199"/>
      <c r="M537" s="235">
        <v>45973.0</v>
      </c>
      <c r="N537" s="222"/>
      <c r="O537" s="227">
        <v>2.890063975E9</v>
      </c>
      <c r="P537" s="222"/>
      <c r="Q537" s="227" t="s">
        <v>794</v>
      </c>
      <c r="R537" s="224"/>
      <c r="S537" s="222"/>
      <c r="T537" s="228">
        <v>358.0</v>
      </c>
      <c r="U537" s="228">
        <v>0.65</v>
      </c>
      <c r="V537" s="237">
        <v>232.7</v>
      </c>
      <c r="W537" s="199"/>
    </row>
    <row r="538">
      <c r="A538" s="283"/>
      <c r="B538" s="317">
        <v>45974.0</v>
      </c>
      <c r="C538" s="222"/>
      <c r="D538" s="223">
        <v>4632098.0</v>
      </c>
      <c r="E538" s="222"/>
      <c r="F538" s="223" t="s">
        <v>795</v>
      </c>
      <c r="G538" s="224"/>
      <c r="H538" s="222"/>
      <c r="I538" s="232">
        <v>1275.0</v>
      </c>
      <c r="J538" s="233">
        <v>0.88</v>
      </c>
      <c r="K538" s="318">
        <v>1122.0</v>
      </c>
      <c r="L538" s="199"/>
      <c r="M538" s="235">
        <v>45974.0</v>
      </c>
      <c r="N538" s="222"/>
      <c r="O538" s="227">
        <v>4632098.0</v>
      </c>
      <c r="P538" s="222"/>
      <c r="Q538" s="227" t="s">
        <v>795</v>
      </c>
      <c r="R538" s="224"/>
      <c r="S538" s="222"/>
      <c r="T538" s="228">
        <v>491.0</v>
      </c>
      <c r="U538" s="228">
        <v>0.65</v>
      </c>
      <c r="V538" s="237">
        <v>319.15</v>
      </c>
      <c r="W538" s="199"/>
    </row>
    <row r="539">
      <c r="A539" s="283"/>
      <c r="B539" s="317">
        <v>45975.0</v>
      </c>
      <c r="C539" s="222"/>
      <c r="D539" s="223">
        <v>1.25972536E8</v>
      </c>
      <c r="E539" s="222"/>
      <c r="F539" s="223" t="s">
        <v>796</v>
      </c>
      <c r="G539" s="224"/>
      <c r="H539" s="222"/>
      <c r="I539" s="232">
        <v>2600.0</v>
      </c>
      <c r="J539" s="233">
        <v>0.88</v>
      </c>
      <c r="K539" s="318">
        <v>2288.0</v>
      </c>
      <c r="L539" s="199"/>
      <c r="M539" s="235">
        <v>45975.0</v>
      </c>
      <c r="N539" s="222"/>
      <c r="O539" s="227">
        <v>1.25972536E8</v>
      </c>
      <c r="P539" s="222"/>
      <c r="Q539" s="227" t="s">
        <v>796</v>
      </c>
      <c r="R539" s="224"/>
      <c r="S539" s="222"/>
      <c r="T539" s="228">
        <v>1362.0</v>
      </c>
      <c r="U539" s="228">
        <v>0.65</v>
      </c>
      <c r="V539" s="237">
        <v>885.3</v>
      </c>
      <c r="W539" s="199"/>
    </row>
    <row r="540">
      <c r="A540" s="283"/>
      <c r="B540" s="319"/>
      <c r="C540" s="222"/>
      <c r="D540" s="240"/>
      <c r="E540" s="222"/>
      <c r="F540" s="240"/>
      <c r="G540" s="224"/>
      <c r="H540" s="222"/>
      <c r="I540" s="241"/>
      <c r="J540" s="233">
        <v>0.88</v>
      </c>
      <c r="K540" s="318">
        <v>0.0</v>
      </c>
      <c r="L540" s="199"/>
      <c r="M540" s="243"/>
      <c r="N540" s="222"/>
      <c r="O540" s="243"/>
      <c r="P540" s="222"/>
      <c r="Q540" s="243"/>
      <c r="R540" s="224"/>
      <c r="S540" s="222"/>
      <c r="T540" s="244"/>
      <c r="U540" s="228">
        <v>0.65</v>
      </c>
      <c r="V540" s="237">
        <v>0.0</v>
      </c>
      <c r="W540" s="199"/>
    </row>
    <row r="541">
      <c r="A541" s="283"/>
      <c r="B541" s="319"/>
      <c r="C541" s="222"/>
      <c r="D541" s="240"/>
      <c r="E541" s="222"/>
      <c r="F541" s="240"/>
      <c r="G541" s="224"/>
      <c r="H541" s="222"/>
      <c r="I541" s="241"/>
      <c r="J541" s="233">
        <v>0.88</v>
      </c>
      <c r="K541" s="318">
        <v>0.0</v>
      </c>
      <c r="L541" s="199"/>
      <c r="M541" s="243"/>
      <c r="N541" s="222"/>
      <c r="O541" s="243"/>
      <c r="P541" s="222"/>
      <c r="Q541" s="243"/>
      <c r="R541" s="224"/>
      <c r="S541" s="222"/>
      <c r="T541" s="244"/>
      <c r="U541" s="228">
        <v>0.65</v>
      </c>
      <c r="V541" s="237">
        <v>0.0</v>
      </c>
      <c r="W541" s="199"/>
    </row>
    <row r="542">
      <c r="A542" s="283"/>
      <c r="B542" s="322" t="s">
        <v>711</v>
      </c>
      <c r="C542" s="224"/>
      <c r="D542" s="224"/>
      <c r="E542" s="224"/>
      <c r="F542" s="224"/>
      <c r="G542" s="224"/>
      <c r="H542" s="222"/>
      <c r="I542" s="291">
        <v>4625.0</v>
      </c>
      <c r="J542" s="241"/>
      <c r="K542" s="323">
        <v>4070.0</v>
      </c>
      <c r="L542" s="199"/>
      <c r="M542" s="246" t="s">
        <v>711</v>
      </c>
      <c r="N542" s="224"/>
      <c r="O542" s="224"/>
      <c r="P542" s="224"/>
      <c r="Q542" s="224"/>
      <c r="R542" s="224"/>
      <c r="S542" s="222"/>
      <c r="T542" s="228">
        <v>2211.0</v>
      </c>
      <c r="U542" s="244"/>
      <c r="V542" s="237">
        <v>1437.15</v>
      </c>
      <c r="W542" s="199"/>
    </row>
    <row r="543">
      <c r="A543" s="283"/>
      <c r="B543" s="324"/>
      <c r="C543" s="248"/>
      <c r="D543" s="248"/>
      <c r="E543" s="248"/>
      <c r="F543" s="248"/>
      <c r="G543" s="248"/>
      <c r="H543" s="248"/>
      <c r="I543" s="248"/>
      <c r="J543" s="248"/>
      <c r="K543" s="325"/>
      <c r="L543" s="199"/>
      <c r="M543" s="251"/>
      <c r="N543" s="251"/>
      <c r="O543" s="251"/>
      <c r="P543" s="251"/>
      <c r="Q543" s="251"/>
      <c r="R543" s="251"/>
      <c r="S543" s="251"/>
      <c r="T543" s="251"/>
      <c r="U543" s="251"/>
      <c r="V543" s="251"/>
      <c r="W543" s="199"/>
    </row>
    <row r="544">
      <c r="A544" s="283"/>
      <c r="B544" s="326" t="s">
        <v>712</v>
      </c>
      <c r="C544" s="222"/>
      <c r="D544" s="253"/>
      <c r="E544" s="222"/>
      <c r="F544" s="248"/>
      <c r="G544" s="248"/>
      <c r="H544" s="248"/>
      <c r="I544" s="248"/>
      <c r="J544" s="248"/>
      <c r="K544" s="325"/>
      <c r="L544" s="199"/>
      <c r="M544" s="254" t="s">
        <v>712</v>
      </c>
      <c r="N544" s="222"/>
      <c r="O544" s="255"/>
      <c r="P544" s="222"/>
      <c r="Q544" s="251"/>
      <c r="R544" s="251"/>
      <c r="S544" s="251"/>
      <c r="T544" s="251"/>
      <c r="U544" s="251"/>
      <c r="V544" s="251"/>
      <c r="W544" s="199"/>
    </row>
    <row r="545">
      <c r="A545" s="283"/>
      <c r="B545" s="327"/>
      <c r="C545" s="222"/>
      <c r="D545" s="253"/>
      <c r="E545" s="222"/>
      <c r="F545" s="248"/>
      <c r="G545" s="248"/>
      <c r="H545" s="248"/>
      <c r="I545" s="248"/>
      <c r="J545" s="248"/>
      <c r="K545" s="325"/>
      <c r="L545" s="199"/>
      <c r="M545" s="342" t="s">
        <v>797</v>
      </c>
      <c r="N545" s="222"/>
      <c r="O545" s="269">
        <v>48.0</v>
      </c>
      <c r="P545" s="222"/>
      <c r="Q545" s="251"/>
      <c r="R545" s="251"/>
      <c r="S545" s="251"/>
      <c r="T545" s="251"/>
      <c r="U545" s="251"/>
      <c r="V545" s="251"/>
      <c r="W545" s="199"/>
    </row>
    <row r="546">
      <c r="A546" s="283"/>
      <c r="B546" s="327"/>
      <c r="C546" s="222"/>
      <c r="D546" s="253"/>
      <c r="E546" s="222"/>
      <c r="F546" s="248"/>
      <c r="G546" s="248"/>
      <c r="H546" s="248"/>
      <c r="I546" s="248"/>
      <c r="J546" s="248"/>
      <c r="K546" s="325"/>
      <c r="L546" s="199"/>
      <c r="M546" s="255"/>
      <c r="N546" s="222"/>
      <c r="O546" s="255"/>
      <c r="P546" s="222"/>
      <c r="Q546" s="251"/>
      <c r="R546" s="251"/>
      <c r="S546" s="251"/>
      <c r="T546" s="251"/>
      <c r="U546" s="251"/>
      <c r="V546" s="251"/>
      <c r="W546" s="199"/>
    </row>
    <row r="547">
      <c r="A547" s="283"/>
      <c r="B547" s="328" t="s">
        <v>714</v>
      </c>
      <c r="C547" s="222"/>
      <c r="D547" s="257">
        <v>0.0</v>
      </c>
      <c r="E547" s="222"/>
      <c r="F547" s="248"/>
      <c r="G547" s="248"/>
      <c r="H547" s="248"/>
      <c r="I547" s="248"/>
      <c r="J547" s="248"/>
      <c r="K547" s="325"/>
      <c r="L547" s="199"/>
      <c r="M547" s="255"/>
      <c r="N547" s="222"/>
      <c r="O547" s="255"/>
      <c r="P547" s="222"/>
      <c r="Q547" s="251"/>
      <c r="R547" s="251"/>
      <c r="S547" s="251"/>
      <c r="T547" s="251"/>
      <c r="U547" s="251"/>
      <c r="V547" s="251"/>
      <c r="W547" s="199"/>
    </row>
    <row r="548">
      <c r="A548" s="283"/>
      <c r="B548" s="329"/>
      <c r="C548" s="224"/>
      <c r="D548" s="224"/>
      <c r="E548" s="222"/>
      <c r="F548" s="248"/>
      <c r="G548" s="248"/>
      <c r="H548" s="248"/>
      <c r="I548" s="248"/>
      <c r="J548" s="248"/>
      <c r="K548" s="325"/>
      <c r="L548" s="199"/>
      <c r="M548" s="255"/>
      <c r="N548" s="222"/>
      <c r="O548" s="255"/>
      <c r="P548" s="222"/>
      <c r="Q548" s="251"/>
      <c r="R548" s="251"/>
      <c r="S548" s="251"/>
      <c r="T548" s="251"/>
      <c r="U548" s="251"/>
      <c r="V548" s="251"/>
      <c r="W548" s="199"/>
    </row>
    <row r="549">
      <c r="A549" s="283"/>
      <c r="B549" s="330" t="s">
        <v>715</v>
      </c>
      <c r="C549" s="222"/>
      <c r="D549" s="265"/>
      <c r="E549" s="222"/>
      <c r="F549" s="248"/>
      <c r="G549" s="248"/>
      <c r="H549" s="248"/>
      <c r="I549" s="248"/>
      <c r="J549" s="248"/>
      <c r="K549" s="325"/>
      <c r="L549" s="199"/>
      <c r="M549" s="255"/>
      <c r="N549" s="222"/>
      <c r="O549" s="255"/>
      <c r="P549" s="222"/>
      <c r="Q549" s="251"/>
      <c r="R549" s="251"/>
      <c r="S549" s="251"/>
      <c r="T549" s="251"/>
      <c r="U549" s="251"/>
      <c r="V549" s="251"/>
      <c r="W549" s="199"/>
    </row>
    <row r="550">
      <c r="A550" s="283"/>
      <c r="B550" s="331" t="s">
        <v>716</v>
      </c>
      <c r="C550" s="222"/>
      <c r="D550" s="267">
        <v>150.0</v>
      </c>
      <c r="E550" s="222"/>
      <c r="F550" s="248"/>
      <c r="G550" s="248"/>
      <c r="H550" s="248"/>
      <c r="I550" s="248"/>
      <c r="J550" s="248"/>
      <c r="K550" s="325"/>
      <c r="L550" s="199"/>
      <c r="M550" s="268" t="s">
        <v>714</v>
      </c>
      <c r="N550" s="222"/>
      <c r="O550" s="269">
        <v>48.0</v>
      </c>
      <c r="P550" s="222"/>
      <c r="Q550" s="251"/>
      <c r="R550" s="251"/>
      <c r="S550" s="251"/>
      <c r="T550" s="251"/>
      <c r="U550" s="251"/>
      <c r="V550" s="251"/>
      <c r="W550" s="199"/>
    </row>
    <row r="551">
      <c r="A551" s="283"/>
      <c r="B551" s="331" t="s">
        <v>717</v>
      </c>
      <c r="C551" s="222"/>
      <c r="D551" s="267">
        <v>400.0</v>
      </c>
      <c r="E551" s="222"/>
      <c r="F551" s="248"/>
      <c r="G551" s="248"/>
      <c r="H551" s="248"/>
      <c r="I551" s="248"/>
      <c r="J551" s="248"/>
      <c r="K551" s="325"/>
      <c r="L551" s="199"/>
      <c r="M551" s="251"/>
      <c r="N551" s="251"/>
      <c r="O551" s="270"/>
      <c r="Q551" s="251"/>
      <c r="R551" s="251"/>
      <c r="S551" s="251"/>
      <c r="T551" s="251"/>
      <c r="U551" s="251"/>
      <c r="V551" s="251"/>
      <c r="W551" s="199"/>
    </row>
    <row r="552">
      <c r="A552" s="283"/>
      <c r="B552" s="331" t="s">
        <v>718</v>
      </c>
      <c r="C552" s="222"/>
      <c r="D552" s="267">
        <v>200.0</v>
      </c>
      <c r="E552" s="222"/>
      <c r="F552" s="248"/>
      <c r="G552" s="248"/>
      <c r="H552" s="248"/>
      <c r="I552" s="248"/>
      <c r="J552" s="248"/>
      <c r="K552" s="325"/>
      <c r="L552" s="199"/>
      <c r="M552" s="271" t="s">
        <v>715</v>
      </c>
      <c r="N552" s="222"/>
      <c r="O552" s="272"/>
      <c r="P552" s="222"/>
      <c r="Q552" s="251"/>
      <c r="R552" s="251"/>
      <c r="S552" s="251"/>
      <c r="T552" s="251"/>
      <c r="U552" s="251"/>
      <c r="V552" s="251"/>
      <c r="W552" s="199"/>
    </row>
    <row r="553">
      <c r="A553" s="283"/>
      <c r="B553" s="331" t="s">
        <v>656</v>
      </c>
      <c r="C553" s="222"/>
      <c r="D553" s="267">
        <v>2289.19</v>
      </c>
      <c r="E553" s="222"/>
      <c r="F553" s="248"/>
      <c r="G553" s="248"/>
      <c r="H553" s="248"/>
      <c r="I553" s="248"/>
      <c r="J553" s="248"/>
      <c r="K553" s="325"/>
      <c r="L553" s="199"/>
      <c r="M553" s="272"/>
      <c r="N553" s="222"/>
      <c r="O553" s="272"/>
      <c r="P553" s="222"/>
      <c r="Q553" s="251"/>
      <c r="R553" s="251"/>
      <c r="S553" s="273" t="s">
        <v>719</v>
      </c>
      <c r="T553" s="211"/>
      <c r="U553" s="274">
        <v>1485.15</v>
      </c>
      <c r="V553" s="211"/>
      <c r="W553" s="199"/>
    </row>
    <row r="554">
      <c r="A554" s="283"/>
      <c r="B554" s="334"/>
      <c r="C554" s="222"/>
      <c r="D554" s="265"/>
      <c r="E554" s="222"/>
      <c r="F554" s="248"/>
      <c r="G554" s="248"/>
      <c r="H554" s="276" t="s">
        <v>720</v>
      </c>
      <c r="I554" s="211"/>
      <c r="J554" s="277">
        <v>1030.81</v>
      </c>
      <c r="K554" s="314"/>
      <c r="L554" s="199"/>
      <c r="M554" s="272"/>
      <c r="N554" s="222"/>
      <c r="O554" s="272"/>
      <c r="P554" s="222"/>
      <c r="Q554" s="251"/>
      <c r="R554" s="251"/>
      <c r="S554" s="278"/>
      <c r="T554" s="56"/>
      <c r="U554" s="278"/>
      <c r="V554" s="56"/>
      <c r="W554" s="199"/>
    </row>
    <row r="555">
      <c r="A555" s="283"/>
      <c r="B555" s="334"/>
      <c r="C555" s="222"/>
      <c r="D555" s="265"/>
      <c r="E555" s="222"/>
      <c r="F555" s="248"/>
      <c r="G555" s="248"/>
      <c r="H555" s="278"/>
      <c r="I555" s="56"/>
      <c r="J555" s="278"/>
      <c r="K555" s="333"/>
      <c r="L555" s="199"/>
      <c r="M555" s="272"/>
      <c r="N555" s="222"/>
      <c r="O555" s="272"/>
      <c r="P555" s="222"/>
      <c r="Q555" s="251"/>
      <c r="R555" s="251"/>
      <c r="S555" s="215"/>
      <c r="T555" s="64"/>
      <c r="U555" s="215"/>
      <c r="V555" s="64"/>
      <c r="W555" s="199"/>
    </row>
    <row r="556">
      <c r="A556" s="283"/>
      <c r="B556" s="334"/>
      <c r="C556" s="222"/>
      <c r="D556" s="265"/>
      <c r="E556" s="222"/>
      <c r="F556" s="248"/>
      <c r="G556" s="248"/>
      <c r="H556" s="215"/>
      <c r="I556" s="64"/>
      <c r="J556" s="215"/>
      <c r="K556" s="313"/>
      <c r="L556" s="199"/>
      <c r="M556" s="272"/>
      <c r="N556" s="222"/>
      <c r="O556" s="272"/>
      <c r="P556" s="222"/>
      <c r="Q556" s="251"/>
      <c r="R556" s="251"/>
      <c r="S556" s="251"/>
      <c r="T556" s="251"/>
      <c r="U556" s="251"/>
      <c r="V556" s="251"/>
      <c r="W556" s="199"/>
    </row>
    <row r="557">
      <c r="A557" s="283"/>
      <c r="B557" s="334"/>
      <c r="C557" s="222"/>
      <c r="D557" s="265"/>
      <c r="E557" s="222"/>
      <c r="F557" s="248"/>
      <c r="G557" s="248"/>
      <c r="H557" s="248"/>
      <c r="I557" s="248"/>
      <c r="J557" s="248"/>
      <c r="K557" s="325"/>
      <c r="L557" s="199"/>
      <c r="M557" s="272"/>
      <c r="N557" s="222"/>
      <c r="O557" s="272"/>
      <c r="P557" s="222"/>
      <c r="Q557" s="251"/>
      <c r="R557" s="251"/>
      <c r="S557" s="251"/>
      <c r="T557" s="251"/>
      <c r="U557" s="251"/>
      <c r="V557" s="251"/>
      <c r="W557" s="199"/>
    </row>
    <row r="558">
      <c r="A558" s="283"/>
      <c r="B558" s="334"/>
      <c r="C558" s="222"/>
      <c r="D558" s="265"/>
      <c r="E558" s="222"/>
      <c r="F558" s="248"/>
      <c r="G558" s="248"/>
      <c r="H558" s="248"/>
      <c r="I558" s="248"/>
      <c r="J558" s="248"/>
      <c r="K558" s="325"/>
      <c r="L558" s="199"/>
      <c r="M558" s="280" t="s">
        <v>721</v>
      </c>
      <c r="N558" s="222"/>
      <c r="O558" s="281">
        <v>0.0</v>
      </c>
      <c r="P558" s="222"/>
      <c r="Q558" s="251"/>
      <c r="R558" s="251"/>
      <c r="S558" s="251"/>
      <c r="T558" s="251"/>
      <c r="U558" s="251"/>
      <c r="V558" s="251"/>
      <c r="W558" s="199"/>
    </row>
    <row r="559">
      <c r="A559" s="283"/>
      <c r="B559" s="331" t="s">
        <v>721</v>
      </c>
      <c r="C559" s="222"/>
      <c r="D559" s="267">
        <v>3039.19</v>
      </c>
      <c r="E559" s="222"/>
      <c r="F559" s="248"/>
      <c r="G559" s="248"/>
      <c r="H559" s="248"/>
      <c r="I559" s="248"/>
      <c r="J559" s="248"/>
      <c r="K559" s="325"/>
      <c r="L559" s="199"/>
      <c r="M559" s="282"/>
      <c r="N559" s="282"/>
      <c r="O559" s="282"/>
      <c r="P559" s="282"/>
      <c r="Q559" s="282"/>
      <c r="R559" s="282"/>
      <c r="S559" s="282"/>
      <c r="T559" s="282"/>
      <c r="U559" s="282"/>
      <c r="V559" s="282"/>
      <c r="W559" s="199"/>
    </row>
    <row r="560">
      <c r="A560" s="283"/>
      <c r="B560" s="345"/>
      <c r="C560" s="346"/>
      <c r="D560" s="346"/>
      <c r="E560" s="346"/>
      <c r="F560" s="346"/>
      <c r="G560" s="346"/>
      <c r="H560" s="346"/>
      <c r="I560" s="346"/>
      <c r="J560" s="346"/>
      <c r="K560" s="347"/>
      <c r="L560" s="199"/>
      <c r="M560" s="199"/>
      <c r="N560" s="199"/>
      <c r="O560" s="199"/>
      <c r="P560" s="199"/>
      <c r="Q560" s="199"/>
      <c r="R560" s="199"/>
      <c r="S560" s="199"/>
      <c r="T560" s="199"/>
      <c r="U560" s="199"/>
      <c r="V560" s="199"/>
      <c r="W560" s="199"/>
    </row>
    <row r="561">
      <c r="A561" s="283"/>
      <c r="B561" s="260"/>
      <c r="C561" s="260"/>
      <c r="D561" s="260"/>
      <c r="E561" s="260"/>
      <c r="F561" s="260"/>
      <c r="G561" s="260"/>
      <c r="H561" s="260"/>
      <c r="I561" s="260"/>
      <c r="J561" s="260"/>
      <c r="K561" s="260"/>
      <c r="L561" s="199"/>
      <c r="M561" s="199"/>
      <c r="N561" s="199"/>
      <c r="O561" s="199"/>
      <c r="P561" s="199"/>
      <c r="Q561" s="199"/>
      <c r="R561" s="199"/>
      <c r="S561" s="199"/>
      <c r="T561" s="199"/>
      <c r="U561" s="199"/>
      <c r="V561" s="199"/>
      <c r="W561" s="199"/>
    </row>
    <row r="562">
      <c r="A562" s="283"/>
      <c r="B562" s="306"/>
      <c r="C562" s="307"/>
      <c r="D562" s="307"/>
      <c r="E562" s="307"/>
      <c r="F562" s="309"/>
      <c r="G562" s="308" t="s">
        <v>700</v>
      </c>
      <c r="H562" s="309"/>
      <c r="I562" s="310" t="s">
        <v>701</v>
      </c>
      <c r="J562" s="307"/>
      <c r="K562" s="311"/>
      <c r="L562" s="199"/>
      <c r="M562" s="287"/>
      <c r="R562" s="210" t="s">
        <v>700</v>
      </c>
      <c r="S562" s="211"/>
      <c r="T562" s="212" t="s">
        <v>701</v>
      </c>
      <c r="U562" s="213"/>
      <c r="V562" s="211"/>
      <c r="W562" s="199"/>
    </row>
    <row r="563">
      <c r="A563" s="283"/>
      <c r="B563" s="312"/>
      <c r="F563" s="56"/>
      <c r="G563" s="215"/>
      <c r="H563" s="64"/>
      <c r="I563" s="215"/>
      <c r="J563" s="216"/>
      <c r="K563" s="313"/>
      <c r="L563" s="199"/>
      <c r="R563" s="215"/>
      <c r="S563" s="64"/>
      <c r="T563" s="215"/>
      <c r="U563" s="216"/>
      <c r="V563" s="64"/>
      <c r="W563" s="199"/>
    </row>
    <row r="564">
      <c r="A564" s="283"/>
      <c r="B564" s="312"/>
      <c r="F564" s="56"/>
      <c r="G564" s="218" t="s">
        <v>702</v>
      </c>
      <c r="H564" s="211"/>
      <c r="I564" s="219" t="s">
        <v>676</v>
      </c>
      <c r="J564" s="213"/>
      <c r="K564" s="314"/>
      <c r="L564" s="199"/>
      <c r="R564" s="210" t="s">
        <v>351</v>
      </c>
      <c r="S564" s="211"/>
      <c r="T564" s="212" t="s">
        <v>615</v>
      </c>
      <c r="U564" s="213"/>
      <c r="V564" s="211"/>
      <c r="W564" s="199"/>
    </row>
    <row r="565">
      <c r="A565" s="283"/>
      <c r="B565" s="312"/>
      <c r="F565" s="56"/>
      <c r="G565" s="215"/>
      <c r="H565" s="64"/>
      <c r="I565" s="215"/>
      <c r="J565" s="216"/>
      <c r="K565" s="313"/>
      <c r="L565" s="199"/>
      <c r="R565" s="215"/>
      <c r="S565" s="64"/>
      <c r="T565" s="215"/>
      <c r="U565" s="216"/>
      <c r="V565" s="64"/>
      <c r="W565" s="199"/>
    </row>
    <row r="566">
      <c r="A566" s="283"/>
      <c r="B566" s="312"/>
      <c r="F566" s="56"/>
      <c r="G566" s="218" t="s">
        <v>703</v>
      </c>
      <c r="H566" s="211"/>
      <c r="I566" s="219">
        <v>2316.0</v>
      </c>
      <c r="J566" s="213"/>
      <c r="K566" s="314"/>
      <c r="L566" s="199"/>
      <c r="R566" s="210" t="s">
        <v>703</v>
      </c>
      <c r="S566" s="211"/>
      <c r="T566" s="212">
        <v>2316.0</v>
      </c>
      <c r="U566" s="213"/>
      <c r="V566" s="211"/>
      <c r="W566" s="199"/>
    </row>
    <row r="567">
      <c r="A567" s="283"/>
      <c r="B567" s="344"/>
      <c r="C567" s="216"/>
      <c r="D567" s="216"/>
      <c r="E567" s="216"/>
      <c r="F567" s="64"/>
      <c r="G567" s="215"/>
      <c r="H567" s="64"/>
      <c r="I567" s="215"/>
      <c r="J567" s="216"/>
      <c r="K567" s="313"/>
      <c r="L567" s="199"/>
      <c r="R567" s="215"/>
      <c r="S567" s="64"/>
      <c r="T567" s="215"/>
      <c r="U567" s="216"/>
      <c r="V567" s="64"/>
      <c r="W567" s="199"/>
    </row>
    <row r="568">
      <c r="A568" s="283"/>
      <c r="B568" s="315" t="s">
        <v>704</v>
      </c>
      <c r="C568" s="222"/>
      <c r="D568" s="231" t="s">
        <v>5</v>
      </c>
      <c r="E568" s="222"/>
      <c r="F568" s="231" t="s">
        <v>705</v>
      </c>
      <c r="G568" s="224"/>
      <c r="H568" s="222"/>
      <c r="I568" s="225" t="s">
        <v>8</v>
      </c>
      <c r="J568" s="225" t="s">
        <v>706</v>
      </c>
      <c r="K568" s="316" t="s">
        <v>707</v>
      </c>
      <c r="L568" s="199"/>
      <c r="M568" s="227" t="s">
        <v>704</v>
      </c>
      <c r="N568" s="222"/>
      <c r="O568" s="227" t="s">
        <v>5</v>
      </c>
      <c r="P568" s="222"/>
      <c r="Q568" s="227" t="s">
        <v>705</v>
      </c>
      <c r="R568" s="224"/>
      <c r="S568" s="222"/>
      <c r="T568" s="228" t="s">
        <v>591</v>
      </c>
      <c r="U568" s="228" t="s">
        <v>708</v>
      </c>
      <c r="V568" s="228" t="s">
        <v>707</v>
      </c>
      <c r="W568" s="199"/>
    </row>
    <row r="569">
      <c r="A569" s="283"/>
      <c r="B569" s="317">
        <v>45971.0</v>
      </c>
      <c r="C569" s="222"/>
      <c r="D569" s="231">
        <v>2.0585747E7</v>
      </c>
      <c r="E569" s="222"/>
      <c r="F569" s="231" t="s">
        <v>798</v>
      </c>
      <c r="G569" s="224"/>
      <c r="H569" s="222"/>
      <c r="I569" s="232">
        <v>6300.0</v>
      </c>
      <c r="J569" s="233">
        <v>0.88</v>
      </c>
      <c r="K569" s="318">
        <v>5544.0</v>
      </c>
      <c r="L569" s="199"/>
      <c r="M569" s="235">
        <v>45971.0</v>
      </c>
      <c r="N569" s="222"/>
      <c r="O569" s="236">
        <v>2.0585747E7</v>
      </c>
      <c r="P569" s="222"/>
      <c r="Q569" s="236" t="s">
        <v>798</v>
      </c>
      <c r="R569" s="224"/>
      <c r="S569" s="222"/>
      <c r="T569" s="228">
        <v>3265.0</v>
      </c>
      <c r="U569" s="228">
        <v>0.65</v>
      </c>
      <c r="V569" s="237">
        <v>2122.25</v>
      </c>
      <c r="W569" s="199"/>
    </row>
    <row r="570">
      <c r="A570" s="283"/>
      <c r="B570" s="319"/>
      <c r="C570" s="222"/>
      <c r="D570" s="349"/>
      <c r="E570" s="222"/>
      <c r="F570" s="349"/>
      <c r="G570" s="224"/>
      <c r="H570" s="222"/>
      <c r="I570" s="241"/>
      <c r="J570" s="233">
        <v>0.88</v>
      </c>
      <c r="K570" s="318">
        <v>0.0</v>
      </c>
      <c r="L570" s="199"/>
      <c r="M570" s="243"/>
      <c r="N570" s="222"/>
      <c r="O570" s="350"/>
      <c r="P570" s="222"/>
      <c r="Q570" s="350"/>
      <c r="R570" s="224"/>
      <c r="S570" s="222"/>
      <c r="T570" s="244"/>
      <c r="U570" s="228">
        <v>0.65</v>
      </c>
      <c r="V570" s="237">
        <v>0.0</v>
      </c>
      <c r="W570" s="199"/>
    </row>
    <row r="571">
      <c r="A571" s="283"/>
      <c r="B571" s="319"/>
      <c r="C571" s="222"/>
      <c r="D571" s="349"/>
      <c r="E571" s="222"/>
      <c r="F571" s="349"/>
      <c r="G571" s="224"/>
      <c r="H571" s="222"/>
      <c r="I571" s="241"/>
      <c r="J571" s="233">
        <v>0.88</v>
      </c>
      <c r="K571" s="318">
        <v>0.0</v>
      </c>
      <c r="L571" s="199"/>
      <c r="M571" s="243"/>
      <c r="N571" s="222"/>
      <c r="O571" s="350"/>
      <c r="P571" s="222"/>
      <c r="Q571" s="350"/>
      <c r="R571" s="224"/>
      <c r="S571" s="222"/>
      <c r="T571" s="244"/>
      <c r="U571" s="228">
        <v>0.65</v>
      </c>
      <c r="V571" s="237">
        <v>0.0</v>
      </c>
      <c r="W571" s="199"/>
    </row>
    <row r="572">
      <c r="A572" s="283"/>
      <c r="B572" s="319"/>
      <c r="C572" s="222"/>
      <c r="D572" s="349"/>
      <c r="E572" s="222"/>
      <c r="F572" s="349"/>
      <c r="G572" s="224"/>
      <c r="H572" s="222"/>
      <c r="I572" s="241"/>
      <c r="J572" s="233">
        <v>0.88</v>
      </c>
      <c r="K572" s="318">
        <v>0.0</v>
      </c>
      <c r="L572" s="199"/>
      <c r="M572" s="243"/>
      <c r="N572" s="222"/>
      <c r="O572" s="350"/>
      <c r="P572" s="222"/>
      <c r="Q572" s="350"/>
      <c r="R572" s="224"/>
      <c r="S572" s="222"/>
      <c r="T572" s="244"/>
      <c r="U572" s="228">
        <v>0.65</v>
      </c>
      <c r="V572" s="237">
        <v>0.0</v>
      </c>
      <c r="W572" s="199"/>
    </row>
    <row r="573">
      <c r="A573" s="283"/>
      <c r="B573" s="319"/>
      <c r="C573" s="222"/>
      <c r="D573" s="349"/>
      <c r="E573" s="222"/>
      <c r="F573" s="349"/>
      <c r="G573" s="224"/>
      <c r="H573" s="222"/>
      <c r="I573" s="241"/>
      <c r="J573" s="233">
        <v>0.88</v>
      </c>
      <c r="K573" s="318">
        <v>0.0</v>
      </c>
      <c r="L573" s="199"/>
      <c r="M573" s="243"/>
      <c r="N573" s="222"/>
      <c r="O573" s="350"/>
      <c r="P573" s="222"/>
      <c r="Q573" s="350"/>
      <c r="R573" s="224"/>
      <c r="S573" s="222"/>
      <c r="T573" s="244"/>
      <c r="U573" s="228">
        <v>0.65</v>
      </c>
      <c r="V573" s="237">
        <v>0.0</v>
      </c>
      <c r="W573" s="199"/>
    </row>
    <row r="574">
      <c r="A574" s="283"/>
      <c r="B574" s="322" t="s">
        <v>711</v>
      </c>
      <c r="C574" s="224"/>
      <c r="D574" s="224"/>
      <c r="E574" s="224"/>
      <c r="F574" s="224"/>
      <c r="G574" s="224"/>
      <c r="H574" s="222"/>
      <c r="I574" s="291">
        <v>6300.0</v>
      </c>
      <c r="J574" s="241"/>
      <c r="K574" s="323">
        <v>5544.0</v>
      </c>
      <c r="L574" s="199"/>
      <c r="M574" s="243"/>
      <c r="N574" s="222"/>
      <c r="O574" s="350"/>
      <c r="P574" s="222"/>
      <c r="Q574" s="350"/>
      <c r="R574" s="224"/>
      <c r="S574" s="222"/>
      <c r="T574" s="244"/>
      <c r="U574" s="228">
        <v>0.65</v>
      </c>
      <c r="V574" s="237">
        <v>0.0</v>
      </c>
      <c r="W574" s="199"/>
    </row>
    <row r="575">
      <c r="A575" s="283"/>
      <c r="B575" s="324"/>
      <c r="C575" s="248"/>
      <c r="D575" s="248"/>
      <c r="E575" s="248"/>
      <c r="F575" s="248"/>
      <c r="G575" s="248"/>
      <c r="H575" s="248"/>
      <c r="I575" s="248"/>
      <c r="J575" s="248"/>
      <c r="K575" s="325"/>
      <c r="L575" s="199"/>
      <c r="M575" s="246" t="s">
        <v>711</v>
      </c>
      <c r="N575" s="224"/>
      <c r="O575" s="224"/>
      <c r="P575" s="224"/>
      <c r="Q575" s="224"/>
      <c r="R575" s="224"/>
      <c r="S575" s="222"/>
      <c r="T575" s="228">
        <v>3265.0</v>
      </c>
      <c r="U575" s="244"/>
      <c r="V575" s="237">
        <v>2122.25</v>
      </c>
      <c r="W575" s="199"/>
    </row>
    <row r="576">
      <c r="A576" s="283"/>
      <c r="B576" s="326" t="s">
        <v>712</v>
      </c>
      <c r="C576" s="222"/>
      <c r="D576" s="351"/>
      <c r="E576" s="222"/>
      <c r="F576" s="248"/>
      <c r="G576" s="248"/>
      <c r="H576" s="248"/>
      <c r="I576" s="248"/>
      <c r="J576" s="248"/>
      <c r="K576" s="325"/>
      <c r="L576" s="199"/>
      <c r="M576" s="251"/>
      <c r="N576" s="251"/>
      <c r="O576" s="251"/>
      <c r="P576" s="251"/>
      <c r="Q576" s="251"/>
      <c r="R576" s="251"/>
      <c r="S576" s="251"/>
      <c r="T576" s="251"/>
      <c r="U576" s="251"/>
      <c r="V576" s="251"/>
      <c r="W576" s="199"/>
    </row>
    <row r="577">
      <c r="A577" s="283"/>
      <c r="B577" s="327"/>
      <c r="C577" s="222"/>
      <c r="D577" s="253"/>
      <c r="E577" s="222"/>
      <c r="F577" s="248"/>
      <c r="G577" s="248"/>
      <c r="H577" s="248"/>
      <c r="I577" s="248"/>
      <c r="J577" s="248"/>
      <c r="K577" s="325"/>
      <c r="L577" s="199"/>
      <c r="M577" s="254" t="s">
        <v>712</v>
      </c>
      <c r="N577" s="222"/>
      <c r="O577" s="255"/>
      <c r="P577" s="222"/>
      <c r="Q577" s="251"/>
      <c r="R577" s="251"/>
      <c r="S577" s="251"/>
      <c r="T577" s="251"/>
      <c r="U577" s="251"/>
      <c r="V577" s="251"/>
      <c r="W577" s="199"/>
    </row>
    <row r="578">
      <c r="A578" s="283"/>
      <c r="B578" s="327"/>
      <c r="C578" s="222"/>
      <c r="D578" s="351"/>
      <c r="E578" s="222"/>
      <c r="F578" s="248"/>
      <c r="G578" s="248"/>
      <c r="H578" s="248"/>
      <c r="I578" s="248"/>
      <c r="J578" s="248"/>
      <c r="K578" s="325"/>
      <c r="L578" s="199"/>
      <c r="M578" s="342" t="s">
        <v>799</v>
      </c>
      <c r="N578" s="222"/>
      <c r="O578" s="269">
        <v>109.85</v>
      </c>
      <c r="P578" s="222"/>
      <c r="Q578" s="251"/>
      <c r="R578" s="251"/>
      <c r="S578" s="251"/>
      <c r="T578" s="251"/>
      <c r="U578" s="251"/>
      <c r="V578" s="251"/>
      <c r="W578" s="199"/>
    </row>
    <row r="579">
      <c r="A579" s="283"/>
      <c r="B579" s="328" t="s">
        <v>714</v>
      </c>
      <c r="C579" s="222"/>
      <c r="D579" s="352">
        <v>0.0</v>
      </c>
      <c r="E579" s="222"/>
      <c r="F579" s="248"/>
      <c r="G579" s="248"/>
      <c r="H579" s="248"/>
      <c r="I579" s="248"/>
      <c r="J579" s="248"/>
      <c r="K579" s="325"/>
      <c r="L579" s="199"/>
      <c r="M579" s="255"/>
      <c r="N579" s="222"/>
      <c r="O579" s="255"/>
      <c r="P579" s="222"/>
      <c r="Q579" s="251"/>
      <c r="R579" s="251"/>
      <c r="S579" s="251"/>
      <c r="T579" s="251"/>
      <c r="U579" s="251"/>
      <c r="V579" s="251"/>
      <c r="W579" s="199"/>
    </row>
    <row r="580">
      <c r="A580" s="283"/>
      <c r="B580" s="329"/>
      <c r="C580" s="224"/>
      <c r="D580" s="224"/>
      <c r="E580" s="222"/>
      <c r="F580" s="248"/>
      <c r="G580" s="248"/>
      <c r="H580" s="248"/>
      <c r="I580" s="248"/>
      <c r="J580" s="248"/>
      <c r="K580" s="325"/>
      <c r="L580" s="199"/>
      <c r="M580" s="255"/>
      <c r="N580" s="222"/>
      <c r="O580" s="255"/>
      <c r="P580" s="222"/>
      <c r="Q580" s="251"/>
      <c r="R580" s="251"/>
      <c r="S580" s="251"/>
      <c r="T580" s="251"/>
      <c r="U580" s="251"/>
      <c r="V580" s="251"/>
      <c r="W580" s="199"/>
    </row>
    <row r="581">
      <c r="A581" s="283"/>
      <c r="B581" s="330" t="s">
        <v>715</v>
      </c>
      <c r="C581" s="222"/>
      <c r="D581" s="353"/>
      <c r="E581" s="222"/>
      <c r="F581" s="248"/>
      <c r="G581" s="248"/>
      <c r="H581" s="248"/>
      <c r="I581" s="248"/>
      <c r="J581" s="248"/>
      <c r="K581" s="325"/>
      <c r="L581" s="199"/>
      <c r="M581" s="255"/>
      <c r="N581" s="222"/>
      <c r="O581" s="255"/>
      <c r="P581" s="222"/>
      <c r="Q581" s="251"/>
      <c r="R581" s="251"/>
      <c r="S581" s="251"/>
      <c r="T581" s="251"/>
      <c r="U581" s="251"/>
      <c r="V581" s="251"/>
      <c r="W581" s="199"/>
    </row>
    <row r="582">
      <c r="A582" s="283"/>
      <c r="B582" s="331" t="s">
        <v>716</v>
      </c>
      <c r="C582" s="222"/>
      <c r="D582" s="267">
        <v>150.0</v>
      </c>
      <c r="E582" s="222"/>
      <c r="F582" s="248"/>
      <c r="G582" s="248"/>
      <c r="H582" s="248"/>
      <c r="I582" s="248"/>
      <c r="J582" s="248"/>
      <c r="K582" s="325"/>
      <c r="L582" s="199"/>
      <c r="M582" s="255"/>
      <c r="N582" s="222"/>
      <c r="O582" s="255"/>
      <c r="P582" s="222"/>
      <c r="Q582" s="251"/>
      <c r="R582" s="251"/>
      <c r="S582" s="251"/>
      <c r="T582" s="251"/>
      <c r="U582" s="251"/>
      <c r="V582" s="251"/>
      <c r="W582" s="199"/>
    </row>
    <row r="583">
      <c r="A583" s="283"/>
      <c r="B583" s="331" t="s">
        <v>717</v>
      </c>
      <c r="C583" s="222"/>
      <c r="D583" s="267">
        <v>400.0</v>
      </c>
      <c r="E583" s="222"/>
      <c r="F583" s="248"/>
      <c r="G583" s="248"/>
      <c r="H583" s="248"/>
      <c r="I583" s="248"/>
      <c r="J583" s="248"/>
      <c r="K583" s="325"/>
      <c r="L583" s="199"/>
      <c r="M583" s="268" t="s">
        <v>714</v>
      </c>
      <c r="N583" s="222"/>
      <c r="O583" s="269">
        <v>109.85</v>
      </c>
      <c r="P583" s="222"/>
      <c r="Q583" s="251"/>
      <c r="R583" s="251"/>
      <c r="S583" s="251"/>
      <c r="T583" s="251"/>
      <c r="U583" s="251"/>
      <c r="V583" s="251"/>
      <c r="W583" s="199"/>
    </row>
    <row r="584">
      <c r="A584" s="283"/>
      <c r="B584" s="331" t="s">
        <v>718</v>
      </c>
      <c r="C584" s="222"/>
      <c r="D584" s="267">
        <v>200.0</v>
      </c>
      <c r="E584" s="222"/>
      <c r="F584" s="248"/>
      <c r="G584" s="248"/>
      <c r="H584" s="248"/>
      <c r="I584" s="248"/>
      <c r="J584" s="248"/>
      <c r="K584" s="325"/>
      <c r="L584" s="199"/>
      <c r="M584" s="251"/>
      <c r="N584" s="251"/>
      <c r="O584" s="270"/>
      <c r="Q584" s="251"/>
      <c r="R584" s="251"/>
      <c r="S584" s="251"/>
      <c r="T584" s="251"/>
      <c r="U584" s="251"/>
      <c r="V584" s="251"/>
      <c r="W584" s="199"/>
    </row>
    <row r="585">
      <c r="A585" s="283"/>
      <c r="B585" s="331" t="s">
        <v>656</v>
      </c>
      <c r="C585" s="222"/>
      <c r="D585" s="354">
        <v>1805.16</v>
      </c>
      <c r="E585" s="222"/>
      <c r="F585" s="248"/>
      <c r="G585" s="248"/>
      <c r="H585" s="248"/>
      <c r="I585" s="248"/>
      <c r="J585" s="248"/>
      <c r="K585" s="325"/>
      <c r="L585" s="199"/>
      <c r="M585" s="271" t="s">
        <v>715</v>
      </c>
      <c r="N585" s="222"/>
      <c r="O585" s="272"/>
      <c r="P585" s="222"/>
      <c r="Q585" s="251"/>
      <c r="R585" s="251"/>
      <c r="S585" s="251"/>
      <c r="T585" s="251"/>
      <c r="U585" s="251"/>
      <c r="V585" s="251"/>
      <c r="W585" s="199"/>
    </row>
    <row r="586">
      <c r="A586" s="283"/>
      <c r="B586" s="334"/>
      <c r="C586" s="222"/>
      <c r="D586" s="353"/>
      <c r="E586" s="222"/>
      <c r="F586" s="248"/>
      <c r="G586" s="248"/>
      <c r="H586" s="276" t="s">
        <v>720</v>
      </c>
      <c r="I586" s="211"/>
      <c r="J586" s="277">
        <v>2988.84</v>
      </c>
      <c r="K586" s="314"/>
      <c r="L586" s="199"/>
      <c r="M586" s="272"/>
      <c r="N586" s="222"/>
      <c r="O586" s="272"/>
      <c r="P586" s="222"/>
      <c r="Q586" s="251"/>
      <c r="R586" s="251"/>
      <c r="S586" s="273" t="s">
        <v>719</v>
      </c>
      <c r="T586" s="211"/>
      <c r="U586" s="274">
        <v>2232.1</v>
      </c>
      <c r="V586" s="211"/>
      <c r="W586" s="199"/>
    </row>
    <row r="587">
      <c r="A587" s="283"/>
      <c r="B587" s="334"/>
      <c r="C587" s="222"/>
      <c r="D587" s="353"/>
      <c r="E587" s="222"/>
      <c r="F587" s="248"/>
      <c r="G587" s="248"/>
      <c r="H587" s="278"/>
      <c r="I587" s="56"/>
      <c r="J587" s="278"/>
      <c r="K587" s="333"/>
      <c r="L587" s="199"/>
      <c r="M587" s="272"/>
      <c r="N587" s="222"/>
      <c r="O587" s="272"/>
      <c r="P587" s="222"/>
      <c r="Q587" s="251"/>
      <c r="R587" s="251"/>
      <c r="S587" s="278"/>
      <c r="T587" s="56"/>
      <c r="U587" s="278"/>
      <c r="V587" s="56"/>
      <c r="W587" s="199"/>
    </row>
    <row r="588">
      <c r="A588" s="283"/>
      <c r="B588" s="334"/>
      <c r="C588" s="222"/>
      <c r="D588" s="353"/>
      <c r="E588" s="222"/>
      <c r="F588" s="248"/>
      <c r="G588" s="248"/>
      <c r="H588" s="215"/>
      <c r="I588" s="64"/>
      <c r="J588" s="215"/>
      <c r="K588" s="313"/>
      <c r="L588" s="199"/>
      <c r="M588" s="272"/>
      <c r="N588" s="222"/>
      <c r="O588" s="272"/>
      <c r="P588" s="222"/>
      <c r="Q588" s="251"/>
      <c r="R588" s="251"/>
      <c r="S588" s="215"/>
      <c r="T588" s="64"/>
      <c r="U588" s="215"/>
      <c r="V588" s="64"/>
      <c r="W588" s="199"/>
    </row>
    <row r="589">
      <c r="A589" s="283"/>
      <c r="B589" s="334"/>
      <c r="C589" s="222"/>
      <c r="D589" s="353"/>
      <c r="E589" s="222"/>
      <c r="F589" s="248"/>
      <c r="G589" s="248"/>
      <c r="H589" s="248"/>
      <c r="I589" s="248"/>
      <c r="J589" s="248"/>
      <c r="K589" s="325"/>
      <c r="L589" s="199"/>
      <c r="M589" s="272"/>
      <c r="N589" s="222"/>
      <c r="O589" s="272"/>
      <c r="P589" s="222"/>
      <c r="Q589" s="251"/>
      <c r="R589" s="251"/>
      <c r="S589" s="251"/>
      <c r="T589" s="251"/>
      <c r="U589" s="251"/>
      <c r="V589" s="251"/>
      <c r="W589" s="199"/>
    </row>
    <row r="590">
      <c r="A590" s="283"/>
      <c r="B590" s="334"/>
      <c r="C590" s="222"/>
      <c r="D590" s="353"/>
      <c r="E590" s="222"/>
      <c r="F590" s="248"/>
      <c r="G590" s="248"/>
      <c r="H590" s="248"/>
      <c r="I590" s="248"/>
      <c r="J590" s="248"/>
      <c r="K590" s="325"/>
      <c r="L590" s="199"/>
      <c r="M590" s="272"/>
      <c r="N590" s="222"/>
      <c r="O590" s="272"/>
      <c r="P590" s="222"/>
      <c r="Q590" s="251"/>
      <c r="R590" s="251"/>
      <c r="S590" s="251"/>
      <c r="T590" s="251"/>
      <c r="U590" s="251"/>
      <c r="V590" s="251"/>
      <c r="W590" s="199"/>
    </row>
    <row r="591">
      <c r="A591" s="283"/>
      <c r="B591" s="331" t="s">
        <v>721</v>
      </c>
      <c r="C591" s="222"/>
      <c r="D591" s="354">
        <v>2555.16</v>
      </c>
      <c r="E591" s="222"/>
      <c r="F591" s="248"/>
      <c r="G591" s="248"/>
      <c r="H591" s="248"/>
      <c r="I591" s="248"/>
      <c r="J591" s="248"/>
      <c r="K591" s="325"/>
      <c r="L591" s="199"/>
      <c r="M591" s="280" t="s">
        <v>721</v>
      </c>
      <c r="N591" s="222"/>
      <c r="O591" s="281">
        <v>0.0</v>
      </c>
      <c r="P591" s="222"/>
      <c r="Q591" s="251"/>
      <c r="R591" s="251"/>
      <c r="S591" s="251"/>
      <c r="T591" s="251"/>
      <c r="U591" s="251"/>
      <c r="V591" s="251"/>
      <c r="W591" s="199"/>
    </row>
    <row r="592">
      <c r="A592" s="283"/>
      <c r="B592" s="345"/>
      <c r="C592" s="346"/>
      <c r="D592" s="346"/>
      <c r="E592" s="346"/>
      <c r="F592" s="346"/>
      <c r="G592" s="346"/>
      <c r="H592" s="346"/>
      <c r="I592" s="346"/>
      <c r="J592" s="346"/>
      <c r="K592" s="347"/>
      <c r="L592" s="199"/>
      <c r="M592" s="282"/>
      <c r="N592" s="282"/>
      <c r="O592" s="282"/>
      <c r="P592" s="282"/>
      <c r="Q592" s="282"/>
      <c r="R592" s="282"/>
      <c r="S592" s="282"/>
      <c r="T592" s="282"/>
      <c r="U592" s="282"/>
      <c r="V592" s="282"/>
      <c r="W592" s="199"/>
    </row>
    <row r="593">
      <c r="A593" s="283"/>
      <c r="B593" s="260"/>
      <c r="C593" s="260"/>
      <c r="D593" s="260"/>
      <c r="E593" s="260"/>
      <c r="F593" s="260"/>
      <c r="G593" s="260"/>
      <c r="H593" s="260"/>
      <c r="I593" s="260"/>
      <c r="J593" s="260"/>
      <c r="K593" s="260"/>
      <c r="L593" s="199"/>
      <c r="M593" s="199"/>
      <c r="N593" s="199"/>
      <c r="O593" s="199"/>
      <c r="P593" s="199"/>
      <c r="Q593" s="199"/>
      <c r="R593" s="199"/>
      <c r="S593" s="199"/>
      <c r="T593" s="199"/>
      <c r="U593" s="199"/>
      <c r="V593" s="199"/>
      <c r="W593" s="199"/>
    </row>
    <row r="594">
      <c r="A594" s="283"/>
      <c r="B594" s="306"/>
      <c r="C594" s="307"/>
      <c r="D594" s="307"/>
      <c r="E594" s="307"/>
      <c r="F594" s="309"/>
      <c r="G594" s="308" t="s">
        <v>700</v>
      </c>
      <c r="H594" s="309"/>
      <c r="I594" s="310" t="s">
        <v>701</v>
      </c>
      <c r="J594" s="307"/>
      <c r="K594" s="311"/>
      <c r="L594" s="199"/>
      <c r="M594" s="287"/>
      <c r="R594" s="210" t="s">
        <v>700</v>
      </c>
      <c r="S594" s="211"/>
      <c r="T594" s="212" t="s">
        <v>701</v>
      </c>
      <c r="U594" s="213"/>
      <c r="V594" s="211"/>
      <c r="W594" s="199"/>
    </row>
    <row r="595">
      <c r="A595" s="283"/>
      <c r="B595" s="312"/>
      <c r="F595" s="56"/>
      <c r="G595" s="215"/>
      <c r="H595" s="64"/>
      <c r="I595" s="215"/>
      <c r="J595" s="216"/>
      <c r="K595" s="313"/>
      <c r="L595" s="199"/>
      <c r="R595" s="215"/>
      <c r="S595" s="64"/>
      <c r="T595" s="215"/>
      <c r="U595" s="216"/>
      <c r="V595" s="64"/>
      <c r="W595" s="199"/>
    </row>
    <row r="596">
      <c r="A596" s="283"/>
      <c r="B596" s="312"/>
      <c r="F596" s="56"/>
      <c r="G596" s="218" t="s">
        <v>702</v>
      </c>
      <c r="H596" s="211"/>
      <c r="I596" s="219" t="s">
        <v>680</v>
      </c>
      <c r="J596" s="213"/>
      <c r="K596" s="314"/>
      <c r="L596" s="199"/>
      <c r="R596" s="210" t="s">
        <v>351</v>
      </c>
      <c r="S596" s="211"/>
      <c r="T596" s="212" t="s">
        <v>482</v>
      </c>
      <c r="U596" s="213"/>
      <c r="V596" s="211"/>
      <c r="W596" s="199"/>
    </row>
    <row r="597">
      <c r="A597" s="283"/>
      <c r="B597" s="312"/>
      <c r="F597" s="56"/>
      <c r="G597" s="215"/>
      <c r="H597" s="64"/>
      <c r="I597" s="215"/>
      <c r="J597" s="216"/>
      <c r="K597" s="313"/>
      <c r="L597" s="199"/>
      <c r="R597" s="215"/>
      <c r="S597" s="64"/>
      <c r="T597" s="215"/>
      <c r="U597" s="216"/>
      <c r="V597" s="64"/>
      <c r="W597" s="199"/>
    </row>
    <row r="598">
      <c r="A598" s="283"/>
      <c r="B598" s="312"/>
      <c r="F598" s="56"/>
      <c r="G598" s="218" t="s">
        <v>703</v>
      </c>
      <c r="H598" s="211"/>
      <c r="I598" s="219">
        <v>2774.0</v>
      </c>
      <c r="J598" s="213"/>
      <c r="K598" s="314"/>
      <c r="L598" s="199"/>
      <c r="R598" s="210" t="s">
        <v>703</v>
      </c>
      <c r="S598" s="211"/>
      <c r="T598" s="212">
        <v>2774.0</v>
      </c>
      <c r="U598" s="213"/>
      <c r="V598" s="211"/>
      <c r="W598" s="199"/>
    </row>
    <row r="599">
      <c r="A599" s="283"/>
      <c r="B599" s="344"/>
      <c r="C599" s="216"/>
      <c r="D599" s="216"/>
      <c r="E599" s="216"/>
      <c r="F599" s="64"/>
      <c r="G599" s="215"/>
      <c r="H599" s="64"/>
      <c r="I599" s="215"/>
      <c r="J599" s="216"/>
      <c r="K599" s="313"/>
      <c r="L599" s="199"/>
      <c r="R599" s="215"/>
      <c r="S599" s="64"/>
      <c r="T599" s="215"/>
      <c r="U599" s="216"/>
      <c r="V599" s="64"/>
      <c r="W599" s="199"/>
    </row>
    <row r="600">
      <c r="A600" s="283"/>
      <c r="B600" s="315" t="s">
        <v>704</v>
      </c>
      <c r="C600" s="222"/>
      <c r="D600" s="231" t="s">
        <v>5</v>
      </c>
      <c r="E600" s="222"/>
      <c r="F600" s="231" t="s">
        <v>705</v>
      </c>
      <c r="G600" s="224"/>
      <c r="H600" s="222"/>
      <c r="I600" s="225" t="s">
        <v>8</v>
      </c>
      <c r="J600" s="225" t="s">
        <v>706</v>
      </c>
      <c r="K600" s="316" t="s">
        <v>707</v>
      </c>
      <c r="L600" s="199"/>
      <c r="M600" s="227" t="s">
        <v>704</v>
      </c>
      <c r="N600" s="222"/>
      <c r="O600" s="227" t="s">
        <v>5</v>
      </c>
      <c r="P600" s="222"/>
      <c r="Q600" s="227" t="s">
        <v>705</v>
      </c>
      <c r="R600" s="224"/>
      <c r="S600" s="222"/>
      <c r="T600" s="228" t="s">
        <v>591</v>
      </c>
      <c r="U600" s="228" t="s">
        <v>708</v>
      </c>
      <c r="V600" s="228" t="s">
        <v>707</v>
      </c>
      <c r="W600" s="199"/>
    </row>
    <row r="601">
      <c r="A601" s="283"/>
      <c r="B601" s="317">
        <v>45973.0</v>
      </c>
      <c r="C601" s="222"/>
      <c r="D601" s="231">
        <v>4712974.0</v>
      </c>
      <c r="E601" s="222"/>
      <c r="F601" s="231" t="s">
        <v>800</v>
      </c>
      <c r="G601" s="224"/>
      <c r="H601" s="222"/>
      <c r="I601" s="232">
        <v>2850.0</v>
      </c>
      <c r="J601" s="233">
        <v>0.88</v>
      </c>
      <c r="K601" s="318">
        <v>2508.0</v>
      </c>
      <c r="L601" s="199"/>
      <c r="M601" s="235">
        <v>45973.0</v>
      </c>
      <c r="N601" s="222"/>
      <c r="O601" s="236">
        <v>4712974.0</v>
      </c>
      <c r="P601" s="222"/>
      <c r="Q601" s="236" t="s">
        <v>800</v>
      </c>
      <c r="R601" s="224"/>
      <c r="S601" s="222"/>
      <c r="T601" s="228">
        <v>1633.0</v>
      </c>
      <c r="U601" s="228">
        <v>0.65</v>
      </c>
      <c r="V601" s="237">
        <v>1061.45</v>
      </c>
      <c r="W601" s="199"/>
    </row>
    <row r="602">
      <c r="A602" s="283"/>
      <c r="B602" s="319"/>
      <c r="C602" s="222"/>
      <c r="D602" s="349"/>
      <c r="E602" s="222"/>
      <c r="F602" s="349"/>
      <c r="G602" s="224"/>
      <c r="H602" s="222"/>
      <c r="I602" s="241"/>
      <c r="J602" s="233">
        <v>0.88</v>
      </c>
      <c r="K602" s="318">
        <v>0.0</v>
      </c>
      <c r="L602" s="199"/>
      <c r="M602" s="243"/>
      <c r="N602" s="222"/>
      <c r="O602" s="350"/>
      <c r="P602" s="222"/>
      <c r="Q602" s="350"/>
      <c r="R602" s="224"/>
      <c r="S602" s="222"/>
      <c r="T602" s="244"/>
      <c r="U602" s="228">
        <v>0.65</v>
      </c>
      <c r="V602" s="237">
        <v>0.0</v>
      </c>
      <c r="W602" s="199"/>
    </row>
    <row r="603">
      <c r="A603" s="283"/>
      <c r="B603" s="319"/>
      <c r="C603" s="222"/>
      <c r="D603" s="349"/>
      <c r="E603" s="222"/>
      <c r="F603" s="349"/>
      <c r="G603" s="224"/>
      <c r="H603" s="222"/>
      <c r="I603" s="241"/>
      <c r="J603" s="233">
        <v>0.88</v>
      </c>
      <c r="K603" s="318">
        <v>0.0</v>
      </c>
      <c r="L603" s="199"/>
      <c r="M603" s="243"/>
      <c r="N603" s="222"/>
      <c r="O603" s="350"/>
      <c r="P603" s="222"/>
      <c r="Q603" s="350"/>
      <c r="R603" s="224"/>
      <c r="S603" s="222"/>
      <c r="T603" s="244"/>
      <c r="U603" s="228">
        <v>0.65</v>
      </c>
      <c r="V603" s="237">
        <v>0.0</v>
      </c>
      <c r="W603" s="199"/>
    </row>
    <row r="604">
      <c r="A604" s="283"/>
      <c r="B604" s="319"/>
      <c r="C604" s="222"/>
      <c r="D604" s="349"/>
      <c r="E604" s="222"/>
      <c r="F604" s="349"/>
      <c r="G604" s="224"/>
      <c r="H604" s="222"/>
      <c r="I604" s="241"/>
      <c r="J604" s="233">
        <v>0.88</v>
      </c>
      <c r="K604" s="318">
        <v>0.0</v>
      </c>
      <c r="L604" s="199"/>
      <c r="M604" s="243"/>
      <c r="N604" s="222"/>
      <c r="O604" s="350"/>
      <c r="P604" s="222"/>
      <c r="Q604" s="350"/>
      <c r="R604" s="224"/>
      <c r="S604" s="222"/>
      <c r="T604" s="244"/>
      <c r="U604" s="228">
        <v>0.65</v>
      </c>
      <c r="V604" s="237">
        <v>0.0</v>
      </c>
      <c r="W604" s="199"/>
    </row>
    <row r="605">
      <c r="A605" s="283"/>
      <c r="B605" s="319"/>
      <c r="C605" s="222"/>
      <c r="D605" s="240"/>
      <c r="E605" s="222"/>
      <c r="F605" s="349"/>
      <c r="G605" s="224"/>
      <c r="H605" s="222"/>
      <c r="I605" s="241"/>
      <c r="J605" s="233">
        <v>0.88</v>
      </c>
      <c r="K605" s="318">
        <v>0.0</v>
      </c>
      <c r="L605" s="199"/>
      <c r="M605" s="243"/>
      <c r="N605" s="222"/>
      <c r="O605" s="350"/>
      <c r="P605" s="222"/>
      <c r="Q605" s="350"/>
      <c r="R605" s="224"/>
      <c r="S605" s="222"/>
      <c r="T605" s="244"/>
      <c r="U605" s="228">
        <v>0.65</v>
      </c>
      <c r="V605" s="237">
        <v>0.0</v>
      </c>
      <c r="W605" s="199"/>
    </row>
    <row r="606">
      <c r="A606" s="283"/>
      <c r="B606" s="322" t="s">
        <v>711</v>
      </c>
      <c r="C606" s="224"/>
      <c r="D606" s="224"/>
      <c r="E606" s="224"/>
      <c r="F606" s="224"/>
      <c r="G606" s="224"/>
      <c r="H606" s="222"/>
      <c r="I606" s="291">
        <v>2850.0</v>
      </c>
      <c r="J606" s="241"/>
      <c r="K606" s="323">
        <v>2508.0</v>
      </c>
      <c r="L606" s="199"/>
      <c r="M606" s="243"/>
      <c r="N606" s="222"/>
      <c r="O606" s="243"/>
      <c r="P606" s="222"/>
      <c r="Q606" s="243"/>
      <c r="R606" s="224"/>
      <c r="S606" s="222"/>
      <c r="T606" s="290"/>
      <c r="U606" s="290"/>
      <c r="V606" s="244"/>
      <c r="W606" s="199"/>
    </row>
    <row r="607">
      <c r="A607" s="283"/>
      <c r="B607" s="324"/>
      <c r="C607" s="248"/>
      <c r="D607" s="248"/>
      <c r="E607" s="248"/>
      <c r="F607" s="248"/>
      <c r="G607" s="248"/>
      <c r="H607" s="248"/>
      <c r="I607" s="248"/>
      <c r="J607" s="248"/>
      <c r="K607" s="325"/>
      <c r="L607" s="199"/>
      <c r="M607" s="246" t="s">
        <v>711</v>
      </c>
      <c r="N607" s="224"/>
      <c r="O607" s="224"/>
      <c r="P607" s="224"/>
      <c r="Q607" s="224"/>
      <c r="R607" s="224"/>
      <c r="S607" s="222"/>
      <c r="T607" s="228">
        <v>1633.0</v>
      </c>
      <c r="U607" s="244"/>
      <c r="V607" s="237">
        <v>1061.45</v>
      </c>
      <c r="W607" s="199"/>
    </row>
    <row r="608">
      <c r="A608" s="283"/>
      <c r="B608" s="326" t="s">
        <v>712</v>
      </c>
      <c r="C608" s="222"/>
      <c r="D608" s="351"/>
      <c r="E608" s="222"/>
      <c r="F608" s="248"/>
      <c r="G608" s="248"/>
      <c r="H608" s="248"/>
      <c r="I608" s="248"/>
      <c r="J608" s="248"/>
      <c r="K608" s="325"/>
      <c r="L608" s="199"/>
      <c r="M608" s="251"/>
      <c r="N608" s="251"/>
      <c r="O608" s="251"/>
      <c r="P608" s="251"/>
      <c r="Q608" s="251"/>
      <c r="R608" s="251"/>
      <c r="S608" s="251"/>
      <c r="T608" s="251"/>
      <c r="U608" s="251"/>
      <c r="V608" s="251"/>
      <c r="W608" s="199"/>
    </row>
    <row r="609">
      <c r="A609" s="283"/>
      <c r="B609" s="327"/>
      <c r="C609" s="222"/>
      <c r="D609" s="253"/>
      <c r="E609" s="222"/>
      <c r="F609" s="248"/>
      <c r="G609" s="248"/>
      <c r="H609" s="248"/>
      <c r="I609" s="248"/>
      <c r="J609" s="248"/>
      <c r="K609" s="325"/>
      <c r="L609" s="199"/>
      <c r="M609" s="254" t="s">
        <v>712</v>
      </c>
      <c r="N609" s="222"/>
      <c r="O609" s="255"/>
      <c r="P609" s="222"/>
      <c r="Q609" s="251"/>
      <c r="R609" s="251"/>
      <c r="S609" s="251"/>
      <c r="T609" s="251"/>
      <c r="U609" s="251"/>
      <c r="V609" s="251"/>
      <c r="W609" s="199"/>
    </row>
    <row r="610">
      <c r="A610" s="283"/>
      <c r="B610" s="327"/>
      <c r="C610" s="222"/>
      <c r="D610" s="351"/>
      <c r="E610" s="222"/>
      <c r="F610" s="248"/>
      <c r="G610" s="248"/>
      <c r="H610" s="248"/>
      <c r="I610" s="248"/>
      <c r="J610" s="248"/>
      <c r="K610" s="325"/>
      <c r="L610" s="199"/>
      <c r="M610" s="255"/>
      <c r="N610" s="222"/>
      <c r="O610" s="255"/>
      <c r="P610" s="222"/>
      <c r="Q610" s="251"/>
      <c r="R610" s="251"/>
      <c r="S610" s="251"/>
      <c r="T610" s="251"/>
      <c r="U610" s="251"/>
      <c r="V610" s="251"/>
      <c r="W610" s="199"/>
    </row>
    <row r="611">
      <c r="A611" s="283"/>
      <c r="B611" s="328" t="s">
        <v>714</v>
      </c>
      <c r="C611" s="222"/>
      <c r="D611" s="352">
        <v>0.0</v>
      </c>
      <c r="E611" s="222"/>
      <c r="F611" s="248"/>
      <c r="G611" s="248"/>
      <c r="H611" s="248"/>
      <c r="I611" s="248"/>
      <c r="J611" s="248"/>
      <c r="K611" s="325"/>
      <c r="L611" s="199"/>
      <c r="M611" s="255"/>
      <c r="N611" s="222"/>
      <c r="O611" s="357"/>
      <c r="P611" s="222"/>
      <c r="Q611" s="251"/>
      <c r="R611" s="251"/>
      <c r="S611" s="251"/>
      <c r="T611" s="251"/>
      <c r="U611" s="251"/>
      <c r="V611" s="251"/>
      <c r="W611" s="199"/>
    </row>
    <row r="612">
      <c r="A612" s="283"/>
      <c r="B612" s="329"/>
      <c r="C612" s="224"/>
      <c r="D612" s="224"/>
      <c r="E612" s="222"/>
      <c r="F612" s="248"/>
      <c r="G612" s="248"/>
      <c r="H612" s="248"/>
      <c r="I612" s="248"/>
      <c r="J612" s="248"/>
      <c r="K612" s="325"/>
      <c r="L612" s="199"/>
      <c r="M612" s="255"/>
      <c r="N612" s="222"/>
      <c r="O612" s="255"/>
      <c r="P612" s="222"/>
      <c r="Q612" s="251"/>
      <c r="R612" s="251"/>
      <c r="S612" s="251"/>
      <c r="T612" s="251"/>
      <c r="U612" s="251"/>
      <c r="V612" s="251"/>
      <c r="W612" s="199"/>
    </row>
    <row r="613">
      <c r="A613" s="283"/>
      <c r="B613" s="330" t="s">
        <v>715</v>
      </c>
      <c r="C613" s="222"/>
      <c r="D613" s="353"/>
      <c r="E613" s="222"/>
      <c r="F613" s="248"/>
      <c r="G613" s="248"/>
      <c r="H613" s="248"/>
      <c r="I613" s="248"/>
      <c r="J613" s="248"/>
      <c r="K613" s="325"/>
      <c r="L613" s="199"/>
      <c r="M613" s="255"/>
      <c r="N613" s="222"/>
      <c r="O613" s="255"/>
      <c r="P613" s="222"/>
      <c r="Q613" s="251"/>
      <c r="R613" s="251"/>
      <c r="S613" s="251"/>
      <c r="T613" s="251"/>
      <c r="U613" s="251"/>
      <c r="V613" s="251"/>
      <c r="W613" s="199"/>
    </row>
    <row r="614">
      <c r="A614" s="283"/>
      <c r="B614" s="331" t="s">
        <v>716</v>
      </c>
      <c r="C614" s="222"/>
      <c r="D614" s="267">
        <v>150.0</v>
      </c>
      <c r="E614" s="222"/>
      <c r="F614" s="248"/>
      <c r="G614" s="248"/>
      <c r="H614" s="248"/>
      <c r="I614" s="248"/>
      <c r="J614" s="248"/>
      <c r="K614" s="325"/>
      <c r="L614" s="199"/>
      <c r="M614" s="255"/>
      <c r="N614" s="222"/>
      <c r="O614" s="255"/>
      <c r="P614" s="222"/>
      <c r="Q614" s="251"/>
      <c r="R614" s="251"/>
      <c r="S614" s="251"/>
      <c r="T614" s="251"/>
      <c r="U614" s="251"/>
      <c r="V614" s="251"/>
      <c r="W614" s="199"/>
    </row>
    <row r="615">
      <c r="A615" s="283"/>
      <c r="B615" s="331" t="s">
        <v>717</v>
      </c>
      <c r="C615" s="222"/>
      <c r="D615" s="267">
        <v>400.0</v>
      </c>
      <c r="E615" s="222"/>
      <c r="F615" s="248"/>
      <c r="G615" s="248"/>
      <c r="H615" s="248"/>
      <c r="I615" s="248"/>
      <c r="J615" s="248"/>
      <c r="K615" s="325"/>
      <c r="L615" s="199"/>
      <c r="M615" s="268" t="s">
        <v>714</v>
      </c>
      <c r="N615" s="222"/>
      <c r="O615" s="269">
        <v>0.0</v>
      </c>
      <c r="P615" s="222"/>
      <c r="Q615" s="251"/>
      <c r="R615" s="251"/>
      <c r="S615" s="251"/>
      <c r="T615" s="251"/>
      <c r="U615" s="251"/>
      <c r="V615" s="251"/>
      <c r="W615" s="199"/>
    </row>
    <row r="616">
      <c r="A616" s="283"/>
      <c r="B616" s="331" t="s">
        <v>718</v>
      </c>
      <c r="C616" s="222"/>
      <c r="D616" s="267">
        <v>200.0</v>
      </c>
      <c r="E616" s="222"/>
      <c r="F616" s="248"/>
      <c r="G616" s="248"/>
      <c r="H616" s="248"/>
      <c r="I616" s="248"/>
      <c r="J616" s="248"/>
      <c r="K616" s="325"/>
      <c r="L616" s="199"/>
      <c r="M616" s="251"/>
      <c r="N616" s="251"/>
      <c r="O616" s="270"/>
      <c r="Q616" s="251"/>
      <c r="R616" s="251"/>
      <c r="S616" s="251"/>
      <c r="T616" s="251"/>
      <c r="U616" s="251"/>
      <c r="V616" s="251"/>
      <c r="W616" s="199"/>
    </row>
    <row r="617">
      <c r="A617" s="283"/>
      <c r="B617" s="331" t="s">
        <v>656</v>
      </c>
      <c r="C617" s="222"/>
      <c r="D617" s="354">
        <v>1819.18</v>
      </c>
      <c r="E617" s="222"/>
      <c r="F617" s="248"/>
      <c r="G617" s="248"/>
      <c r="H617" s="248"/>
      <c r="I617" s="248"/>
      <c r="J617" s="248"/>
      <c r="K617" s="325"/>
      <c r="L617" s="199"/>
      <c r="M617" s="271" t="s">
        <v>715</v>
      </c>
      <c r="N617" s="222"/>
      <c r="O617" s="272"/>
      <c r="P617" s="222"/>
      <c r="Q617" s="251"/>
      <c r="R617" s="251"/>
      <c r="S617" s="251"/>
      <c r="T617" s="251"/>
      <c r="U617" s="251"/>
      <c r="V617" s="251"/>
      <c r="W617" s="199"/>
    </row>
    <row r="618">
      <c r="A618" s="283"/>
      <c r="B618" s="334"/>
      <c r="C618" s="222"/>
      <c r="D618" s="353"/>
      <c r="E618" s="222"/>
      <c r="F618" s="248"/>
      <c r="G618" s="248"/>
      <c r="H618" s="276" t="s">
        <v>720</v>
      </c>
      <c r="I618" s="211"/>
      <c r="J618" s="277">
        <v>-625.48</v>
      </c>
      <c r="K618" s="314"/>
      <c r="L618" s="199"/>
      <c r="M618" s="272"/>
      <c r="N618" s="222"/>
      <c r="O618" s="272"/>
      <c r="P618" s="222"/>
      <c r="Q618" s="251"/>
      <c r="R618" s="251"/>
      <c r="S618" s="273" t="s">
        <v>719</v>
      </c>
      <c r="T618" s="211"/>
      <c r="U618" s="274">
        <v>1061.45</v>
      </c>
      <c r="V618" s="211"/>
      <c r="W618" s="199"/>
    </row>
    <row r="619">
      <c r="A619" s="283"/>
      <c r="B619" s="343" t="s">
        <v>801</v>
      </c>
      <c r="C619" s="211"/>
      <c r="D619" s="302">
        <v>564.3</v>
      </c>
      <c r="E619" s="211"/>
      <c r="F619" s="248"/>
      <c r="G619" s="248"/>
      <c r="H619" s="278"/>
      <c r="I619" s="56"/>
      <c r="J619" s="278"/>
      <c r="K619" s="333"/>
      <c r="L619" s="199"/>
      <c r="M619" s="272"/>
      <c r="N619" s="222"/>
      <c r="O619" s="272"/>
      <c r="P619" s="222"/>
      <c r="Q619" s="251"/>
      <c r="R619" s="251"/>
      <c r="S619" s="278"/>
      <c r="T619" s="56"/>
      <c r="U619" s="278"/>
      <c r="V619" s="56"/>
      <c r="W619" s="199"/>
    </row>
    <row r="620">
      <c r="A620" s="283"/>
      <c r="B620" s="344"/>
      <c r="C620" s="64"/>
      <c r="D620" s="215"/>
      <c r="E620" s="64"/>
      <c r="F620" s="248"/>
      <c r="G620" s="248"/>
      <c r="H620" s="215"/>
      <c r="I620" s="64"/>
      <c r="J620" s="215"/>
      <c r="K620" s="313"/>
      <c r="L620" s="199"/>
      <c r="M620" s="272"/>
      <c r="N620" s="222"/>
      <c r="O620" s="272"/>
      <c r="P620" s="222"/>
      <c r="Q620" s="251"/>
      <c r="R620" s="251"/>
      <c r="S620" s="215"/>
      <c r="T620" s="64"/>
      <c r="U620" s="215"/>
      <c r="V620" s="64"/>
      <c r="W620" s="199"/>
    </row>
    <row r="621">
      <c r="A621" s="283"/>
      <c r="B621" s="334"/>
      <c r="C621" s="222"/>
      <c r="D621" s="353"/>
      <c r="E621" s="222"/>
      <c r="F621" s="248"/>
      <c r="G621" s="248"/>
      <c r="H621" s="248"/>
      <c r="I621" s="248"/>
      <c r="J621" s="248"/>
      <c r="K621" s="325"/>
      <c r="L621" s="199"/>
      <c r="M621" s="272"/>
      <c r="N621" s="222"/>
      <c r="O621" s="272"/>
      <c r="P621" s="222"/>
      <c r="Q621" s="251"/>
      <c r="R621" s="251"/>
      <c r="S621" s="251"/>
      <c r="T621" s="251"/>
      <c r="U621" s="251"/>
      <c r="V621" s="251"/>
      <c r="W621" s="199"/>
    </row>
    <row r="622">
      <c r="A622" s="283"/>
      <c r="B622" s="334"/>
      <c r="C622" s="222"/>
      <c r="D622" s="353"/>
      <c r="E622" s="222"/>
      <c r="F622" s="248"/>
      <c r="G622" s="248"/>
      <c r="H622" s="248"/>
      <c r="I622" s="248"/>
      <c r="J622" s="248"/>
      <c r="K622" s="325"/>
      <c r="L622" s="199"/>
      <c r="M622" s="272"/>
      <c r="N622" s="222"/>
      <c r="O622" s="272"/>
      <c r="P622" s="222"/>
      <c r="Q622" s="251"/>
      <c r="R622" s="251"/>
      <c r="S622" s="251"/>
      <c r="T622" s="251"/>
      <c r="U622" s="251"/>
      <c r="V622" s="251"/>
      <c r="W622" s="199"/>
    </row>
    <row r="623">
      <c r="A623" s="283"/>
      <c r="B623" s="334"/>
      <c r="C623" s="222"/>
      <c r="D623" s="353"/>
      <c r="E623" s="222"/>
      <c r="F623" s="248"/>
      <c r="G623" s="248"/>
      <c r="H623" s="248"/>
      <c r="I623" s="248"/>
      <c r="J623" s="248"/>
      <c r="K623" s="325"/>
      <c r="L623" s="199"/>
      <c r="M623" s="280" t="s">
        <v>721</v>
      </c>
      <c r="N623" s="222"/>
      <c r="O623" s="281">
        <v>0.0</v>
      </c>
      <c r="P623" s="222"/>
      <c r="Q623" s="251"/>
      <c r="R623" s="251"/>
      <c r="S623" s="251"/>
      <c r="T623" s="251"/>
      <c r="U623" s="251"/>
      <c r="V623" s="251"/>
      <c r="W623" s="199"/>
    </row>
    <row r="624">
      <c r="A624" s="283"/>
      <c r="B624" s="334"/>
      <c r="C624" s="222"/>
      <c r="D624" s="353"/>
      <c r="E624" s="222"/>
      <c r="F624" s="248"/>
      <c r="G624" s="248"/>
      <c r="H624" s="248"/>
      <c r="I624" s="248"/>
      <c r="J624" s="248"/>
      <c r="K624" s="325"/>
      <c r="L624" s="199"/>
      <c r="M624" s="282"/>
      <c r="N624" s="282"/>
      <c r="O624" s="282"/>
      <c r="P624" s="282"/>
      <c r="Q624" s="282"/>
      <c r="R624" s="282"/>
      <c r="S624" s="282"/>
      <c r="T624" s="282"/>
      <c r="U624" s="282"/>
      <c r="V624" s="282"/>
      <c r="W624" s="199"/>
    </row>
    <row r="625">
      <c r="A625" s="283"/>
      <c r="B625" s="331" t="s">
        <v>721</v>
      </c>
      <c r="C625" s="222"/>
      <c r="D625" s="354">
        <v>3133.48</v>
      </c>
      <c r="E625" s="222"/>
      <c r="F625" s="248"/>
      <c r="G625" s="248"/>
      <c r="H625" s="248"/>
      <c r="I625" s="248"/>
      <c r="J625" s="248"/>
      <c r="K625" s="325"/>
      <c r="L625" s="199"/>
      <c r="M625" s="199"/>
      <c r="N625" s="199"/>
      <c r="O625" s="199"/>
      <c r="P625" s="199"/>
      <c r="Q625" s="199"/>
      <c r="R625" s="199"/>
      <c r="S625" s="199"/>
      <c r="T625" s="199"/>
      <c r="U625" s="199"/>
      <c r="V625" s="199"/>
      <c r="W625" s="199"/>
    </row>
    <row r="626">
      <c r="A626" s="283"/>
      <c r="B626" s="345"/>
      <c r="C626" s="346"/>
      <c r="D626" s="346"/>
      <c r="E626" s="346"/>
      <c r="F626" s="346"/>
      <c r="G626" s="346"/>
      <c r="H626" s="346"/>
      <c r="I626" s="346"/>
      <c r="J626" s="346"/>
      <c r="K626" s="347"/>
      <c r="L626" s="199"/>
      <c r="M626" s="199"/>
      <c r="N626" s="199"/>
      <c r="O626" s="199"/>
      <c r="P626" s="199"/>
      <c r="Q626" s="199"/>
      <c r="R626" s="199"/>
      <c r="S626" s="199"/>
      <c r="T626" s="199"/>
      <c r="U626" s="199"/>
      <c r="V626" s="199"/>
      <c r="W626" s="199"/>
    </row>
    <row r="627">
      <c r="A627" s="283"/>
      <c r="B627" s="260"/>
      <c r="C627" s="260"/>
      <c r="D627" s="260"/>
      <c r="E627" s="260"/>
      <c r="F627" s="260"/>
      <c r="G627" s="260"/>
      <c r="H627" s="260"/>
      <c r="I627" s="260"/>
      <c r="J627" s="260"/>
      <c r="K627" s="260"/>
      <c r="L627" s="199"/>
      <c r="M627" s="199"/>
      <c r="N627" s="199"/>
      <c r="O627" s="199"/>
      <c r="P627" s="199"/>
      <c r="Q627" s="199"/>
      <c r="R627" s="199"/>
      <c r="S627" s="199"/>
      <c r="T627" s="199"/>
      <c r="U627" s="199"/>
      <c r="V627" s="199"/>
      <c r="W627" s="199"/>
    </row>
    <row r="628">
      <c r="A628" s="283"/>
      <c r="B628" s="306"/>
      <c r="C628" s="307"/>
      <c r="D628" s="307"/>
      <c r="E628" s="307"/>
      <c r="F628" s="307"/>
      <c r="G628" s="308" t="s">
        <v>700</v>
      </c>
      <c r="H628" s="309"/>
      <c r="I628" s="310" t="s">
        <v>701</v>
      </c>
      <c r="J628" s="307"/>
      <c r="K628" s="311"/>
      <c r="L628" s="199"/>
      <c r="M628" s="287"/>
      <c r="R628" s="210" t="s">
        <v>700</v>
      </c>
      <c r="S628" s="211"/>
      <c r="T628" s="212" t="s">
        <v>701</v>
      </c>
      <c r="U628" s="213"/>
      <c r="V628" s="211"/>
      <c r="W628" s="199"/>
    </row>
    <row r="629">
      <c r="A629" s="283"/>
      <c r="B629" s="312"/>
      <c r="G629" s="215"/>
      <c r="H629" s="64"/>
      <c r="I629" s="215"/>
      <c r="J629" s="216"/>
      <c r="K629" s="313"/>
      <c r="L629" s="199"/>
      <c r="R629" s="215"/>
      <c r="S629" s="64"/>
      <c r="T629" s="215"/>
      <c r="U629" s="216"/>
      <c r="V629" s="64"/>
      <c r="W629" s="199"/>
    </row>
    <row r="630">
      <c r="A630" s="283"/>
      <c r="B630" s="312"/>
      <c r="G630" s="218" t="s">
        <v>702</v>
      </c>
      <c r="H630" s="211"/>
      <c r="I630" s="219" t="s">
        <v>802</v>
      </c>
      <c r="J630" s="213"/>
      <c r="K630" s="314"/>
      <c r="L630" s="199"/>
      <c r="R630" s="210" t="s">
        <v>351</v>
      </c>
      <c r="S630" s="211"/>
      <c r="T630" s="212" t="s">
        <v>489</v>
      </c>
      <c r="U630" s="213"/>
      <c r="V630" s="211"/>
      <c r="W630" s="199"/>
    </row>
    <row r="631">
      <c r="A631" s="283"/>
      <c r="B631" s="312"/>
      <c r="G631" s="215"/>
      <c r="H631" s="64"/>
      <c r="I631" s="215"/>
      <c r="J631" s="216"/>
      <c r="K631" s="313"/>
      <c r="L631" s="199"/>
      <c r="R631" s="215"/>
      <c r="S631" s="64"/>
      <c r="T631" s="215"/>
      <c r="U631" s="216"/>
      <c r="V631" s="64"/>
      <c r="W631" s="199"/>
    </row>
    <row r="632">
      <c r="A632" s="283"/>
      <c r="B632" s="312"/>
      <c r="G632" s="218" t="s">
        <v>703</v>
      </c>
      <c r="H632" s="211"/>
      <c r="I632" s="219">
        <v>2653.0</v>
      </c>
      <c r="J632" s="213"/>
      <c r="K632" s="314"/>
      <c r="L632" s="199"/>
      <c r="R632" s="210" t="s">
        <v>703</v>
      </c>
      <c r="S632" s="211"/>
      <c r="T632" s="212">
        <v>2653.0</v>
      </c>
      <c r="U632" s="213"/>
      <c r="V632" s="211"/>
      <c r="W632" s="199"/>
    </row>
    <row r="633">
      <c r="A633" s="283"/>
      <c r="B633" s="312"/>
      <c r="G633" s="215"/>
      <c r="H633" s="64"/>
      <c r="I633" s="215"/>
      <c r="J633" s="216"/>
      <c r="K633" s="313"/>
      <c r="L633" s="199"/>
      <c r="R633" s="215"/>
      <c r="S633" s="64"/>
      <c r="T633" s="215"/>
      <c r="U633" s="216"/>
      <c r="V633" s="64"/>
      <c r="W633" s="199"/>
    </row>
    <row r="634">
      <c r="A634" s="283"/>
      <c r="B634" s="315" t="s">
        <v>704</v>
      </c>
      <c r="C634" s="222"/>
      <c r="D634" s="223" t="s">
        <v>5</v>
      </c>
      <c r="E634" s="222"/>
      <c r="F634" s="223" t="s">
        <v>705</v>
      </c>
      <c r="G634" s="224"/>
      <c r="H634" s="222"/>
      <c r="I634" s="225" t="s">
        <v>8</v>
      </c>
      <c r="J634" s="225" t="s">
        <v>706</v>
      </c>
      <c r="K634" s="316" t="s">
        <v>707</v>
      </c>
      <c r="L634" s="199"/>
      <c r="M634" s="227" t="s">
        <v>704</v>
      </c>
      <c r="N634" s="222"/>
      <c r="O634" s="227" t="s">
        <v>5</v>
      </c>
      <c r="P634" s="222"/>
      <c r="Q634" s="227" t="s">
        <v>705</v>
      </c>
      <c r="R634" s="224"/>
      <c r="S634" s="222"/>
      <c r="T634" s="228" t="s">
        <v>591</v>
      </c>
      <c r="U634" s="228" t="s">
        <v>708</v>
      </c>
      <c r="V634" s="228" t="s">
        <v>707</v>
      </c>
      <c r="W634" s="199"/>
    </row>
    <row r="635">
      <c r="A635" s="283"/>
      <c r="B635" s="317">
        <v>45973.0</v>
      </c>
      <c r="C635" s="222"/>
      <c r="D635" s="231">
        <v>1.25897941E8</v>
      </c>
      <c r="E635" s="222"/>
      <c r="F635" s="223" t="s">
        <v>803</v>
      </c>
      <c r="G635" s="224"/>
      <c r="H635" s="222"/>
      <c r="I635" s="232">
        <v>1500.0</v>
      </c>
      <c r="J635" s="233">
        <v>0.88</v>
      </c>
      <c r="K635" s="318">
        <v>1320.0</v>
      </c>
      <c r="L635" s="199"/>
      <c r="M635" s="235">
        <v>45973.0</v>
      </c>
      <c r="N635" s="222"/>
      <c r="O635" s="236">
        <v>1.25897941E8</v>
      </c>
      <c r="P635" s="222"/>
      <c r="Q635" s="227" t="s">
        <v>803</v>
      </c>
      <c r="R635" s="224"/>
      <c r="S635" s="222"/>
      <c r="T635" s="228">
        <v>641.0</v>
      </c>
      <c r="U635" s="228">
        <v>0.6</v>
      </c>
      <c r="V635" s="237">
        <v>384.6</v>
      </c>
      <c r="W635" s="199"/>
    </row>
    <row r="636">
      <c r="A636" s="283"/>
      <c r="B636" s="317">
        <v>45974.0</v>
      </c>
      <c r="C636" s="222"/>
      <c r="D636" s="223">
        <v>2168932.0</v>
      </c>
      <c r="E636" s="222"/>
      <c r="F636" s="223" t="s">
        <v>804</v>
      </c>
      <c r="G636" s="224"/>
      <c r="H636" s="222"/>
      <c r="I636" s="232">
        <v>2700.0</v>
      </c>
      <c r="J636" s="233">
        <v>0.88</v>
      </c>
      <c r="K636" s="318">
        <v>2376.0</v>
      </c>
      <c r="L636" s="199"/>
      <c r="M636" s="235">
        <v>45974.0</v>
      </c>
      <c r="N636" s="222"/>
      <c r="O636" s="227">
        <v>2168932.0</v>
      </c>
      <c r="P636" s="222"/>
      <c r="Q636" s="227" t="s">
        <v>804</v>
      </c>
      <c r="R636" s="224"/>
      <c r="S636" s="222"/>
      <c r="T636" s="228">
        <v>1482.0</v>
      </c>
      <c r="U636" s="228">
        <v>0.6</v>
      </c>
      <c r="V636" s="237">
        <v>889.2</v>
      </c>
      <c r="W636" s="199"/>
    </row>
    <row r="637">
      <c r="A637" s="283"/>
      <c r="B637" s="317">
        <v>45976.0</v>
      </c>
      <c r="C637" s="222"/>
      <c r="D637" s="223">
        <v>2783880.0</v>
      </c>
      <c r="E637" s="222"/>
      <c r="F637" s="223" t="s">
        <v>805</v>
      </c>
      <c r="G637" s="224"/>
      <c r="H637" s="222"/>
      <c r="I637" s="232">
        <v>3200.0</v>
      </c>
      <c r="J637" s="233">
        <v>0.88</v>
      </c>
      <c r="K637" s="318">
        <v>2816.0</v>
      </c>
      <c r="L637" s="199"/>
      <c r="M637" s="235">
        <v>45976.0</v>
      </c>
      <c r="N637" s="222"/>
      <c r="O637" s="227">
        <v>2783880.0</v>
      </c>
      <c r="P637" s="222"/>
      <c r="Q637" s="227" t="s">
        <v>805</v>
      </c>
      <c r="R637" s="224"/>
      <c r="S637" s="222"/>
      <c r="T637" s="228">
        <v>1802.0</v>
      </c>
      <c r="U637" s="228">
        <v>0.6</v>
      </c>
      <c r="V637" s="237">
        <v>1081.2</v>
      </c>
      <c r="W637" s="199"/>
    </row>
    <row r="638">
      <c r="A638" s="283"/>
      <c r="B638" s="319"/>
      <c r="C638" s="222"/>
      <c r="D638" s="240"/>
      <c r="E638" s="222"/>
      <c r="F638" s="240"/>
      <c r="G638" s="224"/>
      <c r="H638" s="222"/>
      <c r="I638" s="241"/>
      <c r="J638" s="233">
        <v>0.88</v>
      </c>
      <c r="K638" s="318">
        <v>0.0</v>
      </c>
      <c r="L638" s="199"/>
      <c r="M638" s="243"/>
      <c r="N638" s="222"/>
      <c r="O638" s="243"/>
      <c r="P638" s="222"/>
      <c r="Q638" s="243"/>
      <c r="R638" s="224"/>
      <c r="S638" s="222"/>
      <c r="T638" s="244"/>
      <c r="U638" s="228">
        <v>0.6</v>
      </c>
      <c r="V638" s="237">
        <v>0.0</v>
      </c>
      <c r="W638" s="199"/>
    </row>
    <row r="639">
      <c r="A639" s="283"/>
      <c r="B639" s="319"/>
      <c r="C639" s="222"/>
      <c r="D639" s="240"/>
      <c r="E639" s="222"/>
      <c r="F639" s="240"/>
      <c r="G639" s="224"/>
      <c r="H639" s="222"/>
      <c r="I639" s="241"/>
      <c r="J639" s="233">
        <v>0.88</v>
      </c>
      <c r="K639" s="318">
        <v>0.0</v>
      </c>
      <c r="L639" s="199"/>
      <c r="M639" s="243"/>
      <c r="N639" s="222"/>
      <c r="O639" s="243"/>
      <c r="P639" s="222"/>
      <c r="Q639" s="243"/>
      <c r="R639" s="224"/>
      <c r="S639" s="222"/>
      <c r="T639" s="244"/>
      <c r="U639" s="228">
        <v>0.6</v>
      </c>
      <c r="V639" s="237">
        <v>0.0</v>
      </c>
      <c r="W639" s="199"/>
    </row>
    <row r="640">
      <c r="A640" s="283"/>
      <c r="B640" s="322" t="s">
        <v>711</v>
      </c>
      <c r="C640" s="224"/>
      <c r="D640" s="224"/>
      <c r="E640" s="224"/>
      <c r="F640" s="224"/>
      <c r="G640" s="224"/>
      <c r="H640" s="222"/>
      <c r="I640" s="232">
        <v>7400.0</v>
      </c>
      <c r="J640" s="241"/>
      <c r="K640" s="318">
        <v>6512.0</v>
      </c>
      <c r="L640" s="199"/>
      <c r="M640" s="243"/>
      <c r="N640" s="222"/>
      <c r="O640" s="350"/>
      <c r="P640" s="222"/>
      <c r="Q640" s="243"/>
      <c r="R640" s="224"/>
      <c r="S640" s="222"/>
      <c r="T640" s="244"/>
      <c r="U640" s="244"/>
      <c r="V640" s="237">
        <v>0.0</v>
      </c>
      <c r="W640" s="199"/>
    </row>
    <row r="641">
      <c r="A641" s="283"/>
      <c r="B641" s="324"/>
      <c r="C641" s="248"/>
      <c r="D641" s="248"/>
      <c r="E641" s="248"/>
      <c r="F641" s="248"/>
      <c r="G641" s="248"/>
      <c r="H641" s="248"/>
      <c r="I641" s="248"/>
      <c r="J641" s="248"/>
      <c r="K641" s="325"/>
      <c r="L641" s="199"/>
      <c r="M641" s="246" t="s">
        <v>711</v>
      </c>
      <c r="N641" s="224"/>
      <c r="O641" s="224"/>
      <c r="P641" s="224"/>
      <c r="Q641" s="224"/>
      <c r="R641" s="224"/>
      <c r="S641" s="222"/>
      <c r="T641" s="228">
        <v>3925.0</v>
      </c>
      <c r="U641" s="244"/>
      <c r="V641" s="237">
        <v>2355.0</v>
      </c>
      <c r="W641" s="199"/>
    </row>
    <row r="642">
      <c r="A642" s="283"/>
      <c r="B642" s="326" t="s">
        <v>712</v>
      </c>
      <c r="C642" s="222"/>
      <c r="D642" s="253"/>
      <c r="E642" s="222"/>
      <c r="F642" s="248"/>
      <c r="G642" s="248"/>
      <c r="H642" s="248"/>
      <c r="I642" s="248"/>
      <c r="J642" s="248"/>
      <c r="K642" s="325"/>
      <c r="L642" s="199"/>
      <c r="M642" s="251"/>
      <c r="N642" s="251"/>
      <c r="O642" s="251"/>
      <c r="P642" s="251"/>
      <c r="Q642" s="251"/>
      <c r="R642" s="251"/>
      <c r="S642" s="251"/>
      <c r="T642" s="251"/>
      <c r="U642" s="251"/>
      <c r="V642" s="251"/>
      <c r="W642" s="199"/>
    </row>
    <row r="643">
      <c r="A643" s="283"/>
      <c r="B643" s="327"/>
      <c r="C643" s="222"/>
      <c r="D643" s="253"/>
      <c r="E643" s="222"/>
      <c r="F643" s="248"/>
      <c r="G643" s="248"/>
      <c r="H643" s="248"/>
      <c r="I643" s="248"/>
      <c r="J643" s="248"/>
      <c r="K643" s="325"/>
      <c r="L643" s="199"/>
      <c r="M643" s="254" t="s">
        <v>712</v>
      </c>
      <c r="N643" s="222"/>
      <c r="O643" s="255"/>
      <c r="P643" s="222"/>
      <c r="Q643" s="251"/>
      <c r="R643" s="251"/>
      <c r="S643" s="251"/>
      <c r="T643" s="251"/>
      <c r="U643" s="251"/>
      <c r="V643" s="251"/>
      <c r="W643" s="199"/>
    </row>
    <row r="644">
      <c r="A644" s="283"/>
      <c r="B644" s="327"/>
      <c r="C644" s="222"/>
      <c r="D644" s="253"/>
      <c r="E644" s="222"/>
      <c r="F644" s="248"/>
      <c r="G644" s="260"/>
      <c r="H644" s="260"/>
      <c r="I644" s="260"/>
      <c r="J644" s="260"/>
      <c r="K644" s="348"/>
      <c r="L644" s="199"/>
      <c r="M644" s="255"/>
      <c r="N644" s="222"/>
      <c r="O644" s="255"/>
      <c r="P644" s="222"/>
      <c r="Q644" s="251"/>
      <c r="R644" s="251"/>
      <c r="S644" s="251"/>
      <c r="T644" s="251"/>
      <c r="U644" s="251"/>
      <c r="V644" s="251"/>
      <c r="W644" s="199"/>
    </row>
    <row r="645">
      <c r="A645" s="283"/>
      <c r="B645" s="328" t="s">
        <v>714</v>
      </c>
      <c r="C645" s="222"/>
      <c r="D645" s="257">
        <v>0.0</v>
      </c>
      <c r="E645" s="222"/>
      <c r="F645" s="248"/>
      <c r="G645" s="260"/>
      <c r="H645" s="260"/>
      <c r="I645" s="260"/>
      <c r="J645" s="260"/>
      <c r="K645" s="348"/>
      <c r="L645" s="199"/>
      <c r="M645" s="255"/>
      <c r="N645" s="222"/>
      <c r="O645" s="255"/>
      <c r="P645" s="222"/>
      <c r="Q645" s="251"/>
      <c r="R645" s="251"/>
      <c r="S645" s="251"/>
      <c r="T645" s="251"/>
      <c r="U645" s="251"/>
      <c r="V645" s="251"/>
      <c r="W645" s="199"/>
    </row>
    <row r="646">
      <c r="A646" s="283"/>
      <c r="B646" s="329"/>
      <c r="C646" s="224"/>
      <c r="D646" s="224"/>
      <c r="E646" s="222"/>
      <c r="F646" s="248"/>
      <c r="G646" s="260"/>
      <c r="H646" s="260"/>
      <c r="I646" s="260"/>
      <c r="J646" s="260"/>
      <c r="K646" s="348"/>
      <c r="L646" s="199"/>
      <c r="M646" s="255"/>
      <c r="N646" s="222"/>
      <c r="O646" s="255"/>
      <c r="P646" s="222"/>
      <c r="Q646" s="251"/>
      <c r="R646" s="251"/>
      <c r="S646" s="251"/>
      <c r="T646" s="251"/>
      <c r="U646" s="251"/>
      <c r="V646" s="251"/>
      <c r="W646" s="199"/>
    </row>
    <row r="647">
      <c r="A647" s="283"/>
      <c r="B647" s="330" t="s">
        <v>715</v>
      </c>
      <c r="C647" s="222"/>
      <c r="D647" s="265"/>
      <c r="E647" s="222"/>
      <c r="F647" s="248"/>
      <c r="G647" s="260"/>
      <c r="H647" s="260"/>
      <c r="I647" s="260"/>
      <c r="J647" s="260"/>
      <c r="K647" s="348"/>
      <c r="L647" s="199"/>
      <c r="M647" s="255"/>
      <c r="N647" s="222"/>
      <c r="O647" s="255"/>
      <c r="P647" s="222"/>
      <c r="Q647" s="251"/>
      <c r="R647" s="251"/>
      <c r="S647" s="251"/>
      <c r="T647" s="251"/>
      <c r="U647" s="251"/>
      <c r="V647" s="251"/>
      <c r="W647" s="199"/>
    </row>
    <row r="648">
      <c r="A648" s="283"/>
      <c r="B648" s="331" t="s">
        <v>716</v>
      </c>
      <c r="C648" s="222"/>
      <c r="D648" s="267">
        <v>50.0</v>
      </c>
      <c r="E648" s="222"/>
      <c r="F648" s="248"/>
      <c r="G648" s="260"/>
      <c r="H648" s="260"/>
      <c r="I648" s="260"/>
      <c r="J648" s="260"/>
      <c r="K648" s="348"/>
      <c r="L648" s="199"/>
      <c r="M648" s="255"/>
      <c r="N648" s="222"/>
      <c r="O648" s="255"/>
      <c r="P648" s="222"/>
      <c r="Q648" s="251"/>
      <c r="R648" s="251"/>
      <c r="S648" s="251"/>
      <c r="T648" s="251"/>
      <c r="U648" s="251"/>
      <c r="V648" s="251"/>
      <c r="W648" s="199"/>
    </row>
    <row r="649">
      <c r="A649" s="283"/>
      <c r="B649" s="331" t="s">
        <v>717</v>
      </c>
      <c r="C649" s="222"/>
      <c r="D649" s="267">
        <v>400.0</v>
      </c>
      <c r="E649" s="222"/>
      <c r="F649" s="248"/>
      <c r="G649" s="260"/>
      <c r="H649" s="260"/>
      <c r="I649" s="260"/>
      <c r="J649" s="260"/>
      <c r="K649" s="348"/>
      <c r="L649" s="199"/>
      <c r="M649" s="268" t="s">
        <v>714</v>
      </c>
      <c r="N649" s="222"/>
      <c r="O649" s="269">
        <v>0.0</v>
      </c>
      <c r="P649" s="222"/>
      <c r="Q649" s="251"/>
      <c r="R649" s="251"/>
      <c r="S649" s="251"/>
      <c r="T649" s="251"/>
      <c r="U649" s="251"/>
      <c r="V649" s="251"/>
      <c r="W649" s="199"/>
    </row>
    <row r="650">
      <c r="A650" s="283"/>
      <c r="B650" s="331" t="s">
        <v>718</v>
      </c>
      <c r="C650" s="222"/>
      <c r="D650" s="267">
        <v>0.0</v>
      </c>
      <c r="E650" s="222"/>
      <c r="F650" s="248"/>
      <c r="G650" s="260"/>
      <c r="H650" s="260"/>
      <c r="I650" s="260"/>
      <c r="J650" s="260"/>
      <c r="K650" s="348"/>
      <c r="L650" s="199"/>
      <c r="M650" s="251"/>
      <c r="N650" s="251"/>
      <c r="O650" s="270"/>
      <c r="Q650" s="251"/>
      <c r="R650" s="251"/>
      <c r="S650" s="251"/>
      <c r="T650" s="251"/>
      <c r="U650" s="251"/>
      <c r="V650" s="251"/>
      <c r="W650" s="199"/>
    </row>
    <row r="651">
      <c r="A651" s="283"/>
      <c r="B651" s="331" t="s">
        <v>656</v>
      </c>
      <c r="C651" s="222"/>
      <c r="D651" s="267">
        <v>2349.74</v>
      </c>
      <c r="E651" s="222"/>
      <c r="F651" s="248"/>
      <c r="G651" s="260"/>
      <c r="H651" s="260"/>
      <c r="I651" s="260"/>
      <c r="J651" s="260"/>
      <c r="K651" s="348"/>
      <c r="L651" s="199"/>
      <c r="M651" s="271" t="s">
        <v>715</v>
      </c>
      <c r="N651" s="222"/>
      <c r="O651" s="272"/>
      <c r="P651" s="222"/>
      <c r="Q651" s="251"/>
      <c r="R651" s="251"/>
      <c r="S651" s="251"/>
      <c r="T651" s="251"/>
      <c r="U651" s="251"/>
      <c r="V651" s="251"/>
      <c r="W651" s="199"/>
    </row>
    <row r="652">
      <c r="A652" s="283"/>
      <c r="B652" s="343" t="s">
        <v>806</v>
      </c>
      <c r="C652" s="211"/>
      <c r="D652" s="302">
        <v>415.4</v>
      </c>
      <c r="E652" s="211"/>
      <c r="F652" s="248"/>
      <c r="G652" s="248"/>
      <c r="H652" s="276" t="s">
        <v>720</v>
      </c>
      <c r="I652" s="211"/>
      <c r="J652" s="277">
        <v>1693.23</v>
      </c>
      <c r="K652" s="314"/>
      <c r="L652" s="199"/>
      <c r="M652" s="369" t="s">
        <v>806</v>
      </c>
      <c r="N652" s="211"/>
      <c r="O652" s="299">
        <v>415.4</v>
      </c>
      <c r="P652" s="211"/>
      <c r="Q652" s="251"/>
      <c r="R652" s="251"/>
      <c r="S652" s="273" t="s">
        <v>719</v>
      </c>
      <c r="T652" s="211"/>
      <c r="U652" s="274">
        <v>1939.6</v>
      </c>
      <c r="V652" s="211"/>
      <c r="W652" s="199"/>
    </row>
    <row r="653">
      <c r="A653" s="283"/>
      <c r="B653" s="344"/>
      <c r="C653" s="64"/>
      <c r="D653" s="215"/>
      <c r="E653" s="64"/>
      <c r="F653" s="248"/>
      <c r="G653" s="248"/>
      <c r="H653" s="278"/>
      <c r="I653" s="56"/>
      <c r="J653" s="278"/>
      <c r="K653" s="333"/>
      <c r="L653" s="199"/>
      <c r="M653" s="215"/>
      <c r="N653" s="64"/>
      <c r="O653" s="215"/>
      <c r="P653" s="64"/>
      <c r="Q653" s="251"/>
      <c r="R653" s="251"/>
      <c r="S653" s="278"/>
      <c r="T653" s="56"/>
      <c r="U653" s="278"/>
      <c r="V653" s="56"/>
      <c r="W653" s="199"/>
    </row>
    <row r="654">
      <c r="A654" s="283"/>
      <c r="B654" s="331" t="s">
        <v>807</v>
      </c>
      <c r="C654" s="222"/>
      <c r="D654" s="267">
        <v>1603.63</v>
      </c>
      <c r="E654" s="222"/>
      <c r="F654" s="248"/>
      <c r="G654" s="248"/>
      <c r="H654" s="215"/>
      <c r="I654" s="64"/>
      <c r="J654" s="215"/>
      <c r="K654" s="313"/>
      <c r="L654" s="199"/>
      <c r="M654" s="272"/>
      <c r="N654" s="222"/>
      <c r="O654" s="272"/>
      <c r="P654" s="222"/>
      <c r="Q654" s="251"/>
      <c r="R654" s="251"/>
      <c r="S654" s="215"/>
      <c r="T654" s="64"/>
      <c r="U654" s="215"/>
      <c r="V654" s="64"/>
      <c r="W654" s="199"/>
    </row>
    <row r="655">
      <c r="A655" s="283"/>
      <c r="B655" s="334"/>
      <c r="C655" s="222"/>
      <c r="D655" s="265"/>
      <c r="E655" s="222"/>
      <c r="F655" s="248"/>
      <c r="G655" s="248"/>
      <c r="H655" s="248"/>
      <c r="I655" s="248"/>
      <c r="J655" s="248"/>
      <c r="K655" s="325"/>
      <c r="L655" s="199"/>
      <c r="M655" s="272"/>
      <c r="N655" s="222"/>
      <c r="O655" s="272"/>
      <c r="P655" s="222"/>
      <c r="Q655" s="251"/>
      <c r="R655" s="251"/>
      <c r="S655" s="251"/>
      <c r="T655" s="251"/>
      <c r="U655" s="251"/>
      <c r="V655" s="251"/>
      <c r="W655" s="199"/>
    </row>
    <row r="656">
      <c r="A656" s="283"/>
      <c r="B656" s="334"/>
      <c r="C656" s="222"/>
      <c r="D656" s="265"/>
      <c r="E656" s="222"/>
      <c r="F656" s="248"/>
      <c r="G656" s="248"/>
      <c r="H656" s="248"/>
      <c r="I656" s="248"/>
      <c r="J656" s="248"/>
      <c r="K656" s="325"/>
      <c r="L656" s="199"/>
      <c r="M656" s="272"/>
      <c r="N656" s="222"/>
      <c r="O656" s="272"/>
      <c r="P656" s="222"/>
      <c r="Q656" s="251"/>
      <c r="R656" s="251"/>
      <c r="S656" s="251"/>
      <c r="T656" s="251"/>
      <c r="U656" s="251"/>
      <c r="V656" s="251"/>
      <c r="W656" s="199"/>
    </row>
    <row r="657">
      <c r="A657" s="283"/>
      <c r="B657" s="334"/>
      <c r="C657" s="222"/>
      <c r="D657" s="265"/>
      <c r="E657" s="222"/>
      <c r="F657" s="248"/>
      <c r="G657" s="248"/>
      <c r="H657" s="248"/>
      <c r="I657" s="248"/>
      <c r="J657" s="248"/>
      <c r="K657" s="325"/>
      <c r="L657" s="199"/>
      <c r="M657" s="280" t="s">
        <v>721</v>
      </c>
      <c r="N657" s="222"/>
      <c r="O657" s="281">
        <v>415.4</v>
      </c>
      <c r="P657" s="222"/>
      <c r="Q657" s="251"/>
      <c r="R657" s="251"/>
      <c r="S657" s="251"/>
      <c r="T657" s="251"/>
      <c r="U657" s="251"/>
      <c r="V657" s="251"/>
      <c r="W657" s="199"/>
    </row>
    <row r="658">
      <c r="A658" s="283"/>
      <c r="B658" s="334"/>
      <c r="C658" s="222"/>
      <c r="D658" s="265"/>
      <c r="E658" s="222"/>
      <c r="F658" s="248"/>
      <c r="G658" s="248"/>
      <c r="H658" s="248"/>
      <c r="I658" s="248"/>
      <c r="J658" s="248"/>
      <c r="K658" s="325"/>
      <c r="L658" s="199"/>
      <c r="M658" s="282"/>
      <c r="N658" s="282"/>
      <c r="O658" s="282"/>
      <c r="P658" s="282"/>
      <c r="Q658" s="282"/>
      <c r="R658" s="282"/>
      <c r="S658" s="282"/>
      <c r="T658" s="282"/>
      <c r="U658" s="282"/>
      <c r="V658" s="282"/>
      <c r="W658" s="199"/>
    </row>
    <row r="659">
      <c r="A659" s="283"/>
      <c r="B659" s="336" t="s">
        <v>721</v>
      </c>
      <c r="C659" s="337"/>
      <c r="D659" s="338">
        <v>4818.77</v>
      </c>
      <c r="E659" s="337"/>
      <c r="F659" s="339"/>
      <c r="G659" s="339"/>
      <c r="H659" s="339"/>
      <c r="I659" s="339"/>
      <c r="J659" s="339"/>
      <c r="K659" s="340"/>
      <c r="L659" s="199"/>
      <c r="M659" s="282"/>
      <c r="N659" s="282"/>
      <c r="O659" s="282"/>
      <c r="P659" s="282"/>
      <c r="Q659" s="282"/>
      <c r="R659" s="282"/>
      <c r="S659" s="282"/>
      <c r="T659" s="282"/>
      <c r="U659" s="282"/>
      <c r="V659" s="282"/>
      <c r="W659" s="199"/>
    </row>
    <row r="660">
      <c r="A660" s="283"/>
      <c r="B660" s="260"/>
      <c r="C660" s="260"/>
      <c r="D660" s="260"/>
      <c r="E660" s="260"/>
      <c r="F660" s="260"/>
      <c r="G660" s="260"/>
      <c r="H660" s="260"/>
      <c r="I660" s="260"/>
      <c r="J660" s="260"/>
      <c r="K660" s="260"/>
      <c r="L660" s="199"/>
      <c r="M660" s="199"/>
      <c r="N660" s="199"/>
      <c r="O660" s="199"/>
      <c r="P660" s="199"/>
      <c r="Q660" s="199"/>
      <c r="R660" s="199"/>
      <c r="S660" s="199"/>
      <c r="T660" s="199"/>
      <c r="U660" s="199"/>
      <c r="V660" s="199"/>
      <c r="W660" s="199"/>
    </row>
    <row r="661">
      <c r="A661" s="283"/>
      <c r="B661" s="199"/>
      <c r="C661" s="199"/>
      <c r="D661" s="199"/>
      <c r="E661" s="199"/>
      <c r="F661" s="199"/>
      <c r="G661" s="199"/>
      <c r="H661" s="199"/>
      <c r="I661" s="199"/>
      <c r="J661" s="199"/>
      <c r="K661" s="199"/>
      <c r="L661" s="199"/>
      <c r="M661" s="199"/>
      <c r="N661" s="199"/>
      <c r="O661" s="199"/>
      <c r="P661" s="199"/>
      <c r="Q661" s="199"/>
      <c r="R661" s="199"/>
      <c r="S661" s="199"/>
      <c r="T661" s="199"/>
      <c r="U661" s="199"/>
      <c r="V661" s="199"/>
      <c r="W661" s="199"/>
    </row>
    <row r="662">
      <c r="A662" s="283"/>
      <c r="B662" s="306"/>
      <c r="C662" s="307"/>
      <c r="D662" s="307"/>
      <c r="E662" s="307"/>
      <c r="F662" s="309"/>
      <c r="G662" s="308" t="s">
        <v>700</v>
      </c>
      <c r="H662" s="309"/>
      <c r="I662" s="310" t="s">
        <v>701</v>
      </c>
      <c r="J662" s="307"/>
      <c r="K662" s="311"/>
      <c r="L662" s="199"/>
      <c r="M662" s="287"/>
      <c r="R662" s="210" t="s">
        <v>700</v>
      </c>
      <c r="S662" s="211"/>
      <c r="T662" s="212" t="s">
        <v>701</v>
      </c>
      <c r="U662" s="213"/>
      <c r="V662" s="211"/>
      <c r="W662" s="199"/>
    </row>
    <row r="663">
      <c r="A663" s="283"/>
      <c r="B663" s="312"/>
      <c r="F663" s="56"/>
      <c r="G663" s="215"/>
      <c r="H663" s="64"/>
      <c r="I663" s="215"/>
      <c r="J663" s="216"/>
      <c r="K663" s="313"/>
      <c r="L663" s="199"/>
      <c r="R663" s="215"/>
      <c r="S663" s="64"/>
      <c r="T663" s="215"/>
      <c r="U663" s="216"/>
      <c r="V663" s="64"/>
      <c r="W663" s="199"/>
    </row>
    <row r="664">
      <c r="A664" s="283"/>
      <c r="B664" s="312"/>
      <c r="F664" s="56"/>
      <c r="G664" s="218" t="s">
        <v>702</v>
      </c>
      <c r="H664" s="211"/>
      <c r="I664" s="219" t="s">
        <v>674</v>
      </c>
      <c r="J664" s="213"/>
      <c r="K664" s="314"/>
      <c r="L664" s="199"/>
      <c r="R664" s="210" t="s">
        <v>351</v>
      </c>
      <c r="S664" s="211"/>
      <c r="T664" s="212" t="s">
        <v>501</v>
      </c>
      <c r="U664" s="213"/>
      <c r="V664" s="211"/>
      <c r="W664" s="199"/>
    </row>
    <row r="665">
      <c r="A665" s="283"/>
      <c r="B665" s="312"/>
      <c r="F665" s="56"/>
      <c r="G665" s="215"/>
      <c r="H665" s="64"/>
      <c r="I665" s="215"/>
      <c r="J665" s="216"/>
      <c r="K665" s="313"/>
      <c r="L665" s="199"/>
      <c r="R665" s="215"/>
      <c r="S665" s="64"/>
      <c r="T665" s="215"/>
      <c r="U665" s="216"/>
      <c r="V665" s="64"/>
      <c r="W665" s="199"/>
    </row>
    <row r="666">
      <c r="A666" s="283"/>
      <c r="B666" s="312"/>
      <c r="F666" s="56"/>
      <c r="G666" s="218" t="s">
        <v>703</v>
      </c>
      <c r="H666" s="211"/>
      <c r="I666" s="219">
        <v>2693.0</v>
      </c>
      <c r="J666" s="213"/>
      <c r="K666" s="314"/>
      <c r="L666" s="199"/>
      <c r="R666" s="210" t="s">
        <v>703</v>
      </c>
      <c r="S666" s="211"/>
      <c r="T666" s="212">
        <v>2693.0</v>
      </c>
      <c r="U666" s="213"/>
      <c r="V666" s="211"/>
      <c r="W666" s="199"/>
    </row>
    <row r="667">
      <c r="A667" s="283"/>
      <c r="B667" s="344"/>
      <c r="C667" s="216"/>
      <c r="D667" s="216"/>
      <c r="E667" s="216"/>
      <c r="F667" s="64"/>
      <c r="G667" s="215"/>
      <c r="H667" s="64"/>
      <c r="I667" s="215"/>
      <c r="J667" s="216"/>
      <c r="K667" s="313"/>
      <c r="L667" s="199"/>
      <c r="R667" s="215"/>
      <c r="S667" s="64"/>
      <c r="T667" s="215"/>
      <c r="U667" s="216"/>
      <c r="V667" s="64"/>
      <c r="W667" s="199"/>
    </row>
    <row r="668">
      <c r="A668" s="283"/>
      <c r="B668" s="315" t="s">
        <v>704</v>
      </c>
      <c r="C668" s="222"/>
      <c r="D668" s="231" t="s">
        <v>5</v>
      </c>
      <c r="E668" s="222"/>
      <c r="F668" s="231" t="s">
        <v>705</v>
      </c>
      <c r="G668" s="224"/>
      <c r="H668" s="222"/>
      <c r="I668" s="225" t="s">
        <v>8</v>
      </c>
      <c r="J668" s="225" t="s">
        <v>706</v>
      </c>
      <c r="K668" s="316" t="s">
        <v>707</v>
      </c>
      <c r="L668" s="199"/>
      <c r="M668" s="227" t="s">
        <v>704</v>
      </c>
      <c r="N668" s="222"/>
      <c r="O668" s="227" t="s">
        <v>5</v>
      </c>
      <c r="P668" s="222"/>
      <c r="Q668" s="227" t="s">
        <v>705</v>
      </c>
      <c r="R668" s="224"/>
      <c r="S668" s="222"/>
      <c r="T668" s="228" t="s">
        <v>591</v>
      </c>
      <c r="U668" s="228" t="s">
        <v>708</v>
      </c>
      <c r="V668" s="228" t="s">
        <v>707</v>
      </c>
      <c r="W668" s="199"/>
    </row>
    <row r="669">
      <c r="A669" s="283"/>
      <c r="B669" s="317">
        <v>45972.0</v>
      </c>
      <c r="C669" s="222"/>
      <c r="D669" s="231">
        <v>2778814.0</v>
      </c>
      <c r="E669" s="222"/>
      <c r="F669" s="231" t="s">
        <v>808</v>
      </c>
      <c r="G669" s="224"/>
      <c r="H669" s="222"/>
      <c r="I669" s="232">
        <v>3150.0</v>
      </c>
      <c r="J669" s="233">
        <v>0.88</v>
      </c>
      <c r="K669" s="318">
        <v>2772.0</v>
      </c>
      <c r="L669" s="199"/>
      <c r="M669" s="235">
        <v>45972.0</v>
      </c>
      <c r="N669" s="222"/>
      <c r="O669" s="236">
        <v>2778814.0</v>
      </c>
      <c r="P669" s="222"/>
      <c r="Q669" s="236" t="s">
        <v>808</v>
      </c>
      <c r="R669" s="224"/>
      <c r="S669" s="222"/>
      <c r="T669" s="228">
        <v>1617.0</v>
      </c>
      <c r="U669" s="228">
        <v>0.65</v>
      </c>
      <c r="V669" s="237">
        <v>1051.05</v>
      </c>
      <c r="W669" s="199"/>
    </row>
    <row r="670">
      <c r="A670" s="283"/>
      <c r="B670" s="317">
        <v>45974.0</v>
      </c>
      <c r="C670" s="222"/>
      <c r="D670" s="231">
        <v>1.2747958E7</v>
      </c>
      <c r="E670" s="222"/>
      <c r="F670" s="231" t="s">
        <v>809</v>
      </c>
      <c r="G670" s="224"/>
      <c r="H670" s="222"/>
      <c r="I670" s="232">
        <v>2400.0</v>
      </c>
      <c r="J670" s="233">
        <v>0.88</v>
      </c>
      <c r="K670" s="318">
        <v>2112.0</v>
      </c>
      <c r="L670" s="199"/>
      <c r="M670" s="235">
        <v>45974.0</v>
      </c>
      <c r="N670" s="222"/>
      <c r="O670" s="236">
        <v>1.2747958E7</v>
      </c>
      <c r="P670" s="222"/>
      <c r="Q670" s="236" t="s">
        <v>809</v>
      </c>
      <c r="R670" s="224"/>
      <c r="S670" s="222"/>
      <c r="T670" s="228">
        <v>1421.0</v>
      </c>
      <c r="U670" s="228">
        <v>0.65</v>
      </c>
      <c r="V670" s="237">
        <v>923.65</v>
      </c>
      <c r="W670" s="199"/>
    </row>
    <row r="671">
      <c r="A671" s="283"/>
      <c r="B671" s="317">
        <v>45977.0</v>
      </c>
      <c r="C671" s="222"/>
      <c r="D671" s="231">
        <v>4770125.0</v>
      </c>
      <c r="E671" s="222"/>
      <c r="F671" s="349"/>
      <c r="G671" s="224"/>
      <c r="H671" s="222"/>
      <c r="I671" s="232">
        <v>3350.0</v>
      </c>
      <c r="J671" s="233">
        <v>0.88</v>
      </c>
      <c r="K671" s="318">
        <v>2948.0</v>
      </c>
      <c r="L671" s="199"/>
      <c r="M671" s="235">
        <v>45977.0</v>
      </c>
      <c r="N671" s="222"/>
      <c r="O671" s="236">
        <v>4770125.0</v>
      </c>
      <c r="P671" s="222"/>
      <c r="Q671" s="350"/>
      <c r="R671" s="224"/>
      <c r="S671" s="222"/>
      <c r="T671" s="228">
        <v>2000.0</v>
      </c>
      <c r="U671" s="228">
        <v>0.65</v>
      </c>
      <c r="V671" s="237">
        <v>1300.0</v>
      </c>
      <c r="W671" s="199"/>
    </row>
    <row r="672">
      <c r="A672" s="283"/>
      <c r="B672" s="319"/>
      <c r="C672" s="222"/>
      <c r="D672" s="349"/>
      <c r="E672" s="222"/>
      <c r="F672" s="349"/>
      <c r="G672" s="224"/>
      <c r="H672" s="222"/>
      <c r="I672" s="241"/>
      <c r="J672" s="233">
        <v>0.88</v>
      </c>
      <c r="K672" s="318">
        <v>0.0</v>
      </c>
      <c r="L672" s="199"/>
      <c r="M672" s="243"/>
      <c r="N672" s="222"/>
      <c r="O672" s="350"/>
      <c r="P672" s="222"/>
      <c r="Q672" s="350"/>
      <c r="R672" s="224"/>
      <c r="S672" s="222"/>
      <c r="T672" s="244"/>
      <c r="U672" s="228">
        <v>0.65</v>
      </c>
      <c r="V672" s="237">
        <v>0.0</v>
      </c>
      <c r="W672" s="199"/>
    </row>
    <row r="673">
      <c r="A673" s="283"/>
      <c r="B673" s="319"/>
      <c r="C673" s="222"/>
      <c r="D673" s="349"/>
      <c r="E673" s="222"/>
      <c r="F673" s="349"/>
      <c r="G673" s="224"/>
      <c r="H673" s="222"/>
      <c r="I673" s="241"/>
      <c r="J673" s="241"/>
      <c r="K673" s="320"/>
      <c r="L673" s="199"/>
      <c r="M673" s="243"/>
      <c r="N673" s="222"/>
      <c r="O673" s="243"/>
      <c r="P673" s="222"/>
      <c r="Q673" s="243"/>
      <c r="R673" s="224"/>
      <c r="S673" s="222"/>
      <c r="T673" s="244"/>
      <c r="U673" s="290"/>
      <c r="V673" s="244"/>
      <c r="W673" s="199"/>
    </row>
    <row r="674">
      <c r="A674" s="283"/>
      <c r="B674" s="322" t="s">
        <v>711</v>
      </c>
      <c r="C674" s="224"/>
      <c r="D674" s="224"/>
      <c r="E674" s="224"/>
      <c r="F674" s="224"/>
      <c r="G674" s="224"/>
      <c r="H674" s="222"/>
      <c r="I674" s="291">
        <v>8900.0</v>
      </c>
      <c r="J674" s="241"/>
      <c r="K674" s="323">
        <v>7832.0</v>
      </c>
      <c r="L674" s="199"/>
      <c r="M674" s="243"/>
      <c r="N674" s="222"/>
      <c r="O674" s="243"/>
      <c r="P674" s="222"/>
      <c r="Q674" s="243"/>
      <c r="R674" s="224"/>
      <c r="S674" s="222"/>
      <c r="T674" s="290"/>
      <c r="U674" s="290"/>
      <c r="V674" s="244"/>
      <c r="W674" s="199"/>
    </row>
    <row r="675">
      <c r="A675" s="283"/>
      <c r="B675" s="324"/>
      <c r="C675" s="248"/>
      <c r="D675" s="248"/>
      <c r="E675" s="248"/>
      <c r="F675" s="248"/>
      <c r="G675" s="248"/>
      <c r="H675" s="248"/>
      <c r="I675" s="248"/>
      <c r="J675" s="248"/>
      <c r="K675" s="325"/>
      <c r="L675" s="199"/>
      <c r="M675" s="246" t="s">
        <v>711</v>
      </c>
      <c r="N675" s="224"/>
      <c r="O675" s="224"/>
      <c r="P675" s="224"/>
      <c r="Q675" s="224"/>
      <c r="R675" s="224"/>
      <c r="S675" s="222"/>
      <c r="T675" s="228">
        <v>5038.0</v>
      </c>
      <c r="U675" s="244"/>
      <c r="V675" s="237">
        <v>3274.7</v>
      </c>
      <c r="W675" s="199"/>
    </row>
    <row r="676">
      <c r="A676" s="283"/>
      <c r="B676" s="326" t="s">
        <v>712</v>
      </c>
      <c r="C676" s="222"/>
      <c r="D676" s="351"/>
      <c r="E676" s="222"/>
      <c r="F676" s="248"/>
      <c r="G676" s="248"/>
      <c r="H676" s="248"/>
      <c r="I676" s="248"/>
      <c r="J676" s="248"/>
      <c r="K676" s="325"/>
      <c r="L676" s="199"/>
      <c r="M676" s="251"/>
      <c r="N676" s="251"/>
      <c r="O676" s="251"/>
      <c r="P676" s="251"/>
      <c r="Q676" s="251"/>
      <c r="R676" s="251"/>
      <c r="S676" s="251"/>
      <c r="T676" s="251"/>
      <c r="U676" s="251"/>
      <c r="V676" s="251"/>
      <c r="W676" s="199"/>
    </row>
    <row r="677">
      <c r="A677" s="283"/>
      <c r="B677" s="327"/>
      <c r="C677" s="222"/>
      <c r="D677" s="351"/>
      <c r="E677" s="222"/>
      <c r="F677" s="248"/>
      <c r="G677" s="248"/>
      <c r="H677" s="248"/>
      <c r="I677" s="248"/>
      <c r="J677" s="248"/>
      <c r="K677" s="325"/>
      <c r="L677" s="199"/>
      <c r="M677" s="254" t="s">
        <v>712</v>
      </c>
      <c r="N677" s="222"/>
      <c r="O677" s="255"/>
      <c r="P677" s="222"/>
      <c r="Q677" s="251"/>
      <c r="R677" s="251"/>
      <c r="S677" s="251"/>
      <c r="T677" s="251"/>
      <c r="U677" s="251"/>
      <c r="V677" s="251"/>
      <c r="W677" s="199"/>
    </row>
    <row r="678">
      <c r="A678" s="283"/>
      <c r="B678" s="327"/>
      <c r="C678" s="222"/>
      <c r="D678" s="351"/>
      <c r="E678" s="222"/>
      <c r="F678" s="248"/>
      <c r="G678" s="248"/>
      <c r="H678" s="248"/>
      <c r="I678" s="248"/>
      <c r="J678" s="248"/>
      <c r="K678" s="325"/>
      <c r="L678" s="199"/>
      <c r="M678" s="255"/>
      <c r="N678" s="222"/>
      <c r="O678" s="255"/>
      <c r="P678" s="222"/>
      <c r="Q678" s="251"/>
      <c r="R678" s="251"/>
      <c r="S678" s="251"/>
      <c r="T678" s="251"/>
      <c r="U678" s="251"/>
      <c r="V678" s="251"/>
      <c r="W678" s="199"/>
    </row>
    <row r="679">
      <c r="A679" s="283"/>
      <c r="B679" s="328" t="s">
        <v>714</v>
      </c>
      <c r="C679" s="222"/>
      <c r="D679" s="352">
        <v>0.0</v>
      </c>
      <c r="E679" s="222"/>
      <c r="F679" s="248"/>
      <c r="G679" s="248"/>
      <c r="H679" s="248"/>
      <c r="I679" s="248"/>
      <c r="J679" s="248"/>
      <c r="K679" s="325"/>
      <c r="L679" s="199"/>
      <c r="M679" s="255"/>
      <c r="N679" s="222"/>
      <c r="O679" s="255"/>
      <c r="P679" s="222"/>
      <c r="Q679" s="251"/>
      <c r="R679" s="251"/>
      <c r="S679" s="251"/>
      <c r="T679" s="251"/>
      <c r="U679" s="251"/>
      <c r="V679" s="251"/>
      <c r="W679" s="199"/>
    </row>
    <row r="680">
      <c r="A680" s="283"/>
      <c r="B680" s="329"/>
      <c r="C680" s="224"/>
      <c r="D680" s="224"/>
      <c r="E680" s="222"/>
      <c r="F680" s="248"/>
      <c r="G680" s="248"/>
      <c r="H680" s="248"/>
      <c r="I680" s="248"/>
      <c r="J680" s="248"/>
      <c r="K680" s="325"/>
      <c r="L680" s="199"/>
      <c r="M680" s="255"/>
      <c r="N680" s="222"/>
      <c r="O680" s="255"/>
      <c r="P680" s="222"/>
      <c r="Q680" s="251"/>
      <c r="R680" s="251"/>
      <c r="S680" s="251"/>
      <c r="T680" s="251"/>
      <c r="U680" s="251"/>
      <c r="V680" s="251"/>
      <c r="W680" s="199"/>
    </row>
    <row r="681">
      <c r="A681" s="283"/>
      <c r="B681" s="330" t="s">
        <v>715</v>
      </c>
      <c r="C681" s="222"/>
      <c r="D681" s="353"/>
      <c r="E681" s="222"/>
      <c r="F681" s="248"/>
      <c r="G681" s="248"/>
      <c r="H681" s="248"/>
      <c r="I681" s="248"/>
      <c r="J681" s="248"/>
      <c r="K681" s="325"/>
      <c r="L681" s="199"/>
      <c r="M681" s="255"/>
      <c r="N681" s="222"/>
      <c r="O681" s="255"/>
      <c r="P681" s="222"/>
      <c r="Q681" s="251"/>
      <c r="R681" s="251"/>
      <c r="S681" s="251"/>
      <c r="T681" s="251"/>
      <c r="U681" s="251"/>
      <c r="V681" s="251"/>
      <c r="W681" s="199"/>
    </row>
    <row r="682">
      <c r="A682" s="283"/>
      <c r="B682" s="331" t="s">
        <v>716</v>
      </c>
      <c r="C682" s="222"/>
      <c r="D682" s="354">
        <v>150.0</v>
      </c>
      <c r="E682" s="222"/>
      <c r="F682" s="248"/>
      <c r="G682" s="248"/>
      <c r="H682" s="248"/>
      <c r="I682" s="248"/>
      <c r="J682" s="248"/>
      <c r="K682" s="325"/>
      <c r="L682" s="199"/>
      <c r="M682" s="255"/>
      <c r="N682" s="222"/>
      <c r="O682" s="255"/>
      <c r="P682" s="222"/>
      <c r="Q682" s="251"/>
      <c r="R682" s="251"/>
      <c r="S682" s="251"/>
      <c r="T682" s="251"/>
      <c r="U682" s="251"/>
      <c r="V682" s="251"/>
      <c r="W682" s="199"/>
    </row>
    <row r="683">
      <c r="A683" s="283"/>
      <c r="B683" s="331" t="s">
        <v>717</v>
      </c>
      <c r="C683" s="222"/>
      <c r="D683" s="354">
        <v>400.0</v>
      </c>
      <c r="E683" s="222"/>
      <c r="F683" s="248"/>
      <c r="G683" s="248"/>
      <c r="H683" s="248"/>
      <c r="I683" s="248"/>
      <c r="J683" s="248"/>
      <c r="K683" s="325"/>
      <c r="L683" s="199"/>
      <c r="M683" s="268" t="s">
        <v>714</v>
      </c>
      <c r="N683" s="222"/>
      <c r="O683" s="269">
        <v>0.0</v>
      </c>
      <c r="P683" s="222"/>
      <c r="Q683" s="251"/>
      <c r="R683" s="251"/>
      <c r="S683" s="251"/>
      <c r="T683" s="251"/>
      <c r="U683" s="251"/>
      <c r="V683" s="251"/>
      <c r="W683" s="199"/>
    </row>
    <row r="684">
      <c r="A684" s="283"/>
      <c r="B684" s="331" t="s">
        <v>718</v>
      </c>
      <c r="C684" s="222"/>
      <c r="D684" s="354">
        <v>200.0</v>
      </c>
      <c r="E684" s="222"/>
      <c r="F684" s="248"/>
      <c r="G684" s="248"/>
      <c r="H684" s="248"/>
      <c r="I684" s="248"/>
      <c r="J684" s="248"/>
      <c r="K684" s="325"/>
      <c r="L684" s="199"/>
      <c r="M684" s="251"/>
      <c r="N684" s="251"/>
      <c r="O684" s="270"/>
      <c r="Q684" s="251"/>
      <c r="R684" s="251"/>
      <c r="S684" s="251"/>
      <c r="T684" s="251"/>
      <c r="U684" s="251"/>
      <c r="V684" s="251"/>
      <c r="W684" s="199"/>
    </row>
    <row r="685">
      <c r="A685" s="283"/>
      <c r="B685" s="331" t="s">
        <v>656</v>
      </c>
      <c r="C685" s="222"/>
      <c r="D685" s="354">
        <v>2532.68</v>
      </c>
      <c r="E685" s="222"/>
      <c r="F685" s="248"/>
      <c r="G685" s="248"/>
      <c r="H685" s="248"/>
      <c r="I685" s="248"/>
      <c r="J685" s="248"/>
      <c r="K685" s="325"/>
      <c r="L685" s="199"/>
      <c r="M685" s="271" t="s">
        <v>715</v>
      </c>
      <c r="N685" s="222"/>
      <c r="O685" s="272"/>
      <c r="P685" s="222"/>
      <c r="Q685" s="251"/>
      <c r="R685" s="251"/>
      <c r="S685" s="251"/>
      <c r="T685" s="251"/>
      <c r="U685" s="251"/>
      <c r="V685" s="251"/>
      <c r="W685" s="199"/>
    </row>
    <row r="686">
      <c r="A686" s="283"/>
      <c r="B686" s="331" t="s">
        <v>810</v>
      </c>
      <c r="C686" s="222"/>
      <c r="D686" s="354">
        <v>612.98</v>
      </c>
      <c r="E686" s="222"/>
      <c r="F686" s="248"/>
      <c r="G686" s="248"/>
      <c r="H686" s="276" t="s">
        <v>720</v>
      </c>
      <c r="I686" s="211"/>
      <c r="J686" s="277">
        <v>3936.34</v>
      </c>
      <c r="K686" s="314"/>
      <c r="L686" s="199"/>
      <c r="M686" s="272"/>
      <c r="N686" s="222"/>
      <c r="O686" s="272"/>
      <c r="P686" s="222"/>
      <c r="Q686" s="251"/>
      <c r="R686" s="251"/>
      <c r="S686" s="273" t="s">
        <v>719</v>
      </c>
      <c r="T686" s="211"/>
      <c r="U686" s="274">
        <v>3274.7</v>
      </c>
      <c r="V686" s="211"/>
      <c r="W686" s="199"/>
    </row>
    <row r="687">
      <c r="A687" s="283"/>
      <c r="B687" s="334"/>
      <c r="C687" s="222"/>
      <c r="D687" s="353"/>
      <c r="E687" s="222"/>
      <c r="F687" s="248"/>
      <c r="G687" s="248"/>
      <c r="H687" s="278"/>
      <c r="I687" s="56"/>
      <c r="J687" s="278"/>
      <c r="K687" s="333"/>
      <c r="L687" s="199"/>
      <c r="M687" s="272"/>
      <c r="N687" s="222"/>
      <c r="O687" s="272"/>
      <c r="P687" s="222"/>
      <c r="Q687" s="251"/>
      <c r="R687" s="251"/>
      <c r="S687" s="278"/>
      <c r="T687" s="56"/>
      <c r="U687" s="278"/>
      <c r="V687" s="56"/>
      <c r="W687" s="199"/>
    </row>
    <row r="688">
      <c r="A688" s="283"/>
      <c r="B688" s="334"/>
      <c r="C688" s="222"/>
      <c r="D688" s="353"/>
      <c r="E688" s="222"/>
      <c r="F688" s="248"/>
      <c r="G688" s="248"/>
      <c r="H688" s="215"/>
      <c r="I688" s="64"/>
      <c r="J688" s="215"/>
      <c r="K688" s="313"/>
      <c r="L688" s="199"/>
      <c r="M688" s="272"/>
      <c r="N688" s="222"/>
      <c r="O688" s="272"/>
      <c r="P688" s="222"/>
      <c r="Q688" s="251"/>
      <c r="R688" s="251"/>
      <c r="S688" s="215"/>
      <c r="T688" s="64"/>
      <c r="U688" s="215"/>
      <c r="V688" s="64"/>
      <c r="W688" s="199"/>
    </row>
    <row r="689">
      <c r="A689" s="283"/>
      <c r="B689" s="334"/>
      <c r="C689" s="222"/>
      <c r="D689" s="353"/>
      <c r="E689" s="222"/>
      <c r="F689" s="248"/>
      <c r="G689" s="248"/>
      <c r="H689" s="248"/>
      <c r="I689" s="248"/>
      <c r="J689" s="248"/>
      <c r="K689" s="325"/>
      <c r="L689" s="199"/>
      <c r="M689" s="272"/>
      <c r="N689" s="222"/>
      <c r="O689" s="272"/>
      <c r="P689" s="222"/>
      <c r="Q689" s="251"/>
      <c r="R689" s="251"/>
      <c r="S689" s="251"/>
      <c r="T689" s="251"/>
      <c r="U689" s="251"/>
      <c r="V689" s="251"/>
      <c r="W689" s="199"/>
    </row>
    <row r="690">
      <c r="A690" s="283"/>
      <c r="B690" s="334"/>
      <c r="C690" s="222"/>
      <c r="D690" s="353"/>
      <c r="E690" s="222"/>
      <c r="F690" s="248"/>
      <c r="G690" s="248"/>
      <c r="H690" s="248"/>
      <c r="I690" s="248"/>
      <c r="J690" s="248"/>
      <c r="K690" s="325"/>
      <c r="L690" s="199"/>
      <c r="M690" s="272"/>
      <c r="N690" s="222"/>
      <c r="O690" s="272"/>
      <c r="P690" s="222"/>
      <c r="Q690" s="251"/>
      <c r="R690" s="251"/>
      <c r="S690" s="251"/>
      <c r="T690" s="251"/>
      <c r="U690" s="251"/>
      <c r="V690" s="251"/>
      <c r="W690" s="199"/>
    </row>
    <row r="691">
      <c r="A691" s="283"/>
      <c r="B691" s="331" t="s">
        <v>721</v>
      </c>
      <c r="C691" s="222"/>
      <c r="D691" s="354">
        <v>3895.66</v>
      </c>
      <c r="E691" s="222"/>
      <c r="F691" s="248"/>
      <c r="G691" s="248"/>
      <c r="H691" s="248"/>
      <c r="I691" s="248"/>
      <c r="J691" s="248"/>
      <c r="K691" s="325"/>
      <c r="L691" s="199"/>
      <c r="M691" s="280" t="s">
        <v>721</v>
      </c>
      <c r="N691" s="222"/>
      <c r="O691" s="281">
        <v>0.0</v>
      </c>
      <c r="P691" s="222"/>
      <c r="Q691" s="251"/>
      <c r="R691" s="251"/>
      <c r="S691" s="251"/>
      <c r="T691" s="251"/>
      <c r="U691" s="251"/>
      <c r="V691" s="251"/>
      <c r="W691" s="199"/>
    </row>
    <row r="692">
      <c r="A692" s="283"/>
      <c r="B692" s="345"/>
      <c r="C692" s="346"/>
      <c r="D692" s="346"/>
      <c r="E692" s="346"/>
      <c r="F692" s="346"/>
      <c r="G692" s="346"/>
      <c r="H692" s="346"/>
      <c r="I692" s="346"/>
      <c r="J692" s="346"/>
      <c r="K692" s="347"/>
      <c r="L692" s="199"/>
      <c r="M692" s="282"/>
      <c r="N692" s="282"/>
      <c r="O692" s="282"/>
      <c r="P692" s="282"/>
      <c r="Q692" s="282"/>
      <c r="R692" s="282"/>
      <c r="S692" s="282"/>
      <c r="T692" s="282"/>
      <c r="U692" s="282"/>
      <c r="V692" s="282"/>
      <c r="W692" s="199"/>
    </row>
    <row r="693">
      <c r="A693" s="283"/>
      <c r="B693" s="260"/>
      <c r="C693" s="260"/>
      <c r="D693" s="260"/>
      <c r="E693" s="260"/>
      <c r="F693" s="260"/>
      <c r="G693" s="260"/>
      <c r="H693" s="260"/>
      <c r="I693" s="260"/>
      <c r="J693" s="260"/>
      <c r="K693" s="260"/>
      <c r="L693" s="199"/>
      <c r="M693" s="199"/>
      <c r="N693" s="199"/>
      <c r="O693" s="199"/>
      <c r="P693" s="199"/>
      <c r="Q693" s="199"/>
      <c r="R693" s="199"/>
      <c r="S693" s="199"/>
      <c r="T693" s="199"/>
      <c r="U693" s="199"/>
      <c r="V693" s="199"/>
      <c r="W693" s="199"/>
    </row>
    <row r="694">
      <c r="A694" s="283"/>
      <c r="B694" s="306"/>
      <c r="C694" s="307"/>
      <c r="D694" s="307"/>
      <c r="E694" s="307"/>
      <c r="F694" s="307"/>
      <c r="G694" s="308" t="s">
        <v>700</v>
      </c>
      <c r="H694" s="309"/>
      <c r="I694" s="310" t="s">
        <v>701</v>
      </c>
      <c r="J694" s="307"/>
      <c r="K694" s="311"/>
      <c r="L694" s="199"/>
      <c r="M694" s="287"/>
      <c r="R694" s="210" t="s">
        <v>700</v>
      </c>
      <c r="S694" s="211"/>
      <c r="T694" s="212" t="s">
        <v>701</v>
      </c>
      <c r="U694" s="213"/>
      <c r="V694" s="211"/>
      <c r="W694" s="199"/>
    </row>
    <row r="695">
      <c r="A695" s="283"/>
      <c r="B695" s="312"/>
      <c r="G695" s="215"/>
      <c r="H695" s="64"/>
      <c r="I695" s="215"/>
      <c r="J695" s="216"/>
      <c r="K695" s="313"/>
      <c r="L695" s="199"/>
      <c r="R695" s="215"/>
      <c r="S695" s="64"/>
      <c r="T695" s="215"/>
      <c r="U695" s="216"/>
      <c r="V695" s="64"/>
      <c r="W695" s="199"/>
    </row>
    <row r="696">
      <c r="A696" s="283"/>
      <c r="B696" s="312"/>
      <c r="G696" s="218" t="s">
        <v>702</v>
      </c>
      <c r="H696" s="211"/>
      <c r="I696" s="219" t="s">
        <v>660</v>
      </c>
      <c r="J696" s="213"/>
      <c r="K696" s="314"/>
      <c r="L696" s="199"/>
      <c r="R696" s="210" t="s">
        <v>351</v>
      </c>
      <c r="S696" s="211"/>
      <c r="T696" s="212" t="s">
        <v>506</v>
      </c>
      <c r="U696" s="213"/>
      <c r="V696" s="211"/>
      <c r="W696" s="199"/>
    </row>
    <row r="697">
      <c r="A697" s="283"/>
      <c r="B697" s="312"/>
      <c r="G697" s="215"/>
      <c r="H697" s="64"/>
      <c r="I697" s="215"/>
      <c r="J697" s="216"/>
      <c r="K697" s="313"/>
      <c r="L697" s="199"/>
      <c r="R697" s="215"/>
      <c r="S697" s="64"/>
      <c r="T697" s="215"/>
      <c r="U697" s="216"/>
      <c r="V697" s="64"/>
      <c r="W697" s="199"/>
    </row>
    <row r="698">
      <c r="A698" s="283"/>
      <c r="B698" s="312"/>
      <c r="G698" s="218" t="s">
        <v>703</v>
      </c>
      <c r="H698" s="211"/>
      <c r="I698" s="219">
        <v>7048.0</v>
      </c>
      <c r="J698" s="213"/>
      <c r="K698" s="314"/>
      <c r="L698" s="199"/>
      <c r="R698" s="210" t="s">
        <v>703</v>
      </c>
      <c r="S698" s="211"/>
      <c r="T698" s="212">
        <v>7048.0</v>
      </c>
      <c r="U698" s="213"/>
      <c r="V698" s="211"/>
      <c r="W698" s="199"/>
    </row>
    <row r="699">
      <c r="A699" s="283"/>
      <c r="B699" s="312"/>
      <c r="G699" s="215"/>
      <c r="H699" s="64"/>
      <c r="I699" s="215"/>
      <c r="J699" s="216"/>
      <c r="K699" s="313"/>
      <c r="L699" s="199"/>
      <c r="R699" s="215"/>
      <c r="S699" s="64"/>
      <c r="T699" s="215"/>
      <c r="U699" s="216"/>
      <c r="V699" s="64"/>
      <c r="W699" s="199"/>
    </row>
    <row r="700">
      <c r="A700" s="283"/>
      <c r="B700" s="315" t="s">
        <v>704</v>
      </c>
      <c r="C700" s="222"/>
      <c r="D700" s="223" t="s">
        <v>5</v>
      </c>
      <c r="E700" s="222"/>
      <c r="F700" s="223" t="s">
        <v>705</v>
      </c>
      <c r="G700" s="224"/>
      <c r="H700" s="222"/>
      <c r="I700" s="225" t="s">
        <v>8</v>
      </c>
      <c r="J700" s="225" t="s">
        <v>706</v>
      </c>
      <c r="K700" s="316" t="s">
        <v>707</v>
      </c>
      <c r="L700" s="199"/>
      <c r="M700" s="227" t="s">
        <v>704</v>
      </c>
      <c r="N700" s="222"/>
      <c r="O700" s="227" t="s">
        <v>5</v>
      </c>
      <c r="P700" s="222"/>
      <c r="Q700" s="227" t="s">
        <v>705</v>
      </c>
      <c r="R700" s="224"/>
      <c r="S700" s="222"/>
      <c r="T700" s="228" t="s">
        <v>591</v>
      </c>
      <c r="U700" s="228" t="s">
        <v>708</v>
      </c>
      <c r="V700" s="228" t="s">
        <v>707</v>
      </c>
      <c r="W700" s="199"/>
    </row>
    <row r="701">
      <c r="A701" s="283"/>
      <c r="B701" s="317">
        <v>45974.0</v>
      </c>
      <c r="C701" s="222"/>
      <c r="D701" s="231">
        <v>2844800.0</v>
      </c>
      <c r="E701" s="222"/>
      <c r="F701" s="223" t="s">
        <v>811</v>
      </c>
      <c r="G701" s="224"/>
      <c r="H701" s="222"/>
      <c r="I701" s="232">
        <v>3400.0</v>
      </c>
      <c r="J701" s="233">
        <v>1.0</v>
      </c>
      <c r="K701" s="318">
        <v>3400.0</v>
      </c>
      <c r="L701" s="199"/>
      <c r="M701" s="235">
        <v>45974.0</v>
      </c>
      <c r="N701" s="222"/>
      <c r="O701" s="236">
        <v>2844800.0</v>
      </c>
      <c r="P701" s="222"/>
      <c r="Q701" s="227" t="s">
        <v>811</v>
      </c>
      <c r="R701" s="224"/>
      <c r="S701" s="222"/>
      <c r="T701" s="228">
        <v>1911.0</v>
      </c>
      <c r="U701" s="228">
        <v>0.7</v>
      </c>
      <c r="V701" s="237">
        <v>1337.7</v>
      </c>
      <c r="W701" s="199"/>
    </row>
    <row r="702">
      <c r="A702" s="283"/>
      <c r="B702" s="319"/>
      <c r="C702" s="222"/>
      <c r="D702" s="349"/>
      <c r="E702" s="222"/>
      <c r="F702" s="240"/>
      <c r="G702" s="224"/>
      <c r="H702" s="222"/>
      <c r="I702" s="241"/>
      <c r="J702" s="233">
        <v>1.0</v>
      </c>
      <c r="K702" s="318">
        <v>0.0</v>
      </c>
      <c r="L702" s="199"/>
      <c r="M702" s="243"/>
      <c r="N702" s="222"/>
      <c r="O702" s="350"/>
      <c r="P702" s="222"/>
      <c r="Q702" s="243"/>
      <c r="R702" s="224"/>
      <c r="S702" s="222"/>
      <c r="T702" s="244"/>
      <c r="U702" s="228">
        <v>0.7</v>
      </c>
      <c r="V702" s="237">
        <v>0.0</v>
      </c>
      <c r="W702" s="199"/>
    </row>
    <row r="703">
      <c r="A703" s="283"/>
      <c r="B703" s="319"/>
      <c r="C703" s="222"/>
      <c r="D703" s="349"/>
      <c r="E703" s="222"/>
      <c r="F703" s="240"/>
      <c r="G703" s="224"/>
      <c r="H703" s="222"/>
      <c r="I703" s="241"/>
      <c r="J703" s="233">
        <v>1.0</v>
      </c>
      <c r="K703" s="318">
        <v>0.0</v>
      </c>
      <c r="L703" s="199"/>
      <c r="M703" s="243"/>
      <c r="N703" s="222"/>
      <c r="O703" s="350"/>
      <c r="P703" s="222"/>
      <c r="Q703" s="243"/>
      <c r="R703" s="224"/>
      <c r="S703" s="222"/>
      <c r="T703" s="244"/>
      <c r="U703" s="228">
        <v>0.7</v>
      </c>
      <c r="V703" s="237">
        <v>0.0</v>
      </c>
      <c r="W703" s="199"/>
    </row>
    <row r="704">
      <c r="A704" s="283"/>
      <c r="B704" s="319"/>
      <c r="C704" s="222"/>
      <c r="D704" s="240"/>
      <c r="E704" s="222"/>
      <c r="F704" s="240"/>
      <c r="G704" s="224"/>
      <c r="H704" s="222"/>
      <c r="I704" s="241"/>
      <c r="J704" s="233">
        <v>1.0</v>
      </c>
      <c r="K704" s="318">
        <v>0.0</v>
      </c>
      <c r="L704" s="199"/>
      <c r="M704" s="243"/>
      <c r="N704" s="222"/>
      <c r="O704" s="350"/>
      <c r="P704" s="222"/>
      <c r="Q704" s="350"/>
      <c r="R704" s="224"/>
      <c r="S704" s="222"/>
      <c r="T704" s="244"/>
      <c r="U704" s="228">
        <v>0.7</v>
      </c>
      <c r="V704" s="237">
        <v>0.0</v>
      </c>
      <c r="W704" s="199"/>
    </row>
    <row r="705">
      <c r="A705" s="283"/>
      <c r="B705" s="322" t="s">
        <v>711</v>
      </c>
      <c r="C705" s="224"/>
      <c r="D705" s="224"/>
      <c r="E705" s="224"/>
      <c r="F705" s="224"/>
      <c r="G705" s="224"/>
      <c r="H705" s="222"/>
      <c r="I705" s="291">
        <v>3400.0</v>
      </c>
      <c r="J705" s="241"/>
      <c r="K705" s="323">
        <v>3400.0</v>
      </c>
      <c r="L705" s="199"/>
      <c r="M705" s="243"/>
      <c r="N705" s="222"/>
      <c r="O705" s="243"/>
      <c r="P705" s="222"/>
      <c r="Q705" s="243"/>
      <c r="R705" s="224"/>
      <c r="S705" s="222"/>
      <c r="T705" s="244"/>
      <c r="U705" s="290"/>
      <c r="V705" s="244"/>
      <c r="W705" s="199"/>
    </row>
    <row r="706">
      <c r="A706" s="283"/>
      <c r="B706" s="324"/>
      <c r="C706" s="248"/>
      <c r="D706" s="248"/>
      <c r="E706" s="248"/>
      <c r="F706" s="248"/>
      <c r="G706" s="248"/>
      <c r="H706" s="248"/>
      <c r="I706" s="248"/>
      <c r="J706" s="248"/>
      <c r="K706" s="325"/>
      <c r="L706" s="199"/>
      <c r="M706" s="243"/>
      <c r="N706" s="222"/>
      <c r="O706" s="243"/>
      <c r="P706" s="222"/>
      <c r="Q706" s="243"/>
      <c r="R706" s="224"/>
      <c r="S706" s="222"/>
      <c r="T706" s="290"/>
      <c r="U706" s="290"/>
      <c r="V706" s="244"/>
      <c r="W706" s="199"/>
    </row>
    <row r="707">
      <c r="A707" s="283"/>
      <c r="B707" s="326" t="s">
        <v>712</v>
      </c>
      <c r="C707" s="222"/>
      <c r="D707" s="253"/>
      <c r="E707" s="222"/>
      <c r="F707" s="248"/>
      <c r="G707" s="248"/>
      <c r="H707" s="248"/>
      <c r="I707" s="248"/>
      <c r="J707" s="248"/>
      <c r="K707" s="325"/>
      <c r="L707" s="199"/>
      <c r="M707" s="246" t="s">
        <v>711</v>
      </c>
      <c r="N707" s="224"/>
      <c r="O707" s="224"/>
      <c r="P707" s="224"/>
      <c r="Q707" s="224"/>
      <c r="R707" s="224"/>
      <c r="S707" s="222"/>
      <c r="T707" s="228">
        <v>1911.0</v>
      </c>
      <c r="U707" s="244"/>
      <c r="V707" s="237">
        <v>1337.7</v>
      </c>
      <c r="W707" s="199"/>
    </row>
    <row r="708">
      <c r="A708" s="283"/>
      <c r="B708" s="327"/>
      <c r="C708" s="222"/>
      <c r="D708" s="253"/>
      <c r="E708" s="222"/>
      <c r="F708" s="248"/>
      <c r="G708" s="248"/>
      <c r="H708" s="248"/>
      <c r="I708" s="248"/>
      <c r="J708" s="248"/>
      <c r="K708" s="325"/>
      <c r="L708" s="199"/>
      <c r="M708" s="251"/>
      <c r="N708" s="251"/>
      <c r="O708" s="251"/>
      <c r="P708" s="251"/>
      <c r="Q708" s="251"/>
      <c r="R708" s="251"/>
      <c r="S708" s="251"/>
      <c r="T708" s="251"/>
      <c r="U708" s="251"/>
      <c r="V708" s="251"/>
      <c r="W708" s="199"/>
    </row>
    <row r="709">
      <c r="A709" s="283"/>
      <c r="B709" s="327"/>
      <c r="C709" s="222"/>
      <c r="D709" s="253"/>
      <c r="E709" s="222"/>
      <c r="F709" s="248"/>
      <c r="G709" s="248"/>
      <c r="H709" s="248"/>
      <c r="I709" s="248"/>
      <c r="J709" s="248"/>
      <c r="K709" s="325"/>
      <c r="L709" s="199"/>
      <c r="M709" s="254" t="s">
        <v>712</v>
      </c>
      <c r="N709" s="222"/>
      <c r="O709" s="255"/>
      <c r="P709" s="222"/>
      <c r="Q709" s="251"/>
      <c r="R709" s="251"/>
      <c r="S709" s="251"/>
      <c r="T709" s="251"/>
      <c r="U709" s="251"/>
      <c r="V709" s="251"/>
      <c r="W709" s="199"/>
    </row>
    <row r="710">
      <c r="A710" s="283"/>
      <c r="B710" s="328" t="s">
        <v>714</v>
      </c>
      <c r="C710" s="222"/>
      <c r="D710" s="257">
        <v>0.0</v>
      </c>
      <c r="E710" s="222"/>
      <c r="F710" s="248"/>
      <c r="G710" s="248"/>
      <c r="H710" s="248"/>
      <c r="I710" s="248"/>
      <c r="J710" s="248"/>
      <c r="K710" s="325"/>
      <c r="L710" s="199"/>
      <c r="M710" s="342" t="s">
        <v>812</v>
      </c>
      <c r="N710" s="222"/>
      <c r="O710" s="269">
        <v>250.0</v>
      </c>
      <c r="P710" s="222"/>
      <c r="Q710" s="251"/>
      <c r="R710" s="251"/>
      <c r="S710" s="251"/>
      <c r="T710" s="251"/>
      <c r="U710" s="251"/>
      <c r="V710" s="251"/>
      <c r="W710" s="199"/>
    </row>
    <row r="711">
      <c r="A711" s="283"/>
      <c r="B711" s="329"/>
      <c r="C711" s="224"/>
      <c r="D711" s="224"/>
      <c r="E711" s="222"/>
      <c r="F711" s="248"/>
      <c r="G711" s="248"/>
      <c r="H711" s="248"/>
      <c r="I711" s="248"/>
      <c r="J711" s="248"/>
      <c r="K711" s="325"/>
      <c r="L711" s="199"/>
      <c r="M711" s="255"/>
      <c r="N711" s="222"/>
      <c r="O711" s="255"/>
      <c r="P711" s="222"/>
      <c r="Q711" s="251"/>
      <c r="R711" s="251"/>
      <c r="S711" s="251"/>
      <c r="T711" s="251"/>
      <c r="U711" s="251"/>
      <c r="V711" s="251"/>
      <c r="W711" s="199"/>
    </row>
    <row r="712">
      <c r="A712" s="283"/>
      <c r="B712" s="330" t="s">
        <v>715</v>
      </c>
      <c r="C712" s="222"/>
      <c r="D712" s="265"/>
      <c r="E712" s="222"/>
      <c r="F712" s="248"/>
      <c r="G712" s="248"/>
      <c r="H712" s="248"/>
      <c r="I712" s="248"/>
      <c r="J712" s="248"/>
      <c r="K712" s="325"/>
      <c r="L712" s="199"/>
      <c r="M712" s="255"/>
      <c r="N712" s="222"/>
      <c r="O712" s="255"/>
      <c r="P712" s="222"/>
      <c r="Q712" s="251"/>
      <c r="R712" s="251"/>
      <c r="S712" s="251"/>
      <c r="T712" s="251"/>
      <c r="U712" s="251"/>
      <c r="V712" s="251"/>
      <c r="W712" s="199"/>
    </row>
    <row r="713">
      <c r="A713" s="283"/>
      <c r="B713" s="331" t="s">
        <v>716</v>
      </c>
      <c r="C713" s="222"/>
      <c r="D713" s="267">
        <v>150.0</v>
      </c>
      <c r="E713" s="222"/>
      <c r="F713" s="248"/>
      <c r="G713" s="248"/>
      <c r="H713" s="248"/>
      <c r="I713" s="248"/>
      <c r="J713" s="248"/>
      <c r="K713" s="325"/>
      <c r="L713" s="199"/>
      <c r="M713" s="255"/>
      <c r="N713" s="222"/>
      <c r="O713" s="255"/>
      <c r="P713" s="222"/>
      <c r="Q713" s="251"/>
      <c r="R713" s="251"/>
      <c r="S713" s="251"/>
      <c r="T713" s="251"/>
      <c r="U713" s="251"/>
      <c r="V713" s="251"/>
      <c r="W713" s="199"/>
    </row>
    <row r="714">
      <c r="A714" s="283"/>
      <c r="B714" s="331" t="s">
        <v>717</v>
      </c>
      <c r="C714" s="222"/>
      <c r="D714" s="267">
        <v>400.0</v>
      </c>
      <c r="E714" s="222"/>
      <c r="F714" s="248"/>
      <c r="G714" s="248"/>
      <c r="H714" s="248"/>
      <c r="I714" s="248"/>
      <c r="J714" s="248"/>
      <c r="K714" s="325"/>
      <c r="L714" s="199"/>
      <c r="M714" s="255"/>
      <c r="N714" s="222"/>
      <c r="O714" s="255"/>
      <c r="P714" s="222"/>
      <c r="Q714" s="251"/>
      <c r="R714" s="251"/>
      <c r="S714" s="251"/>
      <c r="T714" s="251"/>
      <c r="U714" s="251"/>
      <c r="V714" s="251"/>
      <c r="W714" s="199"/>
    </row>
    <row r="715">
      <c r="A715" s="283"/>
      <c r="B715" s="331" t="s">
        <v>718</v>
      </c>
      <c r="C715" s="222"/>
      <c r="D715" s="267">
        <v>200.0</v>
      </c>
      <c r="E715" s="222"/>
      <c r="F715" s="248"/>
      <c r="G715" s="248"/>
      <c r="H715" s="248"/>
      <c r="I715" s="248"/>
      <c r="J715" s="248"/>
      <c r="K715" s="325"/>
      <c r="L715" s="199"/>
      <c r="M715" s="268" t="s">
        <v>714</v>
      </c>
      <c r="N715" s="222"/>
      <c r="O715" s="269">
        <v>250.0</v>
      </c>
      <c r="P715" s="222"/>
      <c r="Q715" s="251"/>
      <c r="R715" s="251"/>
      <c r="S715" s="251"/>
      <c r="T715" s="251"/>
      <c r="U715" s="251"/>
      <c r="V715" s="251"/>
      <c r="W715" s="199"/>
    </row>
    <row r="716">
      <c r="A716" s="283"/>
      <c r="B716" s="331" t="s">
        <v>656</v>
      </c>
      <c r="C716" s="222"/>
      <c r="D716" s="267">
        <v>1326.48</v>
      </c>
      <c r="E716" s="222"/>
      <c r="F716" s="248"/>
      <c r="G716" s="248"/>
      <c r="H716" s="248"/>
      <c r="I716" s="248"/>
      <c r="J716" s="248"/>
      <c r="K716" s="325"/>
      <c r="L716" s="199"/>
      <c r="M716" s="251"/>
      <c r="N716" s="251"/>
      <c r="O716" s="270"/>
      <c r="Q716" s="251"/>
      <c r="R716" s="251"/>
      <c r="S716" s="251"/>
      <c r="T716" s="251"/>
      <c r="U716" s="251"/>
      <c r="V716" s="251"/>
      <c r="W716" s="199"/>
    </row>
    <row r="717">
      <c r="A717" s="283"/>
      <c r="B717" s="331" t="s">
        <v>813</v>
      </c>
      <c r="C717" s="222"/>
      <c r="D717" s="267">
        <v>5044.24</v>
      </c>
      <c r="E717" s="222"/>
      <c r="F717" s="248"/>
      <c r="G717" s="248"/>
      <c r="H717" s="276" t="s">
        <v>720</v>
      </c>
      <c r="I717" s="211"/>
      <c r="J717" s="277">
        <v>-3720.72</v>
      </c>
      <c r="K717" s="314"/>
      <c r="L717" s="199"/>
      <c r="M717" s="271" t="s">
        <v>715</v>
      </c>
      <c r="N717" s="222"/>
      <c r="O717" s="272"/>
      <c r="P717" s="222"/>
      <c r="Q717" s="251"/>
      <c r="R717" s="251"/>
      <c r="S717" s="251"/>
      <c r="T717" s="251"/>
      <c r="U717" s="251"/>
      <c r="V717" s="251"/>
      <c r="W717" s="199"/>
    </row>
    <row r="718">
      <c r="A718" s="283"/>
      <c r="B718" s="334"/>
      <c r="C718" s="222"/>
      <c r="D718" s="265"/>
      <c r="E718" s="222"/>
      <c r="F718" s="248"/>
      <c r="G718" s="248"/>
      <c r="H718" s="278"/>
      <c r="I718" s="56"/>
      <c r="J718" s="278"/>
      <c r="K718" s="333"/>
      <c r="L718" s="199"/>
      <c r="M718" s="272"/>
      <c r="N718" s="222"/>
      <c r="O718" s="272"/>
      <c r="P718" s="222"/>
      <c r="Q718" s="251"/>
      <c r="R718" s="251"/>
      <c r="S718" s="273" t="s">
        <v>719</v>
      </c>
      <c r="T718" s="211"/>
      <c r="U718" s="274">
        <v>1587.7</v>
      </c>
      <c r="V718" s="211"/>
      <c r="W718" s="199"/>
    </row>
    <row r="719">
      <c r="A719" s="283"/>
      <c r="B719" s="334"/>
      <c r="C719" s="222"/>
      <c r="D719" s="265"/>
      <c r="E719" s="222"/>
      <c r="F719" s="248"/>
      <c r="G719" s="248"/>
      <c r="H719" s="215"/>
      <c r="I719" s="64"/>
      <c r="J719" s="215"/>
      <c r="K719" s="313"/>
      <c r="L719" s="199"/>
      <c r="M719" s="272"/>
      <c r="N719" s="222"/>
      <c r="O719" s="272"/>
      <c r="P719" s="222"/>
      <c r="Q719" s="251"/>
      <c r="R719" s="251"/>
      <c r="S719" s="278"/>
      <c r="T719" s="56"/>
      <c r="U719" s="278"/>
      <c r="V719" s="56"/>
      <c r="W719" s="199"/>
    </row>
    <row r="720">
      <c r="A720" s="283"/>
      <c r="B720" s="334"/>
      <c r="C720" s="222"/>
      <c r="D720" s="265"/>
      <c r="E720" s="222"/>
      <c r="F720" s="248"/>
      <c r="G720" s="248"/>
      <c r="H720" s="248"/>
      <c r="I720" s="248"/>
      <c r="J720" s="248"/>
      <c r="K720" s="325"/>
      <c r="L720" s="199"/>
      <c r="M720" s="272"/>
      <c r="N720" s="222"/>
      <c r="O720" s="272"/>
      <c r="P720" s="222"/>
      <c r="Q720" s="251"/>
      <c r="R720" s="251"/>
      <c r="S720" s="215"/>
      <c r="T720" s="64"/>
      <c r="U720" s="215"/>
      <c r="V720" s="64"/>
      <c r="W720" s="199"/>
    </row>
    <row r="721">
      <c r="A721" s="283"/>
      <c r="B721" s="336" t="s">
        <v>721</v>
      </c>
      <c r="C721" s="337"/>
      <c r="D721" s="338">
        <v>7120.72</v>
      </c>
      <c r="E721" s="337"/>
      <c r="F721" s="339"/>
      <c r="G721" s="339"/>
      <c r="H721" s="339"/>
      <c r="I721" s="339"/>
      <c r="J721" s="339"/>
      <c r="K721" s="340"/>
      <c r="L721" s="199"/>
      <c r="M721" s="272"/>
      <c r="N721" s="222"/>
      <c r="O721" s="272"/>
      <c r="P721" s="222"/>
      <c r="Q721" s="251"/>
      <c r="R721" s="251"/>
      <c r="S721" s="251"/>
      <c r="T721" s="251"/>
      <c r="U721" s="251"/>
      <c r="V721" s="251"/>
      <c r="W721" s="199"/>
    </row>
    <row r="722">
      <c r="A722" s="283"/>
      <c r="B722" s="260"/>
      <c r="C722" s="260"/>
      <c r="D722" s="260"/>
      <c r="E722" s="260"/>
      <c r="F722" s="260"/>
      <c r="G722" s="260"/>
      <c r="H722" s="260"/>
      <c r="I722" s="260"/>
      <c r="J722" s="260"/>
      <c r="K722" s="260"/>
      <c r="L722" s="199"/>
      <c r="M722" s="272"/>
      <c r="N722" s="222"/>
      <c r="O722" s="272"/>
      <c r="P722" s="222"/>
      <c r="Q722" s="251"/>
      <c r="R722" s="251"/>
      <c r="S722" s="251"/>
      <c r="T722" s="251"/>
      <c r="U722" s="251"/>
      <c r="V722" s="251"/>
      <c r="W722" s="199"/>
    </row>
    <row r="723">
      <c r="A723" s="283"/>
      <c r="B723" s="260"/>
      <c r="C723" s="260"/>
      <c r="D723" s="260"/>
      <c r="E723" s="260"/>
      <c r="F723" s="260"/>
      <c r="G723" s="260"/>
      <c r="H723" s="260"/>
      <c r="I723" s="260"/>
      <c r="J723" s="260"/>
      <c r="K723" s="260"/>
      <c r="L723" s="199"/>
      <c r="M723" s="280" t="s">
        <v>721</v>
      </c>
      <c r="N723" s="222"/>
      <c r="O723" s="281">
        <v>0.0</v>
      </c>
      <c r="P723" s="222"/>
      <c r="Q723" s="251"/>
      <c r="R723" s="251"/>
      <c r="S723" s="251"/>
      <c r="T723" s="251"/>
      <c r="U723" s="251"/>
      <c r="V723" s="251"/>
      <c r="W723" s="199"/>
    </row>
    <row r="724">
      <c r="A724" s="283"/>
      <c r="B724" s="195"/>
      <c r="C724" s="195"/>
      <c r="D724" s="195"/>
      <c r="E724" s="195"/>
      <c r="F724" s="195"/>
      <c r="G724" s="197"/>
      <c r="H724" s="197"/>
      <c r="I724" s="198"/>
      <c r="J724" s="198"/>
      <c r="K724" s="198"/>
      <c r="L724" s="199"/>
      <c r="M724" s="282"/>
      <c r="N724" s="282"/>
      <c r="O724" s="282"/>
      <c r="P724" s="282"/>
      <c r="Q724" s="282"/>
      <c r="R724" s="282"/>
      <c r="S724" s="282"/>
      <c r="T724" s="282"/>
      <c r="U724" s="282"/>
      <c r="V724" s="282"/>
      <c r="W724" s="199"/>
    </row>
    <row r="725">
      <c r="A725" s="283"/>
      <c r="B725" s="195"/>
      <c r="C725" s="195"/>
      <c r="D725" s="195"/>
      <c r="E725" s="195"/>
      <c r="F725" s="195"/>
      <c r="G725" s="197"/>
      <c r="H725" s="197"/>
      <c r="I725" s="198"/>
      <c r="J725" s="198"/>
      <c r="K725" s="198"/>
      <c r="L725" s="199"/>
      <c r="M725" s="282"/>
      <c r="N725" s="282"/>
      <c r="O725" s="282"/>
      <c r="P725" s="282"/>
      <c r="Q725" s="282"/>
      <c r="R725" s="282"/>
      <c r="S725" s="282"/>
      <c r="T725" s="282"/>
      <c r="U725" s="282"/>
      <c r="V725" s="282"/>
      <c r="W725" s="199"/>
    </row>
    <row r="726">
      <c r="A726" s="283"/>
      <c r="B726" s="195"/>
      <c r="C726" s="195"/>
      <c r="D726" s="195"/>
      <c r="E726" s="195"/>
      <c r="F726" s="195"/>
      <c r="G726" s="197"/>
      <c r="H726" s="197"/>
      <c r="I726" s="198"/>
      <c r="J726" s="198"/>
      <c r="K726" s="198"/>
      <c r="L726" s="199"/>
      <c r="M726" s="282"/>
      <c r="N726" s="282"/>
      <c r="O726" s="282"/>
      <c r="P726" s="282"/>
      <c r="Q726" s="282"/>
      <c r="R726" s="282"/>
      <c r="S726" s="282"/>
      <c r="T726" s="282"/>
      <c r="U726" s="282"/>
      <c r="V726" s="282"/>
      <c r="W726" s="199"/>
    </row>
    <row r="727">
      <c r="A727" s="283"/>
      <c r="B727" s="306"/>
      <c r="C727" s="307"/>
      <c r="D727" s="307"/>
      <c r="E727" s="307"/>
      <c r="F727" s="307"/>
      <c r="G727" s="308" t="s">
        <v>700</v>
      </c>
      <c r="H727" s="309"/>
      <c r="I727" s="310" t="s">
        <v>701</v>
      </c>
      <c r="J727" s="307"/>
      <c r="K727" s="311"/>
      <c r="L727" s="199"/>
      <c r="M727" s="287"/>
      <c r="R727" s="210" t="s">
        <v>700</v>
      </c>
      <c r="S727" s="211"/>
      <c r="T727" s="212" t="s">
        <v>701</v>
      </c>
      <c r="U727" s="213"/>
      <c r="V727" s="211"/>
      <c r="W727" s="199"/>
    </row>
    <row r="728">
      <c r="A728" s="283"/>
      <c r="B728" s="312"/>
      <c r="G728" s="215"/>
      <c r="H728" s="64"/>
      <c r="I728" s="215"/>
      <c r="J728" s="216"/>
      <c r="K728" s="313"/>
      <c r="L728" s="199"/>
      <c r="R728" s="215"/>
      <c r="S728" s="64"/>
      <c r="T728" s="215"/>
      <c r="U728" s="216"/>
      <c r="V728" s="64"/>
      <c r="W728" s="199"/>
    </row>
    <row r="729">
      <c r="A729" s="283"/>
      <c r="B729" s="312"/>
      <c r="G729" s="218" t="s">
        <v>702</v>
      </c>
      <c r="H729" s="211"/>
      <c r="I729" s="219" t="s">
        <v>660</v>
      </c>
      <c r="J729" s="213"/>
      <c r="K729" s="314"/>
      <c r="L729" s="199"/>
      <c r="R729" s="210" t="s">
        <v>351</v>
      </c>
      <c r="S729" s="211"/>
      <c r="T729" s="212" t="s">
        <v>630</v>
      </c>
      <c r="U729" s="213"/>
      <c r="V729" s="211"/>
      <c r="W729" s="199"/>
    </row>
    <row r="730">
      <c r="A730" s="283"/>
      <c r="B730" s="312"/>
      <c r="G730" s="215"/>
      <c r="H730" s="64"/>
      <c r="I730" s="215"/>
      <c r="J730" s="216"/>
      <c r="K730" s="313"/>
      <c r="L730" s="199"/>
      <c r="R730" s="215"/>
      <c r="S730" s="64"/>
      <c r="T730" s="215"/>
      <c r="U730" s="216"/>
      <c r="V730" s="64"/>
      <c r="W730" s="199"/>
    </row>
    <row r="731">
      <c r="A731" s="283"/>
      <c r="B731" s="312"/>
      <c r="G731" s="218" t="s">
        <v>703</v>
      </c>
      <c r="H731" s="211"/>
      <c r="I731" s="219">
        <v>913.0</v>
      </c>
      <c r="J731" s="213"/>
      <c r="K731" s="314"/>
      <c r="L731" s="199"/>
      <c r="R731" s="210" t="s">
        <v>703</v>
      </c>
      <c r="S731" s="211"/>
      <c r="T731" s="212">
        <v>913.0</v>
      </c>
      <c r="U731" s="213"/>
      <c r="V731" s="211"/>
      <c r="W731" s="199"/>
    </row>
    <row r="732">
      <c r="A732" s="283"/>
      <c r="B732" s="312"/>
      <c r="G732" s="215"/>
      <c r="H732" s="64"/>
      <c r="I732" s="215"/>
      <c r="J732" s="216"/>
      <c r="K732" s="313"/>
      <c r="L732" s="199"/>
      <c r="R732" s="215"/>
      <c r="S732" s="64"/>
      <c r="T732" s="215"/>
      <c r="U732" s="216"/>
      <c r="V732" s="64"/>
      <c r="W732" s="199"/>
    </row>
    <row r="733">
      <c r="A733" s="283"/>
      <c r="B733" s="315" t="s">
        <v>704</v>
      </c>
      <c r="C733" s="222"/>
      <c r="D733" s="223" t="s">
        <v>5</v>
      </c>
      <c r="E733" s="222"/>
      <c r="F733" s="223" t="s">
        <v>705</v>
      </c>
      <c r="G733" s="224"/>
      <c r="H733" s="222"/>
      <c r="I733" s="225" t="s">
        <v>8</v>
      </c>
      <c r="J733" s="225" t="s">
        <v>706</v>
      </c>
      <c r="K733" s="316" t="s">
        <v>707</v>
      </c>
      <c r="L733" s="199"/>
      <c r="M733" s="227" t="s">
        <v>704</v>
      </c>
      <c r="N733" s="222"/>
      <c r="O733" s="227" t="s">
        <v>5</v>
      </c>
      <c r="P733" s="222"/>
      <c r="Q733" s="227" t="s">
        <v>705</v>
      </c>
      <c r="R733" s="224"/>
      <c r="S733" s="222"/>
      <c r="T733" s="228" t="s">
        <v>591</v>
      </c>
      <c r="U733" s="228" t="s">
        <v>708</v>
      </c>
      <c r="V733" s="228" t="s">
        <v>707</v>
      </c>
      <c r="W733" s="199"/>
    </row>
    <row r="734">
      <c r="A734" s="283"/>
      <c r="B734" s="317">
        <v>45972.0</v>
      </c>
      <c r="C734" s="222"/>
      <c r="D734" s="223">
        <v>6.4970174E7</v>
      </c>
      <c r="E734" s="222"/>
      <c r="F734" s="223" t="s">
        <v>814</v>
      </c>
      <c r="G734" s="224"/>
      <c r="H734" s="222"/>
      <c r="I734" s="232">
        <v>1122.55</v>
      </c>
      <c r="J734" s="233">
        <v>1.0</v>
      </c>
      <c r="K734" s="318">
        <v>1122.55</v>
      </c>
      <c r="L734" s="199"/>
      <c r="M734" s="235">
        <v>45972.0</v>
      </c>
      <c r="N734" s="222"/>
      <c r="O734" s="227">
        <v>6.4970174E7</v>
      </c>
      <c r="P734" s="222"/>
      <c r="Q734" s="227" t="s">
        <v>814</v>
      </c>
      <c r="R734" s="224"/>
      <c r="S734" s="222"/>
      <c r="T734" s="228">
        <v>1727.0</v>
      </c>
      <c r="U734" s="228">
        <v>0.65</v>
      </c>
      <c r="V734" s="237">
        <v>1122.55</v>
      </c>
      <c r="W734" s="199"/>
    </row>
    <row r="735">
      <c r="A735" s="283"/>
      <c r="B735" s="319"/>
      <c r="C735" s="222"/>
      <c r="D735" s="240"/>
      <c r="E735" s="222"/>
      <c r="F735" s="240"/>
      <c r="G735" s="224"/>
      <c r="H735" s="222"/>
      <c r="I735" s="241"/>
      <c r="J735" s="233">
        <v>1.0</v>
      </c>
      <c r="K735" s="318">
        <v>0.0</v>
      </c>
      <c r="L735" s="199"/>
      <c r="M735" s="243"/>
      <c r="N735" s="222"/>
      <c r="O735" s="243"/>
      <c r="P735" s="222"/>
      <c r="Q735" s="243"/>
      <c r="R735" s="224"/>
      <c r="S735" s="222"/>
      <c r="T735" s="244"/>
      <c r="U735" s="228">
        <v>0.65</v>
      </c>
      <c r="V735" s="237">
        <v>0.0</v>
      </c>
      <c r="W735" s="199"/>
    </row>
    <row r="736">
      <c r="A736" s="283"/>
      <c r="B736" s="319"/>
      <c r="C736" s="222"/>
      <c r="D736" s="240"/>
      <c r="E736" s="222"/>
      <c r="F736" s="240"/>
      <c r="G736" s="224"/>
      <c r="H736" s="222"/>
      <c r="I736" s="241"/>
      <c r="J736" s="233">
        <v>1.0</v>
      </c>
      <c r="K736" s="318">
        <v>0.0</v>
      </c>
      <c r="L736" s="199"/>
      <c r="M736" s="243"/>
      <c r="N736" s="222"/>
      <c r="O736" s="243"/>
      <c r="P736" s="222"/>
      <c r="Q736" s="243"/>
      <c r="R736" s="224"/>
      <c r="S736" s="222"/>
      <c r="T736" s="244"/>
      <c r="U736" s="228">
        <v>0.65</v>
      </c>
      <c r="V736" s="237">
        <v>0.0</v>
      </c>
      <c r="W736" s="199"/>
    </row>
    <row r="737">
      <c r="A737" s="283"/>
      <c r="B737" s="319"/>
      <c r="C737" s="222"/>
      <c r="D737" s="240"/>
      <c r="E737" s="222"/>
      <c r="F737" s="240"/>
      <c r="G737" s="224"/>
      <c r="H737" s="222"/>
      <c r="I737" s="241"/>
      <c r="J737" s="233">
        <v>1.0</v>
      </c>
      <c r="K737" s="318">
        <v>0.0</v>
      </c>
      <c r="L737" s="199"/>
      <c r="M737" s="243"/>
      <c r="N737" s="222"/>
      <c r="O737" s="243"/>
      <c r="P737" s="222"/>
      <c r="Q737" s="243"/>
      <c r="R737" s="224"/>
      <c r="S737" s="222"/>
      <c r="T737" s="244"/>
      <c r="U737" s="228">
        <v>0.65</v>
      </c>
      <c r="V737" s="237">
        <v>0.0</v>
      </c>
      <c r="W737" s="199"/>
    </row>
    <row r="738">
      <c r="A738" s="283"/>
      <c r="B738" s="322" t="s">
        <v>711</v>
      </c>
      <c r="C738" s="224"/>
      <c r="D738" s="224"/>
      <c r="E738" s="224"/>
      <c r="F738" s="224"/>
      <c r="G738" s="224"/>
      <c r="H738" s="222"/>
      <c r="I738" s="291">
        <v>1122.55</v>
      </c>
      <c r="J738" s="241"/>
      <c r="K738" s="323">
        <v>1122.55</v>
      </c>
      <c r="L738" s="199"/>
      <c r="M738" s="246" t="s">
        <v>711</v>
      </c>
      <c r="N738" s="224"/>
      <c r="O738" s="224"/>
      <c r="P738" s="224"/>
      <c r="Q738" s="224"/>
      <c r="R738" s="224"/>
      <c r="S738" s="222"/>
      <c r="T738" s="228">
        <v>1727.0</v>
      </c>
      <c r="U738" s="244"/>
      <c r="V738" s="237">
        <v>1122.55</v>
      </c>
      <c r="W738" s="199"/>
    </row>
    <row r="739">
      <c r="A739" s="283"/>
      <c r="B739" s="324"/>
      <c r="C739" s="248"/>
      <c r="D739" s="248"/>
      <c r="E739" s="248"/>
      <c r="F739" s="248"/>
      <c r="G739" s="248"/>
      <c r="H739" s="248"/>
      <c r="I739" s="248"/>
      <c r="J739" s="248"/>
      <c r="K739" s="325"/>
      <c r="L739" s="199"/>
      <c r="M739" s="251"/>
      <c r="N739" s="251"/>
      <c r="O739" s="251"/>
      <c r="P739" s="251"/>
      <c r="Q739" s="251"/>
      <c r="R739" s="251"/>
      <c r="S739" s="251"/>
      <c r="T739" s="251"/>
      <c r="U739" s="251"/>
      <c r="V739" s="251"/>
      <c r="W739" s="199"/>
    </row>
    <row r="740">
      <c r="A740" s="283"/>
      <c r="B740" s="326" t="s">
        <v>712</v>
      </c>
      <c r="C740" s="222"/>
      <c r="D740" s="253"/>
      <c r="E740" s="222"/>
      <c r="F740" s="248"/>
      <c r="G740" s="248"/>
      <c r="H740" s="248"/>
      <c r="I740" s="248"/>
      <c r="J740" s="248"/>
      <c r="K740" s="325"/>
      <c r="L740" s="199"/>
      <c r="M740" s="254" t="s">
        <v>712</v>
      </c>
      <c r="N740" s="222"/>
      <c r="O740" s="255"/>
      <c r="P740" s="222"/>
      <c r="Q740" s="251"/>
      <c r="R740" s="251"/>
      <c r="S740" s="251"/>
      <c r="T740" s="251"/>
      <c r="U740" s="251"/>
      <c r="V740" s="251"/>
      <c r="W740" s="199"/>
    </row>
    <row r="741">
      <c r="A741" s="283"/>
      <c r="B741" s="341" t="s">
        <v>657</v>
      </c>
      <c r="C741" s="222"/>
      <c r="D741" s="257">
        <v>577.0</v>
      </c>
      <c r="E741" s="222"/>
      <c r="F741" s="248"/>
      <c r="G741" s="248"/>
      <c r="H741" s="248"/>
      <c r="I741" s="248"/>
      <c r="J741" s="248"/>
      <c r="K741" s="325"/>
      <c r="L741" s="199"/>
      <c r="M741" s="255"/>
      <c r="N741" s="222"/>
      <c r="O741" s="255"/>
      <c r="P741" s="222"/>
      <c r="Q741" s="251"/>
      <c r="R741" s="251"/>
      <c r="S741" s="251"/>
      <c r="T741" s="251"/>
      <c r="U741" s="251"/>
      <c r="V741" s="251"/>
      <c r="W741" s="199"/>
    </row>
    <row r="742">
      <c r="A742" s="283"/>
      <c r="B742" s="327"/>
      <c r="C742" s="222"/>
      <c r="D742" s="253"/>
      <c r="E742" s="222"/>
      <c r="F742" s="248"/>
      <c r="G742" s="248"/>
      <c r="H742" s="248"/>
      <c r="I742" s="248"/>
      <c r="J742" s="248"/>
      <c r="K742" s="325"/>
      <c r="L742" s="199"/>
      <c r="M742" s="255"/>
      <c r="N742" s="222"/>
      <c r="O742" s="255"/>
      <c r="P742" s="222"/>
      <c r="Q742" s="251"/>
      <c r="R742" s="251"/>
      <c r="S742" s="251"/>
      <c r="T742" s="251"/>
      <c r="U742" s="251"/>
      <c r="V742" s="251"/>
      <c r="W742" s="199"/>
    </row>
    <row r="743">
      <c r="A743" s="283"/>
      <c r="B743" s="327"/>
      <c r="C743" s="222"/>
      <c r="D743" s="253"/>
      <c r="E743" s="222"/>
      <c r="F743" s="248"/>
      <c r="G743" s="248"/>
      <c r="H743" s="248"/>
      <c r="I743" s="248"/>
      <c r="J743" s="248"/>
      <c r="K743" s="325"/>
      <c r="L743" s="199"/>
      <c r="M743" s="255"/>
      <c r="N743" s="222"/>
      <c r="O743" s="255"/>
      <c r="P743" s="222"/>
      <c r="Q743" s="251"/>
      <c r="R743" s="251"/>
      <c r="S743" s="251"/>
      <c r="T743" s="251"/>
      <c r="U743" s="251"/>
      <c r="V743" s="251"/>
      <c r="W743" s="199"/>
    </row>
    <row r="744">
      <c r="A744" s="283"/>
      <c r="B744" s="328" t="s">
        <v>714</v>
      </c>
      <c r="C744" s="222"/>
      <c r="D744" s="257">
        <v>577.0</v>
      </c>
      <c r="E744" s="222"/>
      <c r="F744" s="248"/>
      <c r="G744" s="248"/>
      <c r="H744" s="248"/>
      <c r="I744" s="248"/>
      <c r="J744" s="248"/>
      <c r="K744" s="325"/>
      <c r="L744" s="199"/>
      <c r="M744" s="255"/>
      <c r="N744" s="222"/>
      <c r="O744" s="255"/>
      <c r="P744" s="222"/>
      <c r="Q744" s="251"/>
      <c r="R744" s="251"/>
      <c r="S744" s="251"/>
      <c r="T744" s="251"/>
      <c r="U744" s="251"/>
      <c r="V744" s="251"/>
      <c r="W744" s="199"/>
    </row>
    <row r="745">
      <c r="A745" s="283"/>
      <c r="B745" s="329"/>
      <c r="C745" s="224"/>
      <c r="D745" s="224"/>
      <c r="E745" s="222"/>
      <c r="F745" s="248"/>
      <c r="G745" s="248"/>
      <c r="H745" s="248"/>
      <c r="I745" s="248"/>
      <c r="J745" s="248"/>
      <c r="K745" s="325"/>
      <c r="L745" s="199"/>
      <c r="M745" s="255"/>
      <c r="N745" s="222"/>
      <c r="O745" s="255"/>
      <c r="P745" s="222"/>
      <c r="Q745" s="251"/>
      <c r="R745" s="251"/>
      <c r="S745" s="251"/>
      <c r="T745" s="251"/>
      <c r="U745" s="251"/>
      <c r="V745" s="251"/>
      <c r="W745" s="199"/>
    </row>
    <row r="746">
      <c r="A746" s="283"/>
      <c r="B746" s="330" t="s">
        <v>715</v>
      </c>
      <c r="C746" s="222"/>
      <c r="D746" s="265"/>
      <c r="E746" s="222"/>
      <c r="F746" s="248"/>
      <c r="G746" s="248"/>
      <c r="H746" s="248"/>
      <c r="I746" s="248"/>
      <c r="J746" s="248"/>
      <c r="K746" s="325"/>
      <c r="L746" s="199"/>
      <c r="M746" s="268" t="s">
        <v>714</v>
      </c>
      <c r="N746" s="222"/>
      <c r="O746" s="269">
        <v>0.0</v>
      </c>
      <c r="P746" s="222"/>
      <c r="Q746" s="251"/>
      <c r="R746" s="251"/>
      <c r="S746" s="251"/>
      <c r="T746" s="251"/>
      <c r="U746" s="251"/>
      <c r="V746" s="251"/>
      <c r="W746" s="199"/>
    </row>
    <row r="747">
      <c r="A747" s="283"/>
      <c r="B747" s="334"/>
      <c r="C747" s="222"/>
      <c r="D747" s="265"/>
      <c r="E747" s="222"/>
      <c r="F747" s="248"/>
      <c r="G747" s="248"/>
      <c r="H747" s="248"/>
      <c r="I747" s="248"/>
      <c r="J747" s="248"/>
      <c r="K747" s="325"/>
      <c r="L747" s="199"/>
      <c r="M747" s="251"/>
      <c r="N747" s="251"/>
      <c r="O747" s="270"/>
      <c r="Q747" s="251"/>
      <c r="R747" s="251"/>
      <c r="S747" s="251"/>
      <c r="T747" s="251"/>
      <c r="U747" s="251"/>
      <c r="V747" s="251"/>
      <c r="W747" s="199"/>
    </row>
    <row r="748">
      <c r="A748" s="283"/>
      <c r="B748" s="334"/>
      <c r="C748" s="222"/>
      <c r="D748" s="265"/>
      <c r="E748" s="222"/>
      <c r="F748" s="248"/>
      <c r="G748" s="248"/>
      <c r="H748" s="248"/>
      <c r="I748" s="248"/>
      <c r="J748" s="248"/>
      <c r="K748" s="325"/>
      <c r="L748" s="199"/>
      <c r="M748" s="271" t="s">
        <v>715</v>
      </c>
      <c r="N748" s="222"/>
      <c r="O748" s="272"/>
      <c r="P748" s="222"/>
      <c r="Q748" s="251"/>
      <c r="R748" s="251"/>
      <c r="S748" s="251"/>
      <c r="T748" s="251"/>
      <c r="U748" s="251"/>
      <c r="V748" s="251"/>
      <c r="W748" s="199"/>
    </row>
    <row r="749">
      <c r="A749" s="283"/>
      <c r="B749" s="334"/>
      <c r="C749" s="222"/>
      <c r="D749" s="265"/>
      <c r="E749" s="222"/>
      <c r="F749" s="248"/>
      <c r="G749" s="248"/>
      <c r="H749" s="248"/>
      <c r="I749" s="248"/>
      <c r="J749" s="248"/>
      <c r="K749" s="325"/>
      <c r="L749" s="199"/>
      <c r="M749" s="272"/>
      <c r="N749" s="222"/>
      <c r="O749" s="272"/>
      <c r="P749" s="222"/>
      <c r="Q749" s="251"/>
      <c r="R749" s="251"/>
      <c r="S749" s="273" t="s">
        <v>719</v>
      </c>
      <c r="T749" s="211"/>
      <c r="U749" s="274">
        <v>1122.55</v>
      </c>
      <c r="V749" s="211"/>
      <c r="W749" s="199"/>
    </row>
    <row r="750">
      <c r="A750" s="283"/>
      <c r="B750" s="334"/>
      <c r="C750" s="222"/>
      <c r="D750" s="265"/>
      <c r="E750" s="222"/>
      <c r="F750" s="248"/>
      <c r="G750" s="248"/>
      <c r="H750" s="248"/>
      <c r="I750" s="248"/>
      <c r="J750" s="248"/>
      <c r="K750" s="325"/>
      <c r="L750" s="199"/>
      <c r="M750" s="272"/>
      <c r="N750" s="222"/>
      <c r="O750" s="272"/>
      <c r="P750" s="222"/>
      <c r="Q750" s="251"/>
      <c r="R750" s="251"/>
      <c r="S750" s="278"/>
      <c r="T750" s="56"/>
      <c r="U750" s="278"/>
      <c r="V750" s="56"/>
      <c r="W750" s="199"/>
    </row>
    <row r="751">
      <c r="A751" s="283"/>
      <c r="B751" s="334"/>
      <c r="C751" s="222"/>
      <c r="D751" s="265"/>
      <c r="E751" s="222"/>
      <c r="F751" s="248"/>
      <c r="G751" s="248"/>
      <c r="H751" s="276" t="s">
        <v>720</v>
      </c>
      <c r="I751" s="211"/>
      <c r="J751" s="277">
        <v>1699.55</v>
      </c>
      <c r="K751" s="314"/>
      <c r="L751" s="199"/>
      <c r="M751" s="272"/>
      <c r="N751" s="222"/>
      <c r="O751" s="272"/>
      <c r="P751" s="222"/>
      <c r="Q751" s="251"/>
      <c r="R751" s="251"/>
      <c r="S751" s="215"/>
      <c r="T751" s="64"/>
      <c r="U751" s="215"/>
      <c r="V751" s="64"/>
      <c r="W751" s="199"/>
    </row>
    <row r="752">
      <c r="A752" s="283"/>
      <c r="B752" s="334"/>
      <c r="C752" s="222"/>
      <c r="D752" s="265"/>
      <c r="E752" s="222"/>
      <c r="F752" s="248"/>
      <c r="G752" s="248"/>
      <c r="H752" s="278"/>
      <c r="I752" s="56"/>
      <c r="J752" s="278"/>
      <c r="K752" s="333"/>
      <c r="L752" s="199"/>
      <c r="M752" s="272"/>
      <c r="N752" s="222"/>
      <c r="O752" s="272"/>
      <c r="P752" s="222"/>
      <c r="Q752" s="251"/>
      <c r="R752" s="251"/>
      <c r="S752" s="251"/>
      <c r="T752" s="251"/>
      <c r="U752" s="251"/>
      <c r="V752" s="251"/>
      <c r="W752" s="199"/>
    </row>
    <row r="753">
      <c r="A753" s="283"/>
      <c r="B753" s="334"/>
      <c r="C753" s="222"/>
      <c r="D753" s="265"/>
      <c r="E753" s="222"/>
      <c r="F753" s="248"/>
      <c r="G753" s="248"/>
      <c r="H753" s="215"/>
      <c r="I753" s="64"/>
      <c r="J753" s="215"/>
      <c r="K753" s="313"/>
      <c r="L753" s="199"/>
      <c r="M753" s="272"/>
      <c r="N753" s="222"/>
      <c r="O753" s="272"/>
      <c r="P753" s="222"/>
      <c r="Q753" s="251"/>
      <c r="R753" s="251"/>
      <c r="S753" s="251"/>
      <c r="T753" s="251"/>
      <c r="U753" s="251"/>
      <c r="V753" s="251"/>
      <c r="W753" s="199"/>
    </row>
    <row r="754">
      <c r="A754" s="283"/>
      <c r="B754" s="334"/>
      <c r="C754" s="222"/>
      <c r="D754" s="265"/>
      <c r="E754" s="222"/>
      <c r="F754" s="248"/>
      <c r="G754" s="248"/>
      <c r="H754" s="248"/>
      <c r="I754" s="248"/>
      <c r="J754" s="248"/>
      <c r="K754" s="325"/>
      <c r="L754" s="199"/>
      <c r="M754" s="280" t="s">
        <v>721</v>
      </c>
      <c r="N754" s="222"/>
      <c r="O754" s="281">
        <v>0.0</v>
      </c>
      <c r="P754" s="222"/>
      <c r="Q754" s="251"/>
      <c r="R754" s="251"/>
      <c r="S754" s="251"/>
      <c r="T754" s="251"/>
      <c r="U754" s="251"/>
      <c r="V754" s="251"/>
      <c r="W754" s="199"/>
    </row>
    <row r="755">
      <c r="A755" s="283"/>
      <c r="B755" s="336" t="s">
        <v>721</v>
      </c>
      <c r="C755" s="337"/>
      <c r="D755" s="338">
        <v>0.0</v>
      </c>
      <c r="E755" s="337"/>
      <c r="F755" s="339"/>
      <c r="G755" s="339"/>
      <c r="H755" s="339"/>
      <c r="I755" s="339"/>
      <c r="J755" s="339"/>
      <c r="K755" s="340"/>
      <c r="L755" s="199"/>
      <c r="M755" s="282"/>
      <c r="N755" s="282"/>
      <c r="O755" s="282"/>
      <c r="P755" s="282"/>
      <c r="Q755" s="282"/>
      <c r="R755" s="282"/>
      <c r="S755" s="282"/>
      <c r="T755" s="282"/>
      <c r="U755" s="282"/>
      <c r="V755" s="282"/>
      <c r="W755" s="199"/>
    </row>
    <row r="756">
      <c r="A756" s="283"/>
      <c r="B756" s="260"/>
      <c r="C756" s="260"/>
      <c r="D756" s="260"/>
      <c r="E756" s="260"/>
      <c r="F756" s="260"/>
      <c r="G756" s="260"/>
      <c r="H756" s="370"/>
      <c r="I756" s="260"/>
      <c r="J756" s="260"/>
      <c r="K756" s="260"/>
      <c r="L756" s="199"/>
      <c r="M756" s="282"/>
      <c r="N756" s="282"/>
      <c r="O756" s="282"/>
      <c r="P756" s="282"/>
      <c r="Q756" s="282"/>
      <c r="R756" s="282"/>
      <c r="S756" s="282"/>
      <c r="T756" s="282"/>
      <c r="U756" s="282"/>
      <c r="V756" s="282"/>
      <c r="W756" s="199"/>
    </row>
    <row r="757">
      <c r="A757" s="283"/>
      <c r="B757" s="260"/>
      <c r="C757" s="260"/>
      <c r="D757" s="260"/>
      <c r="E757" s="260"/>
      <c r="F757" s="260"/>
      <c r="G757" s="260"/>
      <c r="H757" s="260"/>
      <c r="I757" s="260"/>
      <c r="J757" s="260"/>
      <c r="K757" s="260"/>
      <c r="L757" s="199"/>
      <c r="M757" s="199"/>
      <c r="N757" s="199"/>
      <c r="O757" s="199"/>
      <c r="P757" s="199"/>
      <c r="Q757" s="199"/>
      <c r="R757" s="199"/>
      <c r="S757" s="199"/>
      <c r="T757" s="199"/>
      <c r="U757" s="199"/>
      <c r="V757" s="199"/>
      <c r="W757" s="199"/>
    </row>
    <row r="758">
      <c r="A758" s="283"/>
      <c r="B758" s="306"/>
      <c r="C758" s="307"/>
      <c r="D758" s="307"/>
      <c r="E758" s="307"/>
      <c r="F758" s="307"/>
      <c r="G758" s="308" t="s">
        <v>700</v>
      </c>
      <c r="H758" s="309"/>
      <c r="I758" s="310" t="s">
        <v>701</v>
      </c>
      <c r="J758" s="307"/>
      <c r="K758" s="311"/>
      <c r="L758" s="199"/>
      <c r="M758" s="287"/>
      <c r="R758" s="210" t="s">
        <v>700</v>
      </c>
      <c r="S758" s="211"/>
      <c r="T758" s="212" t="s">
        <v>701</v>
      </c>
      <c r="U758" s="213"/>
      <c r="V758" s="211"/>
      <c r="W758" s="199"/>
    </row>
    <row r="759">
      <c r="A759" s="283"/>
      <c r="B759" s="312"/>
      <c r="G759" s="215"/>
      <c r="H759" s="64"/>
      <c r="I759" s="215"/>
      <c r="J759" s="216"/>
      <c r="K759" s="313"/>
      <c r="L759" s="199"/>
      <c r="R759" s="215"/>
      <c r="S759" s="64"/>
      <c r="T759" s="215"/>
      <c r="U759" s="216"/>
      <c r="V759" s="64"/>
      <c r="W759" s="199"/>
    </row>
    <row r="760">
      <c r="A760" s="283"/>
      <c r="B760" s="312"/>
      <c r="G760" s="218" t="s">
        <v>702</v>
      </c>
      <c r="H760" s="211"/>
      <c r="I760" s="219" t="s">
        <v>815</v>
      </c>
      <c r="J760" s="213"/>
      <c r="K760" s="314"/>
      <c r="L760" s="199"/>
      <c r="R760" s="210" t="s">
        <v>351</v>
      </c>
      <c r="S760" s="211"/>
      <c r="T760" s="212" t="s">
        <v>595</v>
      </c>
      <c r="U760" s="213"/>
      <c r="V760" s="211"/>
      <c r="W760" s="199"/>
    </row>
    <row r="761">
      <c r="A761" s="283"/>
      <c r="B761" s="312"/>
      <c r="G761" s="215"/>
      <c r="H761" s="64"/>
      <c r="I761" s="215"/>
      <c r="J761" s="216"/>
      <c r="K761" s="313"/>
      <c r="L761" s="199"/>
      <c r="R761" s="215"/>
      <c r="S761" s="64"/>
      <c r="T761" s="215"/>
      <c r="U761" s="216"/>
      <c r="V761" s="64"/>
      <c r="W761" s="199"/>
    </row>
    <row r="762">
      <c r="A762" s="283"/>
      <c r="B762" s="312"/>
      <c r="G762" s="218" t="s">
        <v>703</v>
      </c>
      <c r="H762" s="211"/>
      <c r="I762" s="219">
        <v>7265.0</v>
      </c>
      <c r="J762" s="213"/>
      <c r="K762" s="314"/>
      <c r="L762" s="199"/>
      <c r="R762" s="210" t="s">
        <v>703</v>
      </c>
      <c r="S762" s="211"/>
      <c r="T762" s="212">
        <v>7265.0</v>
      </c>
      <c r="U762" s="213"/>
      <c r="V762" s="211"/>
      <c r="W762" s="199"/>
    </row>
    <row r="763">
      <c r="A763" s="283"/>
      <c r="B763" s="312"/>
      <c r="G763" s="215"/>
      <c r="H763" s="64"/>
      <c r="I763" s="215"/>
      <c r="J763" s="216"/>
      <c r="K763" s="313"/>
      <c r="L763" s="199"/>
      <c r="R763" s="215"/>
      <c r="S763" s="64"/>
      <c r="T763" s="215"/>
      <c r="U763" s="216"/>
      <c r="V763" s="64"/>
      <c r="W763" s="199"/>
    </row>
    <row r="764">
      <c r="A764" s="283"/>
      <c r="B764" s="315" t="s">
        <v>704</v>
      </c>
      <c r="C764" s="222"/>
      <c r="D764" s="223" t="s">
        <v>5</v>
      </c>
      <c r="E764" s="222"/>
      <c r="F764" s="223" t="s">
        <v>705</v>
      </c>
      <c r="G764" s="224"/>
      <c r="H764" s="222"/>
      <c r="I764" s="225" t="s">
        <v>8</v>
      </c>
      <c r="J764" s="225" t="s">
        <v>706</v>
      </c>
      <c r="K764" s="316" t="s">
        <v>707</v>
      </c>
      <c r="L764" s="199"/>
      <c r="M764" s="227" t="s">
        <v>704</v>
      </c>
      <c r="N764" s="222"/>
      <c r="O764" s="227" t="s">
        <v>5</v>
      </c>
      <c r="P764" s="222"/>
      <c r="Q764" s="227" t="s">
        <v>705</v>
      </c>
      <c r="R764" s="224"/>
      <c r="S764" s="222"/>
      <c r="T764" s="228" t="s">
        <v>591</v>
      </c>
      <c r="U764" s="228" t="s">
        <v>708</v>
      </c>
      <c r="V764" s="228" t="s">
        <v>707</v>
      </c>
      <c r="W764" s="199"/>
    </row>
    <row r="765">
      <c r="A765" s="283"/>
      <c r="B765" s="317">
        <v>45973.0</v>
      </c>
      <c r="C765" s="222"/>
      <c r="D765" s="223">
        <v>163181.0</v>
      </c>
      <c r="E765" s="222"/>
      <c r="F765" s="223" t="s">
        <v>816</v>
      </c>
      <c r="G765" s="224"/>
      <c r="H765" s="222"/>
      <c r="I765" s="232">
        <v>766.35</v>
      </c>
      <c r="J765" s="233">
        <v>1.0</v>
      </c>
      <c r="K765" s="318">
        <v>766.35</v>
      </c>
      <c r="L765" s="199"/>
      <c r="M765" s="235">
        <v>45973.0</v>
      </c>
      <c r="N765" s="222"/>
      <c r="O765" s="227">
        <v>163181.0</v>
      </c>
      <c r="P765" s="222"/>
      <c r="Q765" s="227" t="s">
        <v>816</v>
      </c>
      <c r="R765" s="224"/>
      <c r="S765" s="222"/>
      <c r="T765" s="228">
        <v>1179.0</v>
      </c>
      <c r="U765" s="228">
        <v>0.65</v>
      </c>
      <c r="V765" s="237">
        <v>766.35</v>
      </c>
      <c r="W765" s="199"/>
    </row>
    <row r="766">
      <c r="A766" s="283"/>
      <c r="B766" s="317">
        <v>45975.0</v>
      </c>
      <c r="C766" s="222"/>
      <c r="D766" s="223">
        <v>2.0628586E7</v>
      </c>
      <c r="E766" s="222"/>
      <c r="F766" s="223" t="s">
        <v>817</v>
      </c>
      <c r="G766" s="224"/>
      <c r="H766" s="222"/>
      <c r="I766" s="232">
        <v>1773.85</v>
      </c>
      <c r="J766" s="233">
        <v>1.0</v>
      </c>
      <c r="K766" s="318">
        <v>1773.85</v>
      </c>
      <c r="L766" s="199"/>
      <c r="M766" s="235">
        <v>45975.0</v>
      </c>
      <c r="N766" s="222"/>
      <c r="O766" s="227">
        <v>2.0628586E7</v>
      </c>
      <c r="P766" s="222"/>
      <c r="Q766" s="227" t="s">
        <v>817</v>
      </c>
      <c r="R766" s="224"/>
      <c r="S766" s="222"/>
      <c r="T766" s="228">
        <v>2729.0</v>
      </c>
      <c r="U766" s="228">
        <v>0.65</v>
      </c>
      <c r="V766" s="237">
        <v>1773.85</v>
      </c>
      <c r="W766" s="199"/>
    </row>
    <row r="767">
      <c r="A767" s="283"/>
      <c r="B767" s="319"/>
      <c r="C767" s="222"/>
      <c r="D767" s="240"/>
      <c r="E767" s="222"/>
      <c r="F767" s="240"/>
      <c r="G767" s="224"/>
      <c r="H767" s="222"/>
      <c r="I767" s="241"/>
      <c r="J767" s="233">
        <v>1.0</v>
      </c>
      <c r="K767" s="318">
        <v>0.0</v>
      </c>
      <c r="L767" s="199"/>
      <c r="M767" s="243"/>
      <c r="N767" s="222"/>
      <c r="O767" s="243"/>
      <c r="P767" s="222"/>
      <c r="Q767" s="243"/>
      <c r="R767" s="224"/>
      <c r="S767" s="222"/>
      <c r="T767" s="244"/>
      <c r="U767" s="228">
        <v>0.65</v>
      </c>
      <c r="V767" s="237">
        <v>0.0</v>
      </c>
      <c r="W767" s="199"/>
    </row>
    <row r="768">
      <c r="A768" s="283"/>
      <c r="B768" s="319"/>
      <c r="C768" s="222"/>
      <c r="D768" s="240"/>
      <c r="E768" s="222"/>
      <c r="F768" s="240"/>
      <c r="G768" s="224"/>
      <c r="H768" s="222"/>
      <c r="I768" s="241"/>
      <c r="J768" s="233">
        <v>1.0</v>
      </c>
      <c r="K768" s="318">
        <v>0.0</v>
      </c>
      <c r="L768" s="199"/>
      <c r="M768" s="243"/>
      <c r="N768" s="222"/>
      <c r="O768" s="243"/>
      <c r="P768" s="222"/>
      <c r="Q768" s="243"/>
      <c r="R768" s="224"/>
      <c r="S768" s="222"/>
      <c r="T768" s="244"/>
      <c r="U768" s="228">
        <v>0.65</v>
      </c>
      <c r="V768" s="237">
        <v>0.0</v>
      </c>
      <c r="W768" s="199"/>
    </row>
    <row r="769">
      <c r="A769" s="283"/>
      <c r="B769" s="319"/>
      <c r="C769" s="222"/>
      <c r="D769" s="240"/>
      <c r="E769" s="222"/>
      <c r="F769" s="240"/>
      <c r="G769" s="224"/>
      <c r="H769" s="222"/>
      <c r="I769" s="241"/>
      <c r="J769" s="241"/>
      <c r="K769" s="320"/>
      <c r="L769" s="199"/>
      <c r="M769" s="243"/>
      <c r="N769" s="222"/>
      <c r="O769" s="243"/>
      <c r="P769" s="222"/>
      <c r="Q769" s="243"/>
      <c r="R769" s="224"/>
      <c r="S769" s="222"/>
      <c r="T769" s="244"/>
      <c r="U769" s="228">
        <v>0.65</v>
      </c>
      <c r="V769" s="237">
        <v>0.0</v>
      </c>
      <c r="W769" s="199"/>
    </row>
    <row r="770">
      <c r="A770" s="283"/>
      <c r="B770" s="322" t="s">
        <v>711</v>
      </c>
      <c r="C770" s="224"/>
      <c r="D770" s="224"/>
      <c r="E770" s="224"/>
      <c r="F770" s="224"/>
      <c r="G770" s="224"/>
      <c r="H770" s="222"/>
      <c r="I770" s="232">
        <v>2540.2</v>
      </c>
      <c r="J770" s="241"/>
      <c r="K770" s="318">
        <v>2540.2</v>
      </c>
      <c r="L770" s="199"/>
      <c r="M770" s="243"/>
      <c r="N770" s="222"/>
      <c r="O770" s="243"/>
      <c r="P770" s="222"/>
      <c r="Q770" s="243"/>
      <c r="R770" s="224"/>
      <c r="S770" s="222"/>
      <c r="T770" s="290"/>
      <c r="U770" s="290"/>
      <c r="V770" s="244"/>
      <c r="W770" s="199"/>
    </row>
    <row r="771">
      <c r="A771" s="283"/>
      <c r="B771" s="324"/>
      <c r="C771" s="248"/>
      <c r="D771" s="248"/>
      <c r="E771" s="248"/>
      <c r="F771" s="248"/>
      <c r="G771" s="248"/>
      <c r="H771" s="248"/>
      <c r="I771" s="248"/>
      <c r="J771" s="248"/>
      <c r="K771" s="325"/>
      <c r="L771" s="199"/>
      <c r="M771" s="246" t="s">
        <v>711</v>
      </c>
      <c r="N771" s="224"/>
      <c r="O771" s="224"/>
      <c r="P771" s="224"/>
      <c r="Q771" s="224"/>
      <c r="R771" s="224"/>
      <c r="S771" s="222"/>
      <c r="T771" s="228">
        <v>3908.0</v>
      </c>
      <c r="U771" s="244"/>
      <c r="V771" s="237">
        <v>2540.2</v>
      </c>
      <c r="W771" s="199"/>
    </row>
    <row r="772">
      <c r="A772" s="283"/>
      <c r="B772" s="326" t="s">
        <v>712</v>
      </c>
      <c r="C772" s="222"/>
      <c r="D772" s="253"/>
      <c r="E772" s="222"/>
      <c r="F772" s="248"/>
      <c r="G772" s="248"/>
      <c r="H772" s="248"/>
      <c r="I772" s="248"/>
      <c r="J772" s="248"/>
      <c r="K772" s="325"/>
      <c r="L772" s="199"/>
      <c r="M772" s="251"/>
      <c r="N772" s="251"/>
      <c r="O772" s="251"/>
      <c r="P772" s="251"/>
      <c r="Q772" s="251"/>
      <c r="R772" s="251"/>
      <c r="S772" s="251"/>
      <c r="T772" s="251"/>
      <c r="U772" s="251"/>
      <c r="V772" s="251"/>
      <c r="W772" s="199"/>
    </row>
    <row r="773">
      <c r="A773" s="283"/>
      <c r="B773" s="341" t="s">
        <v>657</v>
      </c>
      <c r="C773" s="222"/>
      <c r="D773" s="352">
        <v>1666.65</v>
      </c>
      <c r="E773" s="222"/>
      <c r="F773" s="248"/>
      <c r="G773" s="260"/>
      <c r="H773" s="260"/>
      <c r="I773" s="260"/>
      <c r="J773" s="260"/>
      <c r="K773" s="348"/>
      <c r="L773" s="199"/>
      <c r="M773" s="254" t="s">
        <v>712</v>
      </c>
      <c r="N773" s="222"/>
      <c r="O773" s="255"/>
      <c r="P773" s="222"/>
      <c r="Q773" s="251"/>
      <c r="R773" s="251"/>
      <c r="S773" s="251"/>
      <c r="T773" s="251"/>
      <c r="U773" s="251"/>
      <c r="V773" s="251"/>
      <c r="W773" s="199"/>
    </row>
    <row r="774">
      <c r="A774" s="283"/>
      <c r="B774" s="341" t="s">
        <v>818</v>
      </c>
      <c r="C774" s="222"/>
      <c r="D774" s="257">
        <v>358.8</v>
      </c>
      <c r="E774" s="222"/>
      <c r="F774" s="248"/>
      <c r="G774" s="260"/>
      <c r="H774" s="260"/>
      <c r="I774" s="260"/>
      <c r="J774" s="260"/>
      <c r="K774" s="348"/>
      <c r="L774" s="199"/>
      <c r="M774" s="363" t="s">
        <v>818</v>
      </c>
      <c r="N774" s="222"/>
      <c r="O774" s="269">
        <v>358.8</v>
      </c>
      <c r="P774" s="222"/>
      <c r="Q774" s="251"/>
      <c r="R774" s="251"/>
      <c r="S774" s="251"/>
      <c r="T774" s="251"/>
      <c r="U774" s="251"/>
      <c r="V774" s="251"/>
      <c r="W774" s="199"/>
    </row>
    <row r="775">
      <c r="A775" s="283"/>
      <c r="B775" s="328" t="s">
        <v>714</v>
      </c>
      <c r="C775" s="222"/>
      <c r="D775" s="257">
        <v>2025.45</v>
      </c>
      <c r="E775" s="222"/>
      <c r="F775" s="248"/>
      <c r="G775" s="260"/>
      <c r="H775" s="260"/>
      <c r="I775" s="260"/>
      <c r="J775" s="260"/>
      <c r="K775" s="348"/>
      <c r="L775" s="199"/>
      <c r="M775" s="255"/>
      <c r="N775" s="222"/>
      <c r="O775" s="255"/>
      <c r="P775" s="222"/>
      <c r="Q775" s="251"/>
      <c r="R775" s="251"/>
      <c r="S775" s="251"/>
      <c r="T775" s="251"/>
      <c r="U775" s="251"/>
      <c r="V775" s="251"/>
      <c r="W775" s="199"/>
    </row>
    <row r="776">
      <c r="A776" s="283"/>
      <c r="B776" s="329"/>
      <c r="C776" s="224"/>
      <c r="D776" s="224"/>
      <c r="E776" s="222"/>
      <c r="F776" s="248"/>
      <c r="G776" s="260"/>
      <c r="H776" s="260"/>
      <c r="I776" s="260"/>
      <c r="J776" s="260"/>
      <c r="K776" s="348"/>
      <c r="L776" s="199"/>
      <c r="M776" s="255"/>
      <c r="N776" s="222"/>
      <c r="O776" s="255"/>
      <c r="P776" s="222"/>
      <c r="Q776" s="251"/>
      <c r="R776" s="251"/>
      <c r="S776" s="251"/>
      <c r="T776" s="251"/>
      <c r="U776" s="251"/>
      <c r="V776" s="251"/>
      <c r="W776" s="199"/>
    </row>
    <row r="777">
      <c r="A777" s="283"/>
      <c r="B777" s="330" t="s">
        <v>715</v>
      </c>
      <c r="C777" s="222"/>
      <c r="D777" s="265"/>
      <c r="E777" s="222"/>
      <c r="F777" s="248"/>
      <c r="G777" s="260"/>
      <c r="H777" s="260"/>
      <c r="I777" s="260"/>
      <c r="J777" s="260"/>
      <c r="K777" s="348"/>
      <c r="L777" s="199"/>
      <c r="M777" s="255"/>
      <c r="N777" s="222"/>
      <c r="O777" s="255"/>
      <c r="P777" s="222"/>
      <c r="Q777" s="251"/>
      <c r="R777" s="251"/>
      <c r="S777" s="251"/>
      <c r="T777" s="251"/>
      <c r="U777" s="251"/>
      <c r="V777" s="251"/>
      <c r="W777" s="199"/>
    </row>
    <row r="778">
      <c r="A778" s="283"/>
      <c r="B778" s="334"/>
      <c r="C778" s="222"/>
      <c r="D778" s="265"/>
      <c r="E778" s="222"/>
      <c r="F778" s="248"/>
      <c r="G778" s="260"/>
      <c r="H778" s="260"/>
      <c r="I778" s="260"/>
      <c r="J778" s="260"/>
      <c r="K778" s="348"/>
      <c r="L778" s="199"/>
      <c r="M778" s="255"/>
      <c r="N778" s="222"/>
      <c r="O778" s="255"/>
      <c r="P778" s="222"/>
      <c r="Q778" s="251"/>
      <c r="R778" s="251"/>
      <c r="S778" s="251"/>
      <c r="T778" s="251"/>
      <c r="U778" s="251"/>
      <c r="V778" s="251"/>
      <c r="W778" s="199"/>
    </row>
    <row r="779">
      <c r="A779" s="283"/>
      <c r="B779" s="334"/>
      <c r="C779" s="222"/>
      <c r="D779" s="265"/>
      <c r="E779" s="222"/>
      <c r="F779" s="248"/>
      <c r="G779" s="260"/>
      <c r="H779" s="260"/>
      <c r="I779" s="260"/>
      <c r="J779" s="260"/>
      <c r="K779" s="348"/>
      <c r="L779" s="199"/>
      <c r="M779" s="268" t="s">
        <v>714</v>
      </c>
      <c r="N779" s="222"/>
      <c r="O779" s="269">
        <v>358.8</v>
      </c>
      <c r="P779" s="222"/>
      <c r="Q779" s="251"/>
      <c r="R779" s="251"/>
      <c r="S779" s="251"/>
      <c r="T779" s="251"/>
      <c r="U779" s="251"/>
      <c r="V779" s="251"/>
      <c r="W779" s="199"/>
    </row>
    <row r="780">
      <c r="A780" s="283"/>
      <c r="B780" s="334"/>
      <c r="C780" s="222"/>
      <c r="D780" s="265"/>
      <c r="E780" s="222"/>
      <c r="F780" s="248"/>
      <c r="G780" s="260"/>
      <c r="H780" s="260"/>
      <c r="I780" s="260"/>
      <c r="J780" s="260"/>
      <c r="K780" s="348"/>
      <c r="L780" s="199"/>
      <c r="M780" s="251"/>
      <c r="N780" s="251"/>
      <c r="O780" s="270"/>
      <c r="Q780" s="251"/>
      <c r="R780" s="251"/>
      <c r="S780" s="251"/>
      <c r="T780" s="251"/>
      <c r="U780" s="251"/>
      <c r="V780" s="251"/>
      <c r="W780" s="199"/>
    </row>
    <row r="781">
      <c r="A781" s="283"/>
      <c r="B781" s="334"/>
      <c r="C781" s="222"/>
      <c r="D781" s="265"/>
      <c r="E781" s="222"/>
      <c r="F781" s="248"/>
      <c r="G781" s="260"/>
      <c r="H781" s="260"/>
      <c r="I781" s="260"/>
      <c r="J781" s="260"/>
      <c r="K781" s="348"/>
      <c r="L781" s="199"/>
      <c r="M781" s="271" t="s">
        <v>715</v>
      </c>
      <c r="N781" s="222"/>
      <c r="O781" s="272"/>
      <c r="P781" s="222"/>
      <c r="Q781" s="251"/>
      <c r="R781" s="251"/>
      <c r="S781" s="251"/>
      <c r="T781" s="251"/>
      <c r="U781" s="251"/>
      <c r="V781" s="251"/>
      <c r="W781" s="199"/>
    </row>
    <row r="782">
      <c r="A782" s="283"/>
      <c r="B782" s="334"/>
      <c r="C782" s="222"/>
      <c r="D782" s="265"/>
      <c r="E782" s="222"/>
      <c r="F782" s="248"/>
      <c r="G782" s="248"/>
      <c r="H782" s="276" t="s">
        <v>720</v>
      </c>
      <c r="I782" s="211"/>
      <c r="J782" s="277">
        <v>4565.65</v>
      </c>
      <c r="K782" s="314"/>
      <c r="L782" s="199"/>
      <c r="M782" s="272"/>
      <c r="N782" s="222"/>
      <c r="O782" s="272"/>
      <c r="P782" s="222"/>
      <c r="Q782" s="251"/>
      <c r="R782" s="251"/>
      <c r="S782" s="273" t="s">
        <v>719</v>
      </c>
      <c r="T782" s="211"/>
      <c r="U782" s="274">
        <v>2899.0</v>
      </c>
      <c r="V782" s="211"/>
      <c r="W782" s="199"/>
    </row>
    <row r="783">
      <c r="A783" s="283"/>
      <c r="B783" s="334"/>
      <c r="C783" s="222"/>
      <c r="D783" s="265"/>
      <c r="E783" s="222"/>
      <c r="F783" s="248"/>
      <c r="G783" s="248"/>
      <c r="H783" s="278"/>
      <c r="I783" s="56"/>
      <c r="J783" s="278"/>
      <c r="K783" s="333"/>
      <c r="L783" s="199"/>
      <c r="M783" s="272"/>
      <c r="N783" s="222"/>
      <c r="O783" s="272"/>
      <c r="P783" s="222"/>
      <c r="Q783" s="251"/>
      <c r="R783" s="251"/>
      <c r="S783" s="278"/>
      <c r="T783" s="56"/>
      <c r="U783" s="278"/>
      <c r="V783" s="56"/>
      <c r="W783" s="199"/>
    </row>
    <row r="784">
      <c r="A784" s="283"/>
      <c r="B784" s="334"/>
      <c r="C784" s="222"/>
      <c r="D784" s="265"/>
      <c r="E784" s="222"/>
      <c r="F784" s="248"/>
      <c r="G784" s="248"/>
      <c r="H784" s="215"/>
      <c r="I784" s="64"/>
      <c r="J784" s="215"/>
      <c r="K784" s="313"/>
      <c r="L784" s="199"/>
      <c r="M784" s="272"/>
      <c r="N784" s="222"/>
      <c r="O784" s="272"/>
      <c r="P784" s="222"/>
      <c r="Q784" s="251"/>
      <c r="R784" s="251"/>
      <c r="S784" s="215"/>
      <c r="T784" s="64"/>
      <c r="U784" s="215"/>
      <c r="V784" s="64"/>
      <c r="W784" s="199"/>
    </row>
    <row r="785">
      <c r="A785" s="283"/>
      <c r="B785" s="334"/>
      <c r="C785" s="222"/>
      <c r="D785" s="265"/>
      <c r="E785" s="222"/>
      <c r="F785" s="248"/>
      <c r="G785" s="248"/>
      <c r="H785" s="248"/>
      <c r="I785" s="248"/>
      <c r="J785" s="248"/>
      <c r="K785" s="325"/>
      <c r="L785" s="199"/>
      <c r="M785" s="272"/>
      <c r="N785" s="222"/>
      <c r="O785" s="272"/>
      <c r="P785" s="222"/>
      <c r="Q785" s="251"/>
      <c r="R785" s="251"/>
      <c r="S785" s="251"/>
      <c r="T785" s="251"/>
      <c r="U785" s="251"/>
      <c r="V785" s="251"/>
      <c r="W785" s="199"/>
    </row>
    <row r="786">
      <c r="A786" s="283"/>
      <c r="B786" s="334"/>
      <c r="C786" s="222"/>
      <c r="D786" s="265"/>
      <c r="E786" s="222"/>
      <c r="F786" s="248"/>
      <c r="G786" s="248"/>
      <c r="H786" s="248"/>
      <c r="I786" s="248"/>
      <c r="J786" s="248"/>
      <c r="K786" s="325"/>
      <c r="L786" s="199"/>
      <c r="M786" s="272"/>
      <c r="N786" s="222"/>
      <c r="O786" s="272"/>
      <c r="P786" s="222"/>
      <c r="Q786" s="251"/>
      <c r="R786" s="251"/>
      <c r="S786" s="251"/>
      <c r="T786" s="251"/>
      <c r="U786" s="251"/>
      <c r="V786" s="251"/>
      <c r="W786" s="199"/>
    </row>
    <row r="787">
      <c r="A787" s="283"/>
      <c r="B787" s="334"/>
      <c r="C787" s="222"/>
      <c r="D787" s="265"/>
      <c r="E787" s="222"/>
      <c r="F787" s="248"/>
      <c r="G787" s="248"/>
      <c r="H787" s="248"/>
      <c r="I787" s="248"/>
      <c r="J787" s="248"/>
      <c r="K787" s="325"/>
      <c r="L787" s="199"/>
      <c r="M787" s="280" t="s">
        <v>721</v>
      </c>
      <c r="N787" s="222"/>
      <c r="O787" s="281">
        <v>0.0</v>
      </c>
      <c r="P787" s="222"/>
      <c r="Q787" s="251"/>
      <c r="R787" s="251"/>
      <c r="S787" s="251"/>
      <c r="T787" s="251"/>
      <c r="U787" s="251"/>
      <c r="V787" s="251"/>
      <c r="W787" s="199"/>
    </row>
    <row r="788">
      <c r="A788" s="283"/>
      <c r="B788" s="334"/>
      <c r="C788" s="222"/>
      <c r="D788" s="265"/>
      <c r="E788" s="222"/>
      <c r="F788" s="248"/>
      <c r="G788" s="248"/>
      <c r="H788" s="248"/>
      <c r="I788" s="248"/>
      <c r="J788" s="248"/>
      <c r="K788" s="325"/>
      <c r="L788" s="199"/>
      <c r="M788" s="282"/>
      <c r="N788" s="282"/>
      <c r="O788" s="282"/>
      <c r="P788" s="282"/>
      <c r="Q788" s="282"/>
      <c r="R788" s="282"/>
      <c r="S788" s="282"/>
      <c r="T788" s="282"/>
      <c r="U788" s="282"/>
      <c r="V788" s="282"/>
      <c r="W788" s="199"/>
    </row>
    <row r="789">
      <c r="A789" s="283"/>
      <c r="B789" s="331" t="s">
        <v>721</v>
      </c>
      <c r="C789" s="222"/>
      <c r="D789" s="267">
        <v>0.0</v>
      </c>
      <c r="E789" s="222"/>
      <c r="F789" s="248"/>
      <c r="G789" s="248"/>
      <c r="H789" s="248"/>
      <c r="I789" s="248"/>
      <c r="J789" s="248"/>
      <c r="K789" s="325"/>
      <c r="L789" s="199"/>
      <c r="M789" s="199"/>
      <c r="N789" s="199"/>
      <c r="O789" s="199"/>
      <c r="P789" s="199"/>
      <c r="Q789" s="199"/>
      <c r="R789" s="199"/>
      <c r="S789" s="199"/>
      <c r="T789" s="199"/>
      <c r="U789" s="199"/>
      <c r="V789" s="199"/>
      <c r="W789" s="199"/>
    </row>
    <row r="790">
      <c r="A790" s="283"/>
      <c r="B790" s="345"/>
      <c r="C790" s="370"/>
      <c r="D790" s="346"/>
      <c r="E790" s="346"/>
      <c r="F790" s="346"/>
      <c r="G790" s="346"/>
      <c r="H790" s="346"/>
      <c r="I790" s="346"/>
      <c r="J790" s="346"/>
      <c r="K790" s="347"/>
      <c r="L790" s="199"/>
      <c r="M790" s="199"/>
      <c r="N790" s="199"/>
      <c r="O790" s="199"/>
      <c r="P790" s="199"/>
      <c r="Q790" s="199"/>
      <c r="R790" s="199"/>
      <c r="S790" s="199"/>
      <c r="T790" s="199"/>
      <c r="U790" s="199"/>
      <c r="V790" s="199"/>
      <c r="W790" s="199"/>
    </row>
    <row r="791">
      <c r="A791" s="283"/>
      <c r="B791" s="260"/>
      <c r="C791" s="260"/>
      <c r="D791" s="260"/>
      <c r="E791" s="260"/>
      <c r="F791" s="260"/>
      <c r="G791" s="260"/>
      <c r="H791" s="260"/>
      <c r="I791" s="260"/>
      <c r="J791" s="260"/>
      <c r="K791" s="260"/>
      <c r="L791" s="199"/>
      <c r="M791" s="199"/>
      <c r="N791" s="199"/>
      <c r="O791" s="199"/>
      <c r="P791" s="199"/>
      <c r="Q791" s="199"/>
      <c r="R791" s="199"/>
      <c r="S791" s="199"/>
      <c r="T791" s="199"/>
      <c r="U791" s="199"/>
      <c r="V791" s="199"/>
      <c r="W791" s="199"/>
    </row>
    <row r="792">
      <c r="A792" s="283"/>
      <c r="B792" s="306"/>
      <c r="C792" s="307"/>
      <c r="D792" s="307"/>
      <c r="E792" s="307"/>
      <c r="F792" s="307"/>
      <c r="G792" s="308" t="s">
        <v>700</v>
      </c>
      <c r="H792" s="309"/>
      <c r="I792" s="310" t="s">
        <v>701</v>
      </c>
      <c r="J792" s="307"/>
      <c r="K792" s="311"/>
      <c r="L792" s="199"/>
      <c r="M792" s="287"/>
      <c r="R792" s="210" t="s">
        <v>700</v>
      </c>
      <c r="S792" s="211"/>
      <c r="T792" s="212" t="s">
        <v>701</v>
      </c>
      <c r="U792" s="213"/>
      <c r="V792" s="211"/>
      <c r="W792" s="199"/>
    </row>
    <row r="793">
      <c r="A793" s="283"/>
      <c r="B793" s="312"/>
      <c r="G793" s="215"/>
      <c r="H793" s="64"/>
      <c r="I793" s="215"/>
      <c r="J793" s="216"/>
      <c r="K793" s="313"/>
      <c r="L793" s="199"/>
      <c r="R793" s="215"/>
      <c r="S793" s="64"/>
      <c r="T793" s="215"/>
      <c r="U793" s="216"/>
      <c r="V793" s="64"/>
      <c r="W793" s="199"/>
    </row>
    <row r="794">
      <c r="A794" s="283"/>
      <c r="B794" s="312"/>
      <c r="G794" s="218" t="s">
        <v>702</v>
      </c>
      <c r="H794" s="211"/>
      <c r="I794" s="219" t="s">
        <v>819</v>
      </c>
      <c r="J794" s="213"/>
      <c r="K794" s="314"/>
      <c r="L794" s="199"/>
      <c r="R794" s="210" t="s">
        <v>351</v>
      </c>
      <c r="S794" s="211"/>
      <c r="T794" s="212" t="s">
        <v>523</v>
      </c>
      <c r="U794" s="213"/>
      <c r="V794" s="211"/>
      <c r="W794" s="199"/>
    </row>
    <row r="795">
      <c r="A795" s="283"/>
      <c r="B795" s="312"/>
      <c r="G795" s="215"/>
      <c r="H795" s="64"/>
      <c r="I795" s="215"/>
      <c r="J795" s="216"/>
      <c r="K795" s="313"/>
      <c r="L795" s="199"/>
      <c r="R795" s="215"/>
      <c r="S795" s="64"/>
      <c r="T795" s="215"/>
      <c r="U795" s="216"/>
      <c r="V795" s="64"/>
      <c r="W795" s="199"/>
    </row>
    <row r="796">
      <c r="A796" s="283"/>
      <c r="B796" s="312"/>
      <c r="G796" s="218" t="s">
        <v>703</v>
      </c>
      <c r="H796" s="211"/>
      <c r="I796" s="219">
        <v>3881.0</v>
      </c>
      <c r="J796" s="213"/>
      <c r="K796" s="314"/>
      <c r="L796" s="199"/>
      <c r="R796" s="210" t="s">
        <v>703</v>
      </c>
      <c r="S796" s="211"/>
      <c r="T796" s="212">
        <v>3881.0</v>
      </c>
      <c r="U796" s="213"/>
      <c r="V796" s="211"/>
      <c r="W796" s="199"/>
    </row>
    <row r="797">
      <c r="A797" s="283"/>
      <c r="B797" s="312"/>
      <c r="G797" s="215"/>
      <c r="H797" s="64"/>
      <c r="I797" s="215"/>
      <c r="J797" s="216"/>
      <c r="K797" s="313"/>
      <c r="L797" s="199"/>
      <c r="R797" s="215"/>
      <c r="S797" s="64"/>
      <c r="T797" s="215"/>
      <c r="U797" s="216"/>
      <c r="V797" s="64"/>
      <c r="W797" s="199"/>
    </row>
    <row r="798">
      <c r="A798" s="283"/>
      <c r="B798" s="315" t="s">
        <v>704</v>
      </c>
      <c r="C798" s="222"/>
      <c r="D798" s="223" t="s">
        <v>5</v>
      </c>
      <c r="E798" s="222"/>
      <c r="F798" s="223" t="s">
        <v>705</v>
      </c>
      <c r="G798" s="224"/>
      <c r="H798" s="222"/>
      <c r="I798" s="225" t="s">
        <v>8</v>
      </c>
      <c r="J798" s="225" t="s">
        <v>706</v>
      </c>
      <c r="K798" s="316" t="s">
        <v>707</v>
      </c>
      <c r="L798" s="199"/>
      <c r="M798" s="227" t="s">
        <v>704</v>
      </c>
      <c r="N798" s="222"/>
      <c r="O798" s="227" t="s">
        <v>5</v>
      </c>
      <c r="P798" s="222"/>
      <c r="Q798" s="227" t="s">
        <v>705</v>
      </c>
      <c r="R798" s="224"/>
      <c r="S798" s="222"/>
      <c r="T798" s="228" t="s">
        <v>591</v>
      </c>
      <c r="U798" s="228" t="s">
        <v>708</v>
      </c>
      <c r="V798" s="228" t="s">
        <v>707</v>
      </c>
      <c r="W798" s="199"/>
    </row>
    <row r="799">
      <c r="A799" s="283"/>
      <c r="B799" s="317">
        <v>45972.0</v>
      </c>
      <c r="C799" s="222"/>
      <c r="D799" s="223">
        <v>4213171.0</v>
      </c>
      <c r="E799" s="222"/>
      <c r="F799" s="223" t="s">
        <v>820</v>
      </c>
      <c r="G799" s="224"/>
      <c r="H799" s="222"/>
      <c r="I799" s="232">
        <v>1900.0</v>
      </c>
      <c r="J799" s="233">
        <v>0.88</v>
      </c>
      <c r="K799" s="318">
        <v>1672.0</v>
      </c>
      <c r="L799" s="199"/>
      <c r="M799" s="235">
        <v>45972.0</v>
      </c>
      <c r="N799" s="222"/>
      <c r="O799" s="227">
        <v>4213171.0</v>
      </c>
      <c r="P799" s="222"/>
      <c r="Q799" s="227" t="s">
        <v>820</v>
      </c>
      <c r="R799" s="224"/>
      <c r="S799" s="222"/>
      <c r="T799" s="228">
        <v>1357.0</v>
      </c>
      <c r="U799" s="228">
        <v>0.65</v>
      </c>
      <c r="V799" s="237">
        <v>882.05</v>
      </c>
      <c r="W799" s="199"/>
    </row>
    <row r="800">
      <c r="A800" s="283"/>
      <c r="B800" s="319"/>
      <c r="C800" s="222"/>
      <c r="D800" s="240"/>
      <c r="E800" s="222"/>
      <c r="F800" s="240"/>
      <c r="G800" s="224"/>
      <c r="H800" s="222"/>
      <c r="I800" s="241"/>
      <c r="J800" s="233">
        <v>0.88</v>
      </c>
      <c r="K800" s="318">
        <v>0.0</v>
      </c>
      <c r="L800" s="199"/>
      <c r="M800" s="243"/>
      <c r="N800" s="222"/>
      <c r="O800" s="243"/>
      <c r="P800" s="222"/>
      <c r="Q800" s="243"/>
      <c r="R800" s="224"/>
      <c r="S800" s="222"/>
      <c r="T800" s="244"/>
      <c r="U800" s="228">
        <v>0.65</v>
      </c>
      <c r="V800" s="237">
        <v>0.0</v>
      </c>
      <c r="W800" s="199"/>
    </row>
    <row r="801">
      <c r="A801" s="283"/>
      <c r="B801" s="319"/>
      <c r="C801" s="222"/>
      <c r="D801" s="240"/>
      <c r="E801" s="222"/>
      <c r="F801" s="240"/>
      <c r="G801" s="224"/>
      <c r="H801" s="222"/>
      <c r="I801" s="241"/>
      <c r="J801" s="233">
        <v>0.88</v>
      </c>
      <c r="K801" s="318">
        <v>0.0</v>
      </c>
      <c r="L801" s="199"/>
      <c r="M801" s="243"/>
      <c r="N801" s="222"/>
      <c r="O801" s="243"/>
      <c r="P801" s="222"/>
      <c r="Q801" s="243"/>
      <c r="R801" s="224"/>
      <c r="S801" s="222"/>
      <c r="T801" s="244"/>
      <c r="U801" s="228">
        <v>0.65</v>
      </c>
      <c r="V801" s="237">
        <v>0.0</v>
      </c>
      <c r="W801" s="199"/>
    </row>
    <row r="802">
      <c r="A802" s="283"/>
      <c r="B802" s="319"/>
      <c r="C802" s="222"/>
      <c r="D802" s="240"/>
      <c r="E802" s="222"/>
      <c r="F802" s="240"/>
      <c r="G802" s="224"/>
      <c r="H802" s="222"/>
      <c r="I802" s="288"/>
      <c r="J802" s="241"/>
      <c r="K802" s="321"/>
      <c r="L802" s="199"/>
      <c r="M802" s="243"/>
      <c r="N802" s="222"/>
      <c r="O802" s="243"/>
      <c r="P802" s="222"/>
      <c r="Q802" s="243"/>
      <c r="R802" s="224"/>
      <c r="S802" s="222"/>
      <c r="T802" s="244"/>
      <c r="U802" s="228">
        <v>0.65</v>
      </c>
      <c r="V802" s="237">
        <v>0.0</v>
      </c>
      <c r="W802" s="199"/>
    </row>
    <row r="803">
      <c r="A803" s="283"/>
      <c r="B803" s="322" t="s">
        <v>711</v>
      </c>
      <c r="C803" s="224"/>
      <c r="D803" s="224"/>
      <c r="E803" s="224"/>
      <c r="F803" s="224"/>
      <c r="G803" s="224"/>
      <c r="H803" s="222"/>
      <c r="I803" s="232">
        <v>1900.0</v>
      </c>
      <c r="J803" s="241"/>
      <c r="K803" s="318">
        <v>1672.0</v>
      </c>
      <c r="L803" s="199"/>
      <c r="M803" s="246" t="s">
        <v>711</v>
      </c>
      <c r="N803" s="224"/>
      <c r="O803" s="224"/>
      <c r="P803" s="224"/>
      <c r="Q803" s="224"/>
      <c r="R803" s="224"/>
      <c r="S803" s="222"/>
      <c r="T803" s="228">
        <v>1357.0</v>
      </c>
      <c r="U803" s="244"/>
      <c r="V803" s="237">
        <v>882.05</v>
      </c>
      <c r="W803" s="199"/>
    </row>
    <row r="804">
      <c r="A804" s="283"/>
      <c r="B804" s="324"/>
      <c r="C804" s="248"/>
      <c r="D804" s="248"/>
      <c r="E804" s="248"/>
      <c r="F804" s="248"/>
      <c r="G804" s="248"/>
      <c r="H804" s="248"/>
      <c r="I804" s="248"/>
      <c r="J804" s="248"/>
      <c r="K804" s="325"/>
      <c r="L804" s="199"/>
      <c r="M804" s="251"/>
      <c r="N804" s="251"/>
      <c r="O804" s="251"/>
      <c r="P804" s="251"/>
      <c r="Q804" s="251"/>
      <c r="R804" s="251"/>
      <c r="S804" s="251"/>
      <c r="T804" s="251"/>
      <c r="U804" s="251"/>
      <c r="V804" s="251"/>
      <c r="W804" s="199"/>
    </row>
    <row r="805">
      <c r="A805" s="283"/>
      <c r="B805" s="326" t="s">
        <v>712</v>
      </c>
      <c r="C805" s="222"/>
      <c r="D805" s="253"/>
      <c r="E805" s="222"/>
      <c r="F805" s="248"/>
      <c r="G805" s="248"/>
      <c r="H805" s="248"/>
      <c r="I805" s="248"/>
      <c r="J805" s="248"/>
      <c r="K805" s="325"/>
      <c r="L805" s="199"/>
      <c r="M805" s="254" t="s">
        <v>712</v>
      </c>
      <c r="N805" s="222"/>
      <c r="O805" s="255"/>
      <c r="P805" s="222"/>
      <c r="Q805" s="251"/>
      <c r="R805" s="251"/>
      <c r="S805" s="251"/>
      <c r="T805" s="251"/>
      <c r="U805" s="251"/>
      <c r="V805" s="251"/>
      <c r="W805" s="199"/>
    </row>
    <row r="806">
      <c r="A806" s="283"/>
      <c r="B806" s="327"/>
      <c r="C806" s="222"/>
      <c r="D806" s="253"/>
      <c r="E806" s="222"/>
      <c r="F806" s="248"/>
      <c r="G806" s="248"/>
      <c r="H806" s="248"/>
      <c r="I806" s="248"/>
      <c r="J806" s="248"/>
      <c r="K806" s="325"/>
      <c r="L806" s="199"/>
      <c r="M806" s="255"/>
      <c r="N806" s="222"/>
      <c r="O806" s="255"/>
      <c r="P806" s="222"/>
      <c r="Q806" s="251"/>
      <c r="R806" s="251"/>
      <c r="S806" s="251"/>
      <c r="T806" s="251"/>
      <c r="U806" s="251"/>
      <c r="V806" s="251"/>
      <c r="W806" s="199"/>
    </row>
    <row r="807">
      <c r="A807" s="283"/>
      <c r="B807" s="327"/>
      <c r="C807" s="222"/>
      <c r="D807" s="253"/>
      <c r="E807" s="222"/>
      <c r="F807" s="248"/>
      <c r="G807" s="260"/>
      <c r="H807" s="260"/>
      <c r="I807" s="260"/>
      <c r="J807" s="260"/>
      <c r="K807" s="348"/>
      <c r="L807" s="199"/>
      <c r="M807" s="255"/>
      <c r="N807" s="222"/>
      <c r="O807" s="255"/>
      <c r="P807" s="222"/>
      <c r="Q807" s="251"/>
      <c r="R807" s="251"/>
      <c r="S807" s="251"/>
      <c r="T807" s="251"/>
      <c r="U807" s="251"/>
      <c r="V807" s="251"/>
      <c r="W807" s="199"/>
    </row>
    <row r="808">
      <c r="A808" s="283"/>
      <c r="B808" s="328" t="s">
        <v>714</v>
      </c>
      <c r="C808" s="222"/>
      <c r="D808" s="257">
        <v>0.0</v>
      </c>
      <c r="E808" s="222"/>
      <c r="F808" s="248"/>
      <c r="G808" s="260"/>
      <c r="H808" s="260"/>
      <c r="I808" s="260"/>
      <c r="J808" s="260"/>
      <c r="K808" s="348"/>
      <c r="L808" s="199"/>
      <c r="M808" s="255"/>
      <c r="N808" s="222"/>
      <c r="O808" s="255"/>
      <c r="P808" s="222"/>
      <c r="Q808" s="251"/>
      <c r="R808" s="251"/>
      <c r="S808" s="251"/>
      <c r="T808" s="251"/>
      <c r="U808" s="251"/>
      <c r="V808" s="251"/>
      <c r="W808" s="199"/>
    </row>
    <row r="809">
      <c r="A809" s="283"/>
      <c r="B809" s="329"/>
      <c r="C809" s="224"/>
      <c r="D809" s="224"/>
      <c r="E809" s="222"/>
      <c r="F809" s="248"/>
      <c r="G809" s="260"/>
      <c r="H809" s="260"/>
      <c r="I809" s="260"/>
      <c r="J809" s="260"/>
      <c r="K809" s="348"/>
      <c r="L809" s="199"/>
      <c r="M809" s="255"/>
      <c r="N809" s="222"/>
      <c r="O809" s="255"/>
      <c r="P809" s="222"/>
      <c r="Q809" s="251"/>
      <c r="R809" s="251"/>
      <c r="S809" s="251"/>
      <c r="T809" s="251"/>
      <c r="U809" s="251"/>
      <c r="V809" s="251"/>
      <c r="W809" s="199"/>
    </row>
    <row r="810">
      <c r="A810" s="283"/>
      <c r="B810" s="330" t="s">
        <v>715</v>
      </c>
      <c r="C810" s="222"/>
      <c r="D810" s="265"/>
      <c r="E810" s="222"/>
      <c r="F810" s="248"/>
      <c r="G810" s="260"/>
      <c r="H810" s="260"/>
      <c r="I810" s="260"/>
      <c r="J810" s="260"/>
      <c r="K810" s="348"/>
      <c r="L810" s="199"/>
      <c r="M810" s="255"/>
      <c r="N810" s="222"/>
      <c r="O810" s="255"/>
      <c r="P810" s="222"/>
      <c r="Q810" s="251"/>
      <c r="R810" s="251"/>
      <c r="S810" s="251"/>
      <c r="T810" s="251"/>
      <c r="U810" s="251"/>
      <c r="V810" s="251"/>
      <c r="W810" s="199"/>
    </row>
    <row r="811">
      <c r="A811" s="283"/>
      <c r="B811" s="331" t="s">
        <v>716</v>
      </c>
      <c r="C811" s="222"/>
      <c r="D811" s="267">
        <v>0.0</v>
      </c>
      <c r="E811" s="222"/>
      <c r="F811" s="248"/>
      <c r="G811" s="260"/>
      <c r="H811" s="260"/>
      <c r="I811" s="260"/>
      <c r="J811" s="260"/>
      <c r="K811" s="348"/>
      <c r="L811" s="199"/>
      <c r="M811" s="268" t="s">
        <v>714</v>
      </c>
      <c r="N811" s="222"/>
      <c r="O811" s="269">
        <v>0.0</v>
      </c>
      <c r="P811" s="222"/>
      <c r="Q811" s="251"/>
      <c r="R811" s="251"/>
      <c r="S811" s="251"/>
      <c r="T811" s="251"/>
      <c r="U811" s="251"/>
      <c r="V811" s="251"/>
      <c r="W811" s="199"/>
    </row>
    <row r="812">
      <c r="A812" s="283"/>
      <c r="B812" s="331" t="s">
        <v>717</v>
      </c>
      <c r="C812" s="222"/>
      <c r="D812" s="267">
        <v>0.0</v>
      </c>
      <c r="E812" s="222"/>
      <c r="F812" s="248"/>
      <c r="G812" s="260"/>
      <c r="H812" s="260"/>
      <c r="I812" s="260"/>
      <c r="J812" s="260"/>
      <c r="K812" s="348"/>
      <c r="L812" s="199"/>
      <c r="M812" s="251"/>
      <c r="N812" s="251"/>
      <c r="O812" s="270"/>
      <c r="Q812" s="251"/>
      <c r="R812" s="251"/>
      <c r="S812" s="251"/>
      <c r="T812" s="251"/>
      <c r="U812" s="251"/>
      <c r="V812" s="251"/>
      <c r="W812" s="199"/>
    </row>
    <row r="813">
      <c r="A813" s="283"/>
      <c r="B813" s="331" t="s">
        <v>718</v>
      </c>
      <c r="C813" s="222"/>
      <c r="D813" s="267">
        <v>0.0</v>
      </c>
      <c r="E813" s="222"/>
      <c r="F813" s="248"/>
      <c r="G813" s="260"/>
      <c r="H813" s="260"/>
      <c r="I813" s="260"/>
      <c r="J813" s="260"/>
      <c r="K813" s="348"/>
      <c r="L813" s="199"/>
      <c r="M813" s="271" t="s">
        <v>715</v>
      </c>
      <c r="N813" s="222"/>
      <c r="O813" s="272"/>
      <c r="P813" s="222"/>
      <c r="Q813" s="251"/>
      <c r="R813" s="251"/>
      <c r="S813" s="251"/>
      <c r="T813" s="251"/>
      <c r="U813" s="251"/>
      <c r="V813" s="251"/>
      <c r="W813" s="199"/>
    </row>
    <row r="814">
      <c r="A814" s="283"/>
      <c r="B814" s="331" t="s">
        <v>656</v>
      </c>
      <c r="C814" s="222"/>
      <c r="D814" s="267">
        <v>1335.56</v>
      </c>
      <c r="E814" s="222"/>
      <c r="F814" s="248"/>
      <c r="G814" s="260"/>
      <c r="H814" s="260"/>
      <c r="I814" s="260"/>
      <c r="J814" s="260"/>
      <c r="K814" s="348"/>
      <c r="L814" s="199"/>
      <c r="M814" s="371" t="s">
        <v>821</v>
      </c>
      <c r="N814" s="222"/>
      <c r="O814" s="281">
        <v>150.0</v>
      </c>
      <c r="P814" s="222"/>
      <c r="Q814" s="251"/>
      <c r="R814" s="251"/>
      <c r="S814" s="273" t="s">
        <v>719</v>
      </c>
      <c r="T814" s="211"/>
      <c r="U814" s="274">
        <v>732.05</v>
      </c>
      <c r="V814" s="211"/>
      <c r="W814" s="199"/>
    </row>
    <row r="815">
      <c r="A815" s="283"/>
      <c r="B815" s="331" t="s">
        <v>821</v>
      </c>
      <c r="C815" s="222"/>
      <c r="D815" s="267">
        <v>150.0</v>
      </c>
      <c r="E815" s="222"/>
      <c r="F815" s="248"/>
      <c r="G815" s="248"/>
      <c r="H815" s="276" t="s">
        <v>720</v>
      </c>
      <c r="I815" s="211"/>
      <c r="J815" s="277">
        <v>186.44</v>
      </c>
      <c r="K815" s="314"/>
      <c r="L815" s="199"/>
      <c r="M815" s="272"/>
      <c r="N815" s="222"/>
      <c r="O815" s="272"/>
      <c r="P815" s="222"/>
      <c r="Q815" s="251"/>
      <c r="R815" s="251"/>
      <c r="S815" s="278"/>
      <c r="T815" s="56"/>
      <c r="U815" s="278"/>
      <c r="V815" s="56"/>
      <c r="W815" s="199"/>
    </row>
    <row r="816">
      <c r="A816" s="283"/>
      <c r="B816" s="334"/>
      <c r="C816" s="222"/>
      <c r="D816" s="265"/>
      <c r="E816" s="222"/>
      <c r="F816" s="248"/>
      <c r="G816" s="248"/>
      <c r="H816" s="278"/>
      <c r="I816" s="56"/>
      <c r="J816" s="278"/>
      <c r="K816" s="333"/>
      <c r="L816" s="199"/>
      <c r="M816" s="272"/>
      <c r="N816" s="222"/>
      <c r="O816" s="272"/>
      <c r="P816" s="222"/>
      <c r="Q816" s="251"/>
      <c r="R816" s="251"/>
      <c r="S816" s="215"/>
      <c r="T816" s="64"/>
      <c r="U816" s="215"/>
      <c r="V816" s="64"/>
      <c r="W816" s="199"/>
    </row>
    <row r="817">
      <c r="A817" s="283"/>
      <c r="B817" s="334"/>
      <c r="C817" s="222"/>
      <c r="D817" s="265"/>
      <c r="E817" s="222"/>
      <c r="F817" s="248"/>
      <c r="G817" s="248"/>
      <c r="H817" s="215"/>
      <c r="I817" s="64"/>
      <c r="J817" s="215"/>
      <c r="K817" s="313"/>
      <c r="L817" s="199"/>
      <c r="M817" s="272"/>
      <c r="N817" s="222"/>
      <c r="O817" s="272"/>
      <c r="P817" s="222"/>
      <c r="Q817" s="251"/>
      <c r="R817" s="251"/>
      <c r="S817" s="251"/>
      <c r="T817" s="251"/>
      <c r="U817" s="251"/>
      <c r="V817" s="251"/>
      <c r="W817" s="199"/>
    </row>
    <row r="818">
      <c r="A818" s="283"/>
      <c r="B818" s="334"/>
      <c r="C818" s="222"/>
      <c r="D818" s="265"/>
      <c r="E818" s="222"/>
      <c r="F818" s="248"/>
      <c r="G818" s="248"/>
      <c r="H818" s="248"/>
      <c r="I818" s="248"/>
      <c r="J818" s="248"/>
      <c r="K818" s="325"/>
      <c r="L818" s="199"/>
      <c r="M818" s="272"/>
      <c r="N818" s="222"/>
      <c r="O818" s="272"/>
      <c r="P818" s="222"/>
      <c r="Q818" s="251"/>
      <c r="R818" s="251"/>
      <c r="S818" s="251"/>
      <c r="T818" s="251"/>
      <c r="U818" s="251"/>
      <c r="V818" s="251"/>
      <c r="W818" s="199"/>
    </row>
    <row r="819">
      <c r="A819" s="283"/>
      <c r="B819" s="334"/>
      <c r="C819" s="222"/>
      <c r="D819" s="265"/>
      <c r="E819" s="222"/>
      <c r="F819" s="248"/>
      <c r="G819" s="248"/>
      <c r="H819" s="248"/>
      <c r="I819" s="248"/>
      <c r="J819" s="248"/>
      <c r="K819" s="325"/>
      <c r="L819" s="199"/>
      <c r="M819" s="280" t="s">
        <v>721</v>
      </c>
      <c r="N819" s="222"/>
      <c r="O819" s="281">
        <v>150.0</v>
      </c>
      <c r="P819" s="222"/>
      <c r="Q819" s="251"/>
      <c r="R819" s="251"/>
      <c r="S819" s="251"/>
      <c r="T819" s="251"/>
      <c r="U819" s="251"/>
      <c r="V819" s="251"/>
      <c r="W819" s="199"/>
    </row>
    <row r="820">
      <c r="A820" s="283"/>
      <c r="B820" s="331" t="s">
        <v>721</v>
      </c>
      <c r="C820" s="222"/>
      <c r="D820" s="267">
        <v>1485.56</v>
      </c>
      <c r="E820" s="222"/>
      <c r="F820" s="248"/>
      <c r="G820" s="248"/>
      <c r="H820" s="248"/>
      <c r="I820" s="248"/>
      <c r="J820" s="248"/>
      <c r="K820" s="325"/>
      <c r="L820" s="199"/>
      <c r="M820" s="282"/>
      <c r="N820" s="282"/>
      <c r="O820" s="282"/>
      <c r="P820" s="282"/>
      <c r="Q820" s="282"/>
      <c r="R820" s="282"/>
      <c r="S820" s="282"/>
      <c r="T820" s="282"/>
      <c r="U820" s="282"/>
      <c r="V820" s="282"/>
      <c r="W820" s="199"/>
    </row>
    <row r="821">
      <c r="A821" s="283"/>
      <c r="B821" s="345"/>
      <c r="C821" s="346"/>
      <c r="D821" s="346"/>
      <c r="E821" s="346"/>
      <c r="F821" s="346"/>
      <c r="G821" s="346"/>
      <c r="H821" s="346"/>
      <c r="I821" s="346"/>
      <c r="J821" s="346"/>
      <c r="K821" s="347"/>
      <c r="L821" s="199"/>
      <c r="M821" s="282"/>
      <c r="N821" s="282"/>
      <c r="O821" s="282"/>
      <c r="P821" s="282"/>
      <c r="Q821" s="282"/>
      <c r="R821" s="282"/>
      <c r="S821" s="282"/>
      <c r="T821" s="282"/>
      <c r="U821" s="282"/>
      <c r="V821" s="282"/>
      <c r="W821" s="199"/>
    </row>
    <row r="822">
      <c r="A822" s="283"/>
      <c r="B822" s="260"/>
      <c r="C822" s="260"/>
      <c r="D822" s="260"/>
      <c r="E822" s="260"/>
      <c r="F822" s="260"/>
      <c r="G822" s="260"/>
      <c r="H822" s="260"/>
      <c r="I822" s="260"/>
      <c r="J822" s="260"/>
      <c r="K822" s="260"/>
      <c r="L822" s="199"/>
      <c r="M822" s="199"/>
      <c r="N822" s="199"/>
      <c r="O822" s="199"/>
      <c r="P822" s="199"/>
      <c r="Q822" s="199"/>
      <c r="R822" s="199"/>
      <c r="S822" s="199"/>
      <c r="T822" s="199"/>
      <c r="U822" s="199"/>
      <c r="V822" s="199"/>
      <c r="W822" s="199"/>
    </row>
    <row r="823">
      <c r="A823" s="283"/>
      <c r="B823" s="306"/>
      <c r="C823" s="307"/>
      <c r="D823" s="307"/>
      <c r="E823" s="307"/>
      <c r="F823" s="307"/>
      <c r="G823" s="308" t="s">
        <v>700</v>
      </c>
      <c r="H823" s="309"/>
      <c r="I823" s="310" t="s">
        <v>701</v>
      </c>
      <c r="J823" s="307"/>
      <c r="K823" s="311"/>
      <c r="L823" s="199"/>
      <c r="M823" s="287"/>
      <c r="R823" s="210" t="s">
        <v>700</v>
      </c>
      <c r="S823" s="211"/>
      <c r="T823" s="212" t="s">
        <v>701</v>
      </c>
      <c r="U823" s="213"/>
      <c r="V823" s="211"/>
      <c r="W823" s="199"/>
    </row>
    <row r="824">
      <c r="A824" s="283"/>
      <c r="B824" s="312"/>
      <c r="G824" s="215"/>
      <c r="H824" s="64"/>
      <c r="I824" s="215"/>
      <c r="J824" s="216"/>
      <c r="K824" s="313"/>
      <c r="L824" s="199"/>
      <c r="R824" s="215"/>
      <c r="S824" s="64"/>
      <c r="T824" s="215"/>
      <c r="U824" s="216"/>
      <c r="V824" s="64"/>
      <c r="W824" s="199"/>
    </row>
    <row r="825">
      <c r="A825" s="283"/>
      <c r="B825" s="312"/>
      <c r="G825" s="218" t="s">
        <v>702</v>
      </c>
      <c r="H825" s="211"/>
      <c r="I825" s="219" t="s">
        <v>819</v>
      </c>
      <c r="J825" s="213"/>
      <c r="K825" s="314"/>
      <c r="L825" s="199"/>
      <c r="R825" s="210" t="s">
        <v>351</v>
      </c>
      <c r="S825" s="211"/>
      <c r="T825" s="212" t="s">
        <v>822</v>
      </c>
      <c r="U825" s="213"/>
      <c r="V825" s="211"/>
      <c r="W825" s="199"/>
    </row>
    <row r="826">
      <c r="A826" s="283"/>
      <c r="B826" s="312"/>
      <c r="G826" s="215"/>
      <c r="H826" s="64"/>
      <c r="I826" s="215"/>
      <c r="J826" s="216"/>
      <c r="K826" s="313"/>
      <c r="L826" s="199"/>
      <c r="R826" s="215"/>
      <c r="S826" s="64"/>
      <c r="T826" s="215"/>
      <c r="U826" s="216"/>
      <c r="V826" s="64"/>
      <c r="W826" s="199"/>
    </row>
    <row r="827">
      <c r="A827" s="283"/>
      <c r="B827" s="312"/>
      <c r="G827" s="218" t="s">
        <v>703</v>
      </c>
      <c r="H827" s="211"/>
      <c r="I827" s="219">
        <v>6813.0</v>
      </c>
      <c r="J827" s="213"/>
      <c r="K827" s="314"/>
      <c r="L827" s="199"/>
      <c r="R827" s="210" t="s">
        <v>703</v>
      </c>
      <c r="S827" s="211"/>
      <c r="T827" s="212">
        <v>6813.0</v>
      </c>
      <c r="U827" s="213"/>
      <c r="V827" s="211"/>
      <c r="W827" s="199"/>
    </row>
    <row r="828">
      <c r="A828" s="283"/>
      <c r="B828" s="312"/>
      <c r="G828" s="215"/>
      <c r="H828" s="64"/>
      <c r="I828" s="215"/>
      <c r="J828" s="216"/>
      <c r="K828" s="313"/>
      <c r="L828" s="199"/>
      <c r="R828" s="215"/>
      <c r="S828" s="64"/>
      <c r="T828" s="215"/>
      <c r="U828" s="216"/>
      <c r="V828" s="64"/>
      <c r="W828" s="199"/>
    </row>
    <row r="829">
      <c r="A829" s="283"/>
      <c r="B829" s="315" t="s">
        <v>704</v>
      </c>
      <c r="C829" s="222"/>
      <c r="D829" s="223" t="s">
        <v>5</v>
      </c>
      <c r="E829" s="222"/>
      <c r="F829" s="223" t="s">
        <v>705</v>
      </c>
      <c r="G829" s="224"/>
      <c r="H829" s="222"/>
      <c r="I829" s="225" t="s">
        <v>8</v>
      </c>
      <c r="J829" s="225" t="s">
        <v>706</v>
      </c>
      <c r="K829" s="316" t="s">
        <v>707</v>
      </c>
      <c r="L829" s="199"/>
      <c r="M829" s="227" t="s">
        <v>704</v>
      </c>
      <c r="N829" s="222"/>
      <c r="O829" s="227" t="s">
        <v>5</v>
      </c>
      <c r="P829" s="222"/>
      <c r="Q829" s="227" t="s">
        <v>705</v>
      </c>
      <c r="R829" s="224"/>
      <c r="S829" s="222"/>
      <c r="T829" s="228" t="s">
        <v>591</v>
      </c>
      <c r="U829" s="228" t="s">
        <v>708</v>
      </c>
      <c r="V829" s="228" t="s">
        <v>707</v>
      </c>
      <c r="W829" s="199"/>
    </row>
    <row r="830">
      <c r="A830" s="283"/>
      <c r="B830" s="317">
        <v>45973.0</v>
      </c>
      <c r="C830" s="222"/>
      <c r="D830" s="223">
        <v>491977.0</v>
      </c>
      <c r="E830" s="222"/>
      <c r="F830" s="223" t="s">
        <v>823</v>
      </c>
      <c r="G830" s="224"/>
      <c r="H830" s="222"/>
      <c r="I830" s="232">
        <v>1300.0</v>
      </c>
      <c r="J830" s="233">
        <v>0.88</v>
      </c>
      <c r="K830" s="318">
        <v>1144.0</v>
      </c>
      <c r="L830" s="199"/>
      <c r="M830" s="235">
        <v>45973.0</v>
      </c>
      <c r="N830" s="222"/>
      <c r="O830" s="227">
        <v>491977.0</v>
      </c>
      <c r="P830" s="222"/>
      <c r="Q830" s="227" t="s">
        <v>823</v>
      </c>
      <c r="R830" s="224"/>
      <c r="S830" s="222"/>
      <c r="T830" s="228">
        <v>746.0</v>
      </c>
      <c r="U830" s="228">
        <v>0.65</v>
      </c>
      <c r="V830" s="237">
        <v>484.9</v>
      </c>
      <c r="W830" s="199"/>
    </row>
    <row r="831">
      <c r="A831" s="283"/>
      <c r="B831" s="317">
        <v>45975.0</v>
      </c>
      <c r="C831" s="222"/>
      <c r="D831" s="223">
        <v>6.000001532E9</v>
      </c>
      <c r="E831" s="222"/>
      <c r="F831" s="223" t="s">
        <v>824</v>
      </c>
      <c r="G831" s="224"/>
      <c r="H831" s="222"/>
      <c r="I831" s="232">
        <v>2500.0</v>
      </c>
      <c r="J831" s="233">
        <v>0.88</v>
      </c>
      <c r="K831" s="318">
        <v>2200.0</v>
      </c>
      <c r="L831" s="199"/>
      <c r="M831" s="235">
        <v>45975.0</v>
      </c>
      <c r="N831" s="222"/>
      <c r="O831" s="227">
        <v>6.000001532E9</v>
      </c>
      <c r="P831" s="222"/>
      <c r="Q831" s="227" t="s">
        <v>824</v>
      </c>
      <c r="R831" s="224"/>
      <c r="S831" s="222"/>
      <c r="T831" s="228">
        <v>1479.0</v>
      </c>
      <c r="U831" s="228">
        <v>0.65</v>
      </c>
      <c r="V831" s="237">
        <v>961.35</v>
      </c>
      <c r="W831" s="199"/>
    </row>
    <row r="832">
      <c r="A832" s="283"/>
      <c r="B832" s="319"/>
      <c r="C832" s="222"/>
      <c r="D832" s="240"/>
      <c r="E832" s="222"/>
      <c r="F832" s="240"/>
      <c r="G832" s="224"/>
      <c r="H832" s="222"/>
      <c r="I832" s="241"/>
      <c r="J832" s="233">
        <v>0.88</v>
      </c>
      <c r="K832" s="318">
        <v>0.0</v>
      </c>
      <c r="L832" s="199"/>
      <c r="M832" s="243"/>
      <c r="N832" s="222"/>
      <c r="O832" s="243"/>
      <c r="P832" s="222"/>
      <c r="Q832" s="243"/>
      <c r="R832" s="224"/>
      <c r="S832" s="222"/>
      <c r="T832" s="244"/>
      <c r="U832" s="228">
        <v>0.65</v>
      </c>
      <c r="V832" s="237">
        <v>0.0</v>
      </c>
      <c r="W832" s="199"/>
    </row>
    <row r="833">
      <c r="A833" s="283"/>
      <c r="B833" s="319"/>
      <c r="C833" s="222"/>
      <c r="D833" s="240"/>
      <c r="E833" s="222"/>
      <c r="F833" s="240"/>
      <c r="G833" s="224"/>
      <c r="H833" s="222"/>
      <c r="I833" s="288"/>
      <c r="J833" s="241"/>
      <c r="K833" s="321"/>
      <c r="L833" s="199"/>
      <c r="M833" s="243"/>
      <c r="N833" s="222"/>
      <c r="O833" s="243"/>
      <c r="P833" s="222"/>
      <c r="Q833" s="243"/>
      <c r="R833" s="224"/>
      <c r="S833" s="222"/>
      <c r="T833" s="244"/>
      <c r="U833" s="228">
        <v>0.65</v>
      </c>
      <c r="V833" s="237">
        <v>0.0</v>
      </c>
      <c r="W833" s="199"/>
    </row>
    <row r="834">
      <c r="A834" s="283"/>
      <c r="B834" s="322" t="s">
        <v>711</v>
      </c>
      <c r="C834" s="224"/>
      <c r="D834" s="224"/>
      <c r="E834" s="224"/>
      <c r="F834" s="224"/>
      <c r="G834" s="224"/>
      <c r="H834" s="222"/>
      <c r="I834" s="232">
        <v>3800.0</v>
      </c>
      <c r="J834" s="241"/>
      <c r="K834" s="318">
        <v>3344.0</v>
      </c>
      <c r="L834" s="199"/>
      <c r="M834" s="246" t="s">
        <v>711</v>
      </c>
      <c r="N834" s="224"/>
      <c r="O834" s="224"/>
      <c r="P834" s="224"/>
      <c r="Q834" s="224"/>
      <c r="R834" s="224"/>
      <c r="S834" s="222"/>
      <c r="T834" s="228">
        <v>2225.0</v>
      </c>
      <c r="U834" s="244"/>
      <c r="V834" s="237">
        <v>1446.25</v>
      </c>
      <c r="W834" s="199"/>
    </row>
    <row r="835">
      <c r="A835" s="283"/>
      <c r="B835" s="324"/>
      <c r="C835" s="248"/>
      <c r="D835" s="248"/>
      <c r="E835" s="248"/>
      <c r="F835" s="248"/>
      <c r="G835" s="248"/>
      <c r="H835" s="248"/>
      <c r="I835" s="248"/>
      <c r="J835" s="248"/>
      <c r="K835" s="325"/>
      <c r="L835" s="199"/>
      <c r="M835" s="251"/>
      <c r="N835" s="251"/>
      <c r="O835" s="251"/>
      <c r="P835" s="251"/>
      <c r="Q835" s="251"/>
      <c r="R835" s="251"/>
      <c r="S835" s="251"/>
      <c r="T835" s="251"/>
      <c r="U835" s="251"/>
      <c r="V835" s="251"/>
      <c r="W835" s="199"/>
    </row>
    <row r="836">
      <c r="A836" s="283"/>
      <c r="B836" s="326" t="s">
        <v>712</v>
      </c>
      <c r="C836" s="222"/>
      <c r="D836" s="253"/>
      <c r="E836" s="222"/>
      <c r="F836" s="248"/>
      <c r="G836" s="248"/>
      <c r="H836" s="248"/>
      <c r="I836" s="248"/>
      <c r="J836" s="248"/>
      <c r="K836" s="325"/>
      <c r="L836" s="199"/>
      <c r="M836" s="254" t="s">
        <v>712</v>
      </c>
      <c r="N836" s="222"/>
      <c r="O836" s="255"/>
      <c r="P836" s="222"/>
      <c r="Q836" s="251"/>
      <c r="R836" s="251"/>
      <c r="S836" s="251"/>
      <c r="T836" s="251"/>
      <c r="U836" s="251"/>
      <c r="V836" s="251"/>
      <c r="W836" s="199"/>
    </row>
    <row r="837">
      <c r="A837" s="283"/>
      <c r="B837" s="327"/>
      <c r="C837" s="222"/>
      <c r="D837" s="253"/>
      <c r="E837" s="222"/>
      <c r="F837" s="248"/>
      <c r="G837" s="248"/>
      <c r="H837" s="248"/>
      <c r="I837" s="248"/>
      <c r="J837" s="248"/>
      <c r="K837" s="325"/>
      <c r="L837" s="199"/>
      <c r="M837" s="255"/>
      <c r="N837" s="222"/>
      <c r="O837" s="255"/>
      <c r="P837" s="222"/>
      <c r="Q837" s="251"/>
      <c r="R837" s="251"/>
      <c r="S837" s="251"/>
      <c r="T837" s="251"/>
      <c r="U837" s="251"/>
      <c r="V837" s="251"/>
      <c r="W837" s="199"/>
    </row>
    <row r="838">
      <c r="A838" s="283"/>
      <c r="B838" s="327"/>
      <c r="C838" s="222"/>
      <c r="D838" s="253"/>
      <c r="E838" s="222"/>
      <c r="F838" s="248"/>
      <c r="G838" s="260"/>
      <c r="H838" s="260"/>
      <c r="I838" s="260"/>
      <c r="J838" s="260"/>
      <c r="K838" s="348"/>
      <c r="L838" s="199"/>
      <c r="M838" s="255"/>
      <c r="N838" s="222"/>
      <c r="O838" s="255"/>
      <c r="P838" s="222"/>
      <c r="Q838" s="251"/>
      <c r="R838" s="251"/>
      <c r="S838" s="251"/>
      <c r="T838" s="251"/>
      <c r="U838" s="251"/>
      <c r="V838" s="251"/>
      <c r="W838" s="199"/>
    </row>
    <row r="839">
      <c r="A839" s="283"/>
      <c r="B839" s="328" t="s">
        <v>714</v>
      </c>
      <c r="C839" s="222"/>
      <c r="D839" s="257">
        <v>0.0</v>
      </c>
      <c r="E839" s="222"/>
      <c r="F839" s="248"/>
      <c r="G839" s="260"/>
      <c r="H839" s="260"/>
      <c r="I839" s="260"/>
      <c r="J839" s="260"/>
      <c r="K839" s="348"/>
      <c r="L839" s="199"/>
      <c r="M839" s="255"/>
      <c r="N839" s="222"/>
      <c r="O839" s="255"/>
      <c r="P839" s="222"/>
      <c r="Q839" s="251"/>
      <c r="R839" s="251"/>
      <c r="S839" s="251"/>
      <c r="T839" s="251"/>
      <c r="U839" s="251"/>
      <c r="V839" s="251"/>
      <c r="W839" s="199"/>
    </row>
    <row r="840">
      <c r="A840" s="283"/>
      <c r="B840" s="329"/>
      <c r="C840" s="224"/>
      <c r="D840" s="224"/>
      <c r="E840" s="222"/>
      <c r="F840" s="248"/>
      <c r="G840" s="260"/>
      <c r="H840" s="260"/>
      <c r="I840" s="260"/>
      <c r="J840" s="260"/>
      <c r="K840" s="348"/>
      <c r="L840" s="199"/>
      <c r="M840" s="255"/>
      <c r="N840" s="222"/>
      <c r="O840" s="255"/>
      <c r="P840" s="222"/>
      <c r="Q840" s="251"/>
      <c r="R840" s="251"/>
      <c r="S840" s="251"/>
      <c r="T840" s="251"/>
      <c r="U840" s="251"/>
      <c r="V840" s="251"/>
      <c r="W840" s="199"/>
    </row>
    <row r="841">
      <c r="A841" s="283"/>
      <c r="B841" s="330" t="s">
        <v>715</v>
      </c>
      <c r="C841" s="222"/>
      <c r="D841" s="265"/>
      <c r="E841" s="222"/>
      <c r="F841" s="248"/>
      <c r="G841" s="260"/>
      <c r="H841" s="260"/>
      <c r="I841" s="260"/>
      <c r="J841" s="260"/>
      <c r="K841" s="348"/>
      <c r="L841" s="199"/>
      <c r="M841" s="255"/>
      <c r="N841" s="222"/>
      <c r="O841" s="255"/>
      <c r="P841" s="222"/>
      <c r="Q841" s="251"/>
      <c r="R841" s="251"/>
      <c r="S841" s="251"/>
      <c r="T841" s="251"/>
      <c r="U841" s="251"/>
      <c r="V841" s="251"/>
      <c r="W841" s="199"/>
    </row>
    <row r="842">
      <c r="A842" s="283"/>
      <c r="B842" s="331" t="s">
        <v>716</v>
      </c>
      <c r="C842" s="222"/>
      <c r="D842" s="267">
        <v>0.0</v>
      </c>
      <c r="E842" s="222"/>
      <c r="F842" s="248"/>
      <c r="G842" s="260"/>
      <c r="H842" s="260"/>
      <c r="I842" s="260"/>
      <c r="J842" s="260"/>
      <c r="K842" s="348"/>
      <c r="L842" s="199"/>
      <c r="M842" s="268" t="s">
        <v>714</v>
      </c>
      <c r="N842" s="222"/>
      <c r="O842" s="269">
        <v>0.0</v>
      </c>
      <c r="P842" s="222"/>
      <c r="Q842" s="251"/>
      <c r="R842" s="251"/>
      <c r="S842" s="251"/>
      <c r="T842" s="251"/>
      <c r="U842" s="251"/>
      <c r="V842" s="251"/>
      <c r="W842" s="199"/>
    </row>
    <row r="843">
      <c r="A843" s="283"/>
      <c r="B843" s="331" t="s">
        <v>717</v>
      </c>
      <c r="C843" s="222"/>
      <c r="D843" s="267">
        <v>0.0</v>
      </c>
      <c r="E843" s="222"/>
      <c r="F843" s="248"/>
      <c r="G843" s="260"/>
      <c r="H843" s="260"/>
      <c r="I843" s="260"/>
      <c r="J843" s="260"/>
      <c r="K843" s="348"/>
      <c r="L843" s="199"/>
      <c r="M843" s="251"/>
      <c r="N843" s="251"/>
      <c r="O843" s="270"/>
      <c r="Q843" s="251"/>
      <c r="R843" s="251"/>
      <c r="S843" s="251"/>
      <c r="T843" s="251"/>
      <c r="U843" s="251"/>
      <c r="V843" s="251"/>
      <c r="W843" s="199"/>
    </row>
    <row r="844">
      <c r="A844" s="283"/>
      <c r="B844" s="331" t="s">
        <v>718</v>
      </c>
      <c r="C844" s="222"/>
      <c r="D844" s="267">
        <v>0.0</v>
      </c>
      <c r="E844" s="222"/>
      <c r="F844" s="248"/>
      <c r="G844" s="260"/>
      <c r="H844" s="260"/>
      <c r="I844" s="260"/>
      <c r="J844" s="260"/>
      <c r="K844" s="348"/>
      <c r="L844" s="199"/>
      <c r="M844" s="271" t="s">
        <v>715</v>
      </c>
      <c r="N844" s="222"/>
      <c r="O844" s="272"/>
      <c r="P844" s="222"/>
      <c r="Q844" s="251"/>
      <c r="R844" s="251"/>
      <c r="S844" s="251"/>
      <c r="T844" s="251"/>
      <c r="U844" s="251"/>
      <c r="V844" s="251"/>
      <c r="W844" s="199"/>
    </row>
    <row r="845">
      <c r="A845" s="283"/>
      <c r="B845" s="331" t="s">
        <v>656</v>
      </c>
      <c r="C845" s="222"/>
      <c r="D845" s="267">
        <v>1259.5</v>
      </c>
      <c r="E845" s="222"/>
      <c r="F845" s="248"/>
      <c r="G845" s="260"/>
      <c r="H845" s="260"/>
      <c r="I845" s="260"/>
      <c r="J845" s="260"/>
      <c r="K845" s="348"/>
      <c r="L845" s="199"/>
      <c r="M845" s="272"/>
      <c r="N845" s="222"/>
      <c r="O845" s="272"/>
      <c r="P845" s="222"/>
      <c r="Q845" s="251"/>
      <c r="R845" s="251"/>
      <c r="S845" s="273" t="s">
        <v>719</v>
      </c>
      <c r="T845" s="211"/>
      <c r="U845" s="274">
        <v>1446.25</v>
      </c>
      <c r="V845" s="211"/>
      <c r="W845" s="199"/>
    </row>
    <row r="846">
      <c r="A846" s="283"/>
      <c r="B846" s="334"/>
      <c r="C846" s="222"/>
      <c r="D846" s="353"/>
      <c r="E846" s="222"/>
      <c r="F846" s="248"/>
      <c r="G846" s="248"/>
      <c r="H846" s="276" t="s">
        <v>720</v>
      </c>
      <c r="I846" s="211"/>
      <c r="J846" s="277">
        <v>2084.5</v>
      </c>
      <c r="K846" s="314"/>
      <c r="L846" s="199"/>
      <c r="M846" s="272"/>
      <c r="N846" s="222"/>
      <c r="O846" s="272"/>
      <c r="P846" s="222"/>
      <c r="Q846" s="251"/>
      <c r="R846" s="251"/>
      <c r="S846" s="278"/>
      <c r="T846" s="56"/>
      <c r="U846" s="278"/>
      <c r="V846" s="56"/>
      <c r="W846" s="199"/>
    </row>
    <row r="847">
      <c r="A847" s="283"/>
      <c r="B847" s="334"/>
      <c r="C847" s="222"/>
      <c r="D847" s="265"/>
      <c r="E847" s="222"/>
      <c r="F847" s="248"/>
      <c r="G847" s="248"/>
      <c r="H847" s="278"/>
      <c r="I847" s="56"/>
      <c r="J847" s="278"/>
      <c r="K847" s="333"/>
      <c r="L847" s="199"/>
      <c r="M847" s="272"/>
      <c r="N847" s="222"/>
      <c r="O847" s="272"/>
      <c r="P847" s="222"/>
      <c r="Q847" s="251"/>
      <c r="R847" s="251"/>
      <c r="S847" s="215"/>
      <c r="T847" s="64"/>
      <c r="U847" s="215"/>
      <c r="V847" s="64"/>
      <c r="W847" s="199"/>
    </row>
    <row r="848">
      <c r="A848" s="283"/>
      <c r="B848" s="334"/>
      <c r="C848" s="222"/>
      <c r="D848" s="265"/>
      <c r="E848" s="222"/>
      <c r="F848" s="248"/>
      <c r="G848" s="248"/>
      <c r="H848" s="215"/>
      <c r="I848" s="64"/>
      <c r="J848" s="215"/>
      <c r="K848" s="313"/>
      <c r="L848" s="199"/>
      <c r="M848" s="272"/>
      <c r="N848" s="222"/>
      <c r="O848" s="272"/>
      <c r="P848" s="222"/>
      <c r="Q848" s="251"/>
      <c r="R848" s="251"/>
      <c r="S848" s="251"/>
      <c r="T848" s="251"/>
      <c r="U848" s="251"/>
      <c r="V848" s="251"/>
      <c r="W848" s="199"/>
    </row>
    <row r="849">
      <c r="A849" s="283"/>
      <c r="B849" s="334"/>
      <c r="C849" s="222"/>
      <c r="D849" s="265"/>
      <c r="E849" s="222"/>
      <c r="F849" s="248"/>
      <c r="G849" s="248"/>
      <c r="H849" s="248"/>
      <c r="I849" s="248"/>
      <c r="J849" s="248"/>
      <c r="K849" s="325"/>
      <c r="L849" s="199"/>
      <c r="M849" s="272"/>
      <c r="N849" s="222"/>
      <c r="O849" s="272"/>
      <c r="P849" s="222"/>
      <c r="Q849" s="251"/>
      <c r="R849" s="251"/>
      <c r="S849" s="251"/>
      <c r="T849" s="251"/>
      <c r="U849" s="251"/>
      <c r="V849" s="251"/>
      <c r="W849" s="199"/>
    </row>
    <row r="850">
      <c r="A850" s="283"/>
      <c r="B850" s="334"/>
      <c r="C850" s="222"/>
      <c r="D850" s="265"/>
      <c r="E850" s="222"/>
      <c r="F850" s="248"/>
      <c r="G850" s="248"/>
      <c r="H850" s="248"/>
      <c r="I850" s="248"/>
      <c r="J850" s="248"/>
      <c r="K850" s="325"/>
      <c r="L850" s="199"/>
      <c r="M850" s="280" t="s">
        <v>721</v>
      </c>
      <c r="N850" s="222"/>
      <c r="O850" s="281">
        <v>0.0</v>
      </c>
      <c r="P850" s="222"/>
      <c r="Q850" s="251"/>
      <c r="R850" s="251"/>
      <c r="S850" s="251"/>
      <c r="T850" s="251"/>
      <c r="U850" s="251"/>
      <c r="V850" s="251"/>
      <c r="W850" s="199"/>
    </row>
    <row r="851">
      <c r="A851" s="283"/>
      <c r="B851" s="331" t="s">
        <v>721</v>
      </c>
      <c r="C851" s="222"/>
      <c r="D851" s="267">
        <v>1259.5</v>
      </c>
      <c r="E851" s="222"/>
      <c r="F851" s="248"/>
      <c r="G851" s="248"/>
      <c r="H851" s="248"/>
      <c r="I851" s="248"/>
      <c r="J851" s="248"/>
      <c r="K851" s="325"/>
      <c r="L851" s="199"/>
      <c r="M851" s="282"/>
      <c r="N851" s="282"/>
      <c r="O851" s="282"/>
      <c r="P851" s="282"/>
      <c r="Q851" s="282"/>
      <c r="R851" s="282"/>
      <c r="S851" s="282"/>
      <c r="T851" s="282"/>
      <c r="U851" s="282"/>
      <c r="V851" s="282"/>
      <c r="W851" s="199"/>
    </row>
    <row r="852">
      <c r="A852" s="283"/>
      <c r="B852" s="345"/>
      <c r="C852" s="346"/>
      <c r="D852" s="346"/>
      <c r="E852" s="346"/>
      <c r="F852" s="346"/>
      <c r="G852" s="346"/>
      <c r="H852" s="346"/>
      <c r="I852" s="346"/>
      <c r="J852" s="346"/>
      <c r="K852" s="347"/>
      <c r="L852" s="199"/>
      <c r="M852" s="282"/>
      <c r="N852" s="282"/>
      <c r="O852" s="282"/>
      <c r="P852" s="282"/>
      <c r="Q852" s="282"/>
      <c r="R852" s="282"/>
      <c r="S852" s="282"/>
      <c r="T852" s="282"/>
      <c r="U852" s="282"/>
      <c r="V852" s="282"/>
      <c r="W852" s="199"/>
    </row>
    <row r="853">
      <c r="A853" s="283"/>
      <c r="B853" s="260"/>
      <c r="C853" s="260"/>
      <c r="D853" s="260"/>
      <c r="E853" s="260"/>
      <c r="F853" s="260"/>
      <c r="G853" s="260"/>
      <c r="H853" s="260"/>
      <c r="I853" s="260"/>
      <c r="J853" s="260"/>
      <c r="K853" s="260"/>
      <c r="L853" s="199"/>
      <c r="M853" s="199"/>
      <c r="N853" s="199"/>
      <c r="O853" s="199"/>
      <c r="P853" s="199"/>
      <c r="Q853" s="199"/>
      <c r="R853" s="199"/>
      <c r="S853" s="199"/>
      <c r="T853" s="199"/>
      <c r="U853" s="199"/>
      <c r="V853" s="199"/>
      <c r="W853" s="199"/>
    </row>
    <row r="854">
      <c r="A854" s="283"/>
      <c r="B854" s="306"/>
      <c r="C854" s="307"/>
      <c r="D854" s="307"/>
      <c r="E854" s="307"/>
      <c r="F854" s="307"/>
      <c r="G854" s="308" t="s">
        <v>700</v>
      </c>
      <c r="H854" s="309"/>
      <c r="I854" s="310" t="s">
        <v>701</v>
      </c>
      <c r="J854" s="307"/>
      <c r="K854" s="311"/>
      <c r="L854" s="199"/>
      <c r="M854" s="287"/>
      <c r="R854" s="210" t="s">
        <v>700</v>
      </c>
      <c r="S854" s="211"/>
      <c r="T854" s="212" t="s">
        <v>701</v>
      </c>
      <c r="U854" s="213"/>
      <c r="V854" s="211"/>
      <c r="W854" s="199"/>
    </row>
    <row r="855">
      <c r="A855" s="283"/>
      <c r="B855" s="312"/>
      <c r="G855" s="215"/>
      <c r="H855" s="64"/>
      <c r="I855" s="215"/>
      <c r="J855" s="216"/>
      <c r="K855" s="313"/>
      <c r="L855" s="199"/>
      <c r="R855" s="215"/>
      <c r="S855" s="64"/>
      <c r="T855" s="215"/>
      <c r="U855" s="216"/>
      <c r="V855" s="64"/>
      <c r="W855" s="199"/>
    </row>
    <row r="856">
      <c r="A856" s="283"/>
      <c r="B856" s="312"/>
      <c r="G856" s="218" t="s">
        <v>702</v>
      </c>
      <c r="H856" s="211"/>
      <c r="I856" s="219" t="s">
        <v>825</v>
      </c>
      <c r="J856" s="213"/>
      <c r="K856" s="314"/>
      <c r="L856" s="199"/>
      <c r="R856" s="210" t="s">
        <v>351</v>
      </c>
      <c r="S856" s="211"/>
      <c r="T856" s="212" t="s">
        <v>606</v>
      </c>
      <c r="U856" s="213"/>
      <c r="V856" s="211"/>
      <c r="W856" s="199"/>
    </row>
    <row r="857">
      <c r="A857" s="283"/>
      <c r="B857" s="312"/>
      <c r="G857" s="215"/>
      <c r="H857" s="64"/>
      <c r="I857" s="215"/>
      <c r="J857" s="216"/>
      <c r="K857" s="313"/>
      <c r="L857" s="199"/>
      <c r="R857" s="215"/>
      <c r="S857" s="64"/>
      <c r="T857" s="215"/>
      <c r="U857" s="216"/>
      <c r="V857" s="64"/>
      <c r="W857" s="199"/>
    </row>
    <row r="858">
      <c r="A858" s="283"/>
      <c r="B858" s="312"/>
      <c r="G858" s="218" t="s">
        <v>703</v>
      </c>
      <c r="H858" s="211"/>
      <c r="I858" s="219">
        <v>3866.0</v>
      </c>
      <c r="J858" s="213"/>
      <c r="K858" s="314"/>
      <c r="L858" s="199"/>
      <c r="R858" s="210" t="s">
        <v>703</v>
      </c>
      <c r="S858" s="211"/>
      <c r="T858" s="212">
        <v>3866.0</v>
      </c>
      <c r="U858" s="213"/>
      <c r="V858" s="211"/>
      <c r="W858" s="199"/>
    </row>
    <row r="859">
      <c r="A859" s="283"/>
      <c r="B859" s="312"/>
      <c r="G859" s="215"/>
      <c r="H859" s="64"/>
      <c r="I859" s="215"/>
      <c r="J859" s="216"/>
      <c r="K859" s="313"/>
      <c r="L859" s="199"/>
      <c r="R859" s="215"/>
      <c r="S859" s="64"/>
      <c r="T859" s="215"/>
      <c r="U859" s="216"/>
      <c r="V859" s="64"/>
      <c r="W859" s="199"/>
    </row>
    <row r="860">
      <c r="A860" s="283"/>
      <c r="B860" s="315" t="s">
        <v>704</v>
      </c>
      <c r="C860" s="222"/>
      <c r="D860" s="223" t="s">
        <v>5</v>
      </c>
      <c r="E860" s="222"/>
      <c r="F860" s="223" t="s">
        <v>705</v>
      </c>
      <c r="G860" s="224"/>
      <c r="H860" s="222"/>
      <c r="I860" s="225" t="s">
        <v>8</v>
      </c>
      <c r="J860" s="225" t="s">
        <v>706</v>
      </c>
      <c r="K860" s="316" t="s">
        <v>707</v>
      </c>
      <c r="L860" s="199"/>
      <c r="M860" s="227" t="s">
        <v>704</v>
      </c>
      <c r="N860" s="222"/>
      <c r="O860" s="227" t="s">
        <v>5</v>
      </c>
      <c r="P860" s="222"/>
      <c r="Q860" s="227" t="s">
        <v>705</v>
      </c>
      <c r="R860" s="224"/>
      <c r="S860" s="222"/>
      <c r="T860" s="228" t="s">
        <v>591</v>
      </c>
      <c r="U860" s="228" t="s">
        <v>708</v>
      </c>
      <c r="V860" s="228" t="s">
        <v>707</v>
      </c>
      <c r="W860" s="199"/>
    </row>
    <row r="861">
      <c r="A861" s="283"/>
      <c r="B861" s="317">
        <v>45973.0</v>
      </c>
      <c r="C861" s="222"/>
      <c r="D861" s="223" t="s">
        <v>826</v>
      </c>
      <c r="E861" s="222"/>
      <c r="F861" s="223" t="s">
        <v>827</v>
      </c>
      <c r="G861" s="224"/>
      <c r="H861" s="222"/>
      <c r="I861" s="232">
        <v>2500.0</v>
      </c>
      <c r="J861" s="233">
        <v>0.88</v>
      </c>
      <c r="K861" s="318">
        <v>2200.0</v>
      </c>
      <c r="L861" s="199"/>
      <c r="M861" s="235">
        <v>45973.0</v>
      </c>
      <c r="N861" s="222"/>
      <c r="O861" s="227" t="s">
        <v>826</v>
      </c>
      <c r="P861" s="222"/>
      <c r="Q861" s="227" t="s">
        <v>827</v>
      </c>
      <c r="R861" s="224"/>
      <c r="S861" s="222"/>
      <c r="T861" s="228">
        <v>986.0</v>
      </c>
      <c r="U861" s="228">
        <v>0.65</v>
      </c>
      <c r="V861" s="237">
        <v>640.9</v>
      </c>
      <c r="W861" s="199"/>
    </row>
    <row r="862">
      <c r="A862" s="283"/>
      <c r="B862" s="317">
        <v>45975.0</v>
      </c>
      <c r="C862" s="222"/>
      <c r="D862" s="223">
        <v>8943111.0</v>
      </c>
      <c r="E862" s="222"/>
      <c r="F862" s="223" t="s">
        <v>828</v>
      </c>
      <c r="G862" s="224"/>
      <c r="H862" s="222"/>
      <c r="I862" s="232">
        <v>6000.0</v>
      </c>
      <c r="J862" s="233">
        <v>0.88</v>
      </c>
      <c r="K862" s="318">
        <v>5280.0</v>
      </c>
      <c r="L862" s="199"/>
      <c r="M862" s="235">
        <v>45975.0</v>
      </c>
      <c r="N862" s="222"/>
      <c r="O862" s="227">
        <v>8943111.0</v>
      </c>
      <c r="P862" s="222"/>
      <c r="Q862" s="227" t="s">
        <v>828</v>
      </c>
      <c r="R862" s="224"/>
      <c r="S862" s="222"/>
      <c r="T862" s="228">
        <v>3093.0</v>
      </c>
      <c r="U862" s="228">
        <v>0.65</v>
      </c>
      <c r="V862" s="237">
        <v>2010.45</v>
      </c>
      <c r="W862" s="199"/>
    </row>
    <row r="863">
      <c r="A863" s="283"/>
      <c r="B863" s="319"/>
      <c r="C863" s="222"/>
      <c r="D863" s="240"/>
      <c r="E863" s="222"/>
      <c r="F863" s="240"/>
      <c r="G863" s="224"/>
      <c r="H863" s="222"/>
      <c r="I863" s="241"/>
      <c r="J863" s="233">
        <v>0.88</v>
      </c>
      <c r="K863" s="318">
        <v>0.0</v>
      </c>
      <c r="L863" s="199"/>
      <c r="M863" s="243"/>
      <c r="N863" s="222"/>
      <c r="O863" s="243"/>
      <c r="P863" s="222"/>
      <c r="Q863" s="243"/>
      <c r="R863" s="224"/>
      <c r="S863" s="222"/>
      <c r="T863" s="244"/>
      <c r="U863" s="228">
        <v>0.65</v>
      </c>
      <c r="V863" s="237">
        <v>0.0</v>
      </c>
      <c r="W863" s="199"/>
    </row>
    <row r="864">
      <c r="A864" s="283"/>
      <c r="B864" s="319"/>
      <c r="C864" s="222"/>
      <c r="D864" s="240"/>
      <c r="E864" s="222"/>
      <c r="F864" s="240"/>
      <c r="G864" s="224"/>
      <c r="H864" s="222"/>
      <c r="I864" s="241"/>
      <c r="J864" s="233">
        <v>0.88</v>
      </c>
      <c r="K864" s="318">
        <v>0.0</v>
      </c>
      <c r="L864" s="199"/>
      <c r="M864" s="243"/>
      <c r="N864" s="222"/>
      <c r="O864" s="243"/>
      <c r="P864" s="222"/>
      <c r="Q864" s="243"/>
      <c r="R864" s="224"/>
      <c r="S864" s="222"/>
      <c r="T864" s="244"/>
      <c r="U864" s="228">
        <v>0.65</v>
      </c>
      <c r="V864" s="237">
        <v>0.0</v>
      </c>
      <c r="W864" s="199"/>
    </row>
    <row r="865">
      <c r="A865" s="283"/>
      <c r="B865" s="319"/>
      <c r="C865" s="222"/>
      <c r="D865" s="240"/>
      <c r="E865" s="222"/>
      <c r="F865" s="240"/>
      <c r="G865" s="224"/>
      <c r="H865" s="222"/>
      <c r="I865" s="241"/>
      <c r="J865" s="233">
        <v>0.88</v>
      </c>
      <c r="K865" s="318">
        <v>0.0</v>
      </c>
      <c r="L865" s="199"/>
      <c r="M865" s="243"/>
      <c r="N865" s="222"/>
      <c r="O865" s="243"/>
      <c r="P865" s="222"/>
      <c r="Q865" s="243"/>
      <c r="R865" s="224"/>
      <c r="S865" s="222"/>
      <c r="T865" s="244"/>
      <c r="U865" s="228">
        <v>0.65</v>
      </c>
      <c r="V865" s="237">
        <v>0.0</v>
      </c>
      <c r="W865" s="199"/>
    </row>
    <row r="866">
      <c r="A866" s="283"/>
      <c r="B866" s="322" t="s">
        <v>711</v>
      </c>
      <c r="C866" s="224"/>
      <c r="D866" s="224"/>
      <c r="E866" s="224"/>
      <c r="F866" s="224"/>
      <c r="G866" s="224"/>
      <c r="H866" s="222"/>
      <c r="I866" s="291">
        <v>8500.0</v>
      </c>
      <c r="J866" s="241"/>
      <c r="K866" s="323">
        <v>7480.0</v>
      </c>
      <c r="L866" s="199"/>
      <c r="M866" s="243"/>
      <c r="N866" s="222"/>
      <c r="O866" s="243"/>
      <c r="P866" s="222"/>
      <c r="Q866" s="243"/>
      <c r="R866" s="224"/>
      <c r="S866" s="222"/>
      <c r="T866" s="290"/>
      <c r="U866" s="290"/>
      <c r="V866" s="244"/>
      <c r="W866" s="199"/>
    </row>
    <row r="867">
      <c r="A867" s="283"/>
      <c r="B867" s="324"/>
      <c r="C867" s="248"/>
      <c r="D867" s="248"/>
      <c r="E867" s="248"/>
      <c r="F867" s="248"/>
      <c r="G867" s="248"/>
      <c r="H867" s="248"/>
      <c r="I867" s="248"/>
      <c r="J867" s="248"/>
      <c r="K867" s="325"/>
      <c r="L867" s="199"/>
      <c r="M867" s="246" t="s">
        <v>711</v>
      </c>
      <c r="N867" s="224"/>
      <c r="O867" s="224"/>
      <c r="P867" s="224"/>
      <c r="Q867" s="224"/>
      <c r="R867" s="224"/>
      <c r="S867" s="222"/>
      <c r="T867" s="228">
        <v>4079.0</v>
      </c>
      <c r="U867" s="244"/>
      <c r="V867" s="237">
        <v>2651.35</v>
      </c>
      <c r="W867" s="199"/>
    </row>
    <row r="868">
      <c r="A868" s="283"/>
      <c r="B868" s="326" t="s">
        <v>712</v>
      </c>
      <c r="C868" s="222"/>
      <c r="D868" s="253"/>
      <c r="E868" s="222"/>
      <c r="F868" s="248"/>
      <c r="G868" s="248"/>
      <c r="H868" s="248"/>
      <c r="I868" s="248"/>
      <c r="J868" s="248"/>
      <c r="K868" s="325"/>
      <c r="L868" s="199"/>
      <c r="M868" s="251"/>
      <c r="N868" s="251"/>
      <c r="O868" s="251"/>
      <c r="P868" s="251"/>
      <c r="Q868" s="251"/>
      <c r="R868" s="251"/>
      <c r="S868" s="251"/>
      <c r="T868" s="251"/>
      <c r="U868" s="251"/>
      <c r="V868" s="251"/>
      <c r="W868" s="199"/>
    </row>
    <row r="869">
      <c r="A869" s="283"/>
      <c r="B869" s="327"/>
      <c r="C869" s="222"/>
      <c r="D869" s="253"/>
      <c r="E869" s="222"/>
      <c r="F869" s="248"/>
      <c r="G869" s="248"/>
      <c r="H869" s="248"/>
      <c r="I869" s="248"/>
      <c r="J869" s="248"/>
      <c r="K869" s="325"/>
      <c r="L869" s="199"/>
      <c r="M869" s="254" t="s">
        <v>712</v>
      </c>
      <c r="N869" s="222"/>
      <c r="O869" s="255"/>
      <c r="P869" s="222"/>
      <c r="Q869" s="251"/>
      <c r="R869" s="251"/>
      <c r="S869" s="251"/>
      <c r="T869" s="251"/>
      <c r="U869" s="251"/>
      <c r="V869" s="251"/>
      <c r="W869" s="199"/>
    </row>
    <row r="870">
      <c r="A870" s="283"/>
      <c r="B870" s="327"/>
      <c r="C870" s="222"/>
      <c r="D870" s="253"/>
      <c r="E870" s="222"/>
      <c r="F870" s="248"/>
      <c r="G870" s="248"/>
      <c r="H870" s="248"/>
      <c r="I870" s="248"/>
      <c r="J870" s="248"/>
      <c r="K870" s="325"/>
      <c r="L870" s="199"/>
      <c r="M870" s="255"/>
      <c r="N870" s="222"/>
      <c r="O870" s="255"/>
      <c r="P870" s="222"/>
      <c r="Q870" s="251"/>
      <c r="R870" s="251"/>
      <c r="S870" s="251"/>
      <c r="T870" s="251"/>
      <c r="U870" s="251"/>
      <c r="V870" s="251"/>
      <c r="W870" s="199"/>
    </row>
    <row r="871">
      <c r="A871" s="283"/>
      <c r="B871" s="328" t="s">
        <v>714</v>
      </c>
      <c r="C871" s="222"/>
      <c r="D871" s="257">
        <v>0.0</v>
      </c>
      <c r="E871" s="222"/>
      <c r="F871" s="248"/>
      <c r="G871" s="248"/>
      <c r="H871" s="248"/>
      <c r="I871" s="248"/>
      <c r="J871" s="248"/>
      <c r="K871" s="325"/>
      <c r="L871" s="199"/>
      <c r="M871" s="255"/>
      <c r="N871" s="222"/>
      <c r="O871" s="255"/>
      <c r="P871" s="222"/>
      <c r="Q871" s="251"/>
      <c r="R871" s="251"/>
      <c r="S871" s="251"/>
      <c r="T871" s="251"/>
      <c r="U871" s="251"/>
      <c r="V871" s="251"/>
      <c r="W871" s="199"/>
    </row>
    <row r="872">
      <c r="A872" s="283"/>
      <c r="B872" s="329"/>
      <c r="C872" s="224"/>
      <c r="D872" s="224"/>
      <c r="E872" s="222"/>
      <c r="F872" s="248"/>
      <c r="G872" s="248"/>
      <c r="H872" s="248"/>
      <c r="I872" s="248"/>
      <c r="J872" s="248"/>
      <c r="K872" s="325"/>
      <c r="L872" s="199"/>
      <c r="M872" s="255"/>
      <c r="N872" s="222"/>
      <c r="O872" s="255"/>
      <c r="P872" s="222"/>
      <c r="Q872" s="251"/>
      <c r="R872" s="251"/>
      <c r="S872" s="251"/>
      <c r="T872" s="251"/>
      <c r="U872" s="251"/>
      <c r="V872" s="251"/>
      <c r="W872" s="199"/>
    </row>
    <row r="873">
      <c r="A873" s="283"/>
      <c r="B873" s="330" t="s">
        <v>715</v>
      </c>
      <c r="C873" s="222"/>
      <c r="D873" s="265"/>
      <c r="E873" s="222"/>
      <c r="F873" s="248"/>
      <c r="G873" s="248"/>
      <c r="H873" s="248"/>
      <c r="I873" s="248"/>
      <c r="J873" s="248"/>
      <c r="K873" s="325"/>
      <c r="L873" s="199"/>
      <c r="M873" s="255"/>
      <c r="N873" s="222"/>
      <c r="O873" s="255"/>
      <c r="P873" s="222"/>
      <c r="Q873" s="251"/>
      <c r="R873" s="251"/>
      <c r="S873" s="251"/>
      <c r="T873" s="251"/>
      <c r="U873" s="251"/>
      <c r="V873" s="251"/>
      <c r="W873" s="199"/>
    </row>
    <row r="874">
      <c r="A874" s="283"/>
      <c r="B874" s="331" t="s">
        <v>716</v>
      </c>
      <c r="C874" s="222"/>
      <c r="D874" s="267">
        <v>100.0</v>
      </c>
      <c r="E874" s="222"/>
      <c r="F874" s="248"/>
      <c r="G874" s="248"/>
      <c r="H874" s="248"/>
      <c r="I874" s="248"/>
      <c r="J874" s="248"/>
      <c r="K874" s="325"/>
      <c r="L874" s="199"/>
      <c r="M874" s="255"/>
      <c r="N874" s="222"/>
      <c r="O874" s="255"/>
      <c r="P874" s="222"/>
      <c r="Q874" s="251"/>
      <c r="R874" s="251"/>
      <c r="S874" s="251"/>
      <c r="T874" s="251"/>
      <c r="U874" s="251"/>
      <c r="V874" s="251"/>
      <c r="W874" s="199"/>
    </row>
    <row r="875">
      <c r="A875" s="283"/>
      <c r="B875" s="331" t="s">
        <v>717</v>
      </c>
      <c r="C875" s="222"/>
      <c r="D875" s="267">
        <v>400.0</v>
      </c>
      <c r="E875" s="222"/>
      <c r="F875" s="248"/>
      <c r="G875" s="248"/>
      <c r="H875" s="248"/>
      <c r="I875" s="248"/>
      <c r="J875" s="248"/>
      <c r="K875" s="325"/>
      <c r="L875" s="199"/>
      <c r="M875" s="268" t="s">
        <v>714</v>
      </c>
      <c r="N875" s="222"/>
      <c r="O875" s="269">
        <v>0.0</v>
      </c>
      <c r="P875" s="222"/>
      <c r="Q875" s="251"/>
      <c r="R875" s="251"/>
      <c r="S875" s="251"/>
      <c r="T875" s="251"/>
      <c r="U875" s="251"/>
      <c r="V875" s="251"/>
      <c r="W875" s="199"/>
    </row>
    <row r="876">
      <c r="A876" s="283"/>
      <c r="B876" s="331" t="s">
        <v>718</v>
      </c>
      <c r="C876" s="222"/>
      <c r="D876" s="267">
        <v>200.0</v>
      </c>
      <c r="E876" s="222"/>
      <c r="F876" s="248"/>
      <c r="G876" s="248"/>
      <c r="H876" s="248"/>
      <c r="I876" s="248"/>
      <c r="J876" s="248"/>
      <c r="K876" s="325"/>
      <c r="L876" s="199"/>
      <c r="M876" s="251"/>
      <c r="N876" s="251"/>
      <c r="O876" s="270"/>
      <c r="Q876" s="251"/>
      <c r="R876" s="251"/>
      <c r="S876" s="251"/>
      <c r="T876" s="251"/>
      <c r="U876" s="251"/>
      <c r="V876" s="251"/>
      <c r="W876" s="199"/>
    </row>
    <row r="877">
      <c r="A877" s="283"/>
      <c r="B877" s="331" t="s">
        <v>656</v>
      </c>
      <c r="C877" s="222"/>
      <c r="D877" s="267">
        <v>3584.39</v>
      </c>
      <c r="E877" s="222"/>
      <c r="F877" s="248"/>
      <c r="G877" s="248"/>
      <c r="H877" s="248"/>
      <c r="I877" s="248"/>
      <c r="J877" s="248"/>
      <c r="K877" s="325"/>
      <c r="L877" s="199"/>
      <c r="M877" s="271" t="s">
        <v>715</v>
      </c>
      <c r="N877" s="222"/>
      <c r="O877" s="272"/>
      <c r="P877" s="222"/>
      <c r="Q877" s="251"/>
      <c r="R877" s="251"/>
      <c r="S877" s="251"/>
      <c r="T877" s="251"/>
      <c r="U877" s="251"/>
      <c r="V877" s="251"/>
      <c r="W877" s="199"/>
    </row>
    <row r="878">
      <c r="A878" s="283"/>
      <c r="B878" s="331" t="s">
        <v>829</v>
      </c>
      <c r="C878" s="222"/>
      <c r="D878" s="267">
        <v>10.0</v>
      </c>
      <c r="E878" s="222"/>
      <c r="F878" s="248"/>
      <c r="G878" s="248"/>
      <c r="H878" s="276" t="s">
        <v>720</v>
      </c>
      <c r="I878" s="211"/>
      <c r="J878" s="277">
        <v>3185.61</v>
      </c>
      <c r="K878" s="314"/>
      <c r="L878" s="199"/>
      <c r="M878" s="272"/>
      <c r="N878" s="222"/>
      <c r="O878" s="360"/>
      <c r="P878" s="222"/>
      <c r="Q878" s="251"/>
      <c r="R878" s="251"/>
      <c r="S878" s="273" t="s">
        <v>719</v>
      </c>
      <c r="T878" s="211"/>
      <c r="U878" s="274">
        <v>2651.35</v>
      </c>
      <c r="V878" s="211"/>
      <c r="W878" s="199"/>
    </row>
    <row r="879">
      <c r="A879" s="283"/>
      <c r="B879" s="334"/>
      <c r="C879" s="222"/>
      <c r="D879" s="265"/>
      <c r="E879" s="222"/>
      <c r="F879" s="248"/>
      <c r="G879" s="248"/>
      <c r="H879" s="278"/>
      <c r="I879" s="56"/>
      <c r="J879" s="278"/>
      <c r="K879" s="333"/>
      <c r="L879" s="199"/>
      <c r="M879" s="272"/>
      <c r="N879" s="222"/>
      <c r="O879" s="360"/>
      <c r="P879" s="222"/>
      <c r="Q879" s="251"/>
      <c r="R879" s="251"/>
      <c r="S879" s="278"/>
      <c r="T879" s="56"/>
      <c r="U879" s="278"/>
      <c r="V879" s="56"/>
      <c r="W879" s="199"/>
    </row>
    <row r="880">
      <c r="A880" s="283"/>
      <c r="B880" s="334"/>
      <c r="C880" s="222"/>
      <c r="D880" s="265"/>
      <c r="E880" s="222"/>
      <c r="F880" s="248"/>
      <c r="G880" s="248"/>
      <c r="H880" s="215"/>
      <c r="I880" s="64"/>
      <c r="J880" s="215"/>
      <c r="K880" s="313"/>
      <c r="L880" s="199"/>
      <c r="M880" s="272"/>
      <c r="N880" s="222"/>
      <c r="O880" s="360"/>
      <c r="P880" s="222"/>
      <c r="Q880" s="251"/>
      <c r="R880" s="251"/>
      <c r="S880" s="215"/>
      <c r="T880" s="64"/>
      <c r="U880" s="215"/>
      <c r="V880" s="64"/>
      <c r="W880" s="199"/>
    </row>
    <row r="881">
      <c r="A881" s="283"/>
      <c r="B881" s="334"/>
      <c r="C881" s="222"/>
      <c r="D881" s="265"/>
      <c r="E881" s="222"/>
      <c r="F881" s="248"/>
      <c r="G881" s="248"/>
      <c r="H881" s="248"/>
      <c r="I881" s="248"/>
      <c r="J881" s="248"/>
      <c r="K881" s="325"/>
      <c r="L881" s="199"/>
      <c r="M881" s="272"/>
      <c r="N881" s="222"/>
      <c r="O881" s="360"/>
      <c r="P881" s="222"/>
      <c r="Q881" s="251"/>
      <c r="R881" s="251"/>
      <c r="S881" s="251"/>
      <c r="T881" s="251"/>
      <c r="U881" s="251"/>
      <c r="V881" s="251"/>
      <c r="W881" s="199"/>
    </row>
    <row r="882">
      <c r="A882" s="283"/>
      <c r="B882" s="331" t="s">
        <v>721</v>
      </c>
      <c r="C882" s="222"/>
      <c r="D882" s="267">
        <v>4294.39</v>
      </c>
      <c r="E882" s="222"/>
      <c r="F882" s="248"/>
      <c r="G882" s="248"/>
      <c r="H882" s="248"/>
      <c r="I882" s="248"/>
      <c r="J882" s="248"/>
      <c r="K882" s="325"/>
      <c r="L882" s="199"/>
      <c r="M882" s="272"/>
      <c r="N882" s="222"/>
      <c r="O882" s="272"/>
      <c r="P882" s="222"/>
      <c r="Q882" s="251"/>
      <c r="R882" s="251"/>
      <c r="S882" s="251"/>
      <c r="T882" s="251"/>
      <c r="U882" s="251"/>
      <c r="V882" s="251"/>
      <c r="W882" s="199"/>
    </row>
    <row r="883">
      <c r="A883" s="283"/>
      <c r="B883" s="345"/>
      <c r="C883" s="346"/>
      <c r="D883" s="346"/>
      <c r="E883" s="346"/>
      <c r="F883" s="346"/>
      <c r="G883" s="346"/>
      <c r="H883" s="346"/>
      <c r="I883" s="346"/>
      <c r="J883" s="346"/>
      <c r="K883" s="347"/>
      <c r="L883" s="199"/>
      <c r="M883" s="280" t="s">
        <v>721</v>
      </c>
      <c r="N883" s="222"/>
      <c r="O883" s="281">
        <v>0.0</v>
      </c>
      <c r="P883" s="222"/>
      <c r="Q883" s="251"/>
      <c r="R883" s="251"/>
      <c r="S883" s="251"/>
      <c r="T883" s="251"/>
      <c r="U883" s="251"/>
      <c r="V883" s="251"/>
      <c r="W883" s="199"/>
    </row>
    <row r="884">
      <c r="A884" s="283"/>
      <c r="B884" s="260"/>
      <c r="C884" s="260"/>
      <c r="D884" s="260"/>
      <c r="E884" s="260"/>
      <c r="F884" s="260"/>
      <c r="G884" s="260"/>
      <c r="H884" s="260"/>
      <c r="I884" s="260"/>
      <c r="J884" s="260"/>
      <c r="K884" s="260"/>
      <c r="L884" s="199"/>
      <c r="M884" s="282"/>
      <c r="N884" s="282"/>
      <c r="O884" s="282"/>
      <c r="P884" s="282"/>
      <c r="Q884" s="282"/>
      <c r="R884" s="282"/>
      <c r="S884" s="282"/>
      <c r="T884" s="282"/>
      <c r="U884" s="282"/>
      <c r="V884" s="282"/>
      <c r="W884" s="199"/>
    </row>
    <row r="885">
      <c r="A885" s="283"/>
      <c r="B885" s="199"/>
      <c r="C885" s="199"/>
      <c r="D885" s="199"/>
      <c r="E885" s="199"/>
      <c r="F885" s="199"/>
      <c r="G885" s="199"/>
      <c r="H885" s="199"/>
      <c r="I885" s="199"/>
      <c r="J885" s="199"/>
      <c r="K885" s="199"/>
      <c r="L885" s="199"/>
      <c r="M885" s="199"/>
      <c r="N885" s="199"/>
      <c r="O885" s="199"/>
      <c r="P885" s="199"/>
      <c r="Q885" s="199"/>
      <c r="R885" s="199"/>
      <c r="S885" s="199"/>
      <c r="T885" s="199"/>
      <c r="U885" s="199"/>
      <c r="V885" s="199"/>
      <c r="W885" s="199"/>
    </row>
    <row r="886">
      <c r="A886" s="283"/>
      <c r="B886" s="199"/>
      <c r="C886" s="199"/>
      <c r="D886" s="199"/>
      <c r="E886" s="199"/>
      <c r="F886" s="199"/>
      <c r="G886" s="199"/>
      <c r="H886" s="199"/>
      <c r="I886" s="199"/>
      <c r="J886" s="199"/>
      <c r="K886" s="199"/>
      <c r="L886" s="199"/>
      <c r="M886" s="199"/>
      <c r="N886" s="199"/>
      <c r="O886" s="199"/>
      <c r="P886" s="199"/>
      <c r="Q886" s="199"/>
      <c r="R886" s="199"/>
      <c r="S886" s="199"/>
      <c r="T886" s="199"/>
      <c r="U886" s="199"/>
      <c r="V886" s="199"/>
      <c r="W886" s="199"/>
    </row>
    <row r="887">
      <c r="A887" s="283"/>
      <c r="B887" s="199"/>
      <c r="C887" s="199"/>
      <c r="D887" s="199"/>
      <c r="E887" s="199"/>
      <c r="F887" s="199"/>
      <c r="G887" s="199"/>
      <c r="H887" s="199"/>
      <c r="I887" s="199"/>
      <c r="J887" s="199"/>
      <c r="K887" s="199"/>
      <c r="L887" s="199"/>
      <c r="M887" s="199"/>
      <c r="N887" s="199"/>
      <c r="O887" s="199"/>
      <c r="P887" s="199"/>
      <c r="Q887" s="199"/>
      <c r="R887" s="199"/>
      <c r="S887" s="199"/>
      <c r="T887" s="199"/>
      <c r="U887" s="199"/>
      <c r="V887" s="199"/>
      <c r="W887" s="199"/>
    </row>
    <row r="888">
      <c r="A888" s="283"/>
      <c r="B888" s="199"/>
      <c r="C888" s="199"/>
      <c r="D888" s="199"/>
      <c r="E888" s="199"/>
      <c r="F888" s="199"/>
      <c r="G888" s="199"/>
      <c r="H888" s="199"/>
      <c r="I888" s="199"/>
      <c r="J888" s="199"/>
      <c r="K888" s="199"/>
      <c r="L888" s="199"/>
      <c r="M888" s="199"/>
      <c r="N888" s="199"/>
      <c r="O888" s="199"/>
      <c r="P888" s="199"/>
      <c r="Q888" s="199"/>
      <c r="R888" s="199"/>
      <c r="S888" s="199"/>
      <c r="T888" s="199"/>
      <c r="U888" s="199"/>
      <c r="V888" s="199"/>
      <c r="W888" s="199"/>
    </row>
    <row r="889">
      <c r="A889" s="283"/>
      <c r="B889" s="199"/>
      <c r="C889" s="199"/>
      <c r="D889" s="199"/>
      <c r="E889" s="199"/>
      <c r="F889" s="199"/>
      <c r="G889" s="199"/>
      <c r="H889" s="199"/>
      <c r="I889" s="199"/>
      <c r="J889" s="199"/>
      <c r="K889" s="199"/>
      <c r="L889" s="199"/>
      <c r="M889" s="199"/>
      <c r="N889" s="199"/>
      <c r="O889" s="199"/>
      <c r="P889" s="199"/>
      <c r="Q889" s="199"/>
      <c r="R889" s="199"/>
      <c r="S889" s="199"/>
      <c r="T889" s="199"/>
      <c r="U889" s="199"/>
      <c r="V889" s="199"/>
      <c r="W889" s="199"/>
    </row>
    <row r="890">
      <c r="A890" s="283"/>
      <c r="B890" s="199"/>
      <c r="C890" s="199"/>
      <c r="D890" s="199"/>
      <c r="E890" s="199"/>
      <c r="F890" s="199"/>
      <c r="G890" s="199"/>
      <c r="H890" s="199"/>
      <c r="I890" s="199"/>
      <c r="J890" s="199"/>
      <c r="K890" s="199"/>
      <c r="L890" s="199"/>
      <c r="M890" s="199"/>
      <c r="N890" s="199"/>
      <c r="O890" s="199"/>
      <c r="P890" s="199"/>
      <c r="Q890" s="199"/>
      <c r="R890" s="199"/>
      <c r="S890" s="199"/>
      <c r="T890" s="199"/>
      <c r="U890" s="199"/>
      <c r="V890" s="199"/>
      <c r="W890" s="199"/>
    </row>
    <row r="891">
      <c r="A891" s="283"/>
      <c r="B891" s="199"/>
      <c r="C891" s="199"/>
      <c r="D891" s="199"/>
      <c r="E891" s="199"/>
      <c r="F891" s="199"/>
      <c r="G891" s="199"/>
      <c r="H891" s="199"/>
      <c r="I891" s="199"/>
      <c r="J891" s="199"/>
      <c r="K891" s="199"/>
      <c r="L891" s="199"/>
      <c r="M891" s="199"/>
      <c r="N891" s="199"/>
      <c r="O891" s="199"/>
      <c r="P891" s="199"/>
      <c r="Q891" s="199"/>
      <c r="R891" s="199"/>
      <c r="S891" s="199"/>
      <c r="T891" s="199"/>
      <c r="U891" s="199"/>
      <c r="V891" s="199"/>
      <c r="W891" s="199"/>
    </row>
    <row r="892">
      <c r="A892" s="283"/>
      <c r="B892" s="199"/>
      <c r="C892" s="199"/>
      <c r="D892" s="199"/>
      <c r="E892" s="199"/>
      <c r="F892" s="199"/>
      <c r="G892" s="199"/>
      <c r="H892" s="199"/>
      <c r="I892" s="199"/>
      <c r="J892" s="199"/>
      <c r="K892" s="199"/>
      <c r="L892" s="199"/>
      <c r="M892" s="199"/>
      <c r="N892" s="199"/>
      <c r="O892" s="199"/>
      <c r="P892" s="199"/>
      <c r="Q892" s="199"/>
      <c r="R892" s="199"/>
      <c r="S892" s="199"/>
      <c r="T892" s="199"/>
      <c r="U892" s="199"/>
      <c r="V892" s="199"/>
      <c r="W892" s="199"/>
    </row>
    <row r="893">
      <c r="A893" s="283"/>
      <c r="B893" s="199"/>
      <c r="C893" s="199"/>
      <c r="D893" s="199"/>
      <c r="E893" s="199"/>
      <c r="F893" s="199"/>
      <c r="G893" s="199"/>
      <c r="H893" s="199"/>
      <c r="I893" s="199"/>
      <c r="J893" s="199"/>
      <c r="K893" s="199"/>
      <c r="L893" s="199"/>
      <c r="M893" s="199"/>
      <c r="N893" s="199"/>
      <c r="O893" s="199"/>
      <c r="P893" s="199"/>
      <c r="Q893" s="199"/>
      <c r="R893" s="199"/>
      <c r="S893" s="199"/>
      <c r="T893" s="199"/>
      <c r="U893" s="199"/>
      <c r="V893" s="199"/>
      <c r="W893" s="199"/>
    </row>
    <row r="894">
      <c r="A894" s="283"/>
      <c r="B894" s="199"/>
      <c r="C894" s="199"/>
      <c r="D894" s="199"/>
      <c r="E894" s="199"/>
      <c r="F894" s="199"/>
      <c r="G894" s="199"/>
      <c r="H894" s="199"/>
      <c r="I894" s="199"/>
      <c r="J894" s="199"/>
      <c r="K894" s="199"/>
      <c r="L894" s="199"/>
      <c r="M894" s="199"/>
      <c r="N894" s="199"/>
      <c r="O894" s="199"/>
      <c r="P894" s="199"/>
      <c r="Q894" s="199"/>
      <c r="R894" s="199"/>
      <c r="S894" s="199"/>
      <c r="T894" s="199"/>
      <c r="U894" s="199"/>
      <c r="V894" s="199"/>
      <c r="W894" s="199"/>
    </row>
    <row r="895">
      <c r="A895" s="283"/>
      <c r="B895" s="199"/>
      <c r="C895" s="199"/>
      <c r="D895" s="199"/>
      <c r="E895" s="199"/>
      <c r="F895" s="199"/>
      <c r="G895" s="199"/>
      <c r="H895" s="199"/>
      <c r="I895" s="199"/>
      <c r="J895" s="199"/>
      <c r="K895" s="199"/>
      <c r="L895" s="199"/>
      <c r="M895" s="199"/>
      <c r="N895" s="199"/>
      <c r="O895" s="199"/>
      <c r="P895" s="199"/>
      <c r="Q895" s="199"/>
      <c r="R895" s="199"/>
      <c r="S895" s="199"/>
      <c r="T895" s="199"/>
      <c r="U895" s="199"/>
      <c r="V895" s="199"/>
      <c r="W895" s="199"/>
    </row>
    <row r="896">
      <c r="A896" s="283"/>
      <c r="B896" s="199"/>
      <c r="C896" s="199"/>
      <c r="D896" s="199"/>
      <c r="E896" s="199"/>
      <c r="F896" s="199"/>
      <c r="G896" s="199"/>
      <c r="H896" s="199"/>
      <c r="I896" s="199"/>
      <c r="J896" s="199"/>
      <c r="K896" s="199"/>
      <c r="L896" s="199"/>
      <c r="M896" s="199"/>
      <c r="N896" s="199"/>
      <c r="O896" s="199"/>
      <c r="P896" s="199"/>
      <c r="Q896" s="199"/>
      <c r="R896" s="199"/>
      <c r="S896" s="199"/>
      <c r="T896" s="199"/>
      <c r="U896" s="199"/>
      <c r="V896" s="199"/>
      <c r="W896" s="199"/>
    </row>
    <row r="897">
      <c r="A897" s="283"/>
      <c r="B897" s="199"/>
      <c r="C897" s="199"/>
      <c r="D897" s="199"/>
      <c r="E897" s="199"/>
      <c r="F897" s="199"/>
      <c r="G897" s="199"/>
      <c r="H897" s="199"/>
      <c r="I897" s="199"/>
      <c r="J897" s="199"/>
      <c r="K897" s="199"/>
      <c r="L897" s="199"/>
      <c r="M897" s="199"/>
      <c r="N897" s="199"/>
      <c r="O897" s="199"/>
      <c r="P897" s="199"/>
      <c r="Q897" s="199"/>
      <c r="R897" s="199"/>
      <c r="S897" s="199"/>
      <c r="T897" s="199"/>
      <c r="U897" s="199"/>
      <c r="V897" s="199"/>
      <c r="W897" s="199"/>
    </row>
    <row r="898">
      <c r="A898" s="283"/>
      <c r="B898" s="199"/>
      <c r="C898" s="199"/>
      <c r="D898" s="199"/>
      <c r="E898" s="199"/>
      <c r="F898" s="199"/>
      <c r="G898" s="199"/>
      <c r="H898" s="199"/>
      <c r="I898" s="199"/>
      <c r="J898" s="199"/>
      <c r="K898" s="199"/>
      <c r="L898" s="199"/>
      <c r="M898" s="199"/>
      <c r="N898" s="199"/>
      <c r="O898" s="199"/>
      <c r="P898" s="199"/>
      <c r="Q898" s="199"/>
      <c r="R898" s="199"/>
      <c r="S898" s="199"/>
      <c r="T898" s="199"/>
      <c r="U898" s="199"/>
      <c r="V898" s="199"/>
      <c r="W898" s="199"/>
    </row>
    <row r="899">
      <c r="A899" s="283"/>
      <c r="B899" s="199"/>
      <c r="C899" s="199"/>
      <c r="D899" s="199"/>
      <c r="E899" s="199"/>
      <c r="F899" s="199"/>
      <c r="G899" s="199"/>
      <c r="H899" s="199"/>
      <c r="I899" s="199"/>
      <c r="J899" s="199"/>
      <c r="K899" s="199"/>
      <c r="L899" s="199"/>
      <c r="M899" s="199"/>
      <c r="N899" s="199"/>
      <c r="O899" s="199"/>
      <c r="P899" s="199"/>
      <c r="Q899" s="199"/>
      <c r="R899" s="199"/>
      <c r="S899" s="199"/>
      <c r="T899" s="199"/>
      <c r="U899" s="199"/>
      <c r="V899" s="199"/>
      <c r="W899" s="199"/>
    </row>
    <row r="900">
      <c r="A900" s="283"/>
      <c r="B900" s="199"/>
      <c r="C900" s="199"/>
      <c r="D900" s="199"/>
      <c r="E900" s="199"/>
      <c r="F900" s="199"/>
      <c r="G900" s="199"/>
      <c r="H900" s="199"/>
      <c r="I900" s="199"/>
      <c r="J900" s="199"/>
      <c r="K900" s="199"/>
      <c r="L900" s="199"/>
      <c r="M900" s="199"/>
      <c r="N900" s="199"/>
      <c r="O900" s="199"/>
      <c r="P900" s="199"/>
      <c r="Q900" s="199"/>
      <c r="R900" s="199"/>
      <c r="S900" s="199"/>
      <c r="T900" s="199"/>
      <c r="U900" s="199"/>
      <c r="V900" s="199"/>
      <c r="W900" s="199"/>
    </row>
    <row r="901">
      <c r="A901" s="283"/>
      <c r="B901" s="199"/>
      <c r="C901" s="199"/>
      <c r="D901" s="199"/>
      <c r="E901" s="199"/>
      <c r="F901" s="199"/>
      <c r="G901" s="199"/>
      <c r="H901" s="199"/>
      <c r="I901" s="199"/>
      <c r="J901" s="199"/>
      <c r="K901" s="199"/>
      <c r="L901" s="199"/>
      <c r="M901" s="199"/>
      <c r="N901" s="199"/>
      <c r="O901" s="199"/>
      <c r="P901" s="199"/>
      <c r="Q901" s="199"/>
      <c r="R901" s="199"/>
      <c r="S901" s="199"/>
      <c r="T901" s="199"/>
      <c r="U901" s="199"/>
      <c r="V901" s="199"/>
      <c r="W901" s="199"/>
    </row>
    <row r="902">
      <c r="A902" s="283"/>
      <c r="B902" s="199"/>
      <c r="C902" s="199"/>
      <c r="D902" s="199"/>
      <c r="E902" s="199"/>
      <c r="F902" s="199"/>
      <c r="G902" s="199"/>
      <c r="H902" s="199"/>
      <c r="I902" s="199"/>
      <c r="J902" s="199"/>
      <c r="K902" s="199"/>
      <c r="L902" s="199"/>
      <c r="M902" s="199"/>
      <c r="N902" s="199"/>
      <c r="O902" s="199"/>
      <c r="P902" s="199"/>
      <c r="Q902" s="199"/>
      <c r="R902" s="199"/>
      <c r="S902" s="199"/>
      <c r="T902" s="199"/>
      <c r="U902" s="199"/>
      <c r="V902" s="199"/>
      <c r="W902" s="199"/>
    </row>
    <row r="903">
      <c r="A903" s="283"/>
      <c r="B903" s="199"/>
      <c r="C903" s="199"/>
      <c r="D903" s="199"/>
      <c r="E903" s="199"/>
      <c r="F903" s="199"/>
      <c r="G903" s="199"/>
      <c r="H903" s="199"/>
      <c r="I903" s="199"/>
      <c r="J903" s="199"/>
      <c r="K903" s="199"/>
      <c r="L903" s="199"/>
      <c r="M903" s="199"/>
      <c r="N903" s="199"/>
      <c r="O903" s="199"/>
      <c r="P903" s="199"/>
      <c r="Q903" s="199"/>
      <c r="R903" s="199"/>
      <c r="S903" s="199"/>
      <c r="T903" s="199"/>
      <c r="U903" s="199"/>
      <c r="V903" s="199"/>
      <c r="W903" s="199"/>
    </row>
    <row r="904">
      <c r="A904" s="283"/>
      <c r="B904" s="199"/>
      <c r="C904" s="199"/>
      <c r="D904" s="199"/>
      <c r="E904" s="199"/>
      <c r="F904" s="199"/>
      <c r="G904" s="199"/>
      <c r="H904" s="199"/>
      <c r="I904" s="199"/>
      <c r="J904" s="199"/>
      <c r="K904" s="199"/>
      <c r="L904" s="199"/>
      <c r="M904" s="199"/>
      <c r="N904" s="199"/>
      <c r="O904" s="199"/>
      <c r="P904" s="199"/>
      <c r="Q904" s="199"/>
      <c r="R904" s="199"/>
      <c r="S904" s="199"/>
      <c r="T904" s="199"/>
      <c r="U904" s="199"/>
      <c r="V904" s="199"/>
      <c r="W904" s="199"/>
    </row>
    <row r="905">
      <c r="A905" s="283"/>
      <c r="B905" s="199"/>
      <c r="C905" s="199"/>
      <c r="D905" s="199"/>
      <c r="E905" s="199"/>
      <c r="F905" s="199"/>
      <c r="G905" s="199"/>
      <c r="H905" s="199"/>
      <c r="I905" s="199"/>
      <c r="J905" s="199"/>
      <c r="K905" s="199"/>
      <c r="L905" s="199"/>
      <c r="M905" s="199"/>
      <c r="N905" s="199"/>
      <c r="O905" s="199"/>
      <c r="P905" s="199"/>
      <c r="Q905" s="199"/>
      <c r="R905" s="199"/>
      <c r="S905" s="199"/>
      <c r="T905" s="199"/>
      <c r="U905" s="199"/>
      <c r="V905" s="199"/>
      <c r="W905" s="199"/>
    </row>
    <row r="906">
      <c r="A906" s="283"/>
      <c r="B906" s="199"/>
      <c r="C906" s="199"/>
      <c r="D906" s="199"/>
      <c r="E906" s="199"/>
      <c r="F906" s="199"/>
      <c r="G906" s="199"/>
      <c r="H906" s="199"/>
      <c r="I906" s="199"/>
      <c r="J906" s="199"/>
      <c r="K906" s="199"/>
      <c r="L906" s="199"/>
      <c r="M906" s="199"/>
      <c r="N906" s="199"/>
      <c r="O906" s="199"/>
      <c r="P906" s="199"/>
      <c r="Q906" s="199"/>
      <c r="R906" s="199"/>
      <c r="S906" s="199"/>
      <c r="T906" s="199"/>
      <c r="U906" s="199"/>
      <c r="V906" s="199"/>
      <c r="W906" s="199"/>
    </row>
    <row r="907">
      <c r="A907" s="283"/>
      <c r="B907" s="199"/>
      <c r="C907" s="199"/>
      <c r="D907" s="199"/>
      <c r="E907" s="199"/>
      <c r="F907" s="199"/>
      <c r="G907" s="199"/>
      <c r="H907" s="199"/>
      <c r="I907" s="199"/>
      <c r="J907" s="199"/>
      <c r="K907" s="199"/>
      <c r="L907" s="199"/>
      <c r="M907" s="199"/>
      <c r="N907" s="199"/>
      <c r="O907" s="199"/>
      <c r="P907" s="199"/>
      <c r="Q907" s="199"/>
      <c r="R907" s="199"/>
      <c r="S907" s="199"/>
      <c r="T907" s="199"/>
      <c r="U907" s="199"/>
      <c r="V907" s="199"/>
      <c r="W907" s="199"/>
    </row>
    <row r="908">
      <c r="A908" s="283"/>
      <c r="B908" s="199"/>
      <c r="C908" s="199"/>
      <c r="D908" s="199"/>
      <c r="E908" s="199"/>
      <c r="F908" s="199"/>
      <c r="G908" s="199"/>
      <c r="H908" s="199"/>
      <c r="I908" s="199"/>
      <c r="J908" s="199"/>
      <c r="K908" s="199"/>
      <c r="L908" s="199"/>
      <c r="M908" s="199"/>
      <c r="N908" s="199"/>
      <c r="O908" s="199"/>
      <c r="P908" s="199"/>
      <c r="Q908" s="199"/>
      <c r="R908" s="199"/>
      <c r="S908" s="199"/>
      <c r="T908" s="199"/>
      <c r="U908" s="199"/>
      <c r="V908" s="199"/>
      <c r="W908" s="199"/>
    </row>
    <row r="909">
      <c r="A909" s="283"/>
      <c r="B909" s="199"/>
      <c r="C909" s="199"/>
      <c r="D909" s="199"/>
      <c r="E909" s="199"/>
      <c r="F909" s="199"/>
      <c r="G909" s="199"/>
      <c r="H909" s="199"/>
      <c r="I909" s="199"/>
      <c r="J909" s="199"/>
      <c r="K909" s="199"/>
      <c r="L909" s="199"/>
      <c r="M909" s="199"/>
      <c r="N909" s="199"/>
      <c r="O909" s="199"/>
      <c r="P909" s="199"/>
      <c r="Q909" s="199"/>
      <c r="R909" s="199"/>
      <c r="S909" s="199"/>
      <c r="T909" s="199"/>
      <c r="U909" s="199"/>
      <c r="V909" s="199"/>
      <c r="W909" s="199"/>
    </row>
    <row r="910">
      <c r="A910" s="283"/>
      <c r="B910" s="199"/>
      <c r="C910" s="199"/>
      <c r="D910" s="199"/>
      <c r="E910" s="199"/>
      <c r="F910" s="199"/>
      <c r="G910" s="199"/>
      <c r="H910" s="199"/>
      <c r="I910" s="199"/>
      <c r="J910" s="199"/>
      <c r="K910" s="199"/>
      <c r="L910" s="199"/>
      <c r="M910" s="199"/>
      <c r="N910" s="199"/>
      <c r="O910" s="199"/>
      <c r="P910" s="199"/>
      <c r="Q910" s="199"/>
      <c r="R910" s="199"/>
      <c r="S910" s="199"/>
      <c r="T910" s="199"/>
      <c r="U910" s="199"/>
      <c r="V910" s="199"/>
      <c r="W910" s="199"/>
    </row>
    <row r="911">
      <c r="A911" s="283"/>
      <c r="B911" s="199"/>
      <c r="C911" s="199"/>
      <c r="D911" s="199"/>
      <c r="E911" s="199"/>
      <c r="F911" s="199"/>
      <c r="G911" s="199"/>
      <c r="H911" s="199"/>
      <c r="I911" s="199"/>
      <c r="J911" s="199"/>
      <c r="K911" s="199"/>
      <c r="L911" s="199"/>
      <c r="M911" s="199"/>
      <c r="N911" s="199"/>
      <c r="O911" s="199"/>
      <c r="P911" s="199"/>
      <c r="Q911" s="199"/>
      <c r="R911" s="199"/>
      <c r="S911" s="199"/>
      <c r="T911" s="199"/>
      <c r="U911" s="199"/>
      <c r="V911" s="199"/>
      <c r="W911" s="199"/>
    </row>
    <row r="912">
      <c r="A912" s="283"/>
      <c r="B912" s="199"/>
      <c r="C912" s="199"/>
      <c r="D912" s="199"/>
      <c r="E912" s="199"/>
      <c r="F912" s="199"/>
      <c r="G912" s="199"/>
      <c r="H912" s="199"/>
      <c r="I912" s="199"/>
      <c r="J912" s="199"/>
      <c r="K912" s="199"/>
      <c r="L912" s="199"/>
      <c r="M912" s="199"/>
      <c r="N912" s="199"/>
      <c r="O912" s="199"/>
      <c r="P912" s="199"/>
      <c r="Q912" s="199"/>
      <c r="R912" s="199"/>
      <c r="S912" s="199"/>
      <c r="T912" s="199"/>
      <c r="U912" s="199"/>
      <c r="V912" s="199"/>
      <c r="W912" s="199"/>
    </row>
    <row r="913">
      <c r="A913" s="283"/>
      <c r="B913" s="199"/>
      <c r="C913" s="199"/>
      <c r="D913" s="199"/>
      <c r="E913" s="199"/>
      <c r="F913" s="199"/>
      <c r="G913" s="199"/>
      <c r="H913" s="199"/>
      <c r="I913" s="199"/>
      <c r="J913" s="199"/>
      <c r="K913" s="199"/>
      <c r="L913" s="199"/>
      <c r="M913" s="199"/>
      <c r="N913" s="199"/>
      <c r="O913" s="199"/>
      <c r="P913" s="199"/>
      <c r="Q913" s="199"/>
      <c r="R913" s="199"/>
      <c r="S913" s="199"/>
      <c r="T913" s="199"/>
      <c r="U913" s="199"/>
      <c r="V913" s="199"/>
      <c r="W913" s="199"/>
    </row>
    <row r="914">
      <c r="A914" s="283"/>
      <c r="B914" s="199"/>
      <c r="C914" s="199"/>
      <c r="D914" s="199"/>
      <c r="E914" s="199"/>
      <c r="F914" s="199"/>
      <c r="G914" s="199"/>
      <c r="H914" s="199"/>
      <c r="I914" s="199"/>
      <c r="J914" s="199"/>
      <c r="K914" s="199"/>
      <c r="L914" s="199"/>
      <c r="M914" s="199"/>
      <c r="N914" s="199"/>
      <c r="O914" s="199"/>
      <c r="P914" s="199"/>
      <c r="Q914" s="199"/>
      <c r="R914" s="199"/>
      <c r="S914" s="199"/>
      <c r="T914" s="199"/>
      <c r="U914" s="199"/>
      <c r="V914" s="199"/>
      <c r="W914" s="199"/>
    </row>
    <row r="915">
      <c r="A915" s="283"/>
      <c r="B915" s="199"/>
      <c r="C915" s="199"/>
      <c r="D915" s="199"/>
      <c r="E915" s="199"/>
      <c r="F915" s="199"/>
      <c r="G915" s="199"/>
      <c r="H915" s="199"/>
      <c r="I915" s="199"/>
      <c r="J915" s="199"/>
      <c r="K915" s="199"/>
      <c r="L915" s="199"/>
      <c r="M915" s="199"/>
      <c r="N915" s="199"/>
      <c r="O915" s="199"/>
      <c r="P915" s="199"/>
      <c r="Q915" s="199"/>
      <c r="R915" s="199"/>
      <c r="S915" s="199"/>
      <c r="T915" s="199"/>
      <c r="U915" s="199"/>
      <c r="V915" s="199"/>
      <c r="W915" s="199"/>
    </row>
    <row r="916">
      <c r="A916" s="283"/>
      <c r="B916" s="199"/>
      <c r="C916" s="199"/>
      <c r="D916" s="199"/>
      <c r="E916" s="199"/>
      <c r="F916" s="199"/>
      <c r="G916" s="199"/>
      <c r="H916" s="199"/>
      <c r="I916" s="199"/>
      <c r="J916" s="199"/>
      <c r="K916" s="199"/>
      <c r="L916" s="199"/>
      <c r="M916" s="199"/>
      <c r="N916" s="199"/>
      <c r="O916" s="199"/>
      <c r="P916" s="199"/>
      <c r="Q916" s="199"/>
      <c r="R916" s="199"/>
      <c r="S916" s="199"/>
      <c r="T916" s="199"/>
      <c r="U916" s="199"/>
      <c r="V916" s="199"/>
      <c r="W916" s="199"/>
    </row>
    <row r="917">
      <c r="A917" s="283"/>
      <c r="B917" s="199"/>
      <c r="C917" s="199"/>
      <c r="D917" s="199"/>
      <c r="E917" s="199"/>
      <c r="F917" s="199"/>
      <c r="G917" s="199"/>
      <c r="H917" s="199"/>
      <c r="I917" s="199"/>
      <c r="J917" s="199"/>
      <c r="K917" s="199"/>
      <c r="L917" s="199"/>
      <c r="M917" s="199"/>
      <c r="N917" s="199"/>
      <c r="O917" s="199"/>
      <c r="P917" s="199"/>
      <c r="Q917" s="199"/>
      <c r="R917" s="199"/>
      <c r="S917" s="199"/>
      <c r="T917" s="199"/>
      <c r="U917" s="199"/>
      <c r="V917" s="199"/>
      <c r="W917" s="199"/>
    </row>
    <row r="918">
      <c r="A918" s="283"/>
      <c r="B918" s="199"/>
      <c r="C918" s="199"/>
      <c r="D918" s="199"/>
      <c r="E918" s="199"/>
      <c r="F918" s="199"/>
      <c r="G918" s="199"/>
      <c r="H918" s="199"/>
      <c r="I918" s="199"/>
      <c r="J918" s="199"/>
      <c r="K918" s="199"/>
      <c r="L918" s="199"/>
      <c r="M918" s="199"/>
      <c r="N918" s="199"/>
      <c r="O918" s="199"/>
      <c r="P918" s="199"/>
      <c r="Q918" s="199"/>
      <c r="R918" s="199"/>
      <c r="S918" s="199"/>
      <c r="T918" s="199"/>
      <c r="U918" s="199"/>
      <c r="V918" s="199"/>
      <c r="W918" s="199"/>
    </row>
    <row r="919">
      <c r="A919" s="283"/>
      <c r="B919" s="199"/>
      <c r="C919" s="199"/>
      <c r="D919" s="199"/>
      <c r="E919" s="199"/>
      <c r="F919" s="199"/>
      <c r="G919" s="199"/>
      <c r="H919" s="199"/>
      <c r="I919" s="199"/>
      <c r="J919" s="199"/>
      <c r="K919" s="199"/>
      <c r="L919" s="199"/>
      <c r="M919" s="199"/>
      <c r="N919" s="199"/>
      <c r="O919" s="199"/>
      <c r="P919" s="199"/>
      <c r="Q919" s="199"/>
      <c r="R919" s="199"/>
      <c r="S919" s="199"/>
      <c r="T919" s="199"/>
      <c r="U919" s="199"/>
      <c r="V919" s="199"/>
      <c r="W919" s="199"/>
    </row>
    <row r="920">
      <c r="A920" s="283"/>
      <c r="B920" s="199"/>
      <c r="C920" s="199"/>
      <c r="D920" s="199"/>
      <c r="E920" s="199"/>
      <c r="F920" s="199"/>
      <c r="G920" s="199"/>
      <c r="H920" s="199"/>
      <c r="I920" s="199"/>
      <c r="J920" s="199"/>
      <c r="K920" s="199"/>
      <c r="L920" s="199"/>
      <c r="M920" s="199"/>
      <c r="N920" s="199"/>
      <c r="O920" s="199"/>
      <c r="P920" s="199"/>
      <c r="Q920" s="199"/>
      <c r="R920" s="199"/>
      <c r="S920" s="199"/>
      <c r="T920" s="199"/>
      <c r="U920" s="199"/>
      <c r="V920" s="199"/>
      <c r="W920" s="199"/>
    </row>
    <row r="921">
      <c r="A921" s="283"/>
      <c r="B921" s="199"/>
      <c r="C921" s="199"/>
      <c r="D921" s="199"/>
      <c r="E921" s="199"/>
      <c r="F921" s="199"/>
      <c r="G921" s="199"/>
      <c r="H921" s="199"/>
      <c r="I921" s="199"/>
      <c r="J921" s="199"/>
      <c r="K921" s="199"/>
      <c r="L921" s="199"/>
      <c r="M921" s="199"/>
      <c r="N921" s="199"/>
      <c r="O921" s="199"/>
      <c r="P921" s="199"/>
      <c r="Q921" s="199"/>
      <c r="R921" s="199"/>
      <c r="S921" s="199"/>
      <c r="T921" s="199"/>
      <c r="U921" s="199"/>
      <c r="V921" s="199"/>
      <c r="W921" s="199"/>
    </row>
    <row r="922">
      <c r="A922" s="283"/>
      <c r="B922" s="199"/>
      <c r="C922" s="199"/>
      <c r="D922" s="199"/>
      <c r="E922" s="199"/>
      <c r="F922" s="199"/>
      <c r="G922" s="199"/>
      <c r="H922" s="199"/>
      <c r="I922" s="199"/>
      <c r="J922" s="199"/>
      <c r="K922" s="199"/>
      <c r="L922" s="199"/>
      <c r="M922" s="199"/>
      <c r="N922" s="199"/>
      <c r="O922" s="199"/>
      <c r="P922" s="199"/>
      <c r="Q922" s="199"/>
      <c r="R922" s="199"/>
      <c r="S922" s="199"/>
      <c r="T922" s="199"/>
      <c r="U922" s="199"/>
      <c r="V922" s="199"/>
      <c r="W922" s="199"/>
    </row>
    <row r="923">
      <c r="A923" s="283"/>
      <c r="B923" s="199"/>
      <c r="C923" s="199"/>
      <c r="D923" s="199"/>
      <c r="E923" s="199"/>
      <c r="F923" s="199"/>
      <c r="G923" s="199"/>
      <c r="H923" s="199"/>
      <c r="I923" s="199"/>
      <c r="J923" s="199"/>
      <c r="K923" s="199"/>
      <c r="L923" s="199"/>
      <c r="M923" s="199"/>
      <c r="N923" s="199"/>
      <c r="O923" s="199"/>
      <c r="P923" s="199"/>
      <c r="Q923" s="199"/>
      <c r="R923" s="199"/>
      <c r="S923" s="199"/>
      <c r="T923" s="199"/>
      <c r="U923" s="199"/>
      <c r="V923" s="199"/>
      <c r="W923" s="199"/>
    </row>
    <row r="924">
      <c r="A924" s="283"/>
      <c r="B924" s="199"/>
      <c r="C924" s="199"/>
      <c r="D924" s="199"/>
      <c r="E924" s="199"/>
      <c r="F924" s="199"/>
      <c r="G924" s="199"/>
      <c r="H924" s="199"/>
      <c r="I924" s="199"/>
      <c r="J924" s="199"/>
      <c r="K924" s="199"/>
      <c r="L924" s="199"/>
      <c r="M924" s="199"/>
      <c r="N924" s="199"/>
      <c r="O924" s="199"/>
      <c r="P924" s="199"/>
      <c r="Q924" s="199"/>
      <c r="R924" s="199"/>
      <c r="S924" s="199"/>
      <c r="T924" s="199"/>
      <c r="U924" s="199"/>
      <c r="V924" s="199"/>
      <c r="W924" s="199"/>
    </row>
    <row r="925">
      <c r="A925" s="283"/>
      <c r="B925" s="199"/>
      <c r="C925" s="199"/>
      <c r="D925" s="199"/>
      <c r="E925" s="199"/>
      <c r="F925" s="199"/>
      <c r="G925" s="199"/>
      <c r="H925" s="199"/>
      <c r="I925" s="199"/>
      <c r="J925" s="199"/>
      <c r="K925" s="199"/>
      <c r="L925" s="199"/>
      <c r="M925" s="199"/>
      <c r="N925" s="199"/>
      <c r="O925" s="199"/>
      <c r="P925" s="199"/>
      <c r="Q925" s="199"/>
      <c r="R925" s="199"/>
      <c r="S925" s="199"/>
      <c r="T925" s="199"/>
      <c r="U925" s="199"/>
      <c r="V925" s="199"/>
      <c r="W925" s="199"/>
    </row>
    <row r="926">
      <c r="A926" s="283"/>
      <c r="B926" s="199"/>
      <c r="C926" s="199"/>
      <c r="D926" s="199"/>
      <c r="E926" s="199"/>
      <c r="F926" s="199"/>
      <c r="G926" s="199"/>
      <c r="H926" s="199"/>
      <c r="I926" s="199"/>
      <c r="J926" s="199"/>
      <c r="K926" s="199"/>
      <c r="L926" s="199"/>
      <c r="M926" s="199"/>
      <c r="N926" s="199"/>
      <c r="O926" s="199"/>
      <c r="P926" s="199"/>
      <c r="Q926" s="199"/>
      <c r="R926" s="199"/>
      <c r="S926" s="199"/>
      <c r="T926" s="199"/>
      <c r="U926" s="199"/>
      <c r="V926" s="199"/>
      <c r="W926" s="199"/>
    </row>
    <row r="927">
      <c r="A927" s="283"/>
      <c r="B927" s="199"/>
      <c r="C927" s="199"/>
      <c r="D927" s="199"/>
      <c r="E927" s="199"/>
      <c r="F927" s="199"/>
      <c r="G927" s="199"/>
      <c r="H927" s="199"/>
      <c r="I927" s="199"/>
      <c r="J927" s="199"/>
      <c r="K927" s="199"/>
      <c r="L927" s="199"/>
      <c r="M927" s="199"/>
      <c r="N927" s="199"/>
      <c r="O927" s="199"/>
      <c r="P927" s="199"/>
      <c r="Q927" s="199"/>
      <c r="R927" s="199"/>
      <c r="S927" s="199"/>
      <c r="T927" s="199"/>
      <c r="U927" s="199"/>
      <c r="V927" s="199"/>
      <c r="W927" s="199"/>
    </row>
    <row r="928">
      <c r="A928" s="283"/>
      <c r="B928" s="199"/>
      <c r="C928" s="199"/>
      <c r="D928" s="199"/>
      <c r="E928" s="199"/>
      <c r="F928" s="199"/>
      <c r="G928" s="199"/>
      <c r="H928" s="199"/>
      <c r="I928" s="199"/>
      <c r="J928" s="199"/>
      <c r="K928" s="199"/>
      <c r="L928" s="199"/>
      <c r="M928" s="199"/>
      <c r="N928" s="199"/>
      <c r="O928" s="199"/>
      <c r="P928" s="199"/>
      <c r="Q928" s="199"/>
      <c r="R928" s="199"/>
      <c r="S928" s="199"/>
      <c r="T928" s="199"/>
      <c r="U928" s="199"/>
      <c r="V928" s="199"/>
      <c r="W928" s="199"/>
    </row>
    <row r="929">
      <c r="A929" s="283"/>
      <c r="B929" s="199"/>
      <c r="C929" s="199"/>
      <c r="D929" s="199"/>
      <c r="E929" s="199"/>
      <c r="F929" s="199"/>
      <c r="G929" s="199"/>
      <c r="H929" s="199"/>
      <c r="I929" s="199"/>
      <c r="J929" s="199"/>
      <c r="K929" s="199"/>
      <c r="L929" s="199"/>
      <c r="M929" s="199"/>
      <c r="N929" s="199"/>
      <c r="O929" s="199"/>
      <c r="P929" s="199"/>
      <c r="Q929" s="199"/>
      <c r="R929" s="199"/>
      <c r="S929" s="199"/>
      <c r="T929" s="199"/>
      <c r="U929" s="199"/>
      <c r="V929" s="199"/>
      <c r="W929" s="199"/>
    </row>
    <row r="930">
      <c r="A930" s="283"/>
      <c r="B930" s="199"/>
      <c r="C930" s="199"/>
      <c r="D930" s="199"/>
      <c r="E930" s="199"/>
      <c r="F930" s="199"/>
      <c r="G930" s="199"/>
      <c r="H930" s="199"/>
      <c r="I930" s="199"/>
      <c r="J930" s="199"/>
      <c r="K930" s="199"/>
      <c r="L930" s="199"/>
      <c r="M930" s="199"/>
      <c r="N930" s="199"/>
      <c r="O930" s="199"/>
      <c r="P930" s="199"/>
      <c r="Q930" s="199"/>
      <c r="R930" s="199"/>
      <c r="S930" s="199"/>
      <c r="T930" s="199"/>
      <c r="U930" s="199"/>
      <c r="V930" s="199"/>
      <c r="W930" s="199"/>
    </row>
    <row r="931">
      <c r="A931" s="283"/>
      <c r="B931" s="199"/>
      <c r="C931" s="199"/>
      <c r="D931" s="199"/>
      <c r="E931" s="199"/>
      <c r="F931" s="199"/>
      <c r="G931" s="199"/>
      <c r="H931" s="199"/>
      <c r="I931" s="199"/>
      <c r="J931" s="199"/>
      <c r="K931" s="199"/>
      <c r="L931" s="199"/>
      <c r="M931" s="199"/>
      <c r="N931" s="199"/>
      <c r="O931" s="199"/>
      <c r="P931" s="199"/>
      <c r="Q931" s="199"/>
      <c r="R931" s="199"/>
      <c r="S931" s="199"/>
      <c r="T931" s="199"/>
      <c r="U931" s="199"/>
      <c r="V931" s="199"/>
      <c r="W931" s="199"/>
    </row>
    <row r="932">
      <c r="A932" s="283"/>
      <c r="B932" s="199"/>
      <c r="C932" s="199"/>
      <c r="D932" s="199"/>
      <c r="E932" s="199"/>
      <c r="F932" s="199"/>
      <c r="G932" s="199"/>
      <c r="H932" s="199"/>
      <c r="I932" s="199"/>
      <c r="J932" s="199"/>
      <c r="K932" s="199"/>
      <c r="L932" s="199"/>
      <c r="M932" s="199"/>
      <c r="N932" s="199"/>
      <c r="O932" s="199"/>
      <c r="P932" s="199"/>
      <c r="Q932" s="199"/>
      <c r="R932" s="199"/>
      <c r="S932" s="199"/>
      <c r="T932" s="199"/>
      <c r="U932" s="199"/>
      <c r="V932" s="199"/>
      <c r="W932" s="199"/>
    </row>
    <row r="933">
      <c r="A933" s="283"/>
      <c r="B933" s="199"/>
      <c r="C933" s="199"/>
      <c r="D933" s="199"/>
      <c r="E933" s="199"/>
      <c r="F933" s="199"/>
      <c r="G933" s="199"/>
      <c r="H933" s="199"/>
      <c r="I933" s="199"/>
      <c r="J933" s="199"/>
      <c r="K933" s="199"/>
      <c r="L933" s="199"/>
      <c r="M933" s="199"/>
      <c r="N933" s="199"/>
      <c r="O933" s="199"/>
      <c r="P933" s="199"/>
      <c r="Q933" s="199"/>
      <c r="R933" s="199"/>
      <c r="S933" s="199"/>
      <c r="T933" s="199"/>
      <c r="U933" s="199"/>
      <c r="V933" s="199"/>
      <c r="W933" s="199"/>
    </row>
    <row r="934">
      <c r="A934" s="283"/>
      <c r="B934" s="199"/>
      <c r="C934" s="199"/>
      <c r="D934" s="199"/>
      <c r="E934" s="199"/>
      <c r="F934" s="199"/>
      <c r="G934" s="199"/>
      <c r="H934" s="199"/>
      <c r="I934" s="199"/>
      <c r="J934" s="199"/>
      <c r="K934" s="199"/>
      <c r="L934" s="199"/>
      <c r="M934" s="199"/>
      <c r="N934" s="199"/>
      <c r="O934" s="199"/>
      <c r="P934" s="199"/>
      <c r="Q934" s="199"/>
      <c r="R934" s="199"/>
      <c r="S934" s="199"/>
      <c r="T934" s="199"/>
      <c r="U934" s="199"/>
      <c r="V934" s="199"/>
      <c r="W934" s="199"/>
    </row>
    <row r="935">
      <c r="A935" s="283"/>
      <c r="B935" s="199"/>
      <c r="C935" s="199"/>
      <c r="D935" s="199"/>
      <c r="E935" s="199"/>
      <c r="F935" s="199"/>
      <c r="G935" s="199"/>
      <c r="H935" s="199"/>
      <c r="I935" s="199"/>
      <c r="J935" s="199"/>
      <c r="K935" s="199"/>
      <c r="L935" s="199"/>
      <c r="M935" s="199"/>
      <c r="N935" s="199"/>
      <c r="O935" s="199"/>
      <c r="P935" s="199"/>
      <c r="Q935" s="199"/>
      <c r="R935" s="199"/>
      <c r="S935" s="199"/>
      <c r="T935" s="199"/>
      <c r="U935" s="199"/>
      <c r="V935" s="199"/>
      <c r="W935" s="199"/>
    </row>
    <row r="936">
      <c r="A936" s="283"/>
      <c r="B936" s="199"/>
      <c r="C936" s="199"/>
      <c r="D936" s="199"/>
      <c r="E936" s="199"/>
      <c r="F936" s="199"/>
      <c r="G936" s="199"/>
      <c r="H936" s="199"/>
      <c r="I936" s="199"/>
      <c r="J936" s="199"/>
      <c r="K936" s="199"/>
      <c r="L936" s="199"/>
      <c r="M936" s="199"/>
      <c r="N936" s="199"/>
      <c r="O936" s="199"/>
      <c r="P936" s="199"/>
      <c r="Q936" s="199"/>
      <c r="R936" s="199"/>
      <c r="S936" s="199"/>
      <c r="T936" s="199"/>
      <c r="U936" s="199"/>
      <c r="V936" s="199"/>
      <c r="W936" s="199"/>
    </row>
    <row r="937">
      <c r="A937" s="283"/>
      <c r="B937" s="199"/>
      <c r="C937" s="199"/>
      <c r="D937" s="199"/>
      <c r="E937" s="199"/>
      <c r="F937" s="199"/>
      <c r="G937" s="199"/>
      <c r="H937" s="199"/>
      <c r="I937" s="199"/>
      <c r="J937" s="199"/>
      <c r="K937" s="199"/>
      <c r="L937" s="199"/>
      <c r="M937" s="199"/>
      <c r="N937" s="199"/>
      <c r="O937" s="199"/>
      <c r="P937" s="199"/>
      <c r="Q937" s="199"/>
      <c r="R937" s="199"/>
      <c r="S937" s="199"/>
      <c r="T937" s="199"/>
      <c r="U937" s="199"/>
      <c r="V937" s="199"/>
      <c r="W937" s="199"/>
    </row>
    <row r="938">
      <c r="A938" s="283"/>
      <c r="B938" s="199"/>
      <c r="C938" s="199"/>
      <c r="D938" s="199"/>
      <c r="E938" s="199"/>
      <c r="F938" s="199"/>
      <c r="G938" s="199"/>
      <c r="H938" s="199"/>
      <c r="I938" s="199"/>
      <c r="J938" s="199"/>
      <c r="K938" s="199"/>
      <c r="L938" s="199"/>
      <c r="M938" s="199"/>
      <c r="N938" s="199"/>
      <c r="O938" s="199"/>
      <c r="P938" s="199"/>
      <c r="Q938" s="199"/>
      <c r="R938" s="199"/>
      <c r="S938" s="199"/>
      <c r="T938" s="199"/>
      <c r="U938" s="199"/>
      <c r="V938" s="199"/>
      <c r="W938" s="199"/>
    </row>
    <row r="939">
      <c r="A939" s="283"/>
      <c r="B939" s="199"/>
      <c r="C939" s="199"/>
      <c r="D939" s="199"/>
      <c r="E939" s="199"/>
      <c r="F939" s="199"/>
      <c r="G939" s="199"/>
      <c r="H939" s="199"/>
      <c r="I939" s="199"/>
      <c r="J939" s="199"/>
      <c r="K939" s="199"/>
      <c r="L939" s="199"/>
      <c r="M939" s="199"/>
      <c r="N939" s="199"/>
      <c r="O939" s="199"/>
      <c r="P939" s="199"/>
      <c r="Q939" s="199"/>
      <c r="R939" s="199"/>
      <c r="S939" s="199"/>
      <c r="T939" s="199"/>
      <c r="U939" s="199"/>
      <c r="V939" s="199"/>
      <c r="W939" s="199"/>
    </row>
    <row r="940">
      <c r="A940" s="283"/>
      <c r="B940" s="199"/>
      <c r="C940" s="199"/>
      <c r="D940" s="199"/>
      <c r="E940" s="199"/>
      <c r="F940" s="199"/>
      <c r="G940" s="199"/>
      <c r="H940" s="199"/>
      <c r="I940" s="199"/>
      <c r="J940" s="199"/>
      <c r="K940" s="199"/>
      <c r="L940" s="199"/>
      <c r="M940" s="199"/>
      <c r="N940" s="199"/>
      <c r="O940" s="199"/>
      <c r="P940" s="199"/>
      <c r="Q940" s="199"/>
      <c r="R940" s="199"/>
      <c r="S940" s="199"/>
      <c r="T940" s="199"/>
      <c r="U940" s="199"/>
      <c r="V940" s="199"/>
      <c r="W940" s="199"/>
    </row>
    <row r="941">
      <c r="A941" s="283"/>
      <c r="B941" s="199"/>
      <c r="C941" s="199"/>
      <c r="D941" s="199"/>
      <c r="E941" s="199"/>
      <c r="F941" s="199"/>
      <c r="G941" s="199"/>
      <c r="H941" s="199"/>
      <c r="I941" s="199"/>
      <c r="J941" s="199"/>
      <c r="K941" s="199"/>
      <c r="L941" s="199"/>
      <c r="M941" s="199"/>
      <c r="N941" s="199"/>
      <c r="O941" s="199"/>
      <c r="P941" s="199"/>
      <c r="Q941" s="199"/>
      <c r="R941" s="199"/>
      <c r="S941" s="199"/>
      <c r="T941" s="199"/>
      <c r="U941" s="199"/>
      <c r="V941" s="199"/>
      <c r="W941" s="199"/>
    </row>
    <row r="942">
      <c r="A942" s="283"/>
      <c r="B942" s="199"/>
      <c r="C942" s="199"/>
      <c r="D942" s="199"/>
      <c r="E942" s="199"/>
      <c r="F942" s="199"/>
      <c r="G942" s="199"/>
      <c r="H942" s="199"/>
      <c r="I942" s="199"/>
      <c r="J942" s="199"/>
      <c r="K942" s="199"/>
      <c r="L942" s="199"/>
      <c r="M942" s="199"/>
      <c r="N942" s="199"/>
      <c r="O942" s="199"/>
      <c r="P942" s="199"/>
      <c r="Q942" s="199"/>
      <c r="R942" s="199"/>
      <c r="S942" s="199"/>
      <c r="T942" s="199"/>
      <c r="U942" s="199"/>
      <c r="V942" s="199"/>
      <c r="W942" s="199"/>
    </row>
    <row r="943">
      <c r="A943" s="283"/>
      <c r="B943" s="199"/>
      <c r="C943" s="199"/>
      <c r="D943" s="199"/>
      <c r="E943" s="199"/>
      <c r="F943" s="199"/>
      <c r="G943" s="199"/>
      <c r="H943" s="199"/>
      <c r="I943" s="199"/>
      <c r="J943" s="199"/>
      <c r="K943" s="199"/>
      <c r="L943" s="199"/>
      <c r="M943" s="199"/>
      <c r="N943" s="199"/>
      <c r="O943" s="199"/>
      <c r="P943" s="199"/>
      <c r="Q943" s="199"/>
      <c r="R943" s="199"/>
      <c r="S943" s="199"/>
      <c r="T943" s="199"/>
      <c r="U943" s="199"/>
      <c r="V943" s="199"/>
      <c r="W943" s="199"/>
    </row>
    <row r="944">
      <c r="A944" s="283"/>
      <c r="B944" s="199"/>
      <c r="C944" s="199"/>
      <c r="D944" s="199"/>
      <c r="E944" s="199"/>
      <c r="F944" s="199"/>
      <c r="G944" s="199"/>
      <c r="H944" s="199"/>
      <c r="I944" s="199"/>
      <c r="J944" s="199"/>
      <c r="K944" s="199"/>
      <c r="L944" s="199"/>
      <c r="M944" s="199"/>
      <c r="N944" s="199"/>
      <c r="O944" s="199"/>
      <c r="P944" s="199"/>
      <c r="Q944" s="199"/>
      <c r="R944" s="199"/>
      <c r="S944" s="199"/>
      <c r="T944" s="199"/>
      <c r="U944" s="199"/>
      <c r="V944" s="199"/>
      <c r="W944" s="199"/>
    </row>
    <row r="945">
      <c r="A945" s="283"/>
      <c r="B945" s="199"/>
      <c r="C945" s="199"/>
      <c r="D945" s="199"/>
      <c r="E945" s="199"/>
      <c r="F945" s="199"/>
      <c r="G945" s="199"/>
      <c r="H945" s="199"/>
      <c r="I945" s="199"/>
      <c r="J945" s="199"/>
      <c r="K945" s="199"/>
      <c r="L945" s="199"/>
      <c r="M945" s="199"/>
      <c r="N945" s="199"/>
      <c r="O945" s="199"/>
      <c r="P945" s="199"/>
      <c r="Q945" s="199"/>
      <c r="R945" s="199"/>
      <c r="S945" s="199"/>
      <c r="T945" s="199"/>
      <c r="U945" s="199"/>
      <c r="V945" s="199"/>
      <c r="W945" s="199"/>
    </row>
    <row r="946">
      <c r="A946" s="283"/>
      <c r="B946" s="199"/>
      <c r="C946" s="199"/>
      <c r="D946" s="199"/>
      <c r="E946" s="199"/>
      <c r="F946" s="199"/>
      <c r="G946" s="199"/>
      <c r="H946" s="199"/>
      <c r="I946" s="199"/>
      <c r="J946" s="199"/>
      <c r="K946" s="199"/>
      <c r="L946" s="199"/>
      <c r="M946" s="199"/>
      <c r="N946" s="199"/>
      <c r="O946" s="199"/>
      <c r="P946" s="199"/>
      <c r="Q946" s="199"/>
      <c r="R946" s="199"/>
      <c r="S946" s="199"/>
      <c r="T946" s="199"/>
      <c r="U946" s="199"/>
      <c r="V946" s="199"/>
      <c r="W946" s="199"/>
    </row>
    <row r="947">
      <c r="A947" s="283"/>
      <c r="B947" s="199"/>
      <c r="C947" s="199"/>
      <c r="D947" s="199"/>
      <c r="E947" s="199"/>
      <c r="F947" s="199"/>
      <c r="G947" s="199"/>
      <c r="H947" s="199"/>
      <c r="I947" s="199"/>
      <c r="J947" s="199"/>
      <c r="K947" s="199"/>
      <c r="L947" s="199"/>
      <c r="M947" s="199"/>
      <c r="N947" s="199"/>
      <c r="O947" s="199"/>
      <c r="P947" s="199"/>
      <c r="Q947" s="199"/>
      <c r="R947" s="199"/>
      <c r="S947" s="199"/>
      <c r="T947" s="199"/>
      <c r="U947" s="199"/>
      <c r="V947" s="199"/>
      <c r="W947" s="199"/>
    </row>
    <row r="948">
      <c r="A948" s="283"/>
      <c r="B948" s="199"/>
      <c r="C948" s="199"/>
      <c r="D948" s="199"/>
      <c r="E948" s="199"/>
      <c r="F948" s="199"/>
      <c r="G948" s="199"/>
      <c r="H948" s="199"/>
      <c r="I948" s="199"/>
      <c r="J948" s="199"/>
      <c r="K948" s="199"/>
      <c r="L948" s="199"/>
      <c r="M948" s="199"/>
      <c r="N948" s="199"/>
      <c r="O948" s="199"/>
      <c r="P948" s="199"/>
      <c r="Q948" s="199"/>
      <c r="R948" s="199"/>
      <c r="S948" s="199"/>
      <c r="T948" s="199"/>
      <c r="U948" s="199"/>
      <c r="V948" s="199"/>
      <c r="W948" s="199"/>
    </row>
    <row r="949">
      <c r="A949" s="283"/>
      <c r="B949" s="199"/>
      <c r="C949" s="199"/>
      <c r="D949" s="199"/>
      <c r="E949" s="199"/>
      <c r="F949" s="199"/>
      <c r="G949" s="199"/>
      <c r="H949" s="199"/>
      <c r="I949" s="199"/>
      <c r="J949" s="199"/>
      <c r="K949" s="199"/>
      <c r="L949" s="199"/>
      <c r="M949" s="199"/>
      <c r="N949" s="199"/>
      <c r="O949" s="199"/>
      <c r="P949" s="199"/>
      <c r="Q949" s="199"/>
      <c r="R949" s="199"/>
      <c r="S949" s="199"/>
      <c r="T949" s="199"/>
      <c r="U949" s="199"/>
      <c r="V949" s="199"/>
      <c r="W949" s="199"/>
    </row>
    <row r="950">
      <c r="A950" s="283"/>
      <c r="B950" s="199"/>
      <c r="C950" s="199"/>
      <c r="D950" s="199"/>
      <c r="E950" s="199"/>
      <c r="F950" s="199"/>
      <c r="G950" s="199"/>
      <c r="H950" s="199"/>
      <c r="I950" s="199"/>
      <c r="J950" s="199"/>
      <c r="K950" s="199"/>
      <c r="L950" s="199"/>
      <c r="M950" s="199"/>
      <c r="N950" s="199"/>
      <c r="O950" s="199"/>
      <c r="P950" s="199"/>
      <c r="Q950" s="199"/>
      <c r="R950" s="199"/>
      <c r="S950" s="199"/>
      <c r="T950" s="199"/>
      <c r="U950" s="199"/>
      <c r="V950" s="199"/>
      <c r="W950" s="199"/>
    </row>
    <row r="951">
      <c r="A951" s="283"/>
      <c r="B951" s="199"/>
      <c r="C951" s="199"/>
      <c r="D951" s="199"/>
      <c r="E951" s="199"/>
      <c r="F951" s="199"/>
      <c r="G951" s="199"/>
      <c r="H951" s="199"/>
      <c r="I951" s="199"/>
      <c r="J951" s="199"/>
      <c r="K951" s="199"/>
      <c r="L951" s="199"/>
      <c r="M951" s="199"/>
      <c r="N951" s="199"/>
      <c r="O951" s="199"/>
      <c r="P951" s="199"/>
      <c r="Q951" s="199"/>
      <c r="R951" s="199"/>
      <c r="S951" s="199"/>
      <c r="T951" s="199"/>
      <c r="U951" s="199"/>
      <c r="V951" s="199"/>
      <c r="W951" s="199"/>
    </row>
    <row r="952">
      <c r="A952" s="283"/>
      <c r="B952" s="199"/>
      <c r="C952" s="199"/>
      <c r="D952" s="199"/>
      <c r="E952" s="199"/>
      <c r="F952" s="199"/>
      <c r="G952" s="199"/>
      <c r="H952" s="199"/>
      <c r="I952" s="199"/>
      <c r="J952" s="199"/>
      <c r="K952" s="199"/>
      <c r="L952" s="199"/>
      <c r="M952" s="199"/>
      <c r="N952" s="199"/>
      <c r="O952" s="199"/>
      <c r="P952" s="199"/>
      <c r="Q952" s="199"/>
      <c r="R952" s="199"/>
      <c r="S952" s="199"/>
      <c r="T952" s="199"/>
      <c r="U952" s="199"/>
      <c r="V952" s="199"/>
      <c r="W952" s="199"/>
    </row>
    <row r="953">
      <c r="A953" s="283"/>
      <c r="B953" s="199"/>
      <c r="C953" s="199"/>
      <c r="D953" s="199"/>
      <c r="E953" s="199"/>
      <c r="F953" s="199"/>
      <c r="G953" s="199"/>
      <c r="H953" s="199"/>
      <c r="I953" s="199"/>
      <c r="J953" s="199"/>
      <c r="K953" s="199"/>
      <c r="L953" s="199"/>
      <c r="M953" s="199"/>
      <c r="N953" s="199"/>
      <c r="O953" s="199"/>
      <c r="P953" s="199"/>
      <c r="Q953" s="199"/>
      <c r="R953" s="199"/>
      <c r="S953" s="199"/>
      <c r="T953" s="199"/>
      <c r="U953" s="199"/>
      <c r="V953" s="199"/>
      <c r="W953" s="199"/>
    </row>
    <row r="954">
      <c r="A954" s="283"/>
      <c r="B954" s="199"/>
      <c r="C954" s="199"/>
      <c r="D954" s="199"/>
      <c r="E954" s="199"/>
      <c r="F954" s="199"/>
      <c r="G954" s="199"/>
      <c r="H954" s="199"/>
      <c r="I954" s="199"/>
      <c r="J954" s="199"/>
      <c r="K954" s="199"/>
      <c r="L954" s="199"/>
      <c r="M954" s="199"/>
      <c r="N954" s="199"/>
      <c r="O954" s="199"/>
      <c r="P954" s="199"/>
      <c r="Q954" s="199"/>
      <c r="R954" s="199"/>
      <c r="S954" s="199"/>
      <c r="T954" s="199"/>
      <c r="U954" s="199"/>
      <c r="V954" s="199"/>
      <c r="W954" s="199"/>
    </row>
    <row r="955">
      <c r="A955" s="283"/>
      <c r="B955" s="199"/>
      <c r="C955" s="199"/>
      <c r="D955" s="199"/>
      <c r="E955" s="199"/>
      <c r="F955" s="199"/>
      <c r="G955" s="199"/>
      <c r="H955" s="199"/>
      <c r="I955" s="199"/>
      <c r="J955" s="199"/>
      <c r="K955" s="199"/>
      <c r="L955" s="199"/>
      <c r="M955" s="199"/>
      <c r="N955" s="199"/>
      <c r="O955" s="199"/>
      <c r="P955" s="199"/>
      <c r="Q955" s="199"/>
      <c r="R955" s="199"/>
      <c r="S955" s="199"/>
      <c r="T955" s="199"/>
      <c r="U955" s="199"/>
      <c r="V955" s="199"/>
      <c r="W955" s="199"/>
    </row>
    <row r="956">
      <c r="A956" s="283"/>
      <c r="B956" s="199"/>
      <c r="C956" s="199"/>
      <c r="D956" s="199"/>
      <c r="E956" s="199"/>
      <c r="F956" s="199"/>
      <c r="G956" s="199"/>
      <c r="H956" s="199"/>
      <c r="I956" s="199"/>
      <c r="J956" s="199"/>
      <c r="K956" s="199"/>
      <c r="L956" s="199"/>
      <c r="M956" s="199"/>
      <c r="N956" s="199"/>
      <c r="O956" s="199"/>
      <c r="P956" s="199"/>
      <c r="Q956" s="199"/>
      <c r="R956" s="199"/>
      <c r="S956" s="199"/>
      <c r="T956" s="199"/>
      <c r="U956" s="199"/>
      <c r="V956" s="199"/>
      <c r="W956" s="199"/>
    </row>
    <row r="957">
      <c r="A957" s="283"/>
      <c r="B957" s="199"/>
      <c r="C957" s="199"/>
      <c r="D957" s="199"/>
      <c r="E957" s="199"/>
      <c r="F957" s="199"/>
      <c r="G957" s="199"/>
      <c r="H957" s="199"/>
      <c r="I957" s="199"/>
      <c r="J957" s="199"/>
      <c r="K957" s="199"/>
      <c r="L957" s="199"/>
      <c r="M957" s="199"/>
      <c r="N957" s="199"/>
      <c r="O957" s="199"/>
      <c r="P957" s="199"/>
      <c r="Q957" s="199"/>
      <c r="R957" s="199"/>
      <c r="S957" s="199"/>
      <c r="T957" s="199"/>
      <c r="U957" s="199"/>
      <c r="V957" s="199"/>
      <c r="W957" s="199"/>
    </row>
    <row r="958">
      <c r="A958" s="283"/>
      <c r="B958" s="199"/>
      <c r="C958" s="199"/>
      <c r="D958" s="199"/>
      <c r="E958" s="199"/>
      <c r="F958" s="199"/>
      <c r="G958" s="199"/>
      <c r="H958" s="199"/>
      <c r="I958" s="199"/>
      <c r="J958" s="199"/>
      <c r="K958" s="199"/>
      <c r="L958" s="199"/>
      <c r="M958" s="199"/>
      <c r="N958" s="199"/>
      <c r="O958" s="199"/>
      <c r="P958" s="199"/>
      <c r="Q958" s="199"/>
      <c r="R958" s="199"/>
      <c r="S958" s="199"/>
      <c r="T958" s="199"/>
      <c r="U958" s="199"/>
      <c r="V958" s="199"/>
      <c r="W958" s="199"/>
    </row>
    <row r="959">
      <c r="A959" s="283"/>
      <c r="B959" s="199"/>
      <c r="C959" s="199"/>
      <c r="D959" s="199"/>
      <c r="E959" s="199"/>
      <c r="F959" s="199"/>
      <c r="G959" s="199"/>
      <c r="H959" s="199"/>
      <c r="I959" s="199"/>
      <c r="J959" s="199"/>
      <c r="K959" s="199"/>
      <c r="L959" s="199"/>
      <c r="M959" s="199"/>
      <c r="N959" s="199"/>
      <c r="O959" s="199"/>
      <c r="P959" s="199"/>
      <c r="Q959" s="199"/>
      <c r="R959" s="199"/>
      <c r="S959" s="199"/>
      <c r="T959" s="199"/>
      <c r="U959" s="199"/>
      <c r="V959" s="199"/>
      <c r="W959" s="199"/>
    </row>
    <row r="960">
      <c r="A960" s="283"/>
      <c r="B960" s="199"/>
      <c r="C960" s="199"/>
      <c r="D960" s="199"/>
      <c r="E960" s="199"/>
      <c r="F960" s="199"/>
      <c r="G960" s="199"/>
      <c r="H960" s="199"/>
      <c r="I960" s="199"/>
      <c r="J960" s="199"/>
      <c r="K960" s="199"/>
      <c r="L960" s="199"/>
      <c r="M960" s="199"/>
      <c r="N960" s="199"/>
      <c r="O960" s="199"/>
      <c r="P960" s="199"/>
      <c r="Q960" s="199"/>
      <c r="R960" s="199"/>
      <c r="S960" s="199"/>
      <c r="T960" s="199"/>
      <c r="U960" s="199"/>
      <c r="V960" s="199"/>
      <c r="W960" s="199"/>
    </row>
    <row r="961">
      <c r="A961" s="283"/>
      <c r="B961" s="199"/>
      <c r="C961" s="199"/>
      <c r="D961" s="199"/>
      <c r="E961" s="199"/>
      <c r="F961" s="199"/>
      <c r="G961" s="199"/>
      <c r="H961" s="199"/>
      <c r="I961" s="199"/>
      <c r="J961" s="199"/>
      <c r="K961" s="199"/>
      <c r="L961" s="199"/>
      <c r="M961" s="199"/>
      <c r="N961" s="199"/>
      <c r="O961" s="199"/>
      <c r="P961" s="199"/>
      <c r="Q961" s="199"/>
      <c r="R961" s="199"/>
      <c r="S961" s="199"/>
      <c r="T961" s="199"/>
      <c r="U961" s="199"/>
      <c r="V961" s="199"/>
      <c r="W961" s="199"/>
    </row>
    <row r="962">
      <c r="A962" s="283"/>
      <c r="B962" s="199"/>
      <c r="C962" s="199"/>
      <c r="D962" s="199"/>
      <c r="E962" s="199"/>
      <c r="F962" s="199"/>
      <c r="G962" s="199"/>
      <c r="H962" s="199"/>
      <c r="I962" s="199"/>
      <c r="J962" s="199"/>
      <c r="K962" s="199"/>
      <c r="L962" s="199"/>
      <c r="M962" s="199"/>
      <c r="N962" s="199"/>
      <c r="O962" s="199"/>
      <c r="P962" s="199"/>
      <c r="Q962" s="199"/>
      <c r="R962" s="199"/>
      <c r="S962" s="199"/>
      <c r="T962" s="199"/>
      <c r="U962" s="199"/>
      <c r="V962" s="199"/>
      <c r="W962" s="199"/>
    </row>
    <row r="963">
      <c r="A963" s="283"/>
      <c r="B963" s="199"/>
      <c r="C963" s="199"/>
      <c r="D963" s="199"/>
      <c r="E963" s="199"/>
      <c r="F963" s="199"/>
      <c r="G963" s="199"/>
      <c r="H963" s="199"/>
      <c r="I963" s="199"/>
      <c r="J963" s="199"/>
      <c r="K963" s="199"/>
      <c r="L963" s="199"/>
      <c r="M963" s="199"/>
      <c r="N963" s="199"/>
      <c r="O963" s="199"/>
      <c r="P963" s="199"/>
      <c r="Q963" s="199"/>
      <c r="R963" s="199"/>
      <c r="S963" s="199"/>
      <c r="T963" s="199"/>
      <c r="U963" s="199"/>
      <c r="V963" s="199"/>
      <c r="W963" s="199"/>
    </row>
    <row r="964">
      <c r="A964" s="283"/>
      <c r="B964" s="199"/>
      <c r="C964" s="199"/>
      <c r="D964" s="199"/>
      <c r="E964" s="199"/>
      <c r="F964" s="199"/>
      <c r="G964" s="199"/>
      <c r="H964" s="199"/>
      <c r="I964" s="199"/>
      <c r="J964" s="199"/>
      <c r="K964" s="199"/>
      <c r="L964" s="199"/>
      <c r="M964" s="199"/>
      <c r="N964" s="199"/>
      <c r="O964" s="199"/>
      <c r="P964" s="199"/>
      <c r="Q964" s="199"/>
      <c r="R964" s="199"/>
      <c r="S964" s="199"/>
      <c r="T964" s="199"/>
      <c r="U964" s="199"/>
      <c r="V964" s="199"/>
      <c r="W964" s="199"/>
    </row>
    <row r="965">
      <c r="A965" s="283"/>
      <c r="B965" s="199"/>
      <c r="C965" s="199"/>
      <c r="D965" s="199"/>
      <c r="E965" s="199"/>
      <c r="F965" s="199"/>
      <c r="G965" s="199"/>
      <c r="H965" s="199"/>
      <c r="I965" s="199"/>
      <c r="J965" s="199"/>
      <c r="K965" s="199"/>
      <c r="L965" s="199"/>
      <c r="M965" s="199"/>
      <c r="N965" s="199"/>
      <c r="O965" s="199"/>
      <c r="P965" s="199"/>
      <c r="Q965" s="199"/>
      <c r="R965" s="199"/>
      <c r="S965" s="199"/>
      <c r="T965" s="199"/>
      <c r="U965" s="199"/>
      <c r="V965" s="199"/>
      <c r="W965" s="199"/>
    </row>
    <row r="966">
      <c r="A966" s="283"/>
      <c r="B966" s="199"/>
      <c r="C966" s="199"/>
      <c r="D966" s="199"/>
      <c r="E966" s="199"/>
      <c r="F966" s="199"/>
      <c r="G966" s="199"/>
      <c r="H966" s="199"/>
      <c r="I966" s="199"/>
      <c r="J966" s="199"/>
      <c r="K966" s="199"/>
      <c r="L966" s="199"/>
      <c r="M966" s="199"/>
      <c r="N966" s="199"/>
      <c r="O966" s="199"/>
      <c r="P966" s="199"/>
      <c r="Q966" s="199"/>
      <c r="R966" s="199"/>
      <c r="S966" s="199"/>
      <c r="T966" s="199"/>
      <c r="U966" s="199"/>
      <c r="V966" s="199"/>
      <c r="W966" s="199"/>
    </row>
    <row r="967">
      <c r="A967" s="283"/>
      <c r="B967" s="199"/>
      <c r="C967" s="199"/>
      <c r="D967" s="199"/>
      <c r="E967" s="199"/>
      <c r="F967" s="199"/>
      <c r="G967" s="199"/>
      <c r="H967" s="199"/>
      <c r="I967" s="199"/>
      <c r="J967" s="199"/>
      <c r="K967" s="199"/>
      <c r="L967" s="199"/>
      <c r="M967" s="199"/>
      <c r="N967" s="199"/>
      <c r="O967" s="199"/>
      <c r="P967" s="199"/>
      <c r="Q967" s="199"/>
      <c r="R967" s="199"/>
      <c r="S967" s="199"/>
      <c r="T967" s="199"/>
      <c r="U967" s="199"/>
      <c r="V967" s="199"/>
      <c r="W967" s="199"/>
    </row>
    <row r="968">
      <c r="A968" s="283"/>
      <c r="B968" s="199"/>
      <c r="C968" s="199"/>
      <c r="D968" s="199"/>
      <c r="E968" s="199"/>
      <c r="F968" s="199"/>
      <c r="G968" s="199"/>
      <c r="H968" s="199"/>
      <c r="I968" s="199"/>
      <c r="J968" s="199"/>
      <c r="K968" s="199"/>
      <c r="L968" s="199"/>
      <c r="M968" s="199"/>
      <c r="N968" s="199"/>
      <c r="O968" s="199"/>
      <c r="P968" s="199"/>
      <c r="Q968" s="199"/>
      <c r="R968" s="199"/>
      <c r="S968" s="199"/>
      <c r="T968" s="199"/>
      <c r="U968" s="199"/>
      <c r="V968" s="199"/>
      <c r="W968" s="199"/>
    </row>
    <row r="969">
      <c r="A969" s="283"/>
      <c r="B969" s="199"/>
      <c r="C969" s="199"/>
      <c r="D969" s="199"/>
      <c r="E969" s="199"/>
      <c r="F969" s="199"/>
      <c r="G969" s="199"/>
      <c r="H969" s="199"/>
      <c r="I969" s="199"/>
      <c r="J969" s="199"/>
      <c r="K969" s="199"/>
      <c r="L969" s="199"/>
      <c r="M969" s="199"/>
      <c r="N969" s="199"/>
      <c r="O969" s="199"/>
      <c r="P969" s="199"/>
      <c r="Q969" s="199"/>
      <c r="R969" s="199"/>
      <c r="S969" s="199"/>
      <c r="T969" s="199"/>
      <c r="U969" s="199"/>
      <c r="V969" s="199"/>
      <c r="W969" s="199"/>
    </row>
    <row r="970">
      <c r="A970" s="283"/>
      <c r="B970" s="199"/>
      <c r="C970" s="199"/>
      <c r="D970" s="199"/>
      <c r="E970" s="199"/>
      <c r="F970" s="199"/>
      <c r="G970" s="199"/>
      <c r="H970" s="199"/>
      <c r="I970" s="199"/>
      <c r="J970" s="199"/>
      <c r="K970" s="199"/>
      <c r="L970" s="199"/>
      <c r="M970" s="199"/>
      <c r="N970" s="199"/>
      <c r="O970" s="199"/>
      <c r="P970" s="199"/>
      <c r="Q970" s="199"/>
      <c r="R970" s="199"/>
      <c r="S970" s="199"/>
      <c r="T970" s="199"/>
      <c r="U970" s="199"/>
      <c r="V970" s="199"/>
      <c r="W970" s="199"/>
    </row>
    <row r="971">
      <c r="A971" s="283"/>
      <c r="B971" s="199"/>
      <c r="C971" s="199"/>
      <c r="D971" s="199"/>
      <c r="E971" s="199"/>
      <c r="F971" s="199"/>
      <c r="G971" s="199"/>
      <c r="H971" s="199"/>
      <c r="I971" s="199"/>
      <c r="J971" s="199"/>
      <c r="K971" s="199"/>
      <c r="L971" s="199"/>
      <c r="M971" s="199"/>
      <c r="N971" s="199"/>
      <c r="O971" s="199"/>
      <c r="P971" s="199"/>
      <c r="Q971" s="199"/>
      <c r="R971" s="199"/>
      <c r="S971" s="199"/>
      <c r="T971" s="199"/>
      <c r="U971" s="199"/>
      <c r="V971" s="199"/>
      <c r="W971" s="199"/>
    </row>
    <row r="972">
      <c r="A972" s="283"/>
      <c r="B972" s="199"/>
      <c r="C972" s="199"/>
      <c r="D972" s="199"/>
      <c r="E972" s="199"/>
      <c r="F972" s="199"/>
      <c r="G972" s="199"/>
      <c r="H972" s="199"/>
      <c r="I972" s="199"/>
      <c r="J972" s="199"/>
      <c r="K972" s="199"/>
      <c r="L972" s="199"/>
      <c r="M972" s="199"/>
      <c r="N972" s="199"/>
      <c r="O972" s="199"/>
      <c r="P972" s="199"/>
      <c r="Q972" s="199"/>
      <c r="R972" s="199"/>
      <c r="S972" s="199"/>
      <c r="T972" s="199"/>
      <c r="U972" s="199"/>
      <c r="V972" s="199"/>
      <c r="W972" s="199"/>
    </row>
    <row r="973">
      <c r="A973" s="283"/>
      <c r="B973" s="199"/>
      <c r="C973" s="199"/>
      <c r="D973" s="199"/>
      <c r="E973" s="199"/>
      <c r="F973" s="199"/>
      <c r="G973" s="199"/>
      <c r="H973" s="199"/>
      <c r="I973" s="199"/>
      <c r="J973" s="199"/>
      <c r="K973" s="199"/>
      <c r="L973" s="199"/>
      <c r="M973" s="199"/>
      <c r="N973" s="199"/>
      <c r="O973" s="199"/>
      <c r="P973" s="199"/>
      <c r="Q973" s="199"/>
      <c r="R973" s="199"/>
      <c r="S973" s="199"/>
      <c r="T973" s="199"/>
      <c r="U973" s="199"/>
      <c r="V973" s="199"/>
      <c r="W973" s="199"/>
    </row>
    <row r="974">
      <c r="A974" s="283"/>
      <c r="B974" s="199"/>
      <c r="C974" s="199"/>
      <c r="D974" s="199"/>
      <c r="E974" s="199"/>
      <c r="F974" s="199"/>
      <c r="G974" s="199"/>
      <c r="H974" s="199"/>
      <c r="I974" s="199"/>
      <c r="J974" s="199"/>
      <c r="K974" s="199"/>
      <c r="L974" s="199"/>
      <c r="M974" s="199"/>
      <c r="N974" s="199"/>
      <c r="O974" s="199"/>
      <c r="P974" s="199"/>
      <c r="Q974" s="199"/>
      <c r="R974" s="199"/>
      <c r="S974" s="199"/>
      <c r="T974" s="199"/>
      <c r="U974" s="199"/>
      <c r="V974" s="199"/>
      <c r="W974" s="199"/>
    </row>
    <row r="975">
      <c r="A975" s="283"/>
      <c r="B975" s="199"/>
      <c r="C975" s="199"/>
      <c r="D975" s="199"/>
      <c r="E975" s="199"/>
      <c r="F975" s="199"/>
      <c r="G975" s="199"/>
      <c r="H975" s="199"/>
      <c r="I975" s="199"/>
      <c r="J975" s="199"/>
      <c r="K975" s="199"/>
      <c r="L975" s="199"/>
      <c r="M975" s="199"/>
      <c r="N975" s="199"/>
      <c r="O975" s="199"/>
      <c r="P975" s="199"/>
      <c r="Q975" s="199"/>
      <c r="R975" s="199"/>
      <c r="S975" s="199"/>
      <c r="T975" s="199"/>
      <c r="U975" s="199"/>
      <c r="V975" s="199"/>
      <c r="W975" s="199"/>
    </row>
    <row r="976">
      <c r="A976" s="283"/>
      <c r="B976" s="199"/>
      <c r="C976" s="199"/>
      <c r="D976" s="199"/>
      <c r="E976" s="199"/>
      <c r="F976" s="199"/>
      <c r="G976" s="199"/>
      <c r="H976" s="199"/>
      <c r="I976" s="199"/>
      <c r="J976" s="199"/>
      <c r="K976" s="199"/>
      <c r="L976" s="199"/>
      <c r="M976" s="199"/>
      <c r="N976" s="199"/>
      <c r="O976" s="199"/>
      <c r="P976" s="199"/>
      <c r="Q976" s="199"/>
      <c r="R976" s="199"/>
      <c r="S976" s="199"/>
      <c r="T976" s="199"/>
      <c r="U976" s="199"/>
      <c r="V976" s="199"/>
      <c r="W976" s="199"/>
    </row>
    <row r="977">
      <c r="A977" s="283"/>
      <c r="B977" s="199"/>
      <c r="C977" s="199"/>
      <c r="D977" s="199"/>
      <c r="E977" s="199"/>
      <c r="F977" s="199"/>
      <c r="G977" s="199"/>
      <c r="H977" s="199"/>
      <c r="I977" s="199"/>
      <c r="J977" s="199"/>
      <c r="K977" s="199"/>
      <c r="L977" s="199"/>
      <c r="M977" s="199"/>
      <c r="N977" s="199"/>
      <c r="O977" s="199"/>
      <c r="P977" s="199"/>
      <c r="Q977" s="199"/>
      <c r="R977" s="199"/>
      <c r="S977" s="199"/>
      <c r="T977" s="199"/>
      <c r="U977" s="199"/>
      <c r="V977" s="199"/>
      <c r="W977" s="199"/>
    </row>
    <row r="978">
      <c r="A978" s="283"/>
      <c r="B978" s="199"/>
      <c r="C978" s="199"/>
      <c r="D978" s="199"/>
      <c r="E978" s="199"/>
      <c r="F978" s="199"/>
      <c r="G978" s="199"/>
      <c r="H978" s="199"/>
      <c r="I978" s="199"/>
      <c r="J978" s="199"/>
      <c r="K978" s="199"/>
      <c r="L978" s="199"/>
      <c r="M978" s="199"/>
      <c r="N978" s="199"/>
      <c r="O978" s="199"/>
      <c r="P978" s="199"/>
      <c r="Q978" s="199"/>
      <c r="R978" s="199"/>
      <c r="S978" s="199"/>
      <c r="T978" s="199"/>
      <c r="U978" s="199"/>
      <c r="V978" s="199"/>
      <c r="W978" s="199"/>
    </row>
    <row r="979">
      <c r="A979" s="283"/>
      <c r="B979" s="199"/>
      <c r="C979" s="199"/>
      <c r="D979" s="199"/>
      <c r="E979" s="199"/>
      <c r="F979" s="199"/>
      <c r="G979" s="199"/>
      <c r="H979" s="199"/>
      <c r="I979" s="199"/>
      <c r="J979" s="199"/>
      <c r="K979" s="199"/>
      <c r="L979" s="199"/>
      <c r="M979" s="199"/>
      <c r="N979" s="199"/>
      <c r="O979" s="199"/>
      <c r="P979" s="199"/>
      <c r="Q979" s="199"/>
      <c r="R979" s="199"/>
      <c r="S979" s="199"/>
      <c r="T979" s="199"/>
      <c r="U979" s="199"/>
      <c r="V979" s="199"/>
      <c r="W979" s="199"/>
    </row>
    <row r="980">
      <c r="A980" s="283"/>
      <c r="B980" s="199"/>
      <c r="C980" s="199"/>
      <c r="D980" s="199"/>
      <c r="E980" s="199"/>
      <c r="F980" s="199"/>
      <c r="G980" s="199"/>
      <c r="H980" s="199"/>
      <c r="I980" s="199"/>
      <c r="J980" s="199"/>
      <c r="K980" s="199"/>
      <c r="L980" s="199"/>
      <c r="M980" s="199"/>
      <c r="N980" s="199"/>
      <c r="O980" s="199"/>
      <c r="P980" s="199"/>
      <c r="Q980" s="199"/>
      <c r="R980" s="199"/>
      <c r="S980" s="199"/>
      <c r="T980" s="199"/>
      <c r="U980" s="199"/>
      <c r="V980" s="199"/>
      <c r="W980" s="199"/>
    </row>
    <row r="981">
      <c r="A981" s="283"/>
      <c r="B981" s="199"/>
      <c r="C981" s="199"/>
      <c r="D981" s="199"/>
      <c r="E981" s="199"/>
      <c r="F981" s="199"/>
      <c r="G981" s="199"/>
      <c r="H981" s="199"/>
      <c r="I981" s="199"/>
      <c r="J981" s="199"/>
      <c r="K981" s="199"/>
      <c r="L981" s="199"/>
      <c r="M981" s="199"/>
      <c r="N981" s="199"/>
      <c r="O981" s="199"/>
      <c r="P981" s="199"/>
      <c r="Q981" s="199"/>
      <c r="R981" s="199"/>
      <c r="S981" s="199"/>
      <c r="T981" s="199"/>
      <c r="U981" s="199"/>
      <c r="V981" s="199"/>
      <c r="W981" s="199"/>
    </row>
    <row r="982">
      <c r="A982" s="283"/>
      <c r="B982" s="199"/>
      <c r="C982" s="199"/>
      <c r="D982" s="199"/>
      <c r="E982" s="199"/>
      <c r="F982" s="199"/>
      <c r="G982" s="199"/>
      <c r="H982" s="199"/>
      <c r="I982" s="199"/>
      <c r="J982" s="199"/>
      <c r="K982" s="199"/>
      <c r="L982" s="199"/>
      <c r="M982" s="199"/>
      <c r="N982" s="199"/>
      <c r="O982" s="199"/>
      <c r="P982" s="199"/>
      <c r="Q982" s="199"/>
      <c r="R982" s="199"/>
      <c r="S982" s="199"/>
      <c r="T982" s="199"/>
      <c r="U982" s="199"/>
      <c r="V982" s="199"/>
      <c r="W982" s="199"/>
    </row>
    <row r="983">
      <c r="A983" s="283"/>
      <c r="B983" s="199"/>
      <c r="C983" s="199"/>
      <c r="D983" s="199"/>
      <c r="E983" s="199"/>
      <c r="F983" s="199"/>
      <c r="G983" s="199"/>
      <c r="H983" s="199"/>
      <c r="I983" s="199"/>
      <c r="J983" s="199"/>
      <c r="K983" s="199"/>
      <c r="L983" s="199"/>
      <c r="M983" s="199"/>
      <c r="N983" s="199"/>
      <c r="O983" s="199"/>
      <c r="P983" s="199"/>
      <c r="Q983" s="199"/>
      <c r="R983" s="199"/>
      <c r="S983" s="199"/>
      <c r="T983" s="199"/>
      <c r="U983" s="199"/>
      <c r="V983" s="199"/>
      <c r="W983" s="199"/>
    </row>
    <row r="984">
      <c r="A984" s="283"/>
      <c r="B984" s="199"/>
      <c r="C984" s="199"/>
      <c r="D984" s="199"/>
      <c r="E984" s="199"/>
      <c r="F984" s="199"/>
      <c r="G984" s="199"/>
      <c r="H984" s="199"/>
      <c r="I984" s="199"/>
      <c r="J984" s="199"/>
      <c r="K984" s="199"/>
      <c r="L984" s="199"/>
      <c r="M984" s="199"/>
      <c r="N984" s="199"/>
      <c r="O984" s="199"/>
      <c r="P984" s="199"/>
      <c r="Q984" s="199"/>
      <c r="R984" s="199"/>
      <c r="S984" s="199"/>
      <c r="T984" s="199"/>
      <c r="U984" s="199"/>
      <c r="V984" s="199"/>
      <c r="W984" s="199"/>
    </row>
    <row r="985">
      <c r="A985" s="283"/>
      <c r="B985" s="199"/>
      <c r="C985" s="199"/>
      <c r="D985" s="199"/>
      <c r="E985" s="199"/>
      <c r="F985" s="199"/>
      <c r="G985" s="199"/>
      <c r="H985" s="199"/>
      <c r="I985" s="199"/>
      <c r="J985" s="199"/>
      <c r="K985" s="199"/>
      <c r="L985" s="199"/>
      <c r="M985" s="199"/>
      <c r="N985" s="199"/>
      <c r="O985" s="199"/>
      <c r="P985" s="199"/>
      <c r="Q985" s="199"/>
      <c r="R985" s="199"/>
      <c r="S985" s="199"/>
      <c r="T985" s="199"/>
      <c r="U985" s="199"/>
      <c r="V985" s="199"/>
      <c r="W985" s="199"/>
    </row>
    <row r="986">
      <c r="A986" s="283"/>
      <c r="B986" s="199"/>
      <c r="C986" s="199"/>
      <c r="D986" s="199"/>
      <c r="E986" s="199"/>
      <c r="F986" s="199"/>
      <c r="G986" s="199"/>
      <c r="H986" s="199"/>
      <c r="I986" s="199"/>
      <c r="J986" s="199"/>
      <c r="K986" s="199"/>
      <c r="L986" s="199"/>
      <c r="M986" s="199"/>
      <c r="N986" s="199"/>
      <c r="O986" s="199"/>
      <c r="P986" s="199"/>
      <c r="Q986" s="199"/>
      <c r="R986" s="199"/>
      <c r="S986" s="199"/>
      <c r="T986" s="199"/>
      <c r="U986" s="199"/>
      <c r="V986" s="199"/>
      <c r="W986" s="199"/>
    </row>
    <row r="987">
      <c r="A987" s="283"/>
      <c r="B987" s="199"/>
      <c r="C987" s="199"/>
      <c r="D987" s="199"/>
      <c r="E987" s="199"/>
      <c r="F987" s="199"/>
      <c r="G987" s="199"/>
      <c r="H987" s="199"/>
      <c r="I987" s="199"/>
      <c r="J987" s="199"/>
      <c r="K987" s="199"/>
      <c r="L987" s="199"/>
      <c r="M987" s="199"/>
      <c r="N987" s="199"/>
      <c r="O987" s="199"/>
      <c r="P987" s="199"/>
      <c r="Q987" s="199"/>
      <c r="R987" s="199"/>
      <c r="S987" s="199"/>
      <c r="T987" s="199"/>
      <c r="U987" s="199"/>
      <c r="V987" s="199"/>
      <c r="W987" s="199"/>
    </row>
    <row r="988">
      <c r="A988" s="283"/>
      <c r="B988" s="199"/>
      <c r="C988" s="199"/>
      <c r="D988" s="199"/>
      <c r="E988" s="199"/>
      <c r="F988" s="199"/>
      <c r="G988" s="199"/>
      <c r="H988" s="199"/>
      <c r="I988" s="199"/>
      <c r="J988" s="199"/>
      <c r="K988" s="199"/>
      <c r="L988" s="199"/>
      <c r="M988" s="199"/>
      <c r="N988" s="199"/>
      <c r="O988" s="199"/>
      <c r="P988" s="199"/>
      <c r="Q988" s="199"/>
      <c r="R988" s="199"/>
      <c r="S988" s="199"/>
      <c r="T988" s="199"/>
      <c r="U988" s="199"/>
      <c r="V988" s="199"/>
      <c r="W988" s="199"/>
    </row>
    <row r="989">
      <c r="A989" s="283"/>
      <c r="B989" s="199"/>
      <c r="C989" s="199"/>
      <c r="D989" s="199"/>
      <c r="E989" s="199"/>
      <c r="F989" s="199"/>
      <c r="G989" s="199"/>
      <c r="H989" s="199"/>
      <c r="I989" s="199"/>
      <c r="J989" s="199"/>
      <c r="K989" s="199"/>
      <c r="L989" s="199"/>
      <c r="M989" s="199"/>
      <c r="N989" s="199"/>
      <c r="O989" s="199"/>
      <c r="P989" s="199"/>
      <c r="Q989" s="199"/>
      <c r="R989" s="199"/>
      <c r="S989" s="199"/>
      <c r="T989" s="199"/>
      <c r="U989" s="199"/>
      <c r="V989" s="199"/>
      <c r="W989" s="199"/>
    </row>
    <row r="990">
      <c r="A990" s="283"/>
      <c r="B990" s="199"/>
      <c r="C990" s="199"/>
      <c r="D990" s="199"/>
      <c r="E990" s="199"/>
      <c r="F990" s="199"/>
      <c r="G990" s="199"/>
      <c r="H990" s="199"/>
      <c r="I990" s="199"/>
      <c r="J990" s="199"/>
      <c r="K990" s="199"/>
      <c r="L990" s="199"/>
      <c r="M990" s="199"/>
      <c r="N990" s="199"/>
      <c r="O990" s="199"/>
      <c r="P990" s="199"/>
      <c r="Q990" s="199"/>
      <c r="R990" s="199"/>
      <c r="S990" s="199"/>
      <c r="T990" s="199"/>
      <c r="U990" s="199"/>
      <c r="V990" s="199"/>
      <c r="W990" s="199"/>
    </row>
    <row r="991">
      <c r="A991" s="283"/>
      <c r="B991" s="199"/>
      <c r="C991" s="199"/>
      <c r="D991" s="199"/>
      <c r="E991" s="199"/>
      <c r="F991" s="199"/>
      <c r="G991" s="199"/>
      <c r="H991" s="199"/>
      <c r="I991" s="199"/>
      <c r="J991" s="199"/>
      <c r="K991" s="199"/>
      <c r="L991" s="199"/>
      <c r="M991" s="199"/>
      <c r="N991" s="199"/>
      <c r="O991" s="199"/>
      <c r="P991" s="199"/>
      <c r="Q991" s="199"/>
      <c r="R991" s="199"/>
      <c r="S991" s="199"/>
      <c r="T991" s="199"/>
      <c r="U991" s="199"/>
      <c r="V991" s="199"/>
      <c r="W991" s="199"/>
    </row>
    <row r="992">
      <c r="A992" s="283"/>
      <c r="B992" s="199"/>
      <c r="C992" s="199"/>
      <c r="D992" s="199"/>
      <c r="E992" s="199"/>
      <c r="F992" s="199"/>
      <c r="G992" s="199"/>
      <c r="H992" s="199"/>
      <c r="I992" s="199"/>
      <c r="J992" s="199"/>
      <c r="K992" s="199"/>
      <c r="L992" s="199"/>
      <c r="M992" s="199"/>
      <c r="N992" s="199"/>
      <c r="O992" s="199"/>
      <c r="P992" s="199"/>
      <c r="Q992" s="199"/>
      <c r="R992" s="199"/>
      <c r="S992" s="199"/>
      <c r="T992" s="199"/>
      <c r="U992" s="199"/>
      <c r="V992" s="199"/>
      <c r="W992" s="199"/>
    </row>
    <row r="993">
      <c r="A993" s="283"/>
      <c r="B993" s="199"/>
      <c r="C993" s="199"/>
      <c r="D993" s="199"/>
      <c r="E993" s="199"/>
      <c r="F993" s="199"/>
      <c r="G993" s="199"/>
      <c r="H993" s="199"/>
      <c r="I993" s="199"/>
      <c r="J993" s="199"/>
      <c r="K993" s="199"/>
      <c r="L993" s="199"/>
      <c r="M993" s="199"/>
      <c r="N993" s="199"/>
      <c r="O993" s="199"/>
      <c r="P993" s="199"/>
      <c r="Q993" s="199"/>
      <c r="R993" s="199"/>
      <c r="S993" s="199"/>
      <c r="T993" s="199"/>
      <c r="U993" s="199"/>
      <c r="V993" s="199"/>
      <c r="W993" s="199"/>
    </row>
    <row r="994">
      <c r="A994" s="283"/>
      <c r="B994" s="199"/>
      <c r="C994" s="199"/>
      <c r="D994" s="199"/>
      <c r="E994" s="199"/>
      <c r="F994" s="199"/>
      <c r="G994" s="199"/>
      <c r="H994" s="199"/>
      <c r="I994" s="199"/>
      <c r="J994" s="199"/>
      <c r="K994" s="199"/>
      <c r="L994" s="199"/>
      <c r="M994" s="199"/>
      <c r="N994" s="199"/>
      <c r="O994" s="199"/>
      <c r="P994" s="199"/>
      <c r="Q994" s="199"/>
      <c r="R994" s="199"/>
      <c r="S994" s="199"/>
      <c r="T994" s="199"/>
      <c r="U994" s="199"/>
      <c r="V994" s="199"/>
      <c r="W994" s="199"/>
    </row>
    <row r="995">
      <c r="A995" s="283"/>
      <c r="B995" s="199"/>
      <c r="C995" s="199"/>
      <c r="D995" s="199"/>
      <c r="E995" s="199"/>
      <c r="F995" s="199"/>
      <c r="G995" s="199"/>
      <c r="H995" s="199"/>
      <c r="I995" s="199"/>
      <c r="J995" s="199"/>
      <c r="K995" s="199"/>
      <c r="L995" s="199"/>
      <c r="M995" s="199"/>
      <c r="N995" s="199"/>
      <c r="O995" s="199"/>
      <c r="P995" s="199"/>
      <c r="Q995" s="199"/>
      <c r="R995" s="199"/>
      <c r="S995" s="199"/>
      <c r="T995" s="199"/>
      <c r="U995" s="199"/>
      <c r="V995" s="199"/>
      <c r="W995" s="199"/>
    </row>
    <row r="996">
      <c r="A996" s="283"/>
      <c r="B996" s="199"/>
      <c r="C996" s="199"/>
      <c r="D996" s="199"/>
      <c r="E996" s="199"/>
      <c r="F996" s="199"/>
      <c r="G996" s="199"/>
      <c r="H996" s="199"/>
      <c r="I996" s="199"/>
      <c r="J996" s="199"/>
      <c r="K996" s="199"/>
      <c r="L996" s="199"/>
      <c r="M996" s="199"/>
      <c r="N996" s="199"/>
      <c r="O996" s="199"/>
      <c r="P996" s="199"/>
      <c r="Q996" s="199"/>
      <c r="R996" s="199"/>
      <c r="S996" s="199"/>
      <c r="T996" s="199"/>
      <c r="U996" s="199"/>
      <c r="V996" s="199"/>
      <c r="W996" s="199"/>
    </row>
    <row r="997">
      <c r="A997" s="283"/>
      <c r="B997" s="199"/>
      <c r="C997" s="199"/>
      <c r="D997" s="199"/>
      <c r="E997" s="199"/>
      <c r="F997" s="199"/>
      <c r="G997" s="199"/>
      <c r="H997" s="199"/>
      <c r="I997" s="199"/>
      <c r="J997" s="199"/>
      <c r="K997" s="199"/>
      <c r="L997" s="199"/>
      <c r="M997" s="199"/>
      <c r="N997" s="199"/>
      <c r="O997" s="199"/>
      <c r="P997" s="199"/>
      <c r="Q997" s="199"/>
      <c r="R997" s="199"/>
      <c r="S997" s="199"/>
      <c r="T997" s="199"/>
      <c r="U997" s="199"/>
      <c r="V997" s="199"/>
      <c r="W997" s="199"/>
    </row>
    <row r="998">
      <c r="A998" s="283"/>
      <c r="B998" s="199"/>
      <c r="C998" s="199"/>
      <c r="D998" s="199"/>
      <c r="E998" s="199"/>
      <c r="F998" s="199"/>
      <c r="G998" s="199"/>
      <c r="H998" s="199"/>
      <c r="I998" s="199"/>
      <c r="J998" s="199"/>
      <c r="K998" s="199"/>
      <c r="L998" s="199"/>
      <c r="M998" s="199"/>
      <c r="N998" s="199"/>
      <c r="O998" s="199"/>
      <c r="P998" s="199"/>
      <c r="Q998" s="199"/>
      <c r="R998" s="199"/>
      <c r="S998" s="199"/>
      <c r="T998" s="199"/>
      <c r="U998" s="199"/>
      <c r="V998" s="199"/>
      <c r="W998" s="199"/>
    </row>
    <row r="999">
      <c r="A999" s="283"/>
      <c r="B999" s="199"/>
      <c r="C999" s="199"/>
      <c r="D999" s="199"/>
      <c r="E999" s="199"/>
      <c r="F999" s="199"/>
      <c r="G999" s="199"/>
      <c r="H999" s="199"/>
      <c r="I999" s="199"/>
      <c r="J999" s="199"/>
      <c r="K999" s="199"/>
      <c r="L999" s="199"/>
      <c r="M999" s="199"/>
      <c r="N999" s="199"/>
      <c r="O999" s="199"/>
      <c r="P999" s="199"/>
      <c r="Q999" s="199"/>
      <c r="R999" s="199"/>
      <c r="S999" s="199"/>
      <c r="T999" s="199"/>
      <c r="U999" s="199"/>
      <c r="V999" s="199"/>
      <c r="W999" s="199"/>
    </row>
    <row r="1000">
      <c r="A1000" s="283"/>
      <c r="B1000" s="199"/>
      <c r="C1000" s="199"/>
      <c r="D1000" s="199"/>
      <c r="E1000" s="199"/>
      <c r="F1000" s="199"/>
      <c r="G1000" s="199"/>
      <c r="H1000" s="199"/>
      <c r="I1000" s="199"/>
      <c r="J1000" s="199"/>
      <c r="K1000" s="199"/>
      <c r="L1000" s="199"/>
      <c r="M1000" s="199"/>
      <c r="N1000" s="199"/>
      <c r="O1000" s="199"/>
      <c r="P1000" s="199"/>
      <c r="Q1000" s="199"/>
      <c r="R1000" s="199"/>
      <c r="S1000" s="199"/>
      <c r="T1000" s="199"/>
      <c r="U1000" s="199"/>
      <c r="V1000" s="199"/>
      <c r="W1000" s="199"/>
    </row>
    <row r="1001">
      <c r="A1001" s="283"/>
      <c r="B1001" s="199"/>
      <c r="C1001" s="199"/>
      <c r="D1001" s="199"/>
      <c r="E1001" s="199"/>
      <c r="F1001" s="199"/>
      <c r="G1001" s="199"/>
      <c r="H1001" s="199"/>
      <c r="I1001" s="199"/>
      <c r="J1001" s="199"/>
      <c r="K1001" s="199"/>
      <c r="L1001" s="199"/>
      <c r="M1001" s="199"/>
      <c r="N1001" s="199"/>
      <c r="O1001" s="199"/>
      <c r="P1001" s="199"/>
      <c r="Q1001" s="199"/>
      <c r="R1001" s="199"/>
      <c r="S1001" s="199"/>
      <c r="T1001" s="199"/>
      <c r="U1001" s="199"/>
      <c r="V1001" s="199"/>
      <c r="W1001" s="199"/>
    </row>
    <row r="1002">
      <c r="A1002" s="283"/>
      <c r="B1002" s="199"/>
      <c r="C1002" s="199"/>
      <c r="D1002" s="199"/>
      <c r="E1002" s="199"/>
      <c r="F1002" s="199"/>
      <c r="G1002" s="199"/>
      <c r="H1002" s="199"/>
      <c r="I1002" s="199"/>
      <c r="J1002" s="199"/>
      <c r="K1002" s="199"/>
      <c r="L1002" s="199"/>
      <c r="M1002" s="199"/>
      <c r="N1002" s="199"/>
      <c r="O1002" s="199"/>
      <c r="P1002" s="199"/>
      <c r="Q1002" s="199"/>
      <c r="R1002" s="199"/>
      <c r="S1002" s="199"/>
      <c r="T1002" s="199"/>
      <c r="U1002" s="199"/>
      <c r="V1002" s="199"/>
      <c r="W1002" s="199"/>
    </row>
    <row r="1003">
      <c r="A1003" s="283"/>
      <c r="B1003" s="199"/>
      <c r="C1003" s="199"/>
      <c r="D1003" s="199"/>
      <c r="E1003" s="199"/>
      <c r="F1003" s="199"/>
      <c r="G1003" s="199"/>
      <c r="H1003" s="199"/>
      <c r="I1003" s="199"/>
      <c r="J1003" s="199"/>
      <c r="K1003" s="199"/>
      <c r="L1003" s="199"/>
      <c r="M1003" s="199"/>
      <c r="N1003" s="199"/>
      <c r="O1003" s="199"/>
      <c r="P1003" s="199"/>
      <c r="Q1003" s="199"/>
      <c r="R1003" s="199"/>
      <c r="S1003" s="199"/>
      <c r="T1003" s="199"/>
      <c r="U1003" s="199"/>
      <c r="V1003" s="199"/>
      <c r="W1003" s="199"/>
    </row>
    <row r="1004">
      <c r="A1004" s="283"/>
      <c r="B1004" s="199"/>
      <c r="C1004" s="199"/>
      <c r="D1004" s="199"/>
      <c r="E1004" s="199"/>
      <c r="F1004" s="199"/>
      <c r="G1004" s="199"/>
      <c r="H1004" s="199"/>
      <c r="I1004" s="199"/>
      <c r="J1004" s="199"/>
      <c r="K1004" s="199"/>
      <c r="L1004" s="199"/>
      <c r="M1004" s="199"/>
      <c r="N1004" s="199"/>
      <c r="O1004" s="199"/>
      <c r="P1004" s="199"/>
      <c r="Q1004" s="199"/>
      <c r="R1004" s="199"/>
      <c r="S1004" s="199"/>
      <c r="T1004" s="199"/>
      <c r="U1004" s="199"/>
      <c r="V1004" s="199"/>
      <c r="W1004" s="199"/>
    </row>
    <row r="1005">
      <c r="A1005" s="283"/>
      <c r="B1005" s="199"/>
      <c r="C1005" s="199"/>
      <c r="D1005" s="199"/>
      <c r="E1005" s="199"/>
      <c r="F1005" s="199"/>
      <c r="G1005" s="199"/>
      <c r="H1005" s="199"/>
      <c r="I1005" s="199"/>
      <c r="J1005" s="199"/>
      <c r="K1005" s="199"/>
      <c r="L1005" s="199"/>
      <c r="M1005" s="199"/>
      <c r="N1005" s="199"/>
      <c r="O1005" s="199"/>
      <c r="P1005" s="199"/>
      <c r="Q1005" s="199"/>
      <c r="R1005" s="199"/>
      <c r="S1005" s="199"/>
      <c r="T1005" s="199"/>
      <c r="U1005" s="199"/>
      <c r="V1005" s="199"/>
      <c r="W1005" s="199"/>
    </row>
    <row r="1006">
      <c r="A1006" s="283"/>
      <c r="B1006" s="199"/>
      <c r="C1006" s="199"/>
      <c r="D1006" s="199"/>
      <c r="E1006" s="199"/>
      <c r="F1006" s="199"/>
      <c r="G1006" s="199"/>
      <c r="H1006" s="199"/>
      <c r="I1006" s="199"/>
      <c r="J1006" s="199"/>
      <c r="K1006" s="199"/>
      <c r="L1006" s="199"/>
      <c r="M1006" s="199"/>
      <c r="N1006" s="199"/>
      <c r="O1006" s="199"/>
      <c r="P1006" s="199"/>
      <c r="Q1006" s="199"/>
      <c r="R1006" s="199"/>
      <c r="S1006" s="199"/>
      <c r="T1006" s="199"/>
      <c r="U1006" s="199"/>
      <c r="V1006" s="199"/>
      <c r="W1006" s="199"/>
    </row>
    <row r="1007">
      <c r="A1007" s="283"/>
      <c r="B1007" s="199"/>
      <c r="C1007" s="199"/>
      <c r="D1007" s="199"/>
      <c r="E1007" s="199"/>
      <c r="F1007" s="199"/>
      <c r="G1007" s="199"/>
      <c r="H1007" s="199"/>
      <c r="I1007" s="199"/>
      <c r="J1007" s="199"/>
      <c r="K1007" s="199"/>
      <c r="L1007" s="199"/>
      <c r="M1007" s="199"/>
      <c r="N1007" s="199"/>
      <c r="O1007" s="199"/>
      <c r="P1007" s="199"/>
      <c r="Q1007" s="199"/>
      <c r="R1007" s="199"/>
      <c r="S1007" s="199"/>
      <c r="T1007" s="199"/>
      <c r="U1007" s="199"/>
      <c r="V1007" s="199"/>
      <c r="W1007" s="199"/>
    </row>
    <row r="1008">
      <c r="A1008" s="283"/>
      <c r="B1008" s="199"/>
      <c r="C1008" s="199"/>
      <c r="D1008" s="199"/>
      <c r="E1008" s="199"/>
      <c r="F1008" s="199"/>
      <c r="G1008" s="199"/>
      <c r="H1008" s="199"/>
      <c r="I1008" s="199"/>
      <c r="J1008" s="199"/>
      <c r="K1008" s="199"/>
      <c r="L1008" s="199"/>
      <c r="M1008" s="199"/>
      <c r="N1008" s="199"/>
      <c r="O1008" s="199"/>
      <c r="P1008" s="199"/>
      <c r="Q1008" s="199"/>
      <c r="R1008" s="199"/>
      <c r="S1008" s="199"/>
      <c r="T1008" s="199"/>
      <c r="U1008" s="199"/>
      <c r="V1008" s="199"/>
      <c r="W1008" s="199"/>
    </row>
    <row r="1009">
      <c r="A1009" s="283"/>
      <c r="B1009" s="199"/>
      <c r="C1009" s="199"/>
      <c r="D1009" s="199"/>
      <c r="E1009" s="199"/>
      <c r="F1009" s="199"/>
      <c r="G1009" s="199"/>
      <c r="H1009" s="199"/>
      <c r="I1009" s="199"/>
      <c r="J1009" s="199"/>
      <c r="K1009" s="199"/>
      <c r="L1009" s="199"/>
      <c r="M1009" s="199"/>
      <c r="N1009" s="199"/>
      <c r="O1009" s="199"/>
      <c r="P1009" s="199"/>
      <c r="Q1009" s="199"/>
      <c r="R1009" s="199"/>
      <c r="S1009" s="199"/>
      <c r="T1009" s="199"/>
      <c r="U1009" s="199"/>
      <c r="V1009" s="199"/>
      <c r="W1009" s="199"/>
    </row>
    <row r="1010">
      <c r="A1010" s="283"/>
      <c r="B1010" s="199"/>
      <c r="C1010" s="199"/>
      <c r="D1010" s="199"/>
      <c r="E1010" s="199"/>
      <c r="F1010" s="199"/>
      <c r="G1010" s="199"/>
      <c r="H1010" s="199"/>
      <c r="I1010" s="199"/>
      <c r="J1010" s="199"/>
      <c r="K1010" s="199"/>
      <c r="L1010" s="199"/>
      <c r="M1010" s="199"/>
      <c r="N1010" s="199"/>
      <c r="O1010" s="199"/>
      <c r="P1010" s="199"/>
      <c r="Q1010" s="199"/>
      <c r="R1010" s="199"/>
      <c r="S1010" s="199"/>
      <c r="T1010" s="199"/>
      <c r="U1010" s="199"/>
      <c r="V1010" s="199"/>
      <c r="W1010" s="199"/>
    </row>
    <row r="1011">
      <c r="A1011" s="283"/>
      <c r="B1011" s="199"/>
      <c r="C1011" s="199"/>
      <c r="D1011" s="199"/>
      <c r="E1011" s="199"/>
      <c r="F1011" s="199"/>
      <c r="G1011" s="199"/>
      <c r="H1011" s="199"/>
      <c r="I1011" s="199"/>
      <c r="J1011" s="199"/>
      <c r="K1011" s="199"/>
      <c r="L1011" s="199"/>
      <c r="M1011" s="199"/>
      <c r="N1011" s="199"/>
      <c r="O1011" s="199"/>
      <c r="P1011" s="199"/>
      <c r="Q1011" s="199"/>
      <c r="R1011" s="199"/>
      <c r="S1011" s="199"/>
      <c r="T1011" s="199"/>
      <c r="U1011" s="199"/>
      <c r="V1011" s="199"/>
      <c r="W1011" s="199"/>
    </row>
    <row r="1012">
      <c r="A1012" s="283"/>
      <c r="B1012" s="199"/>
      <c r="C1012" s="199"/>
      <c r="D1012" s="199"/>
      <c r="E1012" s="199"/>
      <c r="F1012" s="199"/>
      <c r="G1012" s="199"/>
      <c r="H1012" s="199"/>
      <c r="I1012" s="199"/>
      <c r="J1012" s="199"/>
      <c r="K1012" s="199"/>
      <c r="L1012" s="199"/>
      <c r="M1012" s="199"/>
      <c r="N1012" s="199"/>
      <c r="O1012" s="199"/>
      <c r="P1012" s="199"/>
      <c r="Q1012" s="199"/>
      <c r="R1012" s="199"/>
      <c r="S1012" s="199"/>
      <c r="T1012" s="199"/>
      <c r="U1012" s="199"/>
      <c r="V1012" s="199"/>
      <c r="W1012" s="199"/>
    </row>
    <row r="1013">
      <c r="A1013" s="283"/>
      <c r="B1013" s="199"/>
      <c r="C1013" s="199"/>
      <c r="D1013" s="199"/>
      <c r="E1013" s="199"/>
      <c r="F1013" s="199"/>
      <c r="G1013" s="199"/>
      <c r="H1013" s="199"/>
      <c r="I1013" s="199"/>
      <c r="J1013" s="199"/>
      <c r="K1013" s="199"/>
      <c r="L1013" s="199"/>
      <c r="M1013" s="199"/>
      <c r="N1013" s="199"/>
      <c r="O1013" s="199"/>
      <c r="P1013" s="199"/>
      <c r="Q1013" s="199"/>
      <c r="R1013" s="199"/>
      <c r="S1013" s="199"/>
      <c r="T1013" s="199"/>
      <c r="U1013" s="199"/>
      <c r="V1013" s="199"/>
      <c r="W1013" s="199"/>
    </row>
    <row r="1014">
      <c r="A1014" s="283"/>
      <c r="B1014" s="199"/>
      <c r="C1014" s="199"/>
      <c r="D1014" s="199"/>
      <c r="E1014" s="199"/>
      <c r="F1014" s="199"/>
      <c r="G1014" s="199"/>
      <c r="H1014" s="199"/>
      <c r="I1014" s="199"/>
      <c r="J1014" s="199"/>
      <c r="K1014" s="199"/>
      <c r="L1014" s="199"/>
      <c r="M1014" s="199"/>
      <c r="N1014" s="199"/>
      <c r="O1014" s="199"/>
      <c r="P1014" s="199"/>
      <c r="Q1014" s="199"/>
      <c r="R1014" s="199"/>
      <c r="S1014" s="199"/>
      <c r="T1014" s="199"/>
      <c r="U1014" s="199"/>
      <c r="V1014" s="199"/>
      <c r="W1014" s="199"/>
    </row>
    <row r="1015">
      <c r="A1015" s="283"/>
      <c r="B1015" s="199"/>
      <c r="C1015" s="199"/>
      <c r="D1015" s="199"/>
      <c r="E1015" s="199"/>
      <c r="F1015" s="199"/>
      <c r="G1015" s="199"/>
      <c r="H1015" s="199"/>
      <c r="I1015" s="199"/>
      <c r="J1015" s="199"/>
      <c r="K1015" s="199"/>
      <c r="L1015" s="199"/>
      <c r="M1015" s="199"/>
      <c r="N1015" s="199"/>
      <c r="O1015" s="199"/>
      <c r="P1015" s="199"/>
      <c r="Q1015" s="199"/>
      <c r="R1015" s="199"/>
      <c r="S1015" s="199"/>
      <c r="T1015" s="199"/>
      <c r="U1015" s="199"/>
      <c r="V1015" s="199"/>
      <c r="W1015" s="199"/>
    </row>
    <row r="1016">
      <c r="A1016" s="283"/>
      <c r="B1016" s="199"/>
      <c r="C1016" s="199"/>
      <c r="D1016" s="199"/>
      <c r="E1016" s="199"/>
      <c r="F1016" s="199"/>
      <c r="G1016" s="199"/>
      <c r="H1016" s="199"/>
      <c r="I1016" s="199"/>
      <c r="J1016" s="199"/>
      <c r="K1016" s="199"/>
      <c r="L1016" s="199"/>
      <c r="M1016" s="199"/>
      <c r="N1016" s="199"/>
      <c r="O1016" s="199"/>
      <c r="P1016" s="199"/>
      <c r="Q1016" s="199"/>
      <c r="R1016" s="199"/>
      <c r="S1016" s="199"/>
      <c r="T1016" s="199"/>
      <c r="U1016" s="199"/>
      <c r="V1016" s="199"/>
      <c r="W1016" s="199"/>
    </row>
    <row r="1017">
      <c r="A1017" s="283"/>
      <c r="B1017" s="199"/>
      <c r="C1017" s="199"/>
      <c r="D1017" s="199"/>
      <c r="E1017" s="199"/>
      <c r="F1017" s="199"/>
      <c r="G1017" s="199"/>
      <c r="H1017" s="199"/>
      <c r="I1017" s="199"/>
      <c r="J1017" s="199"/>
      <c r="K1017" s="199"/>
      <c r="L1017" s="199"/>
      <c r="M1017" s="199"/>
      <c r="N1017" s="199"/>
      <c r="O1017" s="199"/>
      <c r="P1017" s="199"/>
      <c r="Q1017" s="199"/>
      <c r="R1017" s="199"/>
      <c r="S1017" s="199"/>
      <c r="T1017" s="199"/>
      <c r="U1017" s="199"/>
      <c r="V1017" s="199"/>
      <c r="W1017" s="199"/>
    </row>
    <row r="1018">
      <c r="A1018" s="283"/>
      <c r="B1018" s="199"/>
      <c r="C1018" s="199"/>
      <c r="D1018" s="199"/>
      <c r="E1018" s="199"/>
      <c r="F1018" s="199"/>
      <c r="G1018" s="199"/>
      <c r="H1018" s="199"/>
      <c r="I1018" s="199"/>
      <c r="J1018" s="199"/>
      <c r="K1018" s="199"/>
      <c r="L1018" s="199"/>
      <c r="M1018" s="199"/>
      <c r="N1018" s="199"/>
      <c r="O1018" s="199"/>
      <c r="P1018" s="199"/>
      <c r="Q1018" s="199"/>
      <c r="R1018" s="199"/>
      <c r="S1018" s="199"/>
      <c r="T1018" s="199"/>
      <c r="U1018" s="199"/>
      <c r="V1018" s="199"/>
      <c r="W1018" s="199"/>
    </row>
    <row r="1019">
      <c r="A1019" s="283"/>
      <c r="B1019" s="199"/>
      <c r="C1019" s="199"/>
      <c r="D1019" s="199"/>
      <c r="E1019" s="199"/>
      <c r="F1019" s="199"/>
      <c r="G1019" s="199"/>
      <c r="H1019" s="199"/>
      <c r="I1019" s="199"/>
      <c r="J1019" s="199"/>
      <c r="K1019" s="199"/>
      <c r="L1019" s="199"/>
      <c r="M1019" s="199"/>
      <c r="N1019" s="199"/>
      <c r="O1019" s="199"/>
      <c r="P1019" s="199"/>
      <c r="Q1019" s="199"/>
      <c r="R1019" s="199"/>
      <c r="S1019" s="199"/>
      <c r="T1019" s="199"/>
      <c r="U1019" s="199"/>
      <c r="V1019" s="199"/>
      <c r="W1019" s="199"/>
    </row>
    <row r="1020">
      <c r="A1020" s="283"/>
      <c r="B1020" s="199"/>
      <c r="C1020" s="199"/>
      <c r="D1020" s="199"/>
      <c r="E1020" s="199"/>
      <c r="F1020" s="199"/>
      <c r="G1020" s="199"/>
      <c r="H1020" s="199"/>
      <c r="I1020" s="199"/>
      <c r="J1020" s="199"/>
      <c r="K1020" s="199"/>
      <c r="L1020" s="199"/>
      <c r="M1020" s="199"/>
      <c r="N1020" s="199"/>
      <c r="O1020" s="199"/>
      <c r="P1020" s="199"/>
      <c r="Q1020" s="199"/>
      <c r="R1020" s="199"/>
      <c r="S1020" s="199"/>
      <c r="T1020" s="199"/>
      <c r="U1020" s="199"/>
      <c r="V1020" s="199"/>
      <c r="W1020" s="199"/>
    </row>
    <row r="1021">
      <c r="A1021" s="283"/>
      <c r="B1021" s="199"/>
      <c r="C1021" s="199"/>
      <c r="D1021" s="199"/>
      <c r="E1021" s="199"/>
      <c r="F1021" s="199"/>
      <c r="G1021" s="199"/>
      <c r="H1021" s="199"/>
      <c r="I1021" s="199"/>
      <c r="J1021" s="199"/>
      <c r="K1021" s="199"/>
      <c r="L1021" s="199"/>
      <c r="M1021" s="199"/>
      <c r="N1021" s="199"/>
      <c r="O1021" s="199"/>
      <c r="P1021" s="199"/>
      <c r="Q1021" s="199"/>
      <c r="R1021" s="199"/>
      <c r="S1021" s="199"/>
      <c r="T1021" s="199"/>
      <c r="U1021" s="199"/>
      <c r="V1021" s="199"/>
      <c r="W1021" s="199"/>
    </row>
    <row r="1022">
      <c r="A1022" s="283"/>
      <c r="B1022" s="199"/>
      <c r="C1022" s="199"/>
      <c r="D1022" s="199"/>
      <c r="E1022" s="199"/>
      <c r="F1022" s="199"/>
      <c r="G1022" s="199"/>
      <c r="H1022" s="199"/>
      <c r="I1022" s="199"/>
      <c r="J1022" s="199"/>
      <c r="K1022" s="199"/>
      <c r="L1022" s="199"/>
      <c r="M1022" s="199"/>
      <c r="N1022" s="199"/>
      <c r="O1022" s="199"/>
      <c r="P1022" s="199"/>
      <c r="Q1022" s="199"/>
      <c r="R1022" s="199"/>
      <c r="S1022" s="199"/>
      <c r="T1022" s="199"/>
      <c r="U1022" s="199"/>
      <c r="V1022" s="199"/>
      <c r="W1022" s="199"/>
    </row>
    <row r="1023">
      <c r="A1023" s="283"/>
      <c r="B1023" s="199"/>
      <c r="C1023" s="199"/>
      <c r="D1023" s="199"/>
      <c r="E1023" s="199"/>
      <c r="F1023" s="199"/>
      <c r="G1023" s="199"/>
      <c r="H1023" s="199"/>
      <c r="I1023" s="199"/>
      <c r="J1023" s="199"/>
      <c r="K1023" s="199"/>
      <c r="L1023" s="199"/>
      <c r="M1023" s="199"/>
      <c r="N1023" s="199"/>
      <c r="O1023" s="199"/>
      <c r="P1023" s="199"/>
      <c r="Q1023" s="199"/>
      <c r="R1023" s="199"/>
      <c r="S1023" s="199"/>
      <c r="T1023" s="199"/>
      <c r="U1023" s="199"/>
      <c r="V1023" s="199"/>
      <c r="W1023" s="199"/>
    </row>
    <row r="1024">
      <c r="A1024" s="283"/>
      <c r="B1024" s="199"/>
      <c r="C1024" s="199"/>
      <c r="D1024" s="199"/>
      <c r="E1024" s="199"/>
      <c r="F1024" s="199"/>
      <c r="G1024" s="199"/>
      <c r="H1024" s="199"/>
      <c r="I1024" s="199"/>
      <c r="J1024" s="199"/>
      <c r="K1024" s="199"/>
      <c r="L1024" s="199"/>
      <c r="M1024" s="199"/>
      <c r="N1024" s="199"/>
      <c r="O1024" s="199"/>
      <c r="P1024" s="199"/>
      <c r="Q1024" s="199"/>
      <c r="R1024" s="199"/>
      <c r="S1024" s="199"/>
      <c r="T1024" s="199"/>
      <c r="U1024" s="199"/>
      <c r="V1024" s="199"/>
      <c r="W1024" s="199"/>
    </row>
    <row r="1025">
      <c r="A1025" s="283"/>
      <c r="B1025" s="199"/>
      <c r="C1025" s="199"/>
      <c r="D1025" s="199"/>
      <c r="E1025" s="199"/>
      <c r="F1025" s="199"/>
      <c r="G1025" s="199"/>
      <c r="H1025" s="199"/>
      <c r="I1025" s="199"/>
      <c r="J1025" s="199"/>
      <c r="K1025" s="199"/>
      <c r="L1025" s="199"/>
      <c r="M1025" s="199"/>
      <c r="N1025" s="199"/>
      <c r="O1025" s="199"/>
      <c r="P1025" s="199"/>
      <c r="Q1025" s="199"/>
      <c r="R1025" s="199"/>
      <c r="S1025" s="199"/>
      <c r="T1025" s="199"/>
      <c r="U1025" s="199"/>
      <c r="V1025" s="199"/>
      <c r="W1025" s="199"/>
    </row>
    <row r="1026">
      <c r="A1026" s="283"/>
      <c r="B1026" s="199"/>
      <c r="C1026" s="199"/>
      <c r="D1026" s="199"/>
      <c r="E1026" s="199"/>
      <c r="F1026" s="199"/>
      <c r="G1026" s="199"/>
      <c r="H1026" s="199"/>
      <c r="I1026" s="199"/>
      <c r="J1026" s="199"/>
      <c r="K1026" s="199"/>
      <c r="L1026" s="199"/>
      <c r="M1026" s="199"/>
      <c r="N1026" s="199"/>
      <c r="O1026" s="199"/>
      <c r="P1026" s="199"/>
      <c r="Q1026" s="199"/>
      <c r="R1026" s="199"/>
      <c r="S1026" s="199"/>
      <c r="T1026" s="199"/>
      <c r="U1026" s="199"/>
      <c r="V1026" s="199"/>
      <c r="W1026" s="199"/>
    </row>
    <row r="1027">
      <c r="A1027" s="283"/>
      <c r="B1027" s="199"/>
      <c r="C1027" s="199"/>
      <c r="D1027" s="199"/>
      <c r="E1027" s="199"/>
      <c r="F1027" s="199"/>
      <c r="G1027" s="199"/>
      <c r="H1027" s="199"/>
      <c r="I1027" s="199"/>
      <c r="J1027" s="199"/>
      <c r="K1027" s="199"/>
      <c r="L1027" s="199"/>
      <c r="M1027" s="199"/>
      <c r="N1027" s="199"/>
      <c r="O1027" s="199"/>
      <c r="P1027" s="199"/>
      <c r="Q1027" s="199"/>
      <c r="R1027" s="199"/>
      <c r="S1027" s="199"/>
      <c r="T1027" s="199"/>
      <c r="U1027" s="199"/>
      <c r="V1027" s="199"/>
      <c r="W1027" s="199"/>
    </row>
    <row r="1028">
      <c r="A1028" s="283"/>
      <c r="B1028" s="199"/>
      <c r="C1028" s="199"/>
      <c r="D1028" s="199"/>
      <c r="E1028" s="199"/>
      <c r="F1028" s="199"/>
      <c r="G1028" s="199"/>
      <c r="H1028" s="199"/>
      <c r="I1028" s="199"/>
      <c r="J1028" s="199"/>
      <c r="K1028" s="199"/>
      <c r="L1028" s="199"/>
      <c r="M1028" s="199"/>
      <c r="N1028" s="199"/>
      <c r="O1028" s="199"/>
      <c r="P1028" s="199"/>
      <c r="Q1028" s="199"/>
      <c r="R1028" s="199"/>
      <c r="S1028" s="199"/>
      <c r="T1028" s="199"/>
      <c r="U1028" s="199"/>
      <c r="V1028" s="199"/>
      <c r="W1028" s="199"/>
    </row>
    <row r="1029">
      <c r="A1029" s="283"/>
      <c r="B1029" s="199"/>
      <c r="C1029" s="199"/>
      <c r="D1029" s="199"/>
      <c r="E1029" s="199"/>
      <c r="F1029" s="199"/>
      <c r="G1029" s="199"/>
      <c r="H1029" s="199"/>
      <c r="I1029" s="199"/>
      <c r="J1029" s="199"/>
      <c r="K1029" s="199"/>
      <c r="L1029" s="199"/>
      <c r="M1029" s="199"/>
      <c r="N1029" s="199"/>
      <c r="O1029" s="199"/>
      <c r="P1029" s="199"/>
      <c r="Q1029" s="199"/>
      <c r="R1029" s="199"/>
      <c r="S1029" s="199"/>
      <c r="T1029" s="199"/>
      <c r="U1029" s="199"/>
      <c r="V1029" s="199"/>
      <c r="W1029" s="199"/>
    </row>
    <row r="1030">
      <c r="A1030" s="283"/>
      <c r="B1030" s="199"/>
      <c r="C1030" s="199"/>
      <c r="D1030" s="199"/>
      <c r="E1030" s="199"/>
      <c r="F1030" s="199"/>
      <c r="G1030" s="199"/>
      <c r="H1030" s="199"/>
      <c r="I1030" s="199"/>
      <c r="J1030" s="199"/>
      <c r="K1030" s="199"/>
      <c r="L1030" s="199"/>
      <c r="M1030" s="199"/>
      <c r="N1030" s="199"/>
      <c r="O1030" s="199"/>
      <c r="P1030" s="199"/>
      <c r="Q1030" s="199"/>
      <c r="R1030" s="199"/>
      <c r="S1030" s="199"/>
      <c r="T1030" s="199"/>
      <c r="U1030" s="199"/>
      <c r="V1030" s="199"/>
      <c r="W1030" s="199"/>
    </row>
    <row r="1031">
      <c r="A1031" s="283"/>
      <c r="B1031" s="199"/>
      <c r="C1031" s="199"/>
      <c r="D1031" s="199"/>
      <c r="E1031" s="199"/>
      <c r="F1031" s="199"/>
      <c r="G1031" s="199"/>
      <c r="H1031" s="199"/>
      <c r="I1031" s="199"/>
      <c r="J1031" s="199"/>
      <c r="K1031" s="199"/>
      <c r="L1031" s="199"/>
      <c r="M1031" s="199"/>
      <c r="N1031" s="199"/>
      <c r="O1031" s="199"/>
      <c r="P1031" s="199"/>
      <c r="Q1031" s="199"/>
      <c r="R1031" s="199"/>
      <c r="S1031" s="199"/>
      <c r="T1031" s="199"/>
      <c r="U1031" s="199"/>
      <c r="V1031" s="199"/>
      <c r="W1031" s="199"/>
    </row>
    <row r="1032">
      <c r="A1032" s="283"/>
      <c r="B1032" s="199"/>
      <c r="C1032" s="199"/>
      <c r="D1032" s="199"/>
      <c r="E1032" s="199"/>
      <c r="F1032" s="199"/>
      <c r="G1032" s="199"/>
      <c r="H1032" s="199"/>
      <c r="I1032" s="199"/>
      <c r="J1032" s="199"/>
      <c r="K1032" s="199"/>
      <c r="L1032" s="199"/>
      <c r="M1032" s="199"/>
      <c r="N1032" s="199"/>
      <c r="O1032" s="199"/>
      <c r="P1032" s="199"/>
      <c r="Q1032" s="199"/>
      <c r="R1032" s="199"/>
      <c r="S1032" s="199"/>
      <c r="T1032" s="199"/>
      <c r="U1032" s="199"/>
      <c r="V1032" s="199"/>
      <c r="W1032" s="199"/>
    </row>
    <row r="1033">
      <c r="A1033" s="283"/>
      <c r="B1033" s="199"/>
      <c r="C1033" s="199"/>
      <c r="D1033" s="199"/>
      <c r="E1033" s="199"/>
      <c r="F1033" s="199"/>
      <c r="G1033" s="199"/>
      <c r="H1033" s="199"/>
      <c r="I1033" s="199"/>
      <c r="J1033" s="199"/>
      <c r="K1033" s="199"/>
      <c r="L1033" s="199"/>
      <c r="M1033" s="199"/>
      <c r="N1033" s="199"/>
      <c r="O1033" s="199"/>
      <c r="P1033" s="199"/>
      <c r="Q1033" s="199"/>
      <c r="R1033" s="199"/>
      <c r="S1033" s="199"/>
      <c r="T1033" s="199"/>
      <c r="U1033" s="199"/>
      <c r="V1033" s="199"/>
      <c r="W1033" s="199"/>
    </row>
    <row r="1034">
      <c r="A1034" s="283"/>
      <c r="B1034" s="199"/>
      <c r="C1034" s="199"/>
      <c r="D1034" s="199"/>
      <c r="E1034" s="199"/>
      <c r="F1034" s="199"/>
      <c r="G1034" s="199"/>
      <c r="H1034" s="199"/>
      <c r="I1034" s="199"/>
      <c r="J1034" s="199"/>
      <c r="K1034" s="199"/>
      <c r="L1034" s="199"/>
      <c r="M1034" s="199"/>
      <c r="N1034" s="199"/>
      <c r="O1034" s="199"/>
      <c r="P1034" s="199"/>
      <c r="Q1034" s="199"/>
      <c r="R1034" s="199"/>
      <c r="S1034" s="199"/>
      <c r="T1034" s="199"/>
      <c r="U1034" s="199"/>
      <c r="V1034" s="199"/>
      <c r="W1034" s="199"/>
    </row>
    <row r="1035">
      <c r="A1035" s="283"/>
      <c r="B1035" s="199"/>
      <c r="C1035" s="199"/>
      <c r="D1035" s="199"/>
      <c r="E1035" s="199"/>
      <c r="F1035" s="199"/>
      <c r="G1035" s="199"/>
      <c r="H1035" s="199"/>
      <c r="I1035" s="199"/>
      <c r="J1035" s="199"/>
      <c r="K1035" s="199"/>
      <c r="L1035" s="199"/>
      <c r="M1035" s="199"/>
      <c r="N1035" s="199"/>
      <c r="O1035" s="199"/>
      <c r="P1035" s="199"/>
      <c r="Q1035" s="199"/>
      <c r="R1035" s="199"/>
      <c r="S1035" s="199"/>
      <c r="T1035" s="199"/>
      <c r="U1035" s="199"/>
      <c r="V1035" s="199"/>
      <c r="W1035" s="199"/>
    </row>
    <row r="1036">
      <c r="A1036" s="283"/>
      <c r="B1036" s="199"/>
      <c r="C1036" s="199"/>
      <c r="D1036" s="199"/>
      <c r="E1036" s="199"/>
      <c r="F1036" s="199"/>
      <c r="G1036" s="199"/>
      <c r="H1036" s="199"/>
      <c r="I1036" s="199"/>
      <c r="J1036" s="199"/>
      <c r="K1036" s="199"/>
      <c r="L1036" s="199"/>
      <c r="M1036" s="199"/>
      <c r="N1036" s="199"/>
      <c r="O1036" s="199"/>
      <c r="P1036" s="199"/>
      <c r="Q1036" s="199"/>
      <c r="R1036" s="199"/>
      <c r="S1036" s="199"/>
      <c r="T1036" s="199"/>
      <c r="U1036" s="199"/>
      <c r="V1036" s="199"/>
      <c r="W1036" s="199"/>
    </row>
  </sheetData>
  <mergeCells count="3098">
    <mergeCell ref="M125:N125"/>
    <mergeCell ref="O125:P125"/>
    <mergeCell ref="M123:N123"/>
    <mergeCell ref="O123:P123"/>
    <mergeCell ref="O124:P124"/>
    <mergeCell ref="S124:T126"/>
    <mergeCell ref="U124:V126"/>
    <mergeCell ref="B125:C125"/>
    <mergeCell ref="B126:C126"/>
    <mergeCell ref="O126:P126"/>
    <mergeCell ref="B128:C128"/>
    <mergeCell ref="B129:C129"/>
    <mergeCell ref="D129:E129"/>
    <mergeCell ref="B130:C130"/>
    <mergeCell ref="D130:E130"/>
    <mergeCell ref="B131:C131"/>
    <mergeCell ref="D131:E131"/>
    <mergeCell ref="D125:E125"/>
    <mergeCell ref="H125:I127"/>
    <mergeCell ref="J125:K127"/>
    <mergeCell ref="D126:E126"/>
    <mergeCell ref="B127:C127"/>
    <mergeCell ref="D127:E127"/>
    <mergeCell ref="D128:E128"/>
    <mergeCell ref="M129:N129"/>
    <mergeCell ref="M130:N130"/>
    <mergeCell ref="T134:V135"/>
    <mergeCell ref="T136:V137"/>
    <mergeCell ref="T138:V139"/>
    <mergeCell ref="M124:N124"/>
    <mergeCell ref="M126:N126"/>
    <mergeCell ref="M127:N127"/>
    <mergeCell ref="O127:P127"/>
    <mergeCell ref="M128:N128"/>
    <mergeCell ref="O128:P128"/>
    <mergeCell ref="O129:P129"/>
    <mergeCell ref="O130:P130"/>
    <mergeCell ref="O140:P140"/>
    <mergeCell ref="Q140:S140"/>
    <mergeCell ref="O121:P121"/>
    <mergeCell ref="O122:P122"/>
    <mergeCell ref="M134:Q139"/>
    <mergeCell ref="R134:S135"/>
    <mergeCell ref="R136:S137"/>
    <mergeCell ref="R138:S139"/>
    <mergeCell ref="M140:N140"/>
    <mergeCell ref="O143:P143"/>
    <mergeCell ref="Q143:S143"/>
    <mergeCell ref="M141:N141"/>
    <mergeCell ref="O141:P141"/>
    <mergeCell ref="Q141:S141"/>
    <mergeCell ref="M142:N142"/>
    <mergeCell ref="O142:P142"/>
    <mergeCell ref="Q142:S142"/>
    <mergeCell ref="M143:N143"/>
    <mergeCell ref="O109:P109"/>
    <mergeCell ref="Q109:S109"/>
    <mergeCell ref="M107:N107"/>
    <mergeCell ref="O107:P107"/>
    <mergeCell ref="Q107:S107"/>
    <mergeCell ref="M108:N108"/>
    <mergeCell ref="O108:P108"/>
    <mergeCell ref="Q108:S108"/>
    <mergeCell ref="M109:N109"/>
    <mergeCell ref="O112:P112"/>
    <mergeCell ref="Q112:S112"/>
    <mergeCell ref="M110:N110"/>
    <mergeCell ref="O110:P110"/>
    <mergeCell ref="Q110:S110"/>
    <mergeCell ref="M111:N111"/>
    <mergeCell ref="O111:P111"/>
    <mergeCell ref="Q111:S111"/>
    <mergeCell ref="M113:S113"/>
    <mergeCell ref="M112:N112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M144:N144"/>
    <mergeCell ref="O144:P144"/>
    <mergeCell ref="Q144:S144"/>
    <mergeCell ref="M145:N145"/>
    <mergeCell ref="O145:P145"/>
    <mergeCell ref="Q145:S145"/>
    <mergeCell ref="M146:S146"/>
    <mergeCell ref="M148:N148"/>
    <mergeCell ref="O148:P148"/>
    <mergeCell ref="M149:N149"/>
    <mergeCell ref="O149:P149"/>
    <mergeCell ref="M150:N150"/>
    <mergeCell ref="O150:P150"/>
    <mergeCell ref="O151:P151"/>
    <mergeCell ref="O152:P152"/>
    <mergeCell ref="O153:P153"/>
    <mergeCell ref="O154:P154"/>
    <mergeCell ref="O155:P155"/>
    <mergeCell ref="O156:P156"/>
    <mergeCell ref="S157:T159"/>
    <mergeCell ref="U157:V159"/>
    <mergeCell ref="O159:P159"/>
    <mergeCell ref="M151:N151"/>
    <mergeCell ref="M152:N152"/>
    <mergeCell ref="M153:N153"/>
    <mergeCell ref="M154:N154"/>
    <mergeCell ref="M156:N156"/>
    <mergeCell ref="M157:N157"/>
    <mergeCell ref="B158:C159"/>
    <mergeCell ref="B162:C162"/>
    <mergeCell ref="D162:E162"/>
    <mergeCell ref="B163:C163"/>
    <mergeCell ref="D163:E163"/>
    <mergeCell ref="B164:C164"/>
    <mergeCell ref="D164:E164"/>
    <mergeCell ref="D158:E159"/>
    <mergeCell ref="H158:I160"/>
    <mergeCell ref="J158:K160"/>
    <mergeCell ref="B160:C160"/>
    <mergeCell ref="D160:E160"/>
    <mergeCell ref="B161:C161"/>
    <mergeCell ref="D161:E161"/>
    <mergeCell ref="R167:S168"/>
    <mergeCell ref="T167:V168"/>
    <mergeCell ref="R169:S170"/>
    <mergeCell ref="T169:V170"/>
    <mergeCell ref="R171:S172"/>
    <mergeCell ref="T171:V172"/>
    <mergeCell ref="Q178:S178"/>
    <mergeCell ref="Q179:S179"/>
    <mergeCell ref="M180:S180"/>
    <mergeCell ref="M173:N173"/>
    <mergeCell ref="O173:P173"/>
    <mergeCell ref="Q173:S173"/>
    <mergeCell ref="Q174:S174"/>
    <mergeCell ref="Q175:S175"/>
    <mergeCell ref="Q176:S176"/>
    <mergeCell ref="Q177:S177"/>
    <mergeCell ref="O157:P157"/>
    <mergeCell ref="O158:P158"/>
    <mergeCell ref="O160:P160"/>
    <mergeCell ref="O161:P161"/>
    <mergeCell ref="O162:P162"/>
    <mergeCell ref="O163:P163"/>
    <mergeCell ref="M158:N158"/>
    <mergeCell ref="M159:N159"/>
    <mergeCell ref="M160:N160"/>
    <mergeCell ref="M161:N161"/>
    <mergeCell ref="M162:N162"/>
    <mergeCell ref="M163:N163"/>
    <mergeCell ref="M167:Q172"/>
    <mergeCell ref="M174:N174"/>
    <mergeCell ref="O174:P174"/>
    <mergeCell ref="M175:N175"/>
    <mergeCell ref="O175:P175"/>
    <mergeCell ref="M176:N176"/>
    <mergeCell ref="O176:P176"/>
    <mergeCell ref="O177:P177"/>
    <mergeCell ref="M177:N177"/>
    <mergeCell ref="M178:N178"/>
    <mergeCell ref="M179:N179"/>
    <mergeCell ref="M182:N182"/>
    <mergeCell ref="M183:N183"/>
    <mergeCell ref="M184:N184"/>
    <mergeCell ref="M185:N185"/>
    <mergeCell ref="O178:P178"/>
    <mergeCell ref="O179:P179"/>
    <mergeCell ref="O182:P182"/>
    <mergeCell ref="O183:P183"/>
    <mergeCell ref="O184:P184"/>
    <mergeCell ref="O185:P185"/>
    <mergeCell ref="O186:P186"/>
    <mergeCell ref="O193:P193"/>
    <mergeCell ref="O194:P194"/>
    <mergeCell ref="O195:P195"/>
    <mergeCell ref="O196:P196"/>
    <mergeCell ref="T199:V200"/>
    <mergeCell ref="T201:V202"/>
    <mergeCell ref="T203:V204"/>
    <mergeCell ref="O187:P187"/>
    <mergeCell ref="O188:P188"/>
    <mergeCell ref="O189:P189"/>
    <mergeCell ref="O190:P190"/>
    <mergeCell ref="O191:P192"/>
    <mergeCell ref="S191:T193"/>
    <mergeCell ref="U191:V193"/>
    <mergeCell ref="M258:N258"/>
    <mergeCell ref="M259:N259"/>
    <mergeCell ref="M260:N260"/>
    <mergeCell ref="O260:P260"/>
    <mergeCell ref="M261:N261"/>
    <mergeCell ref="O261:P261"/>
    <mergeCell ref="M262:N262"/>
    <mergeCell ref="O262:P262"/>
    <mergeCell ref="U257:V259"/>
    <mergeCell ref="T267:V268"/>
    <mergeCell ref="T269:V270"/>
    <mergeCell ref="T271:V272"/>
    <mergeCell ref="M256:N256"/>
    <mergeCell ref="O256:P256"/>
    <mergeCell ref="M257:N257"/>
    <mergeCell ref="O257:P257"/>
    <mergeCell ref="S257:T259"/>
    <mergeCell ref="O258:P258"/>
    <mergeCell ref="O259:P259"/>
    <mergeCell ref="D207:E207"/>
    <mergeCell ref="F207:H207"/>
    <mergeCell ref="B205:C205"/>
    <mergeCell ref="D205:E205"/>
    <mergeCell ref="F205:H205"/>
    <mergeCell ref="B206:C206"/>
    <mergeCell ref="D206:E206"/>
    <mergeCell ref="F206:H206"/>
    <mergeCell ref="B207:C207"/>
    <mergeCell ref="D210:E210"/>
    <mergeCell ref="F210:H210"/>
    <mergeCell ref="B208:C208"/>
    <mergeCell ref="D208:E208"/>
    <mergeCell ref="F208:H208"/>
    <mergeCell ref="B209:C209"/>
    <mergeCell ref="D209:E209"/>
    <mergeCell ref="F209:H209"/>
    <mergeCell ref="B211:H211"/>
    <mergeCell ref="B178:C178"/>
    <mergeCell ref="B181:C181"/>
    <mergeCell ref="D181:E181"/>
    <mergeCell ref="B182:C182"/>
    <mergeCell ref="D182:E182"/>
    <mergeCell ref="B183:C183"/>
    <mergeCell ref="D183:E183"/>
    <mergeCell ref="B184:C184"/>
    <mergeCell ref="D184:E184"/>
    <mergeCell ref="B185:E185"/>
    <mergeCell ref="B186:C186"/>
    <mergeCell ref="D186:E186"/>
    <mergeCell ref="B187:C187"/>
    <mergeCell ref="D187:E187"/>
    <mergeCell ref="D191:E192"/>
    <mergeCell ref="H191:I193"/>
    <mergeCell ref="J191:K193"/>
    <mergeCell ref="D193:E193"/>
    <mergeCell ref="B188:C188"/>
    <mergeCell ref="D188:E188"/>
    <mergeCell ref="B189:C189"/>
    <mergeCell ref="D189:E189"/>
    <mergeCell ref="B190:C190"/>
    <mergeCell ref="D190:E190"/>
    <mergeCell ref="B191:C192"/>
    <mergeCell ref="B193:C193"/>
    <mergeCell ref="B194:C194"/>
    <mergeCell ref="D194:E194"/>
    <mergeCell ref="B195:C195"/>
    <mergeCell ref="D195:E195"/>
    <mergeCell ref="B196:C196"/>
    <mergeCell ref="D196:E196"/>
    <mergeCell ref="B199:F204"/>
    <mergeCell ref="G199:H200"/>
    <mergeCell ref="I199:K200"/>
    <mergeCell ref="G201:H202"/>
    <mergeCell ref="I201:K202"/>
    <mergeCell ref="G203:H204"/>
    <mergeCell ref="I203:K204"/>
    <mergeCell ref="B210:C210"/>
    <mergeCell ref="B213:C213"/>
    <mergeCell ref="D213:E213"/>
    <mergeCell ref="B214:C214"/>
    <mergeCell ref="D214:E214"/>
    <mergeCell ref="B215:C215"/>
    <mergeCell ref="D215:E215"/>
    <mergeCell ref="B216:C216"/>
    <mergeCell ref="D216:E216"/>
    <mergeCell ref="B217:E217"/>
    <mergeCell ref="B218:C218"/>
    <mergeCell ref="D218:E218"/>
    <mergeCell ref="B219:C219"/>
    <mergeCell ref="D219:E219"/>
    <mergeCell ref="G233:H234"/>
    <mergeCell ref="I233:K234"/>
    <mergeCell ref="B220:C220"/>
    <mergeCell ref="D220:E220"/>
    <mergeCell ref="B221:C221"/>
    <mergeCell ref="D221:E221"/>
    <mergeCell ref="B222:C222"/>
    <mergeCell ref="D222:E222"/>
    <mergeCell ref="B233:F238"/>
    <mergeCell ref="D241:E241"/>
    <mergeCell ref="F241:H241"/>
    <mergeCell ref="B239:C239"/>
    <mergeCell ref="D239:E239"/>
    <mergeCell ref="F239:H239"/>
    <mergeCell ref="B240:C240"/>
    <mergeCell ref="D240:E240"/>
    <mergeCell ref="F240:H240"/>
    <mergeCell ref="B241:C241"/>
    <mergeCell ref="D244:E244"/>
    <mergeCell ref="F244:H244"/>
    <mergeCell ref="B242:C242"/>
    <mergeCell ref="D242:E242"/>
    <mergeCell ref="F242:H242"/>
    <mergeCell ref="B243:C243"/>
    <mergeCell ref="D243:E243"/>
    <mergeCell ref="F243:H243"/>
    <mergeCell ref="B245:H245"/>
    <mergeCell ref="B244:C244"/>
    <mergeCell ref="B247:C247"/>
    <mergeCell ref="D247:E247"/>
    <mergeCell ref="B248:C248"/>
    <mergeCell ref="D248:E248"/>
    <mergeCell ref="B249:C249"/>
    <mergeCell ref="D249:E249"/>
    <mergeCell ref="B250:C250"/>
    <mergeCell ref="D250:E250"/>
    <mergeCell ref="B251:E251"/>
    <mergeCell ref="B252:C252"/>
    <mergeCell ref="D252:E252"/>
    <mergeCell ref="B253:C253"/>
    <mergeCell ref="D253:E253"/>
    <mergeCell ref="D257:E257"/>
    <mergeCell ref="H257:I259"/>
    <mergeCell ref="J257:K259"/>
    <mergeCell ref="D258:E258"/>
    <mergeCell ref="D259:E259"/>
    <mergeCell ref="B254:C254"/>
    <mergeCell ref="D254:E254"/>
    <mergeCell ref="B255:C255"/>
    <mergeCell ref="D255:E255"/>
    <mergeCell ref="B256:C256"/>
    <mergeCell ref="D256:E256"/>
    <mergeCell ref="B257:C257"/>
    <mergeCell ref="B258:C258"/>
    <mergeCell ref="B259:C259"/>
    <mergeCell ref="B260:C260"/>
    <mergeCell ref="D260:E260"/>
    <mergeCell ref="B261:C261"/>
    <mergeCell ref="D261:E261"/>
    <mergeCell ref="B262:C262"/>
    <mergeCell ref="F273:H273"/>
    <mergeCell ref="F274:H274"/>
    <mergeCell ref="F275:H275"/>
    <mergeCell ref="F276:H276"/>
    <mergeCell ref="F277:H277"/>
    <mergeCell ref="F278:H278"/>
    <mergeCell ref="B279:H279"/>
    <mergeCell ref="D262:E262"/>
    <mergeCell ref="G267:H268"/>
    <mergeCell ref="I267:K268"/>
    <mergeCell ref="G269:H270"/>
    <mergeCell ref="I269:K270"/>
    <mergeCell ref="G271:H272"/>
    <mergeCell ref="I271:K272"/>
    <mergeCell ref="B267:F272"/>
    <mergeCell ref="B273:C273"/>
    <mergeCell ref="D273:E273"/>
    <mergeCell ref="B274:C274"/>
    <mergeCell ref="D274:E274"/>
    <mergeCell ref="B275:C275"/>
    <mergeCell ref="D275:E275"/>
    <mergeCell ref="B281:C281"/>
    <mergeCell ref="B282:C282"/>
    <mergeCell ref="B283:C283"/>
    <mergeCell ref="B284:C284"/>
    <mergeCell ref="B276:C276"/>
    <mergeCell ref="D276:E276"/>
    <mergeCell ref="B277:C277"/>
    <mergeCell ref="D277:E277"/>
    <mergeCell ref="B278:C278"/>
    <mergeCell ref="D278:E278"/>
    <mergeCell ref="D281:E281"/>
    <mergeCell ref="D282:E282"/>
    <mergeCell ref="D283:E283"/>
    <mergeCell ref="D284:E284"/>
    <mergeCell ref="B285:E285"/>
    <mergeCell ref="B286:C286"/>
    <mergeCell ref="D286:E286"/>
    <mergeCell ref="D287:E287"/>
    <mergeCell ref="D293:E294"/>
    <mergeCell ref="D295:E295"/>
    <mergeCell ref="D296:E296"/>
    <mergeCell ref="D288:E288"/>
    <mergeCell ref="D289:E289"/>
    <mergeCell ref="D290:E290"/>
    <mergeCell ref="D291:E291"/>
    <mergeCell ref="H291:I293"/>
    <mergeCell ref="J291:K293"/>
    <mergeCell ref="D292:E292"/>
    <mergeCell ref="B287:C287"/>
    <mergeCell ref="B288:C288"/>
    <mergeCell ref="B289:C289"/>
    <mergeCell ref="B290:C290"/>
    <mergeCell ref="B291:C291"/>
    <mergeCell ref="B292:C292"/>
    <mergeCell ref="B293:C294"/>
    <mergeCell ref="G305:H306"/>
    <mergeCell ref="I305:K306"/>
    <mergeCell ref="B295:C295"/>
    <mergeCell ref="B296:C296"/>
    <mergeCell ref="B301:F306"/>
    <mergeCell ref="G301:H302"/>
    <mergeCell ref="I301:K302"/>
    <mergeCell ref="G303:H304"/>
    <mergeCell ref="I303:K304"/>
    <mergeCell ref="D309:E309"/>
    <mergeCell ref="F309:H309"/>
    <mergeCell ref="B307:C307"/>
    <mergeCell ref="D307:E307"/>
    <mergeCell ref="F307:H307"/>
    <mergeCell ref="B308:C308"/>
    <mergeCell ref="D308:E308"/>
    <mergeCell ref="F308:H308"/>
    <mergeCell ref="B309:C309"/>
    <mergeCell ref="D312:E312"/>
    <mergeCell ref="F312:H312"/>
    <mergeCell ref="B310:C310"/>
    <mergeCell ref="D310:E310"/>
    <mergeCell ref="F310:H310"/>
    <mergeCell ref="B311:C311"/>
    <mergeCell ref="D311:E311"/>
    <mergeCell ref="F311:H311"/>
    <mergeCell ref="B312:C312"/>
    <mergeCell ref="B313:C313"/>
    <mergeCell ref="D313:E313"/>
    <mergeCell ref="F313:H313"/>
    <mergeCell ref="B314:C314"/>
    <mergeCell ref="D314:E314"/>
    <mergeCell ref="F314:H314"/>
    <mergeCell ref="B315:H315"/>
    <mergeCell ref="B442:C442"/>
    <mergeCell ref="D442:E442"/>
    <mergeCell ref="F442:H442"/>
    <mergeCell ref="B443:C443"/>
    <mergeCell ref="D443:E443"/>
    <mergeCell ref="F443:H443"/>
    <mergeCell ref="B444:C444"/>
    <mergeCell ref="B445:C445"/>
    <mergeCell ref="D445:E445"/>
    <mergeCell ref="F445:H445"/>
    <mergeCell ref="B446:C446"/>
    <mergeCell ref="D446:E446"/>
    <mergeCell ref="F446:H446"/>
    <mergeCell ref="B447:H447"/>
    <mergeCell ref="B417:C417"/>
    <mergeCell ref="B418:C418"/>
    <mergeCell ref="D418:E418"/>
    <mergeCell ref="B419:C419"/>
    <mergeCell ref="D419:E419"/>
    <mergeCell ref="B420:E420"/>
    <mergeCell ref="D421:E421"/>
    <mergeCell ref="B421:C421"/>
    <mergeCell ref="B422:C422"/>
    <mergeCell ref="B423:C423"/>
    <mergeCell ref="B424:C424"/>
    <mergeCell ref="D424:E424"/>
    <mergeCell ref="B425:C425"/>
    <mergeCell ref="D425:E425"/>
    <mergeCell ref="B426:C426"/>
    <mergeCell ref="D426:E426"/>
    <mergeCell ref="H426:I428"/>
    <mergeCell ref="J426:K428"/>
    <mergeCell ref="B427:C427"/>
    <mergeCell ref="D427:E427"/>
    <mergeCell ref="D428:E428"/>
    <mergeCell ref="B428:C428"/>
    <mergeCell ref="B429:C429"/>
    <mergeCell ref="D429:E429"/>
    <mergeCell ref="B430:C430"/>
    <mergeCell ref="D430:E430"/>
    <mergeCell ref="B431:C431"/>
    <mergeCell ref="D431:E431"/>
    <mergeCell ref="B436:F441"/>
    <mergeCell ref="G436:H437"/>
    <mergeCell ref="I436:K437"/>
    <mergeCell ref="G438:H439"/>
    <mergeCell ref="I438:K439"/>
    <mergeCell ref="G440:H441"/>
    <mergeCell ref="I440:K441"/>
    <mergeCell ref="D444:E444"/>
    <mergeCell ref="F444:H444"/>
    <mergeCell ref="H459:I461"/>
    <mergeCell ref="J459:K461"/>
    <mergeCell ref="B461:C461"/>
    <mergeCell ref="D461:E461"/>
    <mergeCell ref="B478:C478"/>
    <mergeCell ref="B481:C481"/>
    <mergeCell ref="D481:E481"/>
    <mergeCell ref="B482:C482"/>
    <mergeCell ref="D482:E482"/>
    <mergeCell ref="B483:C483"/>
    <mergeCell ref="D483:E483"/>
    <mergeCell ref="B488:C488"/>
    <mergeCell ref="D488:E488"/>
    <mergeCell ref="B489:C489"/>
    <mergeCell ref="D489:E489"/>
    <mergeCell ref="B490:C490"/>
    <mergeCell ref="D490:E490"/>
    <mergeCell ref="B484:C484"/>
    <mergeCell ref="D484:E484"/>
    <mergeCell ref="B485:E485"/>
    <mergeCell ref="B486:C486"/>
    <mergeCell ref="D486:E486"/>
    <mergeCell ref="B487:C487"/>
    <mergeCell ref="D487:E487"/>
    <mergeCell ref="B456:C456"/>
    <mergeCell ref="B457:C457"/>
    <mergeCell ref="D457:E457"/>
    <mergeCell ref="B458:C458"/>
    <mergeCell ref="D458:E458"/>
    <mergeCell ref="B459:C459"/>
    <mergeCell ref="D459:E459"/>
    <mergeCell ref="B460:C460"/>
    <mergeCell ref="D460:E460"/>
    <mergeCell ref="B462:C462"/>
    <mergeCell ref="D462:E462"/>
    <mergeCell ref="B463:C463"/>
    <mergeCell ref="D463:E463"/>
    <mergeCell ref="B464:C464"/>
    <mergeCell ref="F473:H473"/>
    <mergeCell ref="F474:H474"/>
    <mergeCell ref="F475:H475"/>
    <mergeCell ref="D464:E464"/>
    <mergeCell ref="G467:H468"/>
    <mergeCell ref="I467:K468"/>
    <mergeCell ref="G469:H470"/>
    <mergeCell ref="I469:K470"/>
    <mergeCell ref="G471:H472"/>
    <mergeCell ref="I471:K472"/>
    <mergeCell ref="B467:F472"/>
    <mergeCell ref="B473:C473"/>
    <mergeCell ref="D473:E473"/>
    <mergeCell ref="B474:C474"/>
    <mergeCell ref="D474:E474"/>
    <mergeCell ref="B475:C475"/>
    <mergeCell ref="D475:E475"/>
    <mergeCell ref="D478:E478"/>
    <mergeCell ref="F478:H478"/>
    <mergeCell ref="B476:C476"/>
    <mergeCell ref="D476:E476"/>
    <mergeCell ref="F476:H476"/>
    <mergeCell ref="B477:C477"/>
    <mergeCell ref="D477:E477"/>
    <mergeCell ref="F477:H477"/>
    <mergeCell ref="B479:H479"/>
    <mergeCell ref="D344:E344"/>
    <mergeCell ref="F344:H344"/>
    <mergeCell ref="B342:C342"/>
    <mergeCell ref="D342:E342"/>
    <mergeCell ref="F342:H342"/>
    <mergeCell ref="B343:C343"/>
    <mergeCell ref="D343:E343"/>
    <mergeCell ref="F343:H343"/>
    <mergeCell ref="B344:C344"/>
    <mergeCell ref="D347:E347"/>
    <mergeCell ref="F347:H347"/>
    <mergeCell ref="B345:C345"/>
    <mergeCell ref="D345:E345"/>
    <mergeCell ref="F345:H345"/>
    <mergeCell ref="B346:C346"/>
    <mergeCell ref="D346:E346"/>
    <mergeCell ref="F346:H346"/>
    <mergeCell ref="B347:C347"/>
    <mergeCell ref="B317:C317"/>
    <mergeCell ref="D317:E317"/>
    <mergeCell ref="B318:C318"/>
    <mergeCell ref="D318:E318"/>
    <mergeCell ref="B319:C319"/>
    <mergeCell ref="D319:E319"/>
    <mergeCell ref="B320:C320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D320:E320"/>
    <mergeCell ref="B321:E321"/>
    <mergeCell ref="B322:C322"/>
    <mergeCell ref="D322:E322"/>
    <mergeCell ref="B323:C323"/>
    <mergeCell ref="D323:E323"/>
    <mergeCell ref="D324:E324"/>
    <mergeCell ref="D325:E325"/>
    <mergeCell ref="D326:E326"/>
    <mergeCell ref="D327:E327"/>
    <mergeCell ref="H327:I329"/>
    <mergeCell ref="J327:K329"/>
    <mergeCell ref="D328:E328"/>
    <mergeCell ref="D329:E329"/>
    <mergeCell ref="G340:H341"/>
    <mergeCell ref="I340:K341"/>
    <mergeCell ref="D330:E330"/>
    <mergeCell ref="D331:E331"/>
    <mergeCell ref="B336:F341"/>
    <mergeCell ref="G336:H337"/>
    <mergeCell ref="I336:K337"/>
    <mergeCell ref="G338:H339"/>
    <mergeCell ref="I338:K339"/>
    <mergeCell ref="B348:C348"/>
    <mergeCell ref="D348:E348"/>
    <mergeCell ref="F348:H348"/>
    <mergeCell ref="B349:H349"/>
    <mergeCell ref="B351:C351"/>
    <mergeCell ref="D351:E351"/>
    <mergeCell ref="D352:E352"/>
    <mergeCell ref="B352:C352"/>
    <mergeCell ref="B353:C353"/>
    <mergeCell ref="D353:E353"/>
    <mergeCell ref="B354:C354"/>
    <mergeCell ref="D354:E354"/>
    <mergeCell ref="B355:C355"/>
    <mergeCell ref="D355:E355"/>
    <mergeCell ref="B356:E356"/>
    <mergeCell ref="B357:C357"/>
    <mergeCell ref="D357:E357"/>
    <mergeCell ref="B358:C358"/>
    <mergeCell ref="D358:E358"/>
    <mergeCell ref="B359:C359"/>
    <mergeCell ref="D359:E359"/>
    <mergeCell ref="B362:C362"/>
    <mergeCell ref="B363:C363"/>
    <mergeCell ref="B360:C360"/>
    <mergeCell ref="D360:E360"/>
    <mergeCell ref="B361:C361"/>
    <mergeCell ref="D361:E361"/>
    <mergeCell ref="D362:E362"/>
    <mergeCell ref="H362:I364"/>
    <mergeCell ref="J362:K364"/>
    <mergeCell ref="D363:E363"/>
    <mergeCell ref="B364:C364"/>
    <mergeCell ref="D364:E364"/>
    <mergeCell ref="B365:C365"/>
    <mergeCell ref="D365:E365"/>
    <mergeCell ref="B366:C366"/>
    <mergeCell ref="D366:E366"/>
    <mergeCell ref="G374:H375"/>
    <mergeCell ref="I374:K375"/>
    <mergeCell ref="B367:C367"/>
    <mergeCell ref="D367:E367"/>
    <mergeCell ref="B370:F375"/>
    <mergeCell ref="G370:H371"/>
    <mergeCell ref="I370:K371"/>
    <mergeCell ref="G372:H373"/>
    <mergeCell ref="I372:K373"/>
    <mergeCell ref="D378:E378"/>
    <mergeCell ref="F378:H378"/>
    <mergeCell ref="B376:C376"/>
    <mergeCell ref="D376:E376"/>
    <mergeCell ref="F376:H376"/>
    <mergeCell ref="B377:C377"/>
    <mergeCell ref="D377:E377"/>
    <mergeCell ref="F377:H377"/>
    <mergeCell ref="B378:C378"/>
    <mergeCell ref="D381:E381"/>
    <mergeCell ref="F381:H381"/>
    <mergeCell ref="B379:C379"/>
    <mergeCell ref="D379:E379"/>
    <mergeCell ref="F379:H379"/>
    <mergeCell ref="B380:C380"/>
    <mergeCell ref="D380:E380"/>
    <mergeCell ref="F380:H380"/>
    <mergeCell ref="B382:H382"/>
    <mergeCell ref="B381:C381"/>
    <mergeCell ref="B384:C384"/>
    <mergeCell ref="D384:E384"/>
    <mergeCell ref="B385:C385"/>
    <mergeCell ref="D385:E385"/>
    <mergeCell ref="B386:C386"/>
    <mergeCell ref="D386:E386"/>
    <mergeCell ref="B394:C394"/>
    <mergeCell ref="B395:C395"/>
    <mergeCell ref="B396:C396"/>
    <mergeCell ref="B397:C397"/>
    <mergeCell ref="B398:C398"/>
    <mergeCell ref="I405:K406"/>
    <mergeCell ref="I407:K408"/>
    <mergeCell ref="D395:E395"/>
    <mergeCell ref="D396:E396"/>
    <mergeCell ref="H396:I397"/>
    <mergeCell ref="J396:K397"/>
    <mergeCell ref="D397:E397"/>
    <mergeCell ref="D398:E398"/>
    <mergeCell ref="I403:K404"/>
    <mergeCell ref="B387:C387"/>
    <mergeCell ref="D387:E387"/>
    <mergeCell ref="B388:C388"/>
    <mergeCell ref="D388:E388"/>
    <mergeCell ref="B389:E389"/>
    <mergeCell ref="B390:C390"/>
    <mergeCell ref="D390:E390"/>
    <mergeCell ref="B391:C391"/>
    <mergeCell ref="D391:E391"/>
    <mergeCell ref="B392:C392"/>
    <mergeCell ref="D392:E392"/>
    <mergeCell ref="B393:C393"/>
    <mergeCell ref="D393:E393"/>
    <mergeCell ref="D394:E394"/>
    <mergeCell ref="B403:F408"/>
    <mergeCell ref="G403:H404"/>
    <mergeCell ref="G405:H406"/>
    <mergeCell ref="G407:H408"/>
    <mergeCell ref="B409:C409"/>
    <mergeCell ref="D409:E409"/>
    <mergeCell ref="F409:H409"/>
    <mergeCell ref="D412:E412"/>
    <mergeCell ref="F412:H412"/>
    <mergeCell ref="B410:C410"/>
    <mergeCell ref="D410:E410"/>
    <mergeCell ref="F410:H410"/>
    <mergeCell ref="B411:C411"/>
    <mergeCell ref="D411:E411"/>
    <mergeCell ref="F411:H411"/>
    <mergeCell ref="B412:C412"/>
    <mergeCell ref="B413:C413"/>
    <mergeCell ref="D413:E413"/>
    <mergeCell ref="F413:H413"/>
    <mergeCell ref="B414:H414"/>
    <mergeCell ref="B416:C416"/>
    <mergeCell ref="D416:E416"/>
    <mergeCell ref="D417:E417"/>
    <mergeCell ref="D422:E422"/>
    <mergeCell ref="D423:E423"/>
    <mergeCell ref="B449:C449"/>
    <mergeCell ref="D449:E449"/>
    <mergeCell ref="B450:C450"/>
    <mergeCell ref="D450:E450"/>
    <mergeCell ref="B451:C451"/>
    <mergeCell ref="D451:E451"/>
    <mergeCell ref="B452:C452"/>
    <mergeCell ref="D452:E452"/>
    <mergeCell ref="B453:E453"/>
    <mergeCell ref="B454:C454"/>
    <mergeCell ref="D454:E454"/>
    <mergeCell ref="B455:C455"/>
    <mergeCell ref="D455:E455"/>
    <mergeCell ref="D456:E456"/>
    <mergeCell ref="O80:P80"/>
    <mergeCell ref="Q80:S80"/>
    <mergeCell ref="M78:N78"/>
    <mergeCell ref="O78:P78"/>
    <mergeCell ref="Q78:S78"/>
    <mergeCell ref="M79:N79"/>
    <mergeCell ref="O79:P79"/>
    <mergeCell ref="Q79:S79"/>
    <mergeCell ref="M81:S81"/>
    <mergeCell ref="M57:N57"/>
    <mergeCell ref="O57:P57"/>
    <mergeCell ref="M58:N58"/>
    <mergeCell ref="O58:P58"/>
    <mergeCell ref="O59:P59"/>
    <mergeCell ref="M60:N60"/>
    <mergeCell ref="O60:P60"/>
    <mergeCell ref="M61:N61"/>
    <mergeCell ref="O61:P61"/>
    <mergeCell ref="S61:T63"/>
    <mergeCell ref="U61:V63"/>
    <mergeCell ref="M62:N62"/>
    <mergeCell ref="O62:P62"/>
    <mergeCell ref="O63:P63"/>
    <mergeCell ref="M63:N63"/>
    <mergeCell ref="M64:N64"/>
    <mergeCell ref="O64:P64"/>
    <mergeCell ref="M65:N65"/>
    <mergeCell ref="O65:P65"/>
    <mergeCell ref="M66:N66"/>
    <mergeCell ref="O66:P66"/>
    <mergeCell ref="M69:Q74"/>
    <mergeCell ref="R69:S70"/>
    <mergeCell ref="T69:V70"/>
    <mergeCell ref="R71:S72"/>
    <mergeCell ref="T71:V72"/>
    <mergeCell ref="R73:S74"/>
    <mergeCell ref="T73:V74"/>
    <mergeCell ref="O77:P77"/>
    <mergeCell ref="Q77:S77"/>
    <mergeCell ref="M75:N75"/>
    <mergeCell ref="O75:P75"/>
    <mergeCell ref="Q75:S75"/>
    <mergeCell ref="M76:N76"/>
    <mergeCell ref="O76:P76"/>
    <mergeCell ref="Q76:S76"/>
    <mergeCell ref="M77:N77"/>
    <mergeCell ref="M80:N80"/>
    <mergeCell ref="M83:N83"/>
    <mergeCell ref="O83:P83"/>
    <mergeCell ref="M84:N84"/>
    <mergeCell ref="O84:P84"/>
    <mergeCell ref="M85:N85"/>
    <mergeCell ref="O85:P85"/>
    <mergeCell ref="G5:H6"/>
    <mergeCell ref="G7:H8"/>
    <mergeCell ref="F9:H9"/>
    <mergeCell ref="F10:H10"/>
    <mergeCell ref="F11:H11"/>
    <mergeCell ref="B3:D8"/>
    <mergeCell ref="B9:C9"/>
    <mergeCell ref="D9:E9"/>
    <mergeCell ref="B10:C10"/>
    <mergeCell ref="D10:E10"/>
    <mergeCell ref="B11:C11"/>
    <mergeCell ref="D11:E11"/>
    <mergeCell ref="R3:S4"/>
    <mergeCell ref="R5:S6"/>
    <mergeCell ref="G3:H4"/>
    <mergeCell ref="I3:K4"/>
    <mergeCell ref="T3:V4"/>
    <mergeCell ref="I5:K6"/>
    <mergeCell ref="T5:V6"/>
    <mergeCell ref="I7:K8"/>
    <mergeCell ref="T7:V8"/>
    <mergeCell ref="M10:N10"/>
    <mergeCell ref="M11:N11"/>
    <mergeCell ref="O11:P11"/>
    <mergeCell ref="Q11:S11"/>
    <mergeCell ref="M3:Q8"/>
    <mergeCell ref="R7:S8"/>
    <mergeCell ref="M9:N9"/>
    <mergeCell ref="O9:P9"/>
    <mergeCell ref="Q9:S9"/>
    <mergeCell ref="O10:P10"/>
    <mergeCell ref="Q10:S10"/>
    <mergeCell ref="B12:C12"/>
    <mergeCell ref="D12:E12"/>
    <mergeCell ref="F12:H12"/>
    <mergeCell ref="M12:N12"/>
    <mergeCell ref="O12:P12"/>
    <mergeCell ref="Q12:S12"/>
    <mergeCell ref="B13:C13"/>
    <mergeCell ref="D13:E13"/>
    <mergeCell ref="F13:H13"/>
    <mergeCell ref="M13:N13"/>
    <mergeCell ref="O13:P13"/>
    <mergeCell ref="Q13:S13"/>
    <mergeCell ref="M15:N15"/>
    <mergeCell ref="O15:P15"/>
    <mergeCell ref="B14:C14"/>
    <mergeCell ref="D14:E14"/>
    <mergeCell ref="F14:H14"/>
    <mergeCell ref="M14:N14"/>
    <mergeCell ref="O14:P14"/>
    <mergeCell ref="Q14:S14"/>
    <mergeCell ref="B15:C15"/>
    <mergeCell ref="D15:E15"/>
    <mergeCell ref="F15:H15"/>
    <mergeCell ref="B16:H16"/>
    <mergeCell ref="B18:C18"/>
    <mergeCell ref="D18:E18"/>
    <mergeCell ref="B19:C19"/>
    <mergeCell ref="D19:E19"/>
    <mergeCell ref="Q15:S15"/>
    <mergeCell ref="M16:S16"/>
    <mergeCell ref="M18:N18"/>
    <mergeCell ref="O18:P18"/>
    <mergeCell ref="M19:N19"/>
    <mergeCell ref="O19:P19"/>
    <mergeCell ref="O20:P20"/>
    <mergeCell ref="B20:C20"/>
    <mergeCell ref="D20:E20"/>
    <mergeCell ref="B21:C21"/>
    <mergeCell ref="D21:E21"/>
    <mergeCell ref="B22:E22"/>
    <mergeCell ref="B23:C23"/>
    <mergeCell ref="D23:E23"/>
    <mergeCell ref="M20:N20"/>
    <mergeCell ref="M21:N21"/>
    <mergeCell ref="O21:P21"/>
    <mergeCell ref="M22:N22"/>
    <mergeCell ref="O22:P22"/>
    <mergeCell ref="M23:N23"/>
    <mergeCell ref="O23:P23"/>
    <mergeCell ref="S27:T29"/>
    <mergeCell ref="U27:V29"/>
    <mergeCell ref="M29:N29"/>
    <mergeCell ref="M30:N30"/>
    <mergeCell ref="H28:I30"/>
    <mergeCell ref="J28:K30"/>
    <mergeCell ref="B29:C29"/>
    <mergeCell ref="D29:E29"/>
    <mergeCell ref="O29:P29"/>
    <mergeCell ref="B30:C30"/>
    <mergeCell ref="D30:E30"/>
    <mergeCell ref="O30:P30"/>
    <mergeCell ref="B24:C24"/>
    <mergeCell ref="D24:E24"/>
    <mergeCell ref="B25:C25"/>
    <mergeCell ref="D25:E25"/>
    <mergeCell ref="B26:C26"/>
    <mergeCell ref="D26:E26"/>
    <mergeCell ref="D27:E27"/>
    <mergeCell ref="D28:E28"/>
    <mergeCell ref="B27:C27"/>
    <mergeCell ref="B28:C28"/>
    <mergeCell ref="B31:C31"/>
    <mergeCell ref="D31:E31"/>
    <mergeCell ref="B32:C32"/>
    <mergeCell ref="D32:E32"/>
    <mergeCell ref="D33:E33"/>
    <mergeCell ref="F43:H43"/>
    <mergeCell ref="F44:H44"/>
    <mergeCell ref="F45:H45"/>
    <mergeCell ref="B33:C33"/>
    <mergeCell ref="G37:H38"/>
    <mergeCell ref="I37:K38"/>
    <mergeCell ref="G39:H40"/>
    <mergeCell ref="I39:K40"/>
    <mergeCell ref="G41:H42"/>
    <mergeCell ref="I41:K42"/>
    <mergeCell ref="B37:D42"/>
    <mergeCell ref="B43:C43"/>
    <mergeCell ref="D43:E43"/>
    <mergeCell ref="B44:C44"/>
    <mergeCell ref="D44:E44"/>
    <mergeCell ref="B45:C45"/>
    <mergeCell ref="D45:E45"/>
    <mergeCell ref="D48:E48"/>
    <mergeCell ref="F48:H48"/>
    <mergeCell ref="B46:C46"/>
    <mergeCell ref="D46:E46"/>
    <mergeCell ref="F46:H46"/>
    <mergeCell ref="B47:C47"/>
    <mergeCell ref="D47:E47"/>
    <mergeCell ref="F47:H47"/>
    <mergeCell ref="B49:H49"/>
    <mergeCell ref="M46:N46"/>
    <mergeCell ref="O46:P46"/>
    <mergeCell ref="Q46:S46"/>
    <mergeCell ref="M47:N47"/>
    <mergeCell ref="O47:P47"/>
    <mergeCell ref="Q47:S47"/>
    <mergeCell ref="M48:N48"/>
    <mergeCell ref="M49:N49"/>
    <mergeCell ref="O49:P49"/>
    <mergeCell ref="Q49:S49"/>
    <mergeCell ref="M50:S50"/>
    <mergeCell ref="M52:N52"/>
    <mergeCell ref="O52:P52"/>
    <mergeCell ref="O53:P53"/>
    <mergeCell ref="M24:N24"/>
    <mergeCell ref="O24:P24"/>
    <mergeCell ref="O25:P25"/>
    <mergeCell ref="M26:N26"/>
    <mergeCell ref="O26:P26"/>
    <mergeCell ref="M27:N27"/>
    <mergeCell ref="O27:P27"/>
    <mergeCell ref="R37:S38"/>
    <mergeCell ref="T37:V38"/>
    <mergeCell ref="R39:S40"/>
    <mergeCell ref="T39:V40"/>
    <mergeCell ref="R41:S42"/>
    <mergeCell ref="T41:V42"/>
    <mergeCell ref="M28:N28"/>
    <mergeCell ref="O28:P28"/>
    <mergeCell ref="M31:N31"/>
    <mergeCell ref="O31:P31"/>
    <mergeCell ref="M32:N32"/>
    <mergeCell ref="O32:P32"/>
    <mergeCell ref="M37:Q42"/>
    <mergeCell ref="O45:P45"/>
    <mergeCell ref="Q45:S45"/>
    <mergeCell ref="M43:N43"/>
    <mergeCell ref="O43:P43"/>
    <mergeCell ref="Q43:S43"/>
    <mergeCell ref="M44:N44"/>
    <mergeCell ref="O44:P44"/>
    <mergeCell ref="Q44:S44"/>
    <mergeCell ref="M45:N45"/>
    <mergeCell ref="O48:P48"/>
    <mergeCell ref="Q48:S48"/>
    <mergeCell ref="M53:N53"/>
    <mergeCell ref="M54:N54"/>
    <mergeCell ref="O54:P54"/>
    <mergeCell ref="M55:N55"/>
    <mergeCell ref="O55:P55"/>
    <mergeCell ref="M56:N56"/>
    <mergeCell ref="O56:P56"/>
    <mergeCell ref="O89:P89"/>
    <mergeCell ref="O90:P90"/>
    <mergeCell ref="M86:N86"/>
    <mergeCell ref="O86:P86"/>
    <mergeCell ref="M87:N87"/>
    <mergeCell ref="O87:P87"/>
    <mergeCell ref="M88:N88"/>
    <mergeCell ref="O88:P88"/>
    <mergeCell ref="M89:N89"/>
    <mergeCell ref="M91:N91"/>
    <mergeCell ref="O91:P91"/>
    <mergeCell ref="M92:N93"/>
    <mergeCell ref="O92:P93"/>
    <mergeCell ref="S92:T94"/>
    <mergeCell ref="U92:V94"/>
    <mergeCell ref="B93:C94"/>
    <mergeCell ref="B97:C97"/>
    <mergeCell ref="D97:E97"/>
    <mergeCell ref="B98:C98"/>
    <mergeCell ref="D98:E98"/>
    <mergeCell ref="D93:E94"/>
    <mergeCell ref="H93:I95"/>
    <mergeCell ref="J93:K95"/>
    <mergeCell ref="B95:C95"/>
    <mergeCell ref="D95:E95"/>
    <mergeCell ref="B96:C96"/>
    <mergeCell ref="D96:E96"/>
    <mergeCell ref="R101:S102"/>
    <mergeCell ref="T101:V102"/>
    <mergeCell ref="R103:S104"/>
    <mergeCell ref="T103:V104"/>
    <mergeCell ref="R105:S106"/>
    <mergeCell ref="T105:V106"/>
    <mergeCell ref="M94:N94"/>
    <mergeCell ref="O94:P94"/>
    <mergeCell ref="M95:N96"/>
    <mergeCell ref="O95:P96"/>
    <mergeCell ref="M97:N97"/>
    <mergeCell ref="O97:P97"/>
    <mergeCell ref="M101:Q106"/>
    <mergeCell ref="B66:C66"/>
    <mergeCell ref="G69:H70"/>
    <mergeCell ref="I69:K70"/>
    <mergeCell ref="G71:H72"/>
    <mergeCell ref="I71:K72"/>
    <mergeCell ref="G73:H74"/>
    <mergeCell ref="I73:K74"/>
    <mergeCell ref="B69:D74"/>
    <mergeCell ref="B75:C75"/>
    <mergeCell ref="D75:E75"/>
    <mergeCell ref="B76:C76"/>
    <mergeCell ref="D76:E76"/>
    <mergeCell ref="B77:C77"/>
    <mergeCell ref="D77:E77"/>
    <mergeCell ref="D80:E80"/>
    <mergeCell ref="F80:H80"/>
    <mergeCell ref="B78:C78"/>
    <mergeCell ref="D78:E78"/>
    <mergeCell ref="F78:H78"/>
    <mergeCell ref="B79:C79"/>
    <mergeCell ref="D79:E79"/>
    <mergeCell ref="F79:H79"/>
    <mergeCell ref="B81:H81"/>
    <mergeCell ref="B48:C48"/>
    <mergeCell ref="B51:C51"/>
    <mergeCell ref="D51:E51"/>
    <mergeCell ref="B52:C52"/>
    <mergeCell ref="D52:E52"/>
    <mergeCell ref="B53:C53"/>
    <mergeCell ref="D53:E53"/>
    <mergeCell ref="B54:C54"/>
    <mergeCell ref="D54:E54"/>
    <mergeCell ref="B55:E55"/>
    <mergeCell ref="B56:C56"/>
    <mergeCell ref="D56:E56"/>
    <mergeCell ref="B57:C57"/>
    <mergeCell ref="D57:E57"/>
    <mergeCell ref="D61:E61"/>
    <mergeCell ref="H61:I63"/>
    <mergeCell ref="J61:K63"/>
    <mergeCell ref="D62:E62"/>
    <mergeCell ref="D63:E63"/>
    <mergeCell ref="B58:C58"/>
    <mergeCell ref="D58:E58"/>
    <mergeCell ref="B59:C59"/>
    <mergeCell ref="D59:E59"/>
    <mergeCell ref="B60:C60"/>
    <mergeCell ref="D60:E60"/>
    <mergeCell ref="B61:C61"/>
    <mergeCell ref="B62:C62"/>
    <mergeCell ref="B63:C63"/>
    <mergeCell ref="B64:C64"/>
    <mergeCell ref="D64:E64"/>
    <mergeCell ref="B65:C65"/>
    <mergeCell ref="D65:E65"/>
    <mergeCell ref="D66:E66"/>
    <mergeCell ref="F75:H75"/>
    <mergeCell ref="F76:H76"/>
    <mergeCell ref="F77:H77"/>
    <mergeCell ref="B80:C80"/>
    <mergeCell ref="B83:C83"/>
    <mergeCell ref="D83:E83"/>
    <mergeCell ref="B84:C84"/>
    <mergeCell ref="D84:E84"/>
    <mergeCell ref="B85:C85"/>
    <mergeCell ref="D85:E85"/>
    <mergeCell ref="B86:C86"/>
    <mergeCell ref="D86:E86"/>
    <mergeCell ref="B87:E87"/>
    <mergeCell ref="B88:C88"/>
    <mergeCell ref="D88:E88"/>
    <mergeCell ref="B89:C89"/>
    <mergeCell ref="D89:E89"/>
    <mergeCell ref="G101:H102"/>
    <mergeCell ref="I101:K102"/>
    <mergeCell ref="G103:H104"/>
    <mergeCell ref="I103:K104"/>
    <mergeCell ref="G105:H106"/>
    <mergeCell ref="I105:K106"/>
    <mergeCell ref="B90:C90"/>
    <mergeCell ref="D90:E90"/>
    <mergeCell ref="B91:C91"/>
    <mergeCell ref="D91:E91"/>
    <mergeCell ref="B92:C92"/>
    <mergeCell ref="D92:E92"/>
    <mergeCell ref="B101:F106"/>
    <mergeCell ref="D109:E109"/>
    <mergeCell ref="F109:H109"/>
    <mergeCell ref="B107:C107"/>
    <mergeCell ref="D107:E107"/>
    <mergeCell ref="F107:H107"/>
    <mergeCell ref="B108:C108"/>
    <mergeCell ref="D108:E108"/>
    <mergeCell ref="F108:H108"/>
    <mergeCell ref="B109:C109"/>
    <mergeCell ref="D112:E112"/>
    <mergeCell ref="F112:H112"/>
    <mergeCell ref="B110:C110"/>
    <mergeCell ref="D110:E110"/>
    <mergeCell ref="F110:H110"/>
    <mergeCell ref="B111:C111"/>
    <mergeCell ref="D111:E111"/>
    <mergeCell ref="F111:H111"/>
    <mergeCell ref="B113:H113"/>
    <mergeCell ref="D145:E145"/>
    <mergeCell ref="F145:H145"/>
    <mergeCell ref="B143:C143"/>
    <mergeCell ref="D143:E143"/>
    <mergeCell ref="F143:H143"/>
    <mergeCell ref="B144:C144"/>
    <mergeCell ref="D144:E144"/>
    <mergeCell ref="F144:H144"/>
    <mergeCell ref="B146:H146"/>
    <mergeCell ref="B112:C112"/>
    <mergeCell ref="B115:C115"/>
    <mergeCell ref="D115:E115"/>
    <mergeCell ref="B116:C116"/>
    <mergeCell ref="D116:E116"/>
    <mergeCell ref="B117:C117"/>
    <mergeCell ref="D117:E117"/>
    <mergeCell ref="B118:C118"/>
    <mergeCell ref="D118:E118"/>
    <mergeCell ref="B119:E119"/>
    <mergeCell ref="B120:C120"/>
    <mergeCell ref="D120:E120"/>
    <mergeCell ref="B121:C121"/>
    <mergeCell ref="D121:E121"/>
    <mergeCell ref="G134:H135"/>
    <mergeCell ref="I134:K135"/>
    <mergeCell ref="G136:H137"/>
    <mergeCell ref="I136:K137"/>
    <mergeCell ref="G138:H139"/>
    <mergeCell ref="I138:K139"/>
    <mergeCell ref="B122:C122"/>
    <mergeCell ref="D122:E122"/>
    <mergeCell ref="B123:C123"/>
    <mergeCell ref="D123:E123"/>
    <mergeCell ref="B124:C124"/>
    <mergeCell ref="D124:E124"/>
    <mergeCell ref="B134:F139"/>
    <mergeCell ref="D142:E142"/>
    <mergeCell ref="F142:H142"/>
    <mergeCell ref="B140:C140"/>
    <mergeCell ref="D140:E140"/>
    <mergeCell ref="F140:H140"/>
    <mergeCell ref="B141:C141"/>
    <mergeCell ref="D141:E141"/>
    <mergeCell ref="F141:H141"/>
    <mergeCell ref="B142:C142"/>
    <mergeCell ref="B145:C145"/>
    <mergeCell ref="B148:C148"/>
    <mergeCell ref="D148:E148"/>
    <mergeCell ref="B149:C149"/>
    <mergeCell ref="D149:E149"/>
    <mergeCell ref="B150:C150"/>
    <mergeCell ref="D150:E150"/>
    <mergeCell ref="B151:C151"/>
    <mergeCell ref="D151:E151"/>
    <mergeCell ref="B152:E152"/>
    <mergeCell ref="B153:C153"/>
    <mergeCell ref="D153:E153"/>
    <mergeCell ref="B154:C154"/>
    <mergeCell ref="D154:E154"/>
    <mergeCell ref="G167:H168"/>
    <mergeCell ref="I167:K168"/>
    <mergeCell ref="G169:H170"/>
    <mergeCell ref="I169:K170"/>
    <mergeCell ref="G171:H172"/>
    <mergeCell ref="I171:K172"/>
    <mergeCell ref="B155:C155"/>
    <mergeCell ref="D155:E155"/>
    <mergeCell ref="B156:C156"/>
    <mergeCell ref="D156:E156"/>
    <mergeCell ref="B157:C157"/>
    <mergeCell ref="D157:E157"/>
    <mergeCell ref="B167:F172"/>
    <mergeCell ref="D175:E175"/>
    <mergeCell ref="F175:H175"/>
    <mergeCell ref="B173:C173"/>
    <mergeCell ref="D173:E173"/>
    <mergeCell ref="F173:H173"/>
    <mergeCell ref="B174:C174"/>
    <mergeCell ref="D174:E174"/>
    <mergeCell ref="F174:H174"/>
    <mergeCell ref="B175:C175"/>
    <mergeCell ref="D178:E178"/>
    <mergeCell ref="F178:H178"/>
    <mergeCell ref="B176:C176"/>
    <mergeCell ref="D176:E176"/>
    <mergeCell ref="F176:H176"/>
    <mergeCell ref="B177:C177"/>
    <mergeCell ref="D177:E177"/>
    <mergeCell ref="F177:H177"/>
    <mergeCell ref="B179:H179"/>
    <mergeCell ref="M221:N221"/>
    <mergeCell ref="M225:N225"/>
    <mergeCell ref="M226:N226"/>
    <mergeCell ref="M227:N227"/>
    <mergeCell ref="O223:P223"/>
    <mergeCell ref="M224:N224"/>
    <mergeCell ref="O224:P224"/>
    <mergeCell ref="O226:P226"/>
    <mergeCell ref="O227:P227"/>
    <mergeCell ref="T233:V234"/>
    <mergeCell ref="T235:V236"/>
    <mergeCell ref="M213:N213"/>
    <mergeCell ref="O213:P213"/>
    <mergeCell ref="M214:N214"/>
    <mergeCell ref="O214:P214"/>
    <mergeCell ref="M215:N215"/>
    <mergeCell ref="O215:P215"/>
    <mergeCell ref="O216:P216"/>
    <mergeCell ref="M216:N216"/>
    <mergeCell ref="M217:N217"/>
    <mergeCell ref="M218:N218"/>
    <mergeCell ref="M219:N219"/>
    <mergeCell ref="O219:P219"/>
    <mergeCell ref="O220:P220"/>
    <mergeCell ref="O221:P221"/>
    <mergeCell ref="O222:P222"/>
    <mergeCell ref="M222:N222"/>
    <mergeCell ref="M223:N223"/>
    <mergeCell ref="S222:T224"/>
    <mergeCell ref="U222:V224"/>
    <mergeCell ref="D223:E223"/>
    <mergeCell ref="H223:I225"/>
    <mergeCell ref="J223:K225"/>
    <mergeCell ref="D224:E224"/>
    <mergeCell ref="D225:E225"/>
    <mergeCell ref="O225:P225"/>
    <mergeCell ref="B228:C228"/>
    <mergeCell ref="D228:E228"/>
    <mergeCell ref="G235:H236"/>
    <mergeCell ref="I235:K236"/>
    <mergeCell ref="G237:H238"/>
    <mergeCell ref="I237:K238"/>
    <mergeCell ref="B223:C223"/>
    <mergeCell ref="B224:C224"/>
    <mergeCell ref="B225:C225"/>
    <mergeCell ref="B226:C226"/>
    <mergeCell ref="D226:E226"/>
    <mergeCell ref="B227:C227"/>
    <mergeCell ref="D227:E227"/>
    <mergeCell ref="R235:S236"/>
    <mergeCell ref="R237:S238"/>
    <mergeCell ref="T237:V238"/>
    <mergeCell ref="O326:P326"/>
    <mergeCell ref="O327:P327"/>
    <mergeCell ref="M328:N328"/>
    <mergeCell ref="M329:N329"/>
    <mergeCell ref="O329:P329"/>
    <mergeCell ref="M330:N330"/>
    <mergeCell ref="O330:P330"/>
    <mergeCell ref="M331:N331"/>
    <mergeCell ref="O331:P331"/>
    <mergeCell ref="O312:P312"/>
    <mergeCell ref="Q312:S312"/>
    <mergeCell ref="M310:N310"/>
    <mergeCell ref="O310:P310"/>
    <mergeCell ref="Q310:S310"/>
    <mergeCell ref="M311:N311"/>
    <mergeCell ref="O311:P311"/>
    <mergeCell ref="Q311:S311"/>
    <mergeCell ref="M312:N312"/>
    <mergeCell ref="M313:N313"/>
    <mergeCell ref="O313:P313"/>
    <mergeCell ref="Q313:S313"/>
    <mergeCell ref="M314:N314"/>
    <mergeCell ref="O314:P314"/>
    <mergeCell ref="Q314:S314"/>
    <mergeCell ref="M315:S315"/>
    <mergeCell ref="M317:N317"/>
    <mergeCell ref="O317:P317"/>
    <mergeCell ref="M318:N318"/>
    <mergeCell ref="O318:P318"/>
    <mergeCell ref="M319:N319"/>
    <mergeCell ref="O319:P319"/>
    <mergeCell ref="O320:P320"/>
    <mergeCell ref="O321:P321"/>
    <mergeCell ref="O322:P322"/>
    <mergeCell ref="O323:P323"/>
    <mergeCell ref="O324:P324"/>
    <mergeCell ref="O325:P325"/>
    <mergeCell ref="S326:T328"/>
    <mergeCell ref="U326:V328"/>
    <mergeCell ref="O328:P328"/>
    <mergeCell ref="M320:N320"/>
    <mergeCell ref="M321:N321"/>
    <mergeCell ref="M322:N322"/>
    <mergeCell ref="M323:N323"/>
    <mergeCell ref="M325:N325"/>
    <mergeCell ref="M326:N326"/>
    <mergeCell ref="M327:N327"/>
    <mergeCell ref="M336:Q341"/>
    <mergeCell ref="R336:S337"/>
    <mergeCell ref="T336:V337"/>
    <mergeCell ref="R338:S339"/>
    <mergeCell ref="T338:V339"/>
    <mergeCell ref="R340:S341"/>
    <mergeCell ref="T340:V341"/>
    <mergeCell ref="M186:N186"/>
    <mergeCell ref="M187:N187"/>
    <mergeCell ref="M188:N188"/>
    <mergeCell ref="M190:N190"/>
    <mergeCell ref="M191:N192"/>
    <mergeCell ref="M193:N193"/>
    <mergeCell ref="M194:N194"/>
    <mergeCell ref="O205:P205"/>
    <mergeCell ref="Q205:S205"/>
    <mergeCell ref="M195:N195"/>
    <mergeCell ref="M196:N196"/>
    <mergeCell ref="M199:Q204"/>
    <mergeCell ref="R199:S200"/>
    <mergeCell ref="R201:S202"/>
    <mergeCell ref="R203:S204"/>
    <mergeCell ref="M205:N205"/>
    <mergeCell ref="O208:P208"/>
    <mergeCell ref="Q208:S208"/>
    <mergeCell ref="M206:N206"/>
    <mergeCell ref="O206:P206"/>
    <mergeCell ref="Q206:S206"/>
    <mergeCell ref="M207:N207"/>
    <mergeCell ref="O207:P207"/>
    <mergeCell ref="Q207:S207"/>
    <mergeCell ref="M208:N208"/>
    <mergeCell ref="M209:N209"/>
    <mergeCell ref="O209:P209"/>
    <mergeCell ref="Q209:S209"/>
    <mergeCell ref="M210:N210"/>
    <mergeCell ref="O210:P210"/>
    <mergeCell ref="Q210:S210"/>
    <mergeCell ref="M211:S211"/>
    <mergeCell ref="O217:P217"/>
    <mergeCell ref="O218:P218"/>
    <mergeCell ref="M233:Q238"/>
    <mergeCell ref="R233:S234"/>
    <mergeCell ref="M239:N239"/>
    <mergeCell ref="O239:P239"/>
    <mergeCell ref="Q239:S239"/>
    <mergeCell ref="O273:P273"/>
    <mergeCell ref="Q273:S273"/>
    <mergeCell ref="O254:P254"/>
    <mergeCell ref="O255:P255"/>
    <mergeCell ref="M267:Q272"/>
    <mergeCell ref="R267:S268"/>
    <mergeCell ref="R269:S270"/>
    <mergeCell ref="R271:S272"/>
    <mergeCell ref="M273:N273"/>
    <mergeCell ref="O276:P276"/>
    <mergeCell ref="Q276:S276"/>
    <mergeCell ref="M274:N274"/>
    <mergeCell ref="O274:P274"/>
    <mergeCell ref="Q274:S274"/>
    <mergeCell ref="M275:N275"/>
    <mergeCell ref="O275:P275"/>
    <mergeCell ref="Q275:S275"/>
    <mergeCell ref="M276:N276"/>
    <mergeCell ref="O279:P279"/>
    <mergeCell ref="Q279:S279"/>
    <mergeCell ref="M277:N277"/>
    <mergeCell ref="O277:P277"/>
    <mergeCell ref="Q277:S277"/>
    <mergeCell ref="M278:N278"/>
    <mergeCell ref="O278:P278"/>
    <mergeCell ref="Q278:S278"/>
    <mergeCell ref="M280:S280"/>
    <mergeCell ref="O242:P242"/>
    <mergeCell ref="Q242:S242"/>
    <mergeCell ref="M240:N240"/>
    <mergeCell ref="O240:P240"/>
    <mergeCell ref="Q240:S240"/>
    <mergeCell ref="M241:N241"/>
    <mergeCell ref="O241:P241"/>
    <mergeCell ref="Q241:S241"/>
    <mergeCell ref="M242:N242"/>
    <mergeCell ref="O245:P245"/>
    <mergeCell ref="Q245:S245"/>
    <mergeCell ref="M243:N243"/>
    <mergeCell ref="O243:P243"/>
    <mergeCell ref="Q243:S243"/>
    <mergeCell ref="M244:N244"/>
    <mergeCell ref="O244:P244"/>
    <mergeCell ref="Q244:S244"/>
    <mergeCell ref="M246:S246"/>
    <mergeCell ref="M245:N245"/>
    <mergeCell ref="M248:N248"/>
    <mergeCell ref="O248:P248"/>
    <mergeCell ref="M249:N249"/>
    <mergeCell ref="O249:P249"/>
    <mergeCell ref="M250:N250"/>
    <mergeCell ref="O250:P250"/>
    <mergeCell ref="M251:N251"/>
    <mergeCell ref="O251:P251"/>
    <mergeCell ref="M252:N252"/>
    <mergeCell ref="O252:P252"/>
    <mergeCell ref="M253:N253"/>
    <mergeCell ref="O253:P253"/>
    <mergeCell ref="M254:N254"/>
    <mergeCell ref="M279:N279"/>
    <mergeCell ref="M282:N282"/>
    <mergeCell ref="O282:P282"/>
    <mergeCell ref="M283:N283"/>
    <mergeCell ref="O283:P283"/>
    <mergeCell ref="M284:N284"/>
    <mergeCell ref="O284:P284"/>
    <mergeCell ref="O288:P288"/>
    <mergeCell ref="O289:P289"/>
    <mergeCell ref="M285:N285"/>
    <mergeCell ref="O285:P285"/>
    <mergeCell ref="M286:N286"/>
    <mergeCell ref="O286:P286"/>
    <mergeCell ref="M287:N287"/>
    <mergeCell ref="O287:P287"/>
    <mergeCell ref="M288:N288"/>
    <mergeCell ref="M290:N290"/>
    <mergeCell ref="O290:P290"/>
    <mergeCell ref="M291:N291"/>
    <mergeCell ref="O291:P291"/>
    <mergeCell ref="S291:T293"/>
    <mergeCell ref="U291:V293"/>
    <mergeCell ref="O292:P292"/>
    <mergeCell ref="O293:P293"/>
    <mergeCell ref="M292:N292"/>
    <mergeCell ref="M293:N293"/>
    <mergeCell ref="M294:N294"/>
    <mergeCell ref="O294:P294"/>
    <mergeCell ref="M295:N295"/>
    <mergeCell ref="O295:P295"/>
    <mergeCell ref="M296:N296"/>
    <mergeCell ref="Q307:S307"/>
    <mergeCell ref="Q308:S308"/>
    <mergeCell ref="Q309:S309"/>
    <mergeCell ref="O296:P296"/>
    <mergeCell ref="R301:S302"/>
    <mergeCell ref="T301:V302"/>
    <mergeCell ref="R303:S304"/>
    <mergeCell ref="T303:V304"/>
    <mergeCell ref="R305:S306"/>
    <mergeCell ref="T305:V306"/>
    <mergeCell ref="M301:Q306"/>
    <mergeCell ref="M307:N307"/>
    <mergeCell ref="O307:P307"/>
    <mergeCell ref="M308:N308"/>
    <mergeCell ref="O308:P308"/>
    <mergeCell ref="M309:N309"/>
    <mergeCell ref="O309:P309"/>
    <mergeCell ref="O344:P344"/>
    <mergeCell ref="Q344:S344"/>
    <mergeCell ref="M342:N342"/>
    <mergeCell ref="O342:P342"/>
    <mergeCell ref="Q342:S342"/>
    <mergeCell ref="M343:N343"/>
    <mergeCell ref="O343:P343"/>
    <mergeCell ref="Q343:S343"/>
    <mergeCell ref="M344:N344"/>
    <mergeCell ref="O347:P347"/>
    <mergeCell ref="Q347:S347"/>
    <mergeCell ref="M345:N345"/>
    <mergeCell ref="O345:P345"/>
    <mergeCell ref="Q345:S345"/>
    <mergeCell ref="M346:N346"/>
    <mergeCell ref="O346:P346"/>
    <mergeCell ref="Q346:S346"/>
    <mergeCell ref="M347:N347"/>
    <mergeCell ref="M348:N348"/>
    <mergeCell ref="O348:P348"/>
    <mergeCell ref="Q348:S348"/>
    <mergeCell ref="M349:S349"/>
    <mergeCell ref="M351:N351"/>
    <mergeCell ref="O351:P351"/>
    <mergeCell ref="O352:P352"/>
    <mergeCell ref="M352:N352"/>
    <mergeCell ref="M353:N353"/>
    <mergeCell ref="O353:P353"/>
    <mergeCell ref="M354:N354"/>
    <mergeCell ref="O354:P354"/>
    <mergeCell ref="M355:N355"/>
    <mergeCell ref="O355:P355"/>
    <mergeCell ref="M356:N356"/>
    <mergeCell ref="O356:P356"/>
    <mergeCell ref="M357:N357"/>
    <mergeCell ref="O357:P357"/>
    <mergeCell ref="O358:P358"/>
    <mergeCell ref="M359:N359"/>
    <mergeCell ref="O359:P359"/>
    <mergeCell ref="O518:P518"/>
    <mergeCell ref="O519:P519"/>
    <mergeCell ref="M522:N522"/>
    <mergeCell ref="M523:N523"/>
    <mergeCell ref="M524:N524"/>
    <mergeCell ref="O524:P524"/>
    <mergeCell ref="M525:N525"/>
    <mergeCell ref="O525:P525"/>
    <mergeCell ref="M530:Q535"/>
    <mergeCell ref="M506:N506"/>
    <mergeCell ref="O506:P506"/>
    <mergeCell ref="M507:N507"/>
    <mergeCell ref="O507:P507"/>
    <mergeCell ref="M508:N508"/>
    <mergeCell ref="O508:P508"/>
    <mergeCell ref="O509:P509"/>
    <mergeCell ref="M509:N509"/>
    <mergeCell ref="M512:N512"/>
    <mergeCell ref="O512:P512"/>
    <mergeCell ref="M513:N513"/>
    <mergeCell ref="O513:P513"/>
    <mergeCell ref="M514:N514"/>
    <mergeCell ref="O514:P514"/>
    <mergeCell ref="M515:N515"/>
    <mergeCell ref="O515:P515"/>
    <mergeCell ref="M516:N516"/>
    <mergeCell ref="O516:P516"/>
    <mergeCell ref="M517:N517"/>
    <mergeCell ref="O517:P517"/>
    <mergeCell ref="M518:N518"/>
    <mergeCell ref="M520:N520"/>
    <mergeCell ref="O520:P520"/>
    <mergeCell ref="M521:N521"/>
    <mergeCell ref="O521:P521"/>
    <mergeCell ref="S521:T523"/>
    <mergeCell ref="U521:V523"/>
    <mergeCell ref="O522:P522"/>
    <mergeCell ref="O523:P523"/>
    <mergeCell ref="G530:H531"/>
    <mergeCell ref="I530:K531"/>
    <mergeCell ref="R530:S531"/>
    <mergeCell ref="T530:V531"/>
    <mergeCell ref="T532:V533"/>
    <mergeCell ref="R532:S533"/>
    <mergeCell ref="R534:S535"/>
    <mergeCell ref="T534:V535"/>
    <mergeCell ref="F536:H536"/>
    <mergeCell ref="M536:N536"/>
    <mergeCell ref="O536:P536"/>
    <mergeCell ref="Q536:S536"/>
    <mergeCell ref="M645:N645"/>
    <mergeCell ref="O645:P645"/>
    <mergeCell ref="M646:N646"/>
    <mergeCell ref="O646:P646"/>
    <mergeCell ref="M647:N647"/>
    <mergeCell ref="O647:P647"/>
    <mergeCell ref="O648:P648"/>
    <mergeCell ref="M648:N648"/>
    <mergeCell ref="M649:N649"/>
    <mergeCell ref="M651:N651"/>
    <mergeCell ref="O651:P651"/>
    <mergeCell ref="O652:P653"/>
    <mergeCell ref="S652:T654"/>
    <mergeCell ref="U652:V654"/>
    <mergeCell ref="O654:P654"/>
    <mergeCell ref="M652:N653"/>
    <mergeCell ref="M654:N654"/>
    <mergeCell ref="M655:N655"/>
    <mergeCell ref="O655:P655"/>
    <mergeCell ref="M656:N656"/>
    <mergeCell ref="O656:P656"/>
    <mergeCell ref="M657:N657"/>
    <mergeCell ref="Q668:S668"/>
    <mergeCell ref="Q669:S669"/>
    <mergeCell ref="Q670:S670"/>
    <mergeCell ref="O657:P657"/>
    <mergeCell ref="R662:S663"/>
    <mergeCell ref="T662:V663"/>
    <mergeCell ref="R664:S665"/>
    <mergeCell ref="T664:V665"/>
    <mergeCell ref="R666:S667"/>
    <mergeCell ref="T666:V667"/>
    <mergeCell ref="M662:Q667"/>
    <mergeCell ref="M668:N668"/>
    <mergeCell ref="O668:P668"/>
    <mergeCell ref="M669:N669"/>
    <mergeCell ref="O669:P669"/>
    <mergeCell ref="M670:N670"/>
    <mergeCell ref="O670:P670"/>
    <mergeCell ref="M674:N674"/>
    <mergeCell ref="O674:P674"/>
    <mergeCell ref="Q674:S674"/>
    <mergeCell ref="M675:S675"/>
    <mergeCell ref="M677:N677"/>
    <mergeCell ref="O677:P677"/>
    <mergeCell ref="O678:P678"/>
    <mergeCell ref="O702:P702"/>
    <mergeCell ref="Q702:S702"/>
    <mergeCell ref="T727:V728"/>
    <mergeCell ref="T729:V730"/>
    <mergeCell ref="T731:V732"/>
    <mergeCell ref="O750:P750"/>
    <mergeCell ref="O751:P751"/>
    <mergeCell ref="M784:N784"/>
    <mergeCell ref="O784:P784"/>
    <mergeCell ref="U749:V751"/>
    <mergeCell ref="T758:V759"/>
    <mergeCell ref="T760:V761"/>
    <mergeCell ref="T762:V763"/>
    <mergeCell ref="U782:V784"/>
    <mergeCell ref="M783:N783"/>
    <mergeCell ref="O783:P783"/>
    <mergeCell ref="M678:N678"/>
    <mergeCell ref="M679:N679"/>
    <mergeCell ref="O679:P679"/>
    <mergeCell ref="M680:N680"/>
    <mergeCell ref="O680:P680"/>
    <mergeCell ref="M681:N681"/>
    <mergeCell ref="O681:P681"/>
    <mergeCell ref="M682:N682"/>
    <mergeCell ref="O682:P682"/>
    <mergeCell ref="M683:N683"/>
    <mergeCell ref="O683:P683"/>
    <mergeCell ref="O684:P684"/>
    <mergeCell ref="M685:N685"/>
    <mergeCell ref="O685:P685"/>
    <mergeCell ref="M686:N686"/>
    <mergeCell ref="O686:P686"/>
    <mergeCell ref="S686:T688"/>
    <mergeCell ref="U686:V688"/>
    <mergeCell ref="M687:N687"/>
    <mergeCell ref="O687:P687"/>
    <mergeCell ref="O688:P688"/>
    <mergeCell ref="M688:N688"/>
    <mergeCell ref="M689:N689"/>
    <mergeCell ref="O689:P689"/>
    <mergeCell ref="M690:N690"/>
    <mergeCell ref="O690:P690"/>
    <mergeCell ref="M691:N691"/>
    <mergeCell ref="O691:P691"/>
    <mergeCell ref="M694:Q699"/>
    <mergeCell ref="R694:S695"/>
    <mergeCell ref="T694:V695"/>
    <mergeCell ref="R696:S697"/>
    <mergeCell ref="T696:V697"/>
    <mergeCell ref="R698:S699"/>
    <mergeCell ref="T698:V699"/>
    <mergeCell ref="M700:N700"/>
    <mergeCell ref="O700:P700"/>
    <mergeCell ref="Q700:S700"/>
    <mergeCell ref="M701:N701"/>
    <mergeCell ref="O701:P701"/>
    <mergeCell ref="Q701:S701"/>
    <mergeCell ref="M702:N702"/>
    <mergeCell ref="M750:N750"/>
    <mergeCell ref="M751:N751"/>
    <mergeCell ref="B734:C734"/>
    <mergeCell ref="D734:E734"/>
    <mergeCell ref="B735:C735"/>
    <mergeCell ref="D735:E735"/>
    <mergeCell ref="B736:C736"/>
    <mergeCell ref="D736:E736"/>
    <mergeCell ref="D737:E737"/>
    <mergeCell ref="B743:C743"/>
    <mergeCell ref="D743:E743"/>
    <mergeCell ref="B744:C744"/>
    <mergeCell ref="D744:E744"/>
    <mergeCell ref="B737:C737"/>
    <mergeCell ref="B740:C740"/>
    <mergeCell ref="D740:E740"/>
    <mergeCell ref="B741:C741"/>
    <mergeCell ref="D741:E741"/>
    <mergeCell ref="B742:C742"/>
    <mergeCell ref="D742:E742"/>
    <mergeCell ref="D709:E709"/>
    <mergeCell ref="D710:E710"/>
    <mergeCell ref="B711:E711"/>
    <mergeCell ref="B712:C712"/>
    <mergeCell ref="D712:E712"/>
    <mergeCell ref="B713:C713"/>
    <mergeCell ref="D713:E713"/>
    <mergeCell ref="B714:C714"/>
    <mergeCell ref="D714:E714"/>
    <mergeCell ref="B715:C715"/>
    <mergeCell ref="D715:E715"/>
    <mergeCell ref="B716:C716"/>
    <mergeCell ref="D716:E716"/>
    <mergeCell ref="D717:E717"/>
    <mergeCell ref="G731:H732"/>
    <mergeCell ref="F733:H733"/>
    <mergeCell ref="F734:H734"/>
    <mergeCell ref="F735:H735"/>
    <mergeCell ref="F736:H736"/>
    <mergeCell ref="F737:H737"/>
    <mergeCell ref="B738:H738"/>
    <mergeCell ref="M727:Q732"/>
    <mergeCell ref="R727:S728"/>
    <mergeCell ref="G729:H730"/>
    <mergeCell ref="I729:K730"/>
    <mergeCell ref="R729:S730"/>
    <mergeCell ref="I731:K732"/>
    <mergeCell ref="R731:S732"/>
    <mergeCell ref="O735:P735"/>
    <mergeCell ref="Q735:S735"/>
    <mergeCell ref="M733:N733"/>
    <mergeCell ref="O733:P733"/>
    <mergeCell ref="Q733:S733"/>
    <mergeCell ref="M734:N734"/>
    <mergeCell ref="O734:P734"/>
    <mergeCell ref="Q734:S734"/>
    <mergeCell ref="M735:N735"/>
    <mergeCell ref="M736:N736"/>
    <mergeCell ref="O736:P736"/>
    <mergeCell ref="Q736:S736"/>
    <mergeCell ref="M737:N737"/>
    <mergeCell ref="O737:P737"/>
    <mergeCell ref="Q737:S737"/>
    <mergeCell ref="M738:S738"/>
    <mergeCell ref="O744:P744"/>
    <mergeCell ref="D769:E769"/>
    <mergeCell ref="F769:H769"/>
    <mergeCell ref="B767:C767"/>
    <mergeCell ref="D767:E767"/>
    <mergeCell ref="F767:H767"/>
    <mergeCell ref="B768:C768"/>
    <mergeCell ref="D768:E768"/>
    <mergeCell ref="F768:H768"/>
    <mergeCell ref="B769:C769"/>
    <mergeCell ref="B770:H770"/>
    <mergeCell ref="B745:E745"/>
    <mergeCell ref="B746:C746"/>
    <mergeCell ref="D746:E746"/>
    <mergeCell ref="B747:C747"/>
    <mergeCell ref="D747:E747"/>
    <mergeCell ref="B748:C748"/>
    <mergeCell ref="D748:E748"/>
    <mergeCell ref="B751:C751"/>
    <mergeCell ref="B752:C752"/>
    <mergeCell ref="B749:C749"/>
    <mergeCell ref="D749:E749"/>
    <mergeCell ref="B750:C750"/>
    <mergeCell ref="D750:E750"/>
    <mergeCell ref="D751:E751"/>
    <mergeCell ref="H751:I753"/>
    <mergeCell ref="J751:K753"/>
    <mergeCell ref="D752:E752"/>
    <mergeCell ref="B753:C753"/>
    <mergeCell ref="D753:E753"/>
    <mergeCell ref="B754:C754"/>
    <mergeCell ref="D754:E754"/>
    <mergeCell ref="B755:C755"/>
    <mergeCell ref="D755:E755"/>
    <mergeCell ref="B758:F763"/>
    <mergeCell ref="G758:H759"/>
    <mergeCell ref="I758:K759"/>
    <mergeCell ref="G760:H761"/>
    <mergeCell ref="I760:K761"/>
    <mergeCell ref="G762:H763"/>
    <mergeCell ref="I762:K763"/>
    <mergeCell ref="D766:E766"/>
    <mergeCell ref="F766:H766"/>
    <mergeCell ref="B764:C764"/>
    <mergeCell ref="D764:E764"/>
    <mergeCell ref="F764:H764"/>
    <mergeCell ref="B765:C765"/>
    <mergeCell ref="D765:E765"/>
    <mergeCell ref="F765:H765"/>
    <mergeCell ref="B766:C766"/>
    <mergeCell ref="B635:C635"/>
    <mergeCell ref="D635:E635"/>
    <mergeCell ref="F635:H635"/>
    <mergeCell ref="M635:N635"/>
    <mergeCell ref="O635:P635"/>
    <mergeCell ref="Q635:S635"/>
    <mergeCell ref="B636:C636"/>
    <mergeCell ref="Q636:S636"/>
    <mergeCell ref="D636:E636"/>
    <mergeCell ref="F636:H636"/>
    <mergeCell ref="D637:E637"/>
    <mergeCell ref="F637:H637"/>
    <mergeCell ref="M637:N637"/>
    <mergeCell ref="O637:P637"/>
    <mergeCell ref="Q637:S637"/>
    <mergeCell ref="B637:C637"/>
    <mergeCell ref="B638:C638"/>
    <mergeCell ref="D638:E638"/>
    <mergeCell ref="F638:H638"/>
    <mergeCell ref="M638:N638"/>
    <mergeCell ref="O638:P638"/>
    <mergeCell ref="Q638:S638"/>
    <mergeCell ref="D639:E639"/>
    <mergeCell ref="F639:H639"/>
    <mergeCell ref="M639:N639"/>
    <mergeCell ref="O639:P639"/>
    <mergeCell ref="Q639:S639"/>
    <mergeCell ref="B640:H640"/>
    <mergeCell ref="Q640:S640"/>
    <mergeCell ref="B639:C639"/>
    <mergeCell ref="B642:C642"/>
    <mergeCell ref="D642:E642"/>
    <mergeCell ref="B643:C643"/>
    <mergeCell ref="D643:E643"/>
    <mergeCell ref="B644:C644"/>
    <mergeCell ref="D644:E644"/>
    <mergeCell ref="M640:N640"/>
    <mergeCell ref="O640:P640"/>
    <mergeCell ref="M641:S641"/>
    <mergeCell ref="M643:N643"/>
    <mergeCell ref="O643:P643"/>
    <mergeCell ref="M644:N644"/>
    <mergeCell ref="O644:P644"/>
    <mergeCell ref="O649:P649"/>
    <mergeCell ref="O650:P650"/>
    <mergeCell ref="B645:C645"/>
    <mergeCell ref="D645:E645"/>
    <mergeCell ref="B646:E646"/>
    <mergeCell ref="B647:C647"/>
    <mergeCell ref="D647:E647"/>
    <mergeCell ref="B648:C648"/>
    <mergeCell ref="D648:E648"/>
    <mergeCell ref="D652:E653"/>
    <mergeCell ref="H652:I654"/>
    <mergeCell ref="J652:K654"/>
    <mergeCell ref="D654:E654"/>
    <mergeCell ref="B649:C649"/>
    <mergeCell ref="D649:E649"/>
    <mergeCell ref="B650:C650"/>
    <mergeCell ref="D650:E650"/>
    <mergeCell ref="B651:C651"/>
    <mergeCell ref="D651:E651"/>
    <mergeCell ref="B652:C653"/>
    <mergeCell ref="B654:C654"/>
    <mergeCell ref="B655:C655"/>
    <mergeCell ref="D655:E655"/>
    <mergeCell ref="B656:C656"/>
    <mergeCell ref="D656:E656"/>
    <mergeCell ref="B657:C657"/>
    <mergeCell ref="D657:E657"/>
    <mergeCell ref="G664:H665"/>
    <mergeCell ref="I664:K665"/>
    <mergeCell ref="G666:H667"/>
    <mergeCell ref="I666:K667"/>
    <mergeCell ref="B658:C658"/>
    <mergeCell ref="D658:E658"/>
    <mergeCell ref="B659:C659"/>
    <mergeCell ref="D659:E659"/>
    <mergeCell ref="B662:F667"/>
    <mergeCell ref="G662:H663"/>
    <mergeCell ref="I662:K663"/>
    <mergeCell ref="O673:P673"/>
    <mergeCell ref="Q673:S673"/>
    <mergeCell ref="M671:N671"/>
    <mergeCell ref="O671:P671"/>
    <mergeCell ref="Q671:S671"/>
    <mergeCell ref="M672:N672"/>
    <mergeCell ref="O672:P672"/>
    <mergeCell ref="Q672:S672"/>
    <mergeCell ref="M673:N673"/>
    <mergeCell ref="F700:H700"/>
    <mergeCell ref="F701:H701"/>
    <mergeCell ref="F702:H702"/>
    <mergeCell ref="F703:H703"/>
    <mergeCell ref="F704:H704"/>
    <mergeCell ref="B705:H705"/>
    <mergeCell ref="D691:E691"/>
    <mergeCell ref="G694:H695"/>
    <mergeCell ref="I694:K695"/>
    <mergeCell ref="G696:H697"/>
    <mergeCell ref="I696:K697"/>
    <mergeCell ref="G698:H699"/>
    <mergeCell ref="I698:K699"/>
    <mergeCell ref="D670:E670"/>
    <mergeCell ref="F670:H670"/>
    <mergeCell ref="B668:C668"/>
    <mergeCell ref="D668:E668"/>
    <mergeCell ref="F668:H668"/>
    <mergeCell ref="B669:C669"/>
    <mergeCell ref="D669:E669"/>
    <mergeCell ref="F669:H669"/>
    <mergeCell ref="B670:C670"/>
    <mergeCell ref="D673:E673"/>
    <mergeCell ref="F673:H673"/>
    <mergeCell ref="B671:C671"/>
    <mergeCell ref="D671:E671"/>
    <mergeCell ref="F671:H671"/>
    <mergeCell ref="B672:C672"/>
    <mergeCell ref="D672:E672"/>
    <mergeCell ref="F672:H672"/>
    <mergeCell ref="B674:H674"/>
    <mergeCell ref="B673:C673"/>
    <mergeCell ref="B676:C676"/>
    <mergeCell ref="D676:E676"/>
    <mergeCell ref="B677:C677"/>
    <mergeCell ref="D677:E677"/>
    <mergeCell ref="B678:C678"/>
    <mergeCell ref="D678:E678"/>
    <mergeCell ref="D686:E686"/>
    <mergeCell ref="H686:I688"/>
    <mergeCell ref="J686:K688"/>
    <mergeCell ref="D687:E687"/>
    <mergeCell ref="D688:E688"/>
    <mergeCell ref="B687:C687"/>
    <mergeCell ref="B688:C688"/>
    <mergeCell ref="B689:C689"/>
    <mergeCell ref="D689:E689"/>
    <mergeCell ref="B690:C690"/>
    <mergeCell ref="D690:E690"/>
    <mergeCell ref="B691:C691"/>
    <mergeCell ref="B679:C679"/>
    <mergeCell ref="D679:E679"/>
    <mergeCell ref="B680:E680"/>
    <mergeCell ref="B681:C681"/>
    <mergeCell ref="D681:E681"/>
    <mergeCell ref="B682:C682"/>
    <mergeCell ref="D682:E682"/>
    <mergeCell ref="B683:C683"/>
    <mergeCell ref="D683:E683"/>
    <mergeCell ref="B684:C684"/>
    <mergeCell ref="D684:E684"/>
    <mergeCell ref="B685:C685"/>
    <mergeCell ref="D685:E685"/>
    <mergeCell ref="B686:C686"/>
    <mergeCell ref="B694:F699"/>
    <mergeCell ref="B700:C700"/>
    <mergeCell ref="D700:E700"/>
    <mergeCell ref="B701:C701"/>
    <mergeCell ref="D701:E701"/>
    <mergeCell ref="B702:C702"/>
    <mergeCell ref="D702:E702"/>
    <mergeCell ref="B708:C708"/>
    <mergeCell ref="B709:C709"/>
    <mergeCell ref="B710:C710"/>
    <mergeCell ref="B703:C703"/>
    <mergeCell ref="D703:E703"/>
    <mergeCell ref="B704:C704"/>
    <mergeCell ref="D704:E704"/>
    <mergeCell ref="B707:C707"/>
    <mergeCell ref="D707:E707"/>
    <mergeCell ref="D708:E708"/>
    <mergeCell ref="B717:C717"/>
    <mergeCell ref="B718:C718"/>
    <mergeCell ref="B719:C719"/>
    <mergeCell ref="B720:C720"/>
    <mergeCell ref="B721:C721"/>
    <mergeCell ref="D718:E718"/>
    <mergeCell ref="D719:E719"/>
    <mergeCell ref="D720:E720"/>
    <mergeCell ref="D721:E721"/>
    <mergeCell ref="B727:F732"/>
    <mergeCell ref="B733:C733"/>
    <mergeCell ref="D733:E733"/>
    <mergeCell ref="M740:N740"/>
    <mergeCell ref="O740:P740"/>
    <mergeCell ref="M741:N741"/>
    <mergeCell ref="O741:P741"/>
    <mergeCell ref="M742:N742"/>
    <mergeCell ref="O742:P742"/>
    <mergeCell ref="O743:P743"/>
    <mergeCell ref="M743:N743"/>
    <mergeCell ref="M744:N744"/>
    <mergeCell ref="M745:N745"/>
    <mergeCell ref="O745:P745"/>
    <mergeCell ref="M746:N746"/>
    <mergeCell ref="O746:P746"/>
    <mergeCell ref="O747:P747"/>
    <mergeCell ref="M748:N748"/>
    <mergeCell ref="O748:P748"/>
    <mergeCell ref="M749:N749"/>
    <mergeCell ref="O749:P749"/>
    <mergeCell ref="S749:T751"/>
    <mergeCell ref="M752:N752"/>
    <mergeCell ref="O752:P752"/>
    <mergeCell ref="Q764:S764"/>
    <mergeCell ref="Q765:S765"/>
    <mergeCell ref="Q766:S766"/>
    <mergeCell ref="M753:N753"/>
    <mergeCell ref="O753:P753"/>
    <mergeCell ref="M754:N754"/>
    <mergeCell ref="O754:P754"/>
    <mergeCell ref="R758:S759"/>
    <mergeCell ref="R760:S761"/>
    <mergeCell ref="R762:S763"/>
    <mergeCell ref="M758:Q763"/>
    <mergeCell ref="M764:N764"/>
    <mergeCell ref="O764:P764"/>
    <mergeCell ref="M765:N765"/>
    <mergeCell ref="O765:P765"/>
    <mergeCell ref="M766:N766"/>
    <mergeCell ref="O766:P766"/>
    <mergeCell ref="M770:N770"/>
    <mergeCell ref="O770:P770"/>
    <mergeCell ref="Q770:S770"/>
    <mergeCell ref="M771:S771"/>
    <mergeCell ref="M847:N847"/>
    <mergeCell ref="M848:N848"/>
    <mergeCell ref="M839:N839"/>
    <mergeCell ref="M840:N840"/>
    <mergeCell ref="M841:N841"/>
    <mergeCell ref="M842:N842"/>
    <mergeCell ref="M844:N844"/>
    <mergeCell ref="M845:N845"/>
    <mergeCell ref="M846:N846"/>
    <mergeCell ref="M823:Q828"/>
    <mergeCell ref="R823:S824"/>
    <mergeCell ref="T823:V824"/>
    <mergeCell ref="R825:S826"/>
    <mergeCell ref="T825:V826"/>
    <mergeCell ref="R827:S828"/>
    <mergeCell ref="T827:V828"/>
    <mergeCell ref="O831:P831"/>
    <mergeCell ref="Q831:S831"/>
    <mergeCell ref="M829:N829"/>
    <mergeCell ref="O829:P829"/>
    <mergeCell ref="Q829:S829"/>
    <mergeCell ref="M830:N830"/>
    <mergeCell ref="O830:P830"/>
    <mergeCell ref="Q830:S830"/>
    <mergeCell ref="M831:N831"/>
    <mergeCell ref="M832:N832"/>
    <mergeCell ref="O832:P832"/>
    <mergeCell ref="Q832:S832"/>
    <mergeCell ref="M833:N833"/>
    <mergeCell ref="O833:P833"/>
    <mergeCell ref="Q833:S833"/>
    <mergeCell ref="M834:S834"/>
    <mergeCell ref="M836:N836"/>
    <mergeCell ref="O836:P836"/>
    <mergeCell ref="M837:N837"/>
    <mergeCell ref="O837:P837"/>
    <mergeCell ref="M838:N838"/>
    <mergeCell ref="O838:P838"/>
    <mergeCell ref="O839:P839"/>
    <mergeCell ref="O845:P845"/>
    <mergeCell ref="O846:P846"/>
    <mergeCell ref="O848:P848"/>
    <mergeCell ref="O840:P840"/>
    <mergeCell ref="O841:P841"/>
    <mergeCell ref="O842:P842"/>
    <mergeCell ref="O843:P843"/>
    <mergeCell ref="O844:P844"/>
    <mergeCell ref="S845:T847"/>
    <mergeCell ref="U845:V847"/>
    <mergeCell ref="O847:P847"/>
    <mergeCell ref="B854:F859"/>
    <mergeCell ref="G858:H859"/>
    <mergeCell ref="B860:C860"/>
    <mergeCell ref="D860:E860"/>
    <mergeCell ref="F860:H860"/>
    <mergeCell ref="D861:E861"/>
    <mergeCell ref="F861:H861"/>
    <mergeCell ref="B861:C861"/>
    <mergeCell ref="B862:C862"/>
    <mergeCell ref="D862:E862"/>
    <mergeCell ref="F862:H862"/>
    <mergeCell ref="B863:C863"/>
    <mergeCell ref="D863:E863"/>
    <mergeCell ref="F863:H863"/>
    <mergeCell ref="B865:C865"/>
    <mergeCell ref="D865:E865"/>
    <mergeCell ref="F865:H865"/>
    <mergeCell ref="B866:H866"/>
    <mergeCell ref="B868:C868"/>
    <mergeCell ref="D868:E868"/>
    <mergeCell ref="D869:E869"/>
    <mergeCell ref="D874:E874"/>
    <mergeCell ref="D875:E875"/>
    <mergeCell ref="D876:E876"/>
    <mergeCell ref="D877:E877"/>
    <mergeCell ref="D878:E878"/>
    <mergeCell ref="H878:I880"/>
    <mergeCell ref="D879:E879"/>
    <mergeCell ref="D880:E880"/>
    <mergeCell ref="B869:C869"/>
    <mergeCell ref="B870:C870"/>
    <mergeCell ref="D870:E870"/>
    <mergeCell ref="B871:C871"/>
    <mergeCell ref="D871:E871"/>
    <mergeCell ref="B872:E872"/>
    <mergeCell ref="D873:E873"/>
    <mergeCell ref="B880:C880"/>
    <mergeCell ref="B881:C881"/>
    <mergeCell ref="D881:E881"/>
    <mergeCell ref="B882:C882"/>
    <mergeCell ref="D882:E882"/>
    <mergeCell ref="B873:C873"/>
    <mergeCell ref="B874:C874"/>
    <mergeCell ref="B875:C875"/>
    <mergeCell ref="B876:C876"/>
    <mergeCell ref="B877:C877"/>
    <mergeCell ref="B878:C878"/>
    <mergeCell ref="B879:C879"/>
    <mergeCell ref="M861:N861"/>
    <mergeCell ref="M862:N862"/>
    <mergeCell ref="O862:P862"/>
    <mergeCell ref="Q862:S862"/>
    <mergeCell ref="M863:N863"/>
    <mergeCell ref="O863:P863"/>
    <mergeCell ref="Q863:S863"/>
    <mergeCell ref="M865:N865"/>
    <mergeCell ref="O865:P865"/>
    <mergeCell ref="Q865:S865"/>
    <mergeCell ref="M866:N866"/>
    <mergeCell ref="O866:P866"/>
    <mergeCell ref="Q866:S866"/>
    <mergeCell ref="M867:S867"/>
    <mergeCell ref="M869:N869"/>
    <mergeCell ref="O869:P869"/>
    <mergeCell ref="M870:N870"/>
    <mergeCell ref="O870:P870"/>
    <mergeCell ref="M871:N871"/>
    <mergeCell ref="O871:P871"/>
    <mergeCell ref="O872:P872"/>
    <mergeCell ref="M872:N872"/>
    <mergeCell ref="M873:N873"/>
    <mergeCell ref="M874:N874"/>
    <mergeCell ref="M875:N875"/>
    <mergeCell ref="O875:P875"/>
    <mergeCell ref="O876:P876"/>
    <mergeCell ref="O877:P877"/>
    <mergeCell ref="O878:P878"/>
    <mergeCell ref="M880:N880"/>
    <mergeCell ref="O880:P880"/>
    <mergeCell ref="M881:N881"/>
    <mergeCell ref="O881:P881"/>
    <mergeCell ref="M882:N882"/>
    <mergeCell ref="O882:P882"/>
    <mergeCell ref="M883:N883"/>
    <mergeCell ref="O883:P883"/>
    <mergeCell ref="M877:N877"/>
    <mergeCell ref="J878:K880"/>
    <mergeCell ref="M878:N878"/>
    <mergeCell ref="S878:T880"/>
    <mergeCell ref="U878:V880"/>
    <mergeCell ref="M879:N879"/>
    <mergeCell ref="O879:P879"/>
    <mergeCell ref="B843:C843"/>
    <mergeCell ref="B844:C844"/>
    <mergeCell ref="B845:C845"/>
    <mergeCell ref="B846:C846"/>
    <mergeCell ref="B847:C847"/>
    <mergeCell ref="B848:C848"/>
    <mergeCell ref="B849:C849"/>
    <mergeCell ref="G854:H855"/>
    <mergeCell ref="G856:H857"/>
    <mergeCell ref="R854:S855"/>
    <mergeCell ref="R856:S857"/>
    <mergeCell ref="B850:C850"/>
    <mergeCell ref="B851:C851"/>
    <mergeCell ref="I854:K855"/>
    <mergeCell ref="T854:V855"/>
    <mergeCell ref="I856:K857"/>
    <mergeCell ref="T856:V857"/>
    <mergeCell ref="I858:K859"/>
    <mergeCell ref="T858:V859"/>
    <mergeCell ref="M854:Q859"/>
    <mergeCell ref="R858:S859"/>
    <mergeCell ref="M860:N860"/>
    <mergeCell ref="O860:P860"/>
    <mergeCell ref="Q860:S860"/>
    <mergeCell ref="O861:P861"/>
    <mergeCell ref="Q861:S861"/>
    <mergeCell ref="B864:C864"/>
    <mergeCell ref="D864:E864"/>
    <mergeCell ref="F864:H864"/>
    <mergeCell ref="M864:N864"/>
    <mergeCell ref="O864:P864"/>
    <mergeCell ref="Q864:S864"/>
    <mergeCell ref="O873:P873"/>
    <mergeCell ref="O874:P874"/>
    <mergeCell ref="D783:E783"/>
    <mergeCell ref="D784:E784"/>
    <mergeCell ref="D778:E778"/>
    <mergeCell ref="D779:E779"/>
    <mergeCell ref="D780:E780"/>
    <mergeCell ref="D781:E781"/>
    <mergeCell ref="D782:E782"/>
    <mergeCell ref="H782:I784"/>
    <mergeCell ref="J782:K784"/>
    <mergeCell ref="O786:P786"/>
    <mergeCell ref="O787:P787"/>
    <mergeCell ref="T792:V793"/>
    <mergeCell ref="T794:V795"/>
    <mergeCell ref="T796:V797"/>
    <mergeCell ref="O778:P778"/>
    <mergeCell ref="O779:P779"/>
    <mergeCell ref="O780:P780"/>
    <mergeCell ref="O781:P781"/>
    <mergeCell ref="O782:P782"/>
    <mergeCell ref="S782:T784"/>
    <mergeCell ref="O785:P785"/>
    <mergeCell ref="M767:N767"/>
    <mergeCell ref="O767:P767"/>
    <mergeCell ref="Q767:S767"/>
    <mergeCell ref="M768:N768"/>
    <mergeCell ref="O768:P768"/>
    <mergeCell ref="Q768:S768"/>
    <mergeCell ref="M769:N769"/>
    <mergeCell ref="O769:P769"/>
    <mergeCell ref="Q769:S769"/>
    <mergeCell ref="B772:C772"/>
    <mergeCell ref="D772:E772"/>
    <mergeCell ref="D773:E773"/>
    <mergeCell ref="M773:N773"/>
    <mergeCell ref="O773:P773"/>
    <mergeCell ref="M777:N777"/>
    <mergeCell ref="M778:N778"/>
    <mergeCell ref="M779:N779"/>
    <mergeCell ref="M781:N781"/>
    <mergeCell ref="M782:N782"/>
    <mergeCell ref="M785:N785"/>
    <mergeCell ref="M786:N786"/>
    <mergeCell ref="M787:N787"/>
    <mergeCell ref="B773:C773"/>
    <mergeCell ref="B774:C774"/>
    <mergeCell ref="D774:E774"/>
    <mergeCell ref="B775:C775"/>
    <mergeCell ref="D775:E775"/>
    <mergeCell ref="B776:E776"/>
    <mergeCell ref="D777:E777"/>
    <mergeCell ref="M774:N774"/>
    <mergeCell ref="O774:P774"/>
    <mergeCell ref="M775:N775"/>
    <mergeCell ref="O775:P775"/>
    <mergeCell ref="M776:N776"/>
    <mergeCell ref="O776:P776"/>
    <mergeCell ref="O777:P777"/>
    <mergeCell ref="B777:C777"/>
    <mergeCell ref="B778:C778"/>
    <mergeCell ref="B779:C779"/>
    <mergeCell ref="B780:C780"/>
    <mergeCell ref="B781:C781"/>
    <mergeCell ref="B782:C782"/>
    <mergeCell ref="B783:C783"/>
    <mergeCell ref="M792:Q797"/>
    <mergeCell ref="R792:S793"/>
    <mergeCell ref="R794:S795"/>
    <mergeCell ref="R796:S797"/>
    <mergeCell ref="M798:N798"/>
    <mergeCell ref="O798:P798"/>
    <mergeCell ref="Q798:S798"/>
    <mergeCell ref="B784:C784"/>
    <mergeCell ref="B785:C785"/>
    <mergeCell ref="D785:E785"/>
    <mergeCell ref="B786:C786"/>
    <mergeCell ref="D786:E786"/>
    <mergeCell ref="B787:C787"/>
    <mergeCell ref="D787:E787"/>
    <mergeCell ref="G794:H795"/>
    <mergeCell ref="I794:K795"/>
    <mergeCell ref="G796:H797"/>
    <mergeCell ref="I796:K797"/>
    <mergeCell ref="B788:C788"/>
    <mergeCell ref="D788:E788"/>
    <mergeCell ref="B789:C789"/>
    <mergeCell ref="D789:E789"/>
    <mergeCell ref="B792:F797"/>
    <mergeCell ref="G792:H793"/>
    <mergeCell ref="I792:K793"/>
    <mergeCell ref="D800:E800"/>
    <mergeCell ref="F800:H800"/>
    <mergeCell ref="B798:C798"/>
    <mergeCell ref="D798:E798"/>
    <mergeCell ref="F798:H798"/>
    <mergeCell ref="B799:C799"/>
    <mergeCell ref="D799:E799"/>
    <mergeCell ref="F799:H799"/>
    <mergeCell ref="B800:C800"/>
    <mergeCell ref="B801:C801"/>
    <mergeCell ref="D801:E801"/>
    <mergeCell ref="F801:H801"/>
    <mergeCell ref="B802:C802"/>
    <mergeCell ref="D802:E802"/>
    <mergeCell ref="F802:H802"/>
    <mergeCell ref="B803:H803"/>
    <mergeCell ref="O801:P801"/>
    <mergeCell ref="Q801:S801"/>
    <mergeCell ref="M799:N799"/>
    <mergeCell ref="O799:P799"/>
    <mergeCell ref="Q799:S799"/>
    <mergeCell ref="M800:N800"/>
    <mergeCell ref="O800:P800"/>
    <mergeCell ref="Q800:S800"/>
    <mergeCell ref="M801:N801"/>
    <mergeCell ref="M802:N802"/>
    <mergeCell ref="O802:P802"/>
    <mergeCell ref="Q802:S802"/>
    <mergeCell ref="M803:S803"/>
    <mergeCell ref="M805:N805"/>
    <mergeCell ref="O805:P805"/>
    <mergeCell ref="O806:P806"/>
    <mergeCell ref="M806:N806"/>
    <mergeCell ref="M807:N807"/>
    <mergeCell ref="O807:P807"/>
    <mergeCell ref="M808:N808"/>
    <mergeCell ref="O808:P808"/>
    <mergeCell ref="M809:N809"/>
    <mergeCell ref="O809:P809"/>
    <mergeCell ref="M810:N810"/>
    <mergeCell ref="O810:P810"/>
    <mergeCell ref="M811:N811"/>
    <mergeCell ref="O811:P811"/>
    <mergeCell ref="O812:P812"/>
    <mergeCell ref="M813:N813"/>
    <mergeCell ref="O813:P813"/>
    <mergeCell ref="M814:N814"/>
    <mergeCell ref="O814:P814"/>
    <mergeCell ref="S814:T816"/>
    <mergeCell ref="U814:V816"/>
    <mergeCell ref="M815:N815"/>
    <mergeCell ref="O815:P815"/>
    <mergeCell ref="O816:P816"/>
    <mergeCell ref="M816:N816"/>
    <mergeCell ref="M817:N817"/>
    <mergeCell ref="O817:P817"/>
    <mergeCell ref="M818:N818"/>
    <mergeCell ref="O818:P818"/>
    <mergeCell ref="M819:N819"/>
    <mergeCell ref="O819:P819"/>
    <mergeCell ref="B805:C805"/>
    <mergeCell ref="D805:E805"/>
    <mergeCell ref="B806:C806"/>
    <mergeCell ref="D806:E806"/>
    <mergeCell ref="B807:C807"/>
    <mergeCell ref="D807:E807"/>
    <mergeCell ref="B808:C808"/>
    <mergeCell ref="D808:E808"/>
    <mergeCell ref="B809:E809"/>
    <mergeCell ref="B810:C810"/>
    <mergeCell ref="D810:E810"/>
    <mergeCell ref="B811:C811"/>
    <mergeCell ref="D811:E811"/>
    <mergeCell ref="D812:E812"/>
    <mergeCell ref="D818:E818"/>
    <mergeCell ref="D819:E819"/>
    <mergeCell ref="D820:E820"/>
    <mergeCell ref="D813:E813"/>
    <mergeCell ref="D814:E814"/>
    <mergeCell ref="D815:E815"/>
    <mergeCell ref="H815:I817"/>
    <mergeCell ref="J815:K817"/>
    <mergeCell ref="D816:E816"/>
    <mergeCell ref="D817:E817"/>
    <mergeCell ref="B812:C812"/>
    <mergeCell ref="B813:C813"/>
    <mergeCell ref="B814:C814"/>
    <mergeCell ref="B815:C815"/>
    <mergeCell ref="B816:C816"/>
    <mergeCell ref="B817:C817"/>
    <mergeCell ref="B818:C818"/>
    <mergeCell ref="G827:H828"/>
    <mergeCell ref="I827:K828"/>
    <mergeCell ref="B819:C819"/>
    <mergeCell ref="B820:C820"/>
    <mergeCell ref="B823:F828"/>
    <mergeCell ref="G823:H824"/>
    <mergeCell ref="I823:K824"/>
    <mergeCell ref="G825:H826"/>
    <mergeCell ref="I825:K826"/>
    <mergeCell ref="D831:E831"/>
    <mergeCell ref="F831:H831"/>
    <mergeCell ref="B829:C829"/>
    <mergeCell ref="D829:E829"/>
    <mergeCell ref="F829:H829"/>
    <mergeCell ref="B830:C830"/>
    <mergeCell ref="D830:E830"/>
    <mergeCell ref="F830:H830"/>
    <mergeCell ref="B831:C831"/>
    <mergeCell ref="B832:C832"/>
    <mergeCell ref="D832:E832"/>
    <mergeCell ref="F832:H832"/>
    <mergeCell ref="B833:C833"/>
    <mergeCell ref="D833:E833"/>
    <mergeCell ref="F833:H833"/>
    <mergeCell ref="B834:H834"/>
    <mergeCell ref="B836:C836"/>
    <mergeCell ref="D836:E836"/>
    <mergeCell ref="B837:C837"/>
    <mergeCell ref="D837:E837"/>
    <mergeCell ref="B838:C838"/>
    <mergeCell ref="D838:E838"/>
    <mergeCell ref="B839:C839"/>
    <mergeCell ref="D839:E839"/>
    <mergeCell ref="B840:E840"/>
    <mergeCell ref="B841:C841"/>
    <mergeCell ref="D841:E841"/>
    <mergeCell ref="B842:C842"/>
    <mergeCell ref="D842:E842"/>
    <mergeCell ref="D843:E843"/>
    <mergeCell ref="D849:E849"/>
    <mergeCell ref="M849:N849"/>
    <mergeCell ref="O849:P849"/>
    <mergeCell ref="D850:E850"/>
    <mergeCell ref="M850:N850"/>
    <mergeCell ref="O850:P850"/>
    <mergeCell ref="D851:E851"/>
    <mergeCell ref="D844:E844"/>
    <mergeCell ref="D845:E845"/>
    <mergeCell ref="D846:E846"/>
    <mergeCell ref="H846:I848"/>
    <mergeCell ref="J846:K848"/>
    <mergeCell ref="D847:E847"/>
    <mergeCell ref="D848:E848"/>
    <mergeCell ref="Q474:S474"/>
    <mergeCell ref="Q475:S475"/>
    <mergeCell ref="Q476:S476"/>
    <mergeCell ref="Q477:S477"/>
    <mergeCell ref="Q478:S478"/>
    <mergeCell ref="M479:S479"/>
    <mergeCell ref="U490:V492"/>
    <mergeCell ref="R502:S503"/>
    <mergeCell ref="Q504:S504"/>
    <mergeCell ref="Q505:S505"/>
    <mergeCell ref="Q506:S506"/>
    <mergeCell ref="Q507:S507"/>
    <mergeCell ref="Q508:S508"/>
    <mergeCell ref="Q509:S509"/>
    <mergeCell ref="M510:S510"/>
    <mergeCell ref="S490:T492"/>
    <mergeCell ref="O491:P491"/>
    <mergeCell ref="R498:S499"/>
    <mergeCell ref="T498:V499"/>
    <mergeCell ref="R500:S501"/>
    <mergeCell ref="T500:V501"/>
    <mergeCell ref="T502:V503"/>
    <mergeCell ref="O456:P456"/>
    <mergeCell ref="O457:P457"/>
    <mergeCell ref="M453:N453"/>
    <mergeCell ref="O453:P453"/>
    <mergeCell ref="M454:N454"/>
    <mergeCell ref="O454:P454"/>
    <mergeCell ref="M455:N455"/>
    <mergeCell ref="O455:P455"/>
    <mergeCell ref="M456:N456"/>
    <mergeCell ref="M459:N459"/>
    <mergeCell ref="O459:P459"/>
    <mergeCell ref="M467:Q472"/>
    <mergeCell ref="M473:N473"/>
    <mergeCell ref="O473:P473"/>
    <mergeCell ref="M474:N474"/>
    <mergeCell ref="O474:P474"/>
    <mergeCell ref="M475:N475"/>
    <mergeCell ref="O475:P475"/>
    <mergeCell ref="M476:N476"/>
    <mergeCell ref="O476:P476"/>
    <mergeCell ref="M477:N477"/>
    <mergeCell ref="O477:P477"/>
    <mergeCell ref="O478:P478"/>
    <mergeCell ref="M478:N478"/>
    <mergeCell ref="M481:N481"/>
    <mergeCell ref="O481:P481"/>
    <mergeCell ref="M482:N482"/>
    <mergeCell ref="O482:P482"/>
    <mergeCell ref="M483:N483"/>
    <mergeCell ref="O483:P483"/>
    <mergeCell ref="M484:N484"/>
    <mergeCell ref="O484:P484"/>
    <mergeCell ref="M485:N485"/>
    <mergeCell ref="O485:P485"/>
    <mergeCell ref="M486:N486"/>
    <mergeCell ref="O486:P486"/>
    <mergeCell ref="M487:N487"/>
    <mergeCell ref="O487:P487"/>
    <mergeCell ref="O488:P488"/>
    <mergeCell ref="M498:Q503"/>
    <mergeCell ref="M504:N504"/>
    <mergeCell ref="O504:P504"/>
    <mergeCell ref="M505:N505"/>
    <mergeCell ref="O505:P505"/>
    <mergeCell ref="M360:N360"/>
    <mergeCell ref="O360:P360"/>
    <mergeCell ref="S360:T362"/>
    <mergeCell ref="U360:V362"/>
    <mergeCell ref="M361:N361"/>
    <mergeCell ref="O361:P361"/>
    <mergeCell ref="O362:P362"/>
    <mergeCell ref="M362:N362"/>
    <mergeCell ref="M363:N363"/>
    <mergeCell ref="O363:P363"/>
    <mergeCell ref="M364:N364"/>
    <mergeCell ref="O364:P364"/>
    <mergeCell ref="M365:N365"/>
    <mergeCell ref="O365:P365"/>
    <mergeCell ref="M370:Q375"/>
    <mergeCell ref="R370:S371"/>
    <mergeCell ref="T370:V371"/>
    <mergeCell ref="R372:S373"/>
    <mergeCell ref="T372:V373"/>
    <mergeCell ref="R374:S375"/>
    <mergeCell ref="T374:V375"/>
    <mergeCell ref="O378:P378"/>
    <mergeCell ref="Q378:S378"/>
    <mergeCell ref="M376:N376"/>
    <mergeCell ref="O376:P376"/>
    <mergeCell ref="Q376:S376"/>
    <mergeCell ref="M377:N377"/>
    <mergeCell ref="O377:P377"/>
    <mergeCell ref="Q377:S377"/>
    <mergeCell ref="M378:N378"/>
    <mergeCell ref="O381:P381"/>
    <mergeCell ref="Q381:S381"/>
    <mergeCell ref="M379:N379"/>
    <mergeCell ref="O379:P379"/>
    <mergeCell ref="Q379:S379"/>
    <mergeCell ref="M380:N380"/>
    <mergeCell ref="O380:P380"/>
    <mergeCell ref="Q380:S380"/>
    <mergeCell ref="M382:S382"/>
    <mergeCell ref="M381:N381"/>
    <mergeCell ref="M384:N384"/>
    <mergeCell ref="O384:P384"/>
    <mergeCell ref="M385:N385"/>
    <mergeCell ref="O385:P385"/>
    <mergeCell ref="M386:N386"/>
    <mergeCell ref="O386:P386"/>
    <mergeCell ref="O390:P390"/>
    <mergeCell ref="O391:P391"/>
    <mergeCell ref="M387:N387"/>
    <mergeCell ref="O387:P387"/>
    <mergeCell ref="M388:N388"/>
    <mergeCell ref="O388:P388"/>
    <mergeCell ref="M389:N389"/>
    <mergeCell ref="O389:P389"/>
    <mergeCell ref="M390:N390"/>
    <mergeCell ref="M392:N392"/>
    <mergeCell ref="O392:P392"/>
    <mergeCell ref="M393:N393"/>
    <mergeCell ref="O393:P393"/>
    <mergeCell ref="S393:T395"/>
    <mergeCell ref="U393:V395"/>
    <mergeCell ref="O394:P394"/>
    <mergeCell ref="O395:P395"/>
    <mergeCell ref="M394:N394"/>
    <mergeCell ref="M395:N395"/>
    <mergeCell ref="M396:N396"/>
    <mergeCell ref="O396:P396"/>
    <mergeCell ref="M397:N397"/>
    <mergeCell ref="O397:P397"/>
    <mergeCell ref="M398:N398"/>
    <mergeCell ref="Q409:S409"/>
    <mergeCell ref="Q410:S410"/>
    <mergeCell ref="Q411:S411"/>
    <mergeCell ref="Q412:S412"/>
    <mergeCell ref="Q413:S413"/>
    <mergeCell ref="Q414:S414"/>
    <mergeCell ref="Q415:S415"/>
    <mergeCell ref="M416:S416"/>
    <mergeCell ref="O398:P398"/>
    <mergeCell ref="R403:S404"/>
    <mergeCell ref="T403:V404"/>
    <mergeCell ref="R405:S406"/>
    <mergeCell ref="T405:V406"/>
    <mergeCell ref="R407:S408"/>
    <mergeCell ref="T407:V408"/>
    <mergeCell ref="M403:Q408"/>
    <mergeCell ref="M409:N409"/>
    <mergeCell ref="O409:P409"/>
    <mergeCell ref="M410:N410"/>
    <mergeCell ref="O410:P410"/>
    <mergeCell ref="M411:N411"/>
    <mergeCell ref="O411:P411"/>
    <mergeCell ref="M412:N412"/>
    <mergeCell ref="O412:P412"/>
    <mergeCell ref="M413:N413"/>
    <mergeCell ref="O413:P413"/>
    <mergeCell ref="M414:N414"/>
    <mergeCell ref="O414:P414"/>
    <mergeCell ref="O415:P415"/>
    <mergeCell ref="M415:N415"/>
    <mergeCell ref="M418:N418"/>
    <mergeCell ref="O418:P418"/>
    <mergeCell ref="M419:N419"/>
    <mergeCell ref="O419:P419"/>
    <mergeCell ref="M420:N420"/>
    <mergeCell ref="O420:P420"/>
    <mergeCell ref="O424:P424"/>
    <mergeCell ref="O425:P425"/>
    <mergeCell ref="M421:N421"/>
    <mergeCell ref="O421:P421"/>
    <mergeCell ref="M422:N422"/>
    <mergeCell ref="O422:P422"/>
    <mergeCell ref="M423:N423"/>
    <mergeCell ref="O423:P423"/>
    <mergeCell ref="M424:N424"/>
    <mergeCell ref="M426:N426"/>
    <mergeCell ref="O426:P426"/>
    <mergeCell ref="M427:N427"/>
    <mergeCell ref="O427:P427"/>
    <mergeCell ref="S427:T429"/>
    <mergeCell ref="U427:V429"/>
    <mergeCell ref="O428:P428"/>
    <mergeCell ref="O429:P429"/>
    <mergeCell ref="M428:N428"/>
    <mergeCell ref="M429:N429"/>
    <mergeCell ref="M430:N430"/>
    <mergeCell ref="O430:P430"/>
    <mergeCell ref="M431:N431"/>
    <mergeCell ref="O431:P431"/>
    <mergeCell ref="M432:N432"/>
    <mergeCell ref="M458:N458"/>
    <mergeCell ref="O458:P458"/>
    <mergeCell ref="S459:T461"/>
    <mergeCell ref="U459:V461"/>
    <mergeCell ref="M460:N460"/>
    <mergeCell ref="O460:P460"/>
    <mergeCell ref="O461:P461"/>
    <mergeCell ref="M461:N461"/>
    <mergeCell ref="M462:N462"/>
    <mergeCell ref="O462:P462"/>
    <mergeCell ref="M463:N463"/>
    <mergeCell ref="O463:P463"/>
    <mergeCell ref="M464:N464"/>
    <mergeCell ref="O464:P464"/>
    <mergeCell ref="M490:N490"/>
    <mergeCell ref="M491:N491"/>
    <mergeCell ref="B492:C492"/>
    <mergeCell ref="D492:E492"/>
    <mergeCell ref="M492:N492"/>
    <mergeCell ref="O492:P492"/>
    <mergeCell ref="B493:C493"/>
    <mergeCell ref="D493:E493"/>
    <mergeCell ref="B494:C494"/>
    <mergeCell ref="D494:E494"/>
    <mergeCell ref="B495:C495"/>
    <mergeCell ref="D495:E495"/>
    <mergeCell ref="B496:C496"/>
    <mergeCell ref="D496:E496"/>
    <mergeCell ref="M493:N493"/>
    <mergeCell ref="O493:P493"/>
    <mergeCell ref="M494:N494"/>
    <mergeCell ref="O494:P494"/>
    <mergeCell ref="M495:N495"/>
    <mergeCell ref="O495:P495"/>
    <mergeCell ref="M489:N489"/>
    <mergeCell ref="O489:P489"/>
    <mergeCell ref="O490:P490"/>
    <mergeCell ref="B491:C491"/>
    <mergeCell ref="D491:E491"/>
    <mergeCell ref="H491:I493"/>
    <mergeCell ref="J491:K493"/>
    <mergeCell ref="Q442:S442"/>
    <mergeCell ref="Q443:S443"/>
    <mergeCell ref="Q444:S444"/>
    <mergeCell ref="O432:P432"/>
    <mergeCell ref="R436:S437"/>
    <mergeCell ref="T436:V437"/>
    <mergeCell ref="R438:S439"/>
    <mergeCell ref="T438:V439"/>
    <mergeCell ref="R440:S441"/>
    <mergeCell ref="T440:V441"/>
    <mergeCell ref="M436:Q441"/>
    <mergeCell ref="M442:N442"/>
    <mergeCell ref="O442:P442"/>
    <mergeCell ref="M443:N443"/>
    <mergeCell ref="O443:P443"/>
    <mergeCell ref="M444:N444"/>
    <mergeCell ref="O444:P444"/>
    <mergeCell ref="O447:P447"/>
    <mergeCell ref="Q447:S447"/>
    <mergeCell ref="M445:N445"/>
    <mergeCell ref="O445:P445"/>
    <mergeCell ref="Q445:S445"/>
    <mergeCell ref="M446:N446"/>
    <mergeCell ref="O446:P446"/>
    <mergeCell ref="Q446:S446"/>
    <mergeCell ref="M448:S448"/>
    <mergeCell ref="M447:N447"/>
    <mergeCell ref="M450:N450"/>
    <mergeCell ref="O450:P450"/>
    <mergeCell ref="M451:N451"/>
    <mergeCell ref="O451:P451"/>
    <mergeCell ref="M452:N452"/>
    <mergeCell ref="O452:P452"/>
    <mergeCell ref="R467:S468"/>
    <mergeCell ref="T467:V468"/>
    <mergeCell ref="R469:S470"/>
    <mergeCell ref="T469:V470"/>
    <mergeCell ref="R471:S472"/>
    <mergeCell ref="T471:V472"/>
    <mergeCell ref="Q473:S473"/>
    <mergeCell ref="B549:C549"/>
    <mergeCell ref="D549:E549"/>
    <mergeCell ref="B550:C550"/>
    <mergeCell ref="D550:E550"/>
    <mergeCell ref="B545:C545"/>
    <mergeCell ref="D545:E545"/>
    <mergeCell ref="B546:C546"/>
    <mergeCell ref="D546:E546"/>
    <mergeCell ref="B547:C547"/>
    <mergeCell ref="D547:E547"/>
    <mergeCell ref="B548:E548"/>
    <mergeCell ref="D554:E554"/>
    <mergeCell ref="H554:I556"/>
    <mergeCell ref="J554:K556"/>
    <mergeCell ref="B556:C556"/>
    <mergeCell ref="D556:E556"/>
    <mergeCell ref="M556:N556"/>
    <mergeCell ref="O556:P556"/>
    <mergeCell ref="B557:C557"/>
    <mergeCell ref="D557:E557"/>
    <mergeCell ref="M557:N557"/>
    <mergeCell ref="O557:P557"/>
    <mergeCell ref="D558:E558"/>
    <mergeCell ref="M558:N558"/>
    <mergeCell ref="O558:P558"/>
    <mergeCell ref="R562:S563"/>
    <mergeCell ref="R564:S565"/>
    <mergeCell ref="G562:H563"/>
    <mergeCell ref="I562:K563"/>
    <mergeCell ref="T562:V563"/>
    <mergeCell ref="I564:K565"/>
    <mergeCell ref="T564:V565"/>
    <mergeCell ref="I566:K567"/>
    <mergeCell ref="T566:V567"/>
    <mergeCell ref="M562:Q567"/>
    <mergeCell ref="R566:S567"/>
    <mergeCell ref="M568:N568"/>
    <mergeCell ref="O568:P568"/>
    <mergeCell ref="Q568:S568"/>
    <mergeCell ref="O569:P569"/>
    <mergeCell ref="Q569:S569"/>
    <mergeCell ref="B571:C571"/>
    <mergeCell ref="D571:E571"/>
    <mergeCell ref="F571:H571"/>
    <mergeCell ref="M571:N571"/>
    <mergeCell ref="O571:P571"/>
    <mergeCell ref="Q571:S571"/>
    <mergeCell ref="O581:P581"/>
    <mergeCell ref="O582:P582"/>
    <mergeCell ref="G564:H565"/>
    <mergeCell ref="G566:H567"/>
    <mergeCell ref="F568:H568"/>
    <mergeCell ref="F569:H569"/>
    <mergeCell ref="F570:H570"/>
    <mergeCell ref="B562:F567"/>
    <mergeCell ref="B568:C568"/>
    <mergeCell ref="D568:E568"/>
    <mergeCell ref="B569:C569"/>
    <mergeCell ref="D569:E569"/>
    <mergeCell ref="B570:C570"/>
    <mergeCell ref="D570:E570"/>
    <mergeCell ref="B572:C572"/>
    <mergeCell ref="D572:E572"/>
    <mergeCell ref="F572:H572"/>
    <mergeCell ref="B573:C573"/>
    <mergeCell ref="D573:E573"/>
    <mergeCell ref="F573:H573"/>
    <mergeCell ref="B574:H574"/>
    <mergeCell ref="B576:C576"/>
    <mergeCell ref="D576:E576"/>
    <mergeCell ref="B577:C577"/>
    <mergeCell ref="D577:E577"/>
    <mergeCell ref="B578:C578"/>
    <mergeCell ref="D578:E578"/>
    <mergeCell ref="B579:C579"/>
    <mergeCell ref="D584:E584"/>
    <mergeCell ref="D585:E585"/>
    <mergeCell ref="D586:E586"/>
    <mergeCell ref="H586:I588"/>
    <mergeCell ref="D587:E587"/>
    <mergeCell ref="D588:E588"/>
    <mergeCell ref="D589:E589"/>
    <mergeCell ref="D590:E590"/>
    <mergeCell ref="D579:E579"/>
    <mergeCell ref="B580:E580"/>
    <mergeCell ref="B581:C581"/>
    <mergeCell ref="D581:E581"/>
    <mergeCell ref="B582:C582"/>
    <mergeCell ref="D582:E582"/>
    <mergeCell ref="D583:E583"/>
    <mergeCell ref="B583:C583"/>
    <mergeCell ref="B584:C584"/>
    <mergeCell ref="B585:C585"/>
    <mergeCell ref="B586:C586"/>
    <mergeCell ref="B587:C587"/>
    <mergeCell ref="B588:C588"/>
    <mergeCell ref="B589:C589"/>
    <mergeCell ref="O606:P606"/>
    <mergeCell ref="Q606:S606"/>
    <mergeCell ref="M603:N603"/>
    <mergeCell ref="M604:N604"/>
    <mergeCell ref="O604:P604"/>
    <mergeCell ref="M605:N605"/>
    <mergeCell ref="O605:P605"/>
    <mergeCell ref="Q605:S605"/>
    <mergeCell ref="M607:S607"/>
    <mergeCell ref="M577:N577"/>
    <mergeCell ref="O577:P577"/>
    <mergeCell ref="M578:N578"/>
    <mergeCell ref="O578:P578"/>
    <mergeCell ref="M579:N579"/>
    <mergeCell ref="O579:P579"/>
    <mergeCell ref="O580:P580"/>
    <mergeCell ref="M580:N580"/>
    <mergeCell ref="M581:N581"/>
    <mergeCell ref="M582:N582"/>
    <mergeCell ref="M583:N583"/>
    <mergeCell ref="O583:P583"/>
    <mergeCell ref="O584:P584"/>
    <mergeCell ref="O585:P585"/>
    <mergeCell ref="O586:P586"/>
    <mergeCell ref="M585:N585"/>
    <mergeCell ref="J586:K588"/>
    <mergeCell ref="M586:N586"/>
    <mergeCell ref="S586:T588"/>
    <mergeCell ref="U586:V588"/>
    <mergeCell ref="M587:N587"/>
    <mergeCell ref="O587:P587"/>
    <mergeCell ref="M588:N588"/>
    <mergeCell ref="O588:P588"/>
    <mergeCell ref="M589:N589"/>
    <mergeCell ref="O589:P589"/>
    <mergeCell ref="M590:N590"/>
    <mergeCell ref="O590:P590"/>
    <mergeCell ref="O591:P591"/>
    <mergeCell ref="M594:Q599"/>
    <mergeCell ref="R594:S595"/>
    <mergeCell ref="T594:V595"/>
    <mergeCell ref="R596:S597"/>
    <mergeCell ref="T596:V597"/>
    <mergeCell ref="R598:S599"/>
    <mergeCell ref="T598:V599"/>
    <mergeCell ref="M591:N591"/>
    <mergeCell ref="I594:K595"/>
    <mergeCell ref="I596:K597"/>
    <mergeCell ref="I598:K599"/>
    <mergeCell ref="M600:N600"/>
    <mergeCell ref="M601:N601"/>
    <mergeCell ref="M602:N602"/>
    <mergeCell ref="M606:N606"/>
    <mergeCell ref="M609:N609"/>
    <mergeCell ref="O609:P609"/>
    <mergeCell ref="B611:C611"/>
    <mergeCell ref="D611:E611"/>
    <mergeCell ref="B612:E612"/>
    <mergeCell ref="B613:C613"/>
    <mergeCell ref="D613:E613"/>
    <mergeCell ref="B614:C614"/>
    <mergeCell ref="D614:E614"/>
    <mergeCell ref="B615:C615"/>
    <mergeCell ref="D615:E615"/>
    <mergeCell ref="B616:C616"/>
    <mergeCell ref="D616:E616"/>
    <mergeCell ref="B617:C617"/>
    <mergeCell ref="D617:E617"/>
    <mergeCell ref="B618:C618"/>
    <mergeCell ref="B590:C590"/>
    <mergeCell ref="B591:C591"/>
    <mergeCell ref="D591:E591"/>
    <mergeCell ref="B594:F599"/>
    <mergeCell ref="G594:H595"/>
    <mergeCell ref="G596:H597"/>
    <mergeCell ref="G598:H599"/>
    <mergeCell ref="D602:E602"/>
    <mergeCell ref="F602:H602"/>
    <mergeCell ref="B600:C600"/>
    <mergeCell ref="D600:E600"/>
    <mergeCell ref="F600:H600"/>
    <mergeCell ref="B601:C601"/>
    <mergeCell ref="D601:E601"/>
    <mergeCell ref="F601:H601"/>
    <mergeCell ref="B602:C602"/>
    <mergeCell ref="D605:E605"/>
    <mergeCell ref="F605:H605"/>
    <mergeCell ref="B603:C603"/>
    <mergeCell ref="D603:E603"/>
    <mergeCell ref="F603:H603"/>
    <mergeCell ref="B604:C604"/>
    <mergeCell ref="D604:E604"/>
    <mergeCell ref="F604:H604"/>
    <mergeCell ref="B606:H606"/>
    <mergeCell ref="B605:C605"/>
    <mergeCell ref="B608:C608"/>
    <mergeCell ref="D608:E608"/>
    <mergeCell ref="B609:C609"/>
    <mergeCell ref="D609:E609"/>
    <mergeCell ref="B610:C610"/>
    <mergeCell ref="D610:E610"/>
    <mergeCell ref="D618:E618"/>
    <mergeCell ref="H618:I620"/>
    <mergeCell ref="J618:K620"/>
    <mergeCell ref="B619:C620"/>
    <mergeCell ref="D619:E620"/>
    <mergeCell ref="B621:C621"/>
    <mergeCell ref="D621:E621"/>
    <mergeCell ref="M548:N548"/>
    <mergeCell ref="M549:N549"/>
    <mergeCell ref="M550:N550"/>
    <mergeCell ref="M545:N545"/>
    <mergeCell ref="O545:P545"/>
    <mergeCell ref="M546:N546"/>
    <mergeCell ref="O546:P546"/>
    <mergeCell ref="M547:N547"/>
    <mergeCell ref="O547:P547"/>
    <mergeCell ref="O548:P548"/>
    <mergeCell ref="M552:N552"/>
    <mergeCell ref="O552:P552"/>
    <mergeCell ref="O549:P549"/>
    <mergeCell ref="O550:P550"/>
    <mergeCell ref="B551:C551"/>
    <mergeCell ref="D551:E551"/>
    <mergeCell ref="O551:P551"/>
    <mergeCell ref="B552:C552"/>
    <mergeCell ref="D552:E552"/>
    <mergeCell ref="M554:N554"/>
    <mergeCell ref="O554:P554"/>
    <mergeCell ref="B555:C555"/>
    <mergeCell ref="D555:E555"/>
    <mergeCell ref="M555:N555"/>
    <mergeCell ref="O555:P555"/>
    <mergeCell ref="B553:C553"/>
    <mergeCell ref="D553:E553"/>
    <mergeCell ref="M553:N553"/>
    <mergeCell ref="O553:P553"/>
    <mergeCell ref="S553:T555"/>
    <mergeCell ref="U553:V555"/>
    <mergeCell ref="B554:C554"/>
    <mergeCell ref="B530:F535"/>
    <mergeCell ref="G532:H533"/>
    <mergeCell ref="I532:K533"/>
    <mergeCell ref="G534:H535"/>
    <mergeCell ref="I534:K535"/>
    <mergeCell ref="B536:C536"/>
    <mergeCell ref="D536:E536"/>
    <mergeCell ref="B537:C537"/>
    <mergeCell ref="D537:E537"/>
    <mergeCell ref="F537:H537"/>
    <mergeCell ref="M537:N537"/>
    <mergeCell ref="O537:P537"/>
    <mergeCell ref="Q537:S537"/>
    <mergeCell ref="B538:C538"/>
    <mergeCell ref="Q538:S538"/>
    <mergeCell ref="D538:E538"/>
    <mergeCell ref="F538:H538"/>
    <mergeCell ref="B539:C539"/>
    <mergeCell ref="D539:E539"/>
    <mergeCell ref="F539:H539"/>
    <mergeCell ref="D540:E540"/>
    <mergeCell ref="F540:H540"/>
    <mergeCell ref="M538:N538"/>
    <mergeCell ref="O538:P538"/>
    <mergeCell ref="M539:N539"/>
    <mergeCell ref="O539:P539"/>
    <mergeCell ref="Q539:S539"/>
    <mergeCell ref="O540:P540"/>
    <mergeCell ref="Q540:S540"/>
    <mergeCell ref="B540:C540"/>
    <mergeCell ref="B541:C541"/>
    <mergeCell ref="D541:E541"/>
    <mergeCell ref="F541:H541"/>
    <mergeCell ref="B542:H542"/>
    <mergeCell ref="B544:C544"/>
    <mergeCell ref="D544:E544"/>
    <mergeCell ref="M540:N540"/>
    <mergeCell ref="M541:N541"/>
    <mergeCell ref="O541:P541"/>
    <mergeCell ref="Q541:S541"/>
    <mergeCell ref="M542:S542"/>
    <mergeCell ref="M544:N544"/>
    <mergeCell ref="O544:P544"/>
    <mergeCell ref="B558:C558"/>
    <mergeCell ref="B559:C559"/>
    <mergeCell ref="D559:E559"/>
    <mergeCell ref="M569:N569"/>
    <mergeCell ref="M570:N570"/>
    <mergeCell ref="O570:P570"/>
    <mergeCell ref="Q570:S570"/>
    <mergeCell ref="M572:N572"/>
    <mergeCell ref="O572:P572"/>
    <mergeCell ref="Q572:S572"/>
    <mergeCell ref="M573:N573"/>
    <mergeCell ref="O573:P573"/>
    <mergeCell ref="Q573:S573"/>
    <mergeCell ref="M574:N574"/>
    <mergeCell ref="O574:P574"/>
    <mergeCell ref="Q574:S574"/>
    <mergeCell ref="M575:S575"/>
    <mergeCell ref="O600:P600"/>
    <mergeCell ref="Q600:S600"/>
    <mergeCell ref="O601:P601"/>
    <mergeCell ref="Q601:S601"/>
    <mergeCell ref="O602:P602"/>
    <mergeCell ref="Q602:S602"/>
    <mergeCell ref="O603:P603"/>
    <mergeCell ref="Q603:S603"/>
    <mergeCell ref="Q604:S604"/>
    <mergeCell ref="M610:N610"/>
    <mergeCell ref="O610:P610"/>
    <mergeCell ref="M611:N611"/>
    <mergeCell ref="O611:P611"/>
    <mergeCell ref="O612:P612"/>
    <mergeCell ref="M615:N615"/>
    <mergeCell ref="M617:N617"/>
    <mergeCell ref="M618:N618"/>
    <mergeCell ref="M619:N619"/>
    <mergeCell ref="M620:N620"/>
    <mergeCell ref="M621:N621"/>
    <mergeCell ref="M622:N622"/>
    <mergeCell ref="M623:N623"/>
    <mergeCell ref="M612:N612"/>
    <mergeCell ref="M613:N613"/>
    <mergeCell ref="O613:P613"/>
    <mergeCell ref="M614:N614"/>
    <mergeCell ref="O614:P614"/>
    <mergeCell ref="O615:P615"/>
    <mergeCell ref="O616:P616"/>
    <mergeCell ref="O622:P622"/>
    <mergeCell ref="O623:P623"/>
    <mergeCell ref="O617:P617"/>
    <mergeCell ref="O618:P618"/>
    <mergeCell ref="S618:T620"/>
    <mergeCell ref="U618:V620"/>
    <mergeCell ref="O619:P619"/>
    <mergeCell ref="O620:P620"/>
    <mergeCell ref="O621:P621"/>
    <mergeCell ref="B622:C622"/>
    <mergeCell ref="D622:E622"/>
    <mergeCell ref="B623:C623"/>
    <mergeCell ref="D623:E623"/>
    <mergeCell ref="B624:C624"/>
    <mergeCell ref="D624:E624"/>
    <mergeCell ref="B625:C625"/>
    <mergeCell ref="G630:H631"/>
    <mergeCell ref="I630:K631"/>
    <mergeCell ref="R630:S631"/>
    <mergeCell ref="T630:V631"/>
    <mergeCell ref="R632:S633"/>
    <mergeCell ref="T632:V633"/>
    <mergeCell ref="Q634:S634"/>
    <mergeCell ref="D625:E625"/>
    <mergeCell ref="B628:F633"/>
    <mergeCell ref="G628:H629"/>
    <mergeCell ref="I628:K629"/>
    <mergeCell ref="M628:Q633"/>
    <mergeCell ref="R628:S629"/>
    <mergeCell ref="T628:V629"/>
    <mergeCell ref="G632:H633"/>
    <mergeCell ref="I632:K633"/>
    <mergeCell ref="B634:C634"/>
    <mergeCell ref="D634:E634"/>
    <mergeCell ref="F634:H634"/>
    <mergeCell ref="M634:N634"/>
    <mergeCell ref="O634:P634"/>
    <mergeCell ref="M636:N636"/>
    <mergeCell ref="O636:P636"/>
    <mergeCell ref="M717:N717"/>
    <mergeCell ref="O717:P717"/>
    <mergeCell ref="M720:N720"/>
    <mergeCell ref="M721:N721"/>
    <mergeCell ref="O721:P721"/>
    <mergeCell ref="M722:N722"/>
    <mergeCell ref="O722:P722"/>
    <mergeCell ref="M723:N723"/>
    <mergeCell ref="O723:P723"/>
    <mergeCell ref="O705:P705"/>
    <mergeCell ref="Q705:S705"/>
    <mergeCell ref="M703:N703"/>
    <mergeCell ref="O703:P703"/>
    <mergeCell ref="Q703:S703"/>
    <mergeCell ref="M704:N704"/>
    <mergeCell ref="O704:P704"/>
    <mergeCell ref="Q704:S704"/>
    <mergeCell ref="M705:N705"/>
    <mergeCell ref="M706:N706"/>
    <mergeCell ref="O706:P706"/>
    <mergeCell ref="Q706:S706"/>
    <mergeCell ref="M707:S707"/>
    <mergeCell ref="M709:N709"/>
    <mergeCell ref="O709:P709"/>
    <mergeCell ref="O710:P710"/>
    <mergeCell ref="M710:N710"/>
    <mergeCell ref="M711:N711"/>
    <mergeCell ref="O711:P711"/>
    <mergeCell ref="M712:N712"/>
    <mergeCell ref="O712:P712"/>
    <mergeCell ref="M713:N713"/>
    <mergeCell ref="O713:P713"/>
    <mergeCell ref="M714:N714"/>
    <mergeCell ref="O714:P714"/>
    <mergeCell ref="M715:N715"/>
    <mergeCell ref="O715:P715"/>
    <mergeCell ref="O716:P716"/>
    <mergeCell ref="H717:I719"/>
    <mergeCell ref="J717:K719"/>
    <mergeCell ref="M718:N718"/>
    <mergeCell ref="O718:P718"/>
    <mergeCell ref="S718:T720"/>
    <mergeCell ref="U718:V720"/>
    <mergeCell ref="M719:N719"/>
    <mergeCell ref="O719:P719"/>
    <mergeCell ref="O720:P720"/>
    <mergeCell ref="G727:H728"/>
    <mergeCell ref="I727:K7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1" max="1" width="1.5"/>
    <col customWidth="1" min="2" max="2" width="23.4"/>
    <col customWidth="1" min="3" max="3" width="12.5"/>
    <col customWidth="1" min="4" max="4" width="18.8"/>
    <col customWidth="1" min="5" max="5" width="24.3"/>
    <col customWidth="1" min="6" max="6" width="15.6"/>
    <col customWidth="1" min="9" max="9" width="4.3"/>
    <col customWidth="1" min="10" max="10" width="23.3"/>
    <col customWidth="1" min="11" max="11" width="14.5"/>
    <col customWidth="1" min="12" max="12" width="25.5"/>
    <col customWidth="1" min="13" max="13" width="24.3"/>
    <col customWidth="1" min="14" max="14" width="18.6"/>
    <col customWidth="1" min="21" max="21" width="18.0"/>
    <col customWidth="1" min="31" max="31" width="11.8"/>
  </cols>
  <sheetData>
    <row r="1">
      <c r="A1" s="372"/>
      <c r="B1" s="373"/>
      <c r="C1" s="372"/>
      <c r="D1" s="374"/>
      <c r="E1" s="374"/>
      <c r="F1" s="375"/>
      <c r="G1" s="375"/>
      <c r="H1" s="375"/>
      <c r="I1" s="376"/>
      <c r="J1" s="377"/>
      <c r="K1" s="378"/>
      <c r="L1" s="378"/>
      <c r="M1" s="378"/>
      <c r="N1" s="379"/>
      <c r="O1" s="380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</row>
    <row r="2">
      <c r="A2" s="372"/>
      <c r="B2" s="373"/>
      <c r="C2" s="372"/>
      <c r="D2" s="374"/>
      <c r="E2" s="374"/>
      <c r="F2" s="375"/>
      <c r="G2" s="375"/>
      <c r="H2" s="375"/>
      <c r="I2" s="376"/>
      <c r="J2" s="381" t="s">
        <v>830</v>
      </c>
      <c r="K2" s="378"/>
      <c r="L2" s="378"/>
      <c r="M2" s="378"/>
      <c r="N2" s="379"/>
      <c r="O2" s="380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  <c r="AD2" s="378"/>
      <c r="AE2" s="378"/>
      <c r="AF2" s="378"/>
      <c r="AG2" s="378"/>
    </row>
    <row r="3">
      <c r="A3" s="374">
        <v>1.0</v>
      </c>
      <c r="B3" s="382"/>
      <c r="C3" s="383"/>
      <c r="D3" s="384"/>
      <c r="E3" s="385" t="s">
        <v>700</v>
      </c>
      <c r="F3" s="385" t="str">
        <f>Board!A2</f>
        <v>11.17.25-11.23.25</v>
      </c>
      <c r="G3" s="213"/>
      <c r="H3" s="211"/>
      <c r="I3" s="386">
        <v>1.0</v>
      </c>
      <c r="J3" s="387"/>
      <c r="K3" s="388"/>
      <c r="L3" s="384"/>
      <c r="M3" s="385" t="s">
        <v>700</v>
      </c>
      <c r="N3" s="385" t="str">
        <f>F3</f>
        <v>11.17.25-11.23.25</v>
      </c>
      <c r="O3" s="213"/>
      <c r="P3" s="211"/>
      <c r="Q3" s="378"/>
      <c r="R3" s="389" t="s">
        <v>831</v>
      </c>
      <c r="S3" s="389" t="s">
        <v>652</v>
      </c>
      <c r="T3" s="390" t="s">
        <v>832</v>
      </c>
      <c r="U3" s="391" t="s">
        <v>833</v>
      </c>
      <c r="V3" s="389" t="s">
        <v>655</v>
      </c>
      <c r="W3" s="389" t="s">
        <v>8</v>
      </c>
      <c r="X3" s="389" t="s">
        <v>656</v>
      </c>
      <c r="Y3" s="390" t="s">
        <v>834</v>
      </c>
      <c r="Z3" s="392" t="s">
        <v>835</v>
      </c>
      <c r="AA3" s="390" t="s">
        <v>836</v>
      </c>
      <c r="AB3" s="390" t="s">
        <v>837</v>
      </c>
      <c r="AC3" s="393" t="s">
        <v>716</v>
      </c>
      <c r="AD3" s="393" t="s">
        <v>717</v>
      </c>
      <c r="AE3" s="393" t="s">
        <v>718</v>
      </c>
      <c r="AF3" s="394" t="s">
        <v>838</v>
      </c>
      <c r="AG3" s="394"/>
    </row>
    <row r="4">
      <c r="A4" s="372"/>
      <c r="B4" s="395"/>
      <c r="C4" s="372"/>
      <c r="D4" s="396"/>
      <c r="E4" s="385" t="s">
        <v>702</v>
      </c>
      <c r="F4" s="385" t="s">
        <v>664</v>
      </c>
      <c r="G4" s="213"/>
      <c r="H4" s="211"/>
      <c r="I4" s="376"/>
      <c r="J4" s="397"/>
      <c r="K4" s="372"/>
      <c r="L4" s="396"/>
      <c r="M4" s="385" t="s">
        <v>351</v>
      </c>
      <c r="N4" s="385" t="str">
        <f t="array" ref="N4">XLOOKUP(N5,Board!K:K,Board!J:J)</f>
        <v>VICTOR DEMCHENKO</v>
      </c>
      <c r="O4" s="213"/>
      <c r="P4" s="211"/>
      <c r="Q4" s="378"/>
      <c r="R4" s="398">
        <f>I3</f>
        <v>1</v>
      </c>
      <c r="S4" s="398">
        <f>F5</f>
        <v>427</v>
      </c>
      <c r="T4" s="399">
        <f>G25</f>
        <v>4791.34</v>
      </c>
      <c r="U4" s="378" t="str">
        <f>N4</f>
        <v>VICTOR DEMCHENKO</v>
      </c>
      <c r="V4" s="399">
        <f>O25</f>
        <v>3196.05</v>
      </c>
      <c r="W4" s="399">
        <f>P13</f>
        <v>3196.05</v>
      </c>
      <c r="X4" s="399">
        <f>C24</f>
        <v>4007.66</v>
      </c>
      <c r="Y4" s="400">
        <f>N13</f>
        <v>4917</v>
      </c>
      <c r="Z4" s="399">
        <f>V5-V4</f>
        <v>1595.29</v>
      </c>
      <c r="AA4" s="378"/>
      <c r="AB4" s="378"/>
      <c r="AC4" s="401" t="str">
        <f>C21</f>
        <v/>
      </c>
      <c r="AD4" s="401" t="str">
        <f>C22</f>
        <v/>
      </c>
      <c r="AE4" s="401" t="str">
        <f>C23</f>
        <v/>
      </c>
      <c r="AF4" s="398">
        <f>C25+C26+C27+C28+C29</f>
        <v>0</v>
      </c>
      <c r="AG4" s="398"/>
    </row>
    <row r="5">
      <c r="A5" s="372"/>
      <c r="B5" s="395"/>
      <c r="C5" s="372"/>
      <c r="D5" s="402"/>
      <c r="E5" s="385" t="s">
        <v>703</v>
      </c>
      <c r="F5" s="385">
        <v>427.0</v>
      </c>
      <c r="G5" s="213"/>
      <c r="H5" s="211"/>
      <c r="I5" s="376"/>
      <c r="J5" s="397"/>
      <c r="K5" s="372"/>
      <c r="L5" s="402"/>
      <c r="M5" s="385" t="s">
        <v>703</v>
      </c>
      <c r="N5" s="385">
        <f>F5</f>
        <v>427</v>
      </c>
      <c r="O5" s="213"/>
      <c r="P5" s="211"/>
      <c r="Q5" s="378"/>
      <c r="R5" s="378"/>
      <c r="S5" s="378"/>
      <c r="T5" s="378"/>
      <c r="U5" s="378" t="str">
        <f>F4</f>
        <v>Ada Fleet LLC</v>
      </c>
      <c r="V5" s="399">
        <f>G25</f>
        <v>4791.34</v>
      </c>
      <c r="W5" s="399">
        <f>H13</f>
        <v>8799</v>
      </c>
      <c r="X5" s="378"/>
      <c r="Y5" s="378"/>
      <c r="Z5" s="378"/>
      <c r="AA5" s="378"/>
      <c r="AB5" s="378"/>
      <c r="AC5" s="378"/>
      <c r="AD5" s="378"/>
      <c r="AE5" s="378"/>
      <c r="AF5" s="378"/>
      <c r="AG5" s="378"/>
    </row>
    <row r="6">
      <c r="A6" s="375"/>
      <c r="B6" s="403" t="s">
        <v>704</v>
      </c>
      <c r="C6" s="404" t="s">
        <v>5</v>
      </c>
      <c r="D6" s="405" t="s">
        <v>6</v>
      </c>
      <c r="E6" s="406" t="s">
        <v>7</v>
      </c>
      <c r="F6" s="404" t="s">
        <v>8</v>
      </c>
      <c r="G6" s="404" t="s">
        <v>706</v>
      </c>
      <c r="H6" s="404" t="s">
        <v>707</v>
      </c>
      <c r="I6" s="376"/>
      <c r="J6" s="407" t="s">
        <v>704</v>
      </c>
      <c r="K6" s="404" t="s">
        <v>5</v>
      </c>
      <c r="L6" s="405" t="s">
        <v>6</v>
      </c>
      <c r="M6" s="406" t="s">
        <v>7</v>
      </c>
      <c r="N6" s="404" t="s">
        <v>591</v>
      </c>
      <c r="O6" s="408" t="s">
        <v>839</v>
      </c>
      <c r="P6" s="404" t="s">
        <v>707</v>
      </c>
      <c r="Q6" s="378"/>
      <c r="R6" s="378"/>
      <c r="S6" s="378"/>
      <c r="T6" s="378"/>
      <c r="U6" s="378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</row>
    <row r="7">
      <c r="A7" s="409"/>
      <c r="B7" s="410">
        <f>IFERROR(__xludf.DUMMYFUNCTION("FILTER(Board!C:G,Board!K:K=F5)"),45980.0)</f>
        <v>45980</v>
      </c>
      <c r="C7" s="411" t="str">
        <f>IFERROR(__xludf.DUMMYFUNCTION("""COMPUTED_VALUE"""),"SOD1120905")</f>
        <v>SOD1120905</v>
      </c>
      <c r="D7" s="411" t="str">
        <f>IFERROR(__xludf.DUMMYFUNCTION("""COMPUTED_VALUE"""),"South Burlington, VT, 05403")</f>
        <v>South Burlington, VT, 05403</v>
      </c>
      <c r="E7" s="411" t="str">
        <f>IFERROR(__xludf.DUMMYFUNCTION("""COMPUTED_VALUE"""),"Salt Lake City, UT, 84116")</f>
        <v>Salt Lake City, UT, 84116</v>
      </c>
      <c r="F7" s="412">
        <f>IFERROR(__xludf.DUMMYFUNCTION("""COMPUTED_VALUE"""),4600.0)</f>
        <v>4600</v>
      </c>
      <c r="G7" s="413">
        <v>1.0</v>
      </c>
      <c r="H7" s="414">
        <f t="shared" ref="H7:H8" si="1">F7*G7</f>
        <v>4600</v>
      </c>
      <c r="I7" s="376"/>
      <c r="J7" s="415">
        <f>IFERROR(__xludf.DUMMYFUNCTION("FILTER(Board!C:F,Board!K:K=N5)"),45980.0)</f>
        <v>45980</v>
      </c>
      <c r="K7" s="411" t="str">
        <f>IFERROR(__xludf.DUMMYFUNCTION("""COMPUTED_VALUE"""),"SOD1120905")</f>
        <v>SOD1120905</v>
      </c>
      <c r="L7" s="411" t="str">
        <f>IFERROR(__xludf.DUMMYFUNCTION("""COMPUTED_VALUE"""),"South Burlington, VT, 05403")</f>
        <v>South Burlington, VT, 05403</v>
      </c>
      <c r="M7" s="411" t="str">
        <f>IFERROR(__xludf.DUMMYFUNCTION("""COMPUTED_VALUE"""),"Salt Lake City, UT, 84116")</f>
        <v>Salt Lake City, UT, 84116</v>
      </c>
      <c r="N7" s="416">
        <f>IFERROR(__xludf.DUMMYFUNCTION("FILTER(Board!H:H,Board!K:K=N5)"),2501.0)</f>
        <v>2501</v>
      </c>
      <c r="O7" s="408">
        <v>0.65</v>
      </c>
      <c r="P7" s="417">
        <f t="shared" ref="P7:P8" si="2">N7*O7</f>
        <v>1625.65</v>
      </c>
      <c r="Q7" s="378"/>
      <c r="R7" s="378"/>
      <c r="S7" s="378"/>
      <c r="T7" s="378"/>
      <c r="U7" s="378"/>
      <c r="V7" s="378"/>
      <c r="W7" s="378"/>
      <c r="X7" s="378"/>
      <c r="Y7" s="378"/>
      <c r="Z7" s="378"/>
      <c r="AA7" s="378"/>
      <c r="AB7" s="378"/>
      <c r="AC7" s="378"/>
      <c r="AD7" s="378"/>
      <c r="AE7" s="378"/>
      <c r="AF7" s="378"/>
      <c r="AG7" s="378"/>
    </row>
    <row r="8">
      <c r="A8" s="409"/>
      <c r="B8" s="410">
        <f>IFERROR(__xludf.DUMMYFUNCTION("""COMPUTED_VALUE"""),45982.0)</f>
        <v>45982</v>
      </c>
      <c r="C8" s="411">
        <f>IFERROR(__xludf.DUMMYFUNCTION("""COMPUTED_VALUE"""),2.0647819E7)</f>
        <v>20647819</v>
      </c>
      <c r="D8" s="411" t="str">
        <f>IFERROR(__xludf.DUMMYFUNCTION("""COMPUTED_VALUE"""),"Logan, UT, 84321")</f>
        <v>Logan, UT, 84321</v>
      </c>
      <c r="E8" s="411" t="str">
        <f>IFERROR(__xludf.DUMMYFUNCTION("""COMPUTED_VALUE"""),"Westampton Township, NJ, 08060")</f>
        <v>Westampton Township, NJ, 08060</v>
      </c>
      <c r="F8" s="412">
        <f>IFERROR(__xludf.DUMMYFUNCTION("""COMPUTED_VALUE"""),4199.0)</f>
        <v>4199</v>
      </c>
      <c r="G8" s="413">
        <v>1.0</v>
      </c>
      <c r="H8" s="414">
        <f t="shared" si="1"/>
        <v>4199</v>
      </c>
      <c r="I8" s="376"/>
      <c r="J8" s="418">
        <f>IFERROR(__xludf.DUMMYFUNCTION("""COMPUTED_VALUE"""),45982.0)</f>
        <v>45982</v>
      </c>
      <c r="K8" s="411">
        <f>IFERROR(__xludf.DUMMYFUNCTION("""COMPUTED_VALUE"""),2.0647819E7)</f>
        <v>20647819</v>
      </c>
      <c r="L8" s="411" t="str">
        <f>IFERROR(__xludf.DUMMYFUNCTION("""COMPUTED_VALUE"""),"Logan, UT, 84321")</f>
        <v>Logan, UT, 84321</v>
      </c>
      <c r="M8" s="411" t="str">
        <f>IFERROR(__xludf.DUMMYFUNCTION("""COMPUTED_VALUE"""),"Westampton Township, NJ, 08060")</f>
        <v>Westampton Township, NJ, 08060</v>
      </c>
      <c r="N8" s="416">
        <f>IFERROR(__xludf.DUMMYFUNCTION("""COMPUTED_VALUE"""),2416.0)</f>
        <v>2416</v>
      </c>
      <c r="O8" s="408">
        <v>0.65</v>
      </c>
      <c r="P8" s="417">
        <f t="shared" si="2"/>
        <v>1570.4</v>
      </c>
      <c r="Q8" s="378"/>
      <c r="R8" s="378"/>
      <c r="S8" s="378"/>
      <c r="T8" s="378"/>
      <c r="U8" s="378"/>
      <c r="V8" s="378"/>
      <c r="W8" s="378"/>
      <c r="X8" s="378"/>
      <c r="Y8" s="378"/>
      <c r="Z8" s="378"/>
      <c r="AA8" s="378"/>
      <c r="AB8" s="378"/>
      <c r="AC8" s="378"/>
      <c r="AD8" s="378"/>
      <c r="AE8" s="378"/>
      <c r="AF8" s="378"/>
      <c r="AG8" s="378"/>
    </row>
    <row r="9">
      <c r="A9" s="419"/>
      <c r="B9" s="420"/>
      <c r="C9" s="421"/>
      <c r="D9" s="422"/>
      <c r="E9" s="423"/>
      <c r="F9" s="421"/>
      <c r="G9" s="413"/>
      <c r="H9" s="414"/>
      <c r="I9" s="376"/>
      <c r="J9" s="424"/>
      <c r="K9" s="421"/>
      <c r="L9" s="422"/>
      <c r="M9" s="423"/>
      <c r="N9" s="425"/>
      <c r="O9" s="408"/>
      <c r="P9" s="414"/>
      <c r="Q9" s="378"/>
      <c r="R9" s="378"/>
      <c r="S9" s="378"/>
      <c r="T9" s="378"/>
      <c r="U9" s="378"/>
      <c r="V9" s="378"/>
      <c r="W9" s="378"/>
      <c r="X9" s="378"/>
      <c r="Y9" s="378"/>
      <c r="Z9" s="378"/>
      <c r="AA9" s="378"/>
      <c r="AB9" s="378"/>
      <c r="AC9" s="378"/>
      <c r="AD9" s="378"/>
      <c r="AE9" s="378"/>
      <c r="AF9" s="378"/>
      <c r="AG9" s="378"/>
    </row>
    <row r="10">
      <c r="A10" s="419"/>
      <c r="B10" s="420"/>
      <c r="C10" s="421"/>
      <c r="D10" s="422"/>
      <c r="E10" s="423"/>
      <c r="F10" s="421"/>
      <c r="G10" s="413"/>
      <c r="H10" s="414"/>
      <c r="I10" s="376"/>
      <c r="J10" s="424"/>
      <c r="K10" s="421"/>
      <c r="L10" s="422"/>
      <c r="M10" s="423"/>
      <c r="N10" s="425"/>
      <c r="O10" s="408"/>
      <c r="P10" s="414"/>
      <c r="Q10" s="378"/>
      <c r="R10" s="378"/>
      <c r="S10" s="378"/>
      <c r="T10" s="378"/>
      <c r="U10" s="378"/>
      <c r="V10" s="378"/>
      <c r="W10" s="378"/>
      <c r="X10" s="378"/>
      <c r="Y10" s="378"/>
      <c r="Z10" s="378"/>
      <c r="AA10" s="378"/>
      <c r="AB10" s="378"/>
      <c r="AC10" s="378"/>
      <c r="AD10" s="378"/>
      <c r="AE10" s="378"/>
      <c r="AF10" s="378"/>
      <c r="AG10" s="378"/>
    </row>
    <row r="11">
      <c r="A11" s="419"/>
      <c r="B11" s="420"/>
      <c r="C11" s="421"/>
      <c r="D11" s="422"/>
      <c r="E11" s="423"/>
      <c r="F11" s="421"/>
      <c r="G11" s="413"/>
      <c r="H11" s="414"/>
      <c r="I11" s="376"/>
      <c r="J11" s="424"/>
      <c r="K11" s="421"/>
      <c r="L11" s="422"/>
      <c r="M11" s="423"/>
      <c r="N11" s="425"/>
      <c r="O11" s="408"/>
      <c r="P11" s="414"/>
      <c r="Q11" s="378"/>
      <c r="R11" s="378"/>
      <c r="S11" s="378"/>
      <c r="T11" s="378"/>
      <c r="U11" s="378"/>
      <c r="V11" s="378"/>
      <c r="W11" s="378"/>
      <c r="X11" s="378"/>
      <c r="Y11" s="378"/>
      <c r="Z11" s="378"/>
      <c r="AA11" s="378"/>
      <c r="AB11" s="378"/>
      <c r="AC11" s="378"/>
      <c r="AD11" s="378"/>
      <c r="AE11" s="378"/>
      <c r="AF11" s="378"/>
      <c r="AG11" s="378"/>
    </row>
    <row r="12">
      <c r="A12" s="419"/>
      <c r="B12" s="420"/>
      <c r="C12" s="421"/>
      <c r="D12" s="422"/>
      <c r="E12" s="423"/>
      <c r="F12" s="421"/>
      <c r="G12" s="413"/>
      <c r="H12" s="414"/>
      <c r="I12" s="376"/>
      <c r="J12" s="424"/>
      <c r="K12" s="421"/>
      <c r="L12" s="422"/>
      <c r="M12" s="423"/>
      <c r="N12" s="425"/>
      <c r="O12" s="408"/>
      <c r="P12" s="414"/>
      <c r="Q12" s="378"/>
      <c r="R12" s="378"/>
      <c r="S12" s="378"/>
      <c r="T12" s="378"/>
      <c r="U12" s="378"/>
      <c r="V12" s="378"/>
      <c r="W12" s="378"/>
      <c r="X12" s="378"/>
      <c r="Y12" s="378"/>
      <c r="Z12" s="378"/>
      <c r="AA12" s="378"/>
      <c r="AB12" s="378"/>
      <c r="AC12" s="378"/>
      <c r="AD12" s="378"/>
      <c r="AE12" s="378"/>
      <c r="AF12" s="378"/>
      <c r="AG12" s="378"/>
    </row>
    <row r="13">
      <c r="A13" s="375"/>
      <c r="B13" s="403" t="s">
        <v>711</v>
      </c>
      <c r="C13" s="224"/>
      <c r="D13" s="224"/>
      <c r="E13" s="222"/>
      <c r="F13" s="414">
        <f>SUM(F7:F12)</f>
        <v>8799</v>
      </c>
      <c r="G13" s="421"/>
      <c r="H13" s="414">
        <f>SUM(H7:H12)</f>
        <v>8799</v>
      </c>
      <c r="I13" s="376"/>
      <c r="J13" s="407" t="s">
        <v>711</v>
      </c>
      <c r="K13" s="224"/>
      <c r="L13" s="224"/>
      <c r="M13" s="222"/>
      <c r="N13" s="426">
        <f>SUM(N7:N12)</f>
        <v>4917</v>
      </c>
      <c r="O13" s="427"/>
      <c r="P13" s="414">
        <f>SUM(P7:P12)</f>
        <v>3196.05</v>
      </c>
      <c r="Q13" s="378"/>
      <c r="R13" s="378"/>
      <c r="S13" s="378"/>
      <c r="T13" s="378"/>
      <c r="U13" s="378"/>
      <c r="V13" s="378"/>
      <c r="W13" s="378"/>
      <c r="X13" s="378"/>
      <c r="Y13" s="378"/>
      <c r="Z13" s="378"/>
      <c r="AA13" s="378"/>
      <c r="AB13" s="378"/>
      <c r="AC13" s="378"/>
      <c r="AD13" s="378"/>
      <c r="AE13" s="378"/>
      <c r="AF13" s="378"/>
      <c r="AG13" s="378"/>
    </row>
    <row r="14">
      <c r="A14" s="419"/>
      <c r="B14" s="428"/>
      <c r="C14" s="419"/>
      <c r="D14" s="419"/>
      <c r="E14" s="419"/>
      <c r="F14" s="419"/>
      <c r="G14" s="419"/>
      <c r="H14" s="429"/>
      <c r="I14" s="376"/>
      <c r="J14" s="430"/>
      <c r="K14" s="419"/>
      <c r="L14" s="419"/>
      <c r="M14" s="419"/>
      <c r="N14" s="431"/>
      <c r="O14" s="432"/>
      <c r="P14" s="429"/>
      <c r="Q14" s="378"/>
      <c r="R14" s="378"/>
      <c r="S14" s="378"/>
      <c r="T14" s="378"/>
      <c r="U14" s="378"/>
      <c r="V14" s="378"/>
      <c r="W14" s="378"/>
      <c r="X14" s="378"/>
      <c r="Y14" s="378"/>
      <c r="Z14" s="378"/>
      <c r="AA14" s="378"/>
      <c r="AB14" s="378"/>
      <c r="AC14" s="378"/>
      <c r="AD14" s="378"/>
      <c r="AE14" s="378"/>
      <c r="AF14" s="378"/>
      <c r="AG14" s="378"/>
    </row>
    <row r="15">
      <c r="A15" s="375"/>
      <c r="B15" s="433" t="s">
        <v>712</v>
      </c>
      <c r="C15" s="434"/>
      <c r="D15" s="435"/>
      <c r="E15" s="419"/>
      <c r="F15" s="436" t="s">
        <v>8</v>
      </c>
      <c r="G15" s="436" t="s">
        <v>706</v>
      </c>
      <c r="H15" s="436" t="s">
        <v>707</v>
      </c>
      <c r="I15" s="376"/>
      <c r="J15" s="437" t="s">
        <v>712</v>
      </c>
      <c r="K15" s="434"/>
      <c r="L15" s="435"/>
      <c r="M15" s="419"/>
      <c r="N15" s="431"/>
      <c r="O15" s="432"/>
      <c r="P15" s="429"/>
      <c r="Q15" s="378"/>
      <c r="R15" s="378"/>
      <c r="S15" s="378"/>
      <c r="T15" s="378"/>
      <c r="U15" s="378"/>
      <c r="V15" s="378"/>
      <c r="W15" s="378"/>
      <c r="X15" s="378"/>
      <c r="Y15" s="378"/>
      <c r="Z15" s="378"/>
      <c r="AA15" s="378"/>
      <c r="AB15" s="378"/>
      <c r="AC15" s="378"/>
      <c r="AD15" s="378"/>
      <c r="AE15" s="378"/>
      <c r="AF15" s="378"/>
      <c r="AG15" s="378"/>
    </row>
    <row r="16">
      <c r="A16" s="375"/>
      <c r="B16" s="438" t="s">
        <v>657</v>
      </c>
      <c r="C16" s="439"/>
      <c r="D16" s="440" t="s">
        <v>840</v>
      </c>
      <c r="E16" s="419"/>
      <c r="F16" s="441">
        <v>1625.65</v>
      </c>
      <c r="G16" s="442">
        <v>1.0</v>
      </c>
      <c r="H16" s="441">
        <v>1625.65</v>
      </c>
      <c r="I16" s="376"/>
      <c r="J16" s="443"/>
      <c r="K16" s="439"/>
      <c r="L16" s="440"/>
      <c r="M16" s="419"/>
      <c r="N16" s="431"/>
      <c r="O16" s="432"/>
      <c r="P16" s="429"/>
      <c r="Q16" s="378"/>
      <c r="R16" s="378"/>
      <c r="S16" s="378"/>
      <c r="T16" s="378"/>
      <c r="U16" s="378"/>
      <c r="V16" s="378"/>
      <c r="W16" s="378"/>
      <c r="X16" s="378"/>
      <c r="Y16" s="378"/>
      <c r="Z16" s="378"/>
      <c r="AA16" s="378"/>
      <c r="AB16" s="378"/>
      <c r="AC16" s="378"/>
      <c r="AD16" s="378"/>
      <c r="AE16" s="378"/>
      <c r="AF16" s="378"/>
      <c r="AG16" s="378"/>
    </row>
    <row r="17">
      <c r="A17" s="419"/>
      <c r="B17" s="444"/>
      <c r="C17" s="434"/>
      <c r="D17" s="435"/>
      <c r="E17" s="419"/>
      <c r="F17" s="441">
        <v>1458.6</v>
      </c>
      <c r="G17" s="442">
        <v>1.0</v>
      </c>
      <c r="H17" s="441">
        <v>1458.6</v>
      </c>
      <c r="I17" s="376"/>
      <c r="J17" s="445"/>
      <c r="K17" s="434"/>
      <c r="L17" s="435"/>
      <c r="M17" s="419"/>
      <c r="N17" s="446"/>
      <c r="O17" s="447"/>
      <c r="P17" s="448"/>
      <c r="Q17" s="378"/>
      <c r="R17" s="378"/>
      <c r="S17" s="378"/>
      <c r="T17" s="378"/>
      <c r="U17" s="378"/>
      <c r="V17" s="378"/>
      <c r="W17" s="378"/>
      <c r="X17" s="378"/>
      <c r="Y17" s="378"/>
      <c r="Z17" s="378"/>
      <c r="AA17" s="378"/>
      <c r="AB17" s="378"/>
      <c r="AC17" s="378"/>
      <c r="AD17" s="378"/>
      <c r="AE17" s="378"/>
      <c r="AF17" s="378"/>
      <c r="AG17" s="378"/>
    </row>
    <row r="18">
      <c r="A18" s="375"/>
      <c r="B18" s="438" t="s">
        <v>714</v>
      </c>
      <c r="C18" s="439"/>
      <c r="D18" s="440"/>
      <c r="E18" s="419"/>
      <c r="F18" s="449"/>
      <c r="G18" s="442">
        <v>1.0</v>
      </c>
      <c r="H18" s="441">
        <v>0.0</v>
      </c>
      <c r="I18" s="376"/>
      <c r="J18" s="443" t="s">
        <v>714</v>
      </c>
      <c r="K18" s="439">
        <f>SUM(K15:K17)</f>
        <v>0</v>
      </c>
      <c r="L18" s="440"/>
      <c r="M18" s="419"/>
      <c r="N18" s="446"/>
      <c r="O18" s="447"/>
      <c r="P18" s="448"/>
      <c r="Q18" s="378"/>
      <c r="R18" s="378"/>
      <c r="S18" s="378"/>
      <c r="T18" s="378"/>
      <c r="U18" s="378"/>
      <c r="V18" s="378"/>
      <c r="W18" s="378"/>
      <c r="X18" s="378"/>
      <c r="Y18" s="378"/>
      <c r="Z18" s="378"/>
      <c r="AA18" s="378"/>
      <c r="AB18" s="378"/>
      <c r="AC18" s="378"/>
      <c r="AD18" s="378"/>
      <c r="AE18" s="378"/>
      <c r="AF18" s="378"/>
      <c r="AG18" s="378"/>
    </row>
    <row r="19">
      <c r="A19" s="419"/>
      <c r="B19" s="450"/>
      <c r="C19" s="451"/>
      <c r="D19" s="419"/>
      <c r="E19" s="419"/>
      <c r="F19" s="449"/>
      <c r="G19" s="442">
        <v>1.0</v>
      </c>
      <c r="H19" s="441">
        <v>0.0</v>
      </c>
      <c r="I19" s="376"/>
      <c r="J19" s="452"/>
      <c r="K19" s="453"/>
      <c r="L19" s="419"/>
      <c r="M19" s="419"/>
      <c r="N19" s="446"/>
      <c r="O19" s="447"/>
      <c r="P19" s="448"/>
      <c r="Q19" s="378"/>
      <c r="R19" s="378"/>
      <c r="S19" s="378"/>
      <c r="T19" s="378"/>
      <c r="U19" s="378"/>
      <c r="V19" s="378"/>
      <c r="W19" s="378"/>
      <c r="X19" s="378"/>
      <c r="Y19" s="378"/>
      <c r="Z19" s="378"/>
      <c r="AA19" s="378"/>
      <c r="AB19" s="378"/>
      <c r="AC19" s="378"/>
      <c r="AD19" s="378"/>
      <c r="AE19" s="378"/>
      <c r="AF19" s="378"/>
      <c r="AG19" s="378"/>
    </row>
    <row r="20">
      <c r="A20" s="375"/>
      <c r="B20" s="454" t="s">
        <v>715</v>
      </c>
      <c r="C20" s="455"/>
      <c r="D20" s="456" t="s">
        <v>841</v>
      </c>
      <c r="E20" s="419"/>
      <c r="F20" s="457"/>
      <c r="G20" s="449"/>
      <c r="H20" s="457"/>
      <c r="I20" s="376"/>
      <c r="J20" s="458" t="s">
        <v>715</v>
      </c>
      <c r="K20" s="455"/>
      <c r="L20" s="435"/>
      <c r="M20" s="419"/>
      <c r="N20" s="446"/>
      <c r="O20" s="447"/>
      <c r="P20" s="448"/>
      <c r="Q20" s="378"/>
      <c r="R20" s="378"/>
      <c r="S20" s="378"/>
      <c r="T20" s="378"/>
      <c r="U20" s="378"/>
      <c r="V20" s="378"/>
      <c r="W20" s="378"/>
      <c r="X20" s="378"/>
      <c r="Y20" s="378"/>
      <c r="Z20" s="378"/>
      <c r="AA20" s="378"/>
      <c r="AB20" s="378"/>
      <c r="AC20" s="378"/>
      <c r="AD20" s="378"/>
      <c r="AE20" s="378"/>
      <c r="AF20" s="378"/>
      <c r="AG20" s="378"/>
    </row>
    <row r="21">
      <c r="A21" s="375"/>
      <c r="B21" s="459" t="s">
        <v>716</v>
      </c>
      <c r="C21" s="460"/>
      <c r="D21" s="440"/>
      <c r="E21" s="419"/>
      <c r="F21" s="461">
        <v>3084.25</v>
      </c>
      <c r="G21" s="449"/>
      <c r="H21" s="461">
        <v>3084.25</v>
      </c>
      <c r="I21" s="376"/>
      <c r="J21" s="462"/>
      <c r="K21" s="460"/>
      <c r="L21" s="440"/>
      <c r="M21" s="419"/>
      <c r="N21" s="446"/>
      <c r="O21" s="447"/>
      <c r="P21" s="448"/>
      <c r="Q21" s="378"/>
      <c r="R21" s="378"/>
      <c r="S21" s="378"/>
      <c r="T21" s="378"/>
      <c r="U21" s="378"/>
      <c r="V21" s="378"/>
      <c r="W21" s="378"/>
      <c r="X21" s="378"/>
      <c r="Y21" s="378"/>
      <c r="Z21" s="378"/>
      <c r="AA21" s="378"/>
      <c r="AB21" s="378"/>
      <c r="AC21" s="378"/>
      <c r="AD21" s="378"/>
      <c r="AE21" s="378"/>
      <c r="AF21" s="378"/>
      <c r="AG21" s="378"/>
    </row>
    <row r="22">
      <c r="A22" s="375"/>
      <c r="B22" s="459" t="s">
        <v>717</v>
      </c>
      <c r="C22" s="460"/>
      <c r="D22" s="440"/>
      <c r="E22" s="419"/>
      <c r="F22" s="463"/>
      <c r="G22" s="463"/>
      <c r="H22" s="448"/>
      <c r="I22" s="376"/>
      <c r="J22" s="462"/>
      <c r="K22" s="460"/>
      <c r="L22" s="440"/>
      <c r="M22" s="419"/>
      <c r="N22" s="446"/>
      <c r="O22" s="447"/>
      <c r="P22" s="448"/>
      <c r="Q22" s="378"/>
      <c r="R22" s="378"/>
      <c r="S22" s="378"/>
      <c r="T22" s="378"/>
      <c r="U22" s="378"/>
      <c r="V22" s="378"/>
      <c r="W22" s="378"/>
      <c r="X22" s="378"/>
      <c r="Y22" s="378"/>
      <c r="Z22" s="378"/>
      <c r="AA22" s="378"/>
      <c r="AB22" s="378"/>
      <c r="AC22" s="378"/>
      <c r="AD22" s="378"/>
      <c r="AE22" s="378"/>
      <c r="AF22" s="378"/>
      <c r="AG22" s="378"/>
    </row>
    <row r="23">
      <c r="A23" s="375"/>
      <c r="B23" s="459" t="s">
        <v>718</v>
      </c>
      <c r="C23" s="460"/>
      <c r="D23" s="440"/>
      <c r="E23" s="419"/>
      <c r="F23" s="463"/>
      <c r="G23" s="463"/>
      <c r="H23" s="448"/>
      <c r="I23" s="376"/>
      <c r="J23" s="462"/>
      <c r="K23" s="460"/>
      <c r="L23" s="440"/>
      <c r="M23" s="419"/>
      <c r="N23" s="446"/>
      <c r="O23" s="447"/>
      <c r="P23" s="448"/>
      <c r="Q23" s="378"/>
      <c r="R23" s="378"/>
      <c r="S23" s="378"/>
      <c r="T23" s="378"/>
      <c r="U23" s="378"/>
      <c r="V23" s="378"/>
      <c r="W23" s="378"/>
      <c r="X23" s="378"/>
      <c r="Y23" s="378"/>
      <c r="Z23" s="378"/>
      <c r="AA23" s="378"/>
      <c r="AB23" s="378"/>
      <c r="AC23" s="378"/>
      <c r="AD23" s="378"/>
      <c r="AE23" s="378"/>
      <c r="AF23" s="378"/>
      <c r="AG23" s="378"/>
    </row>
    <row r="24">
      <c r="A24" s="375"/>
      <c r="B24" s="459" t="s">
        <v>656</v>
      </c>
      <c r="C24" s="460">
        <f>IFERROR(__xludf.DUMMYFUNCTION("FILTER(D967:D995,C967:C995=F5)"),4007.66)</f>
        <v>4007.66</v>
      </c>
      <c r="D24" s="440"/>
      <c r="E24" s="419"/>
      <c r="F24" s="463"/>
      <c r="G24" s="463"/>
      <c r="H24" s="448"/>
      <c r="I24" s="376"/>
      <c r="J24" s="462"/>
      <c r="K24" s="460"/>
      <c r="L24" s="440"/>
      <c r="M24" s="419"/>
      <c r="N24" s="446"/>
      <c r="O24" s="447"/>
      <c r="P24" s="44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8"/>
      <c r="AC24" s="378"/>
      <c r="AD24" s="378"/>
      <c r="AE24" s="378"/>
      <c r="AF24" s="378"/>
      <c r="AG24" s="378"/>
    </row>
    <row r="25">
      <c r="A25" s="419"/>
      <c r="B25" s="464"/>
      <c r="C25" s="455"/>
      <c r="D25" s="435"/>
      <c r="E25" s="419"/>
      <c r="F25" s="465" t="s">
        <v>842</v>
      </c>
      <c r="G25" s="466">
        <f>H13+C18-C30</f>
        <v>4791.34</v>
      </c>
      <c r="H25" s="211"/>
      <c r="I25" s="376"/>
      <c r="J25" s="467"/>
      <c r="K25" s="455"/>
      <c r="L25" s="435"/>
      <c r="M25" s="419"/>
      <c r="N25" s="468" t="s">
        <v>842</v>
      </c>
      <c r="O25" s="466">
        <f>P13+K18-K30</f>
        <v>3196.05</v>
      </c>
      <c r="P25" s="211"/>
      <c r="Q25" s="378"/>
      <c r="R25" s="378"/>
      <c r="S25" s="378"/>
      <c r="T25" s="378"/>
      <c r="U25" s="378"/>
      <c r="V25" s="378"/>
      <c r="W25" s="378"/>
      <c r="X25" s="378"/>
      <c r="Y25" s="378"/>
      <c r="Z25" s="378"/>
      <c r="AA25" s="378"/>
      <c r="AB25" s="378"/>
      <c r="AC25" s="378"/>
      <c r="AD25" s="378"/>
      <c r="AE25" s="378"/>
      <c r="AF25" s="378"/>
      <c r="AG25" s="378"/>
    </row>
    <row r="26">
      <c r="A26" s="419"/>
      <c r="B26" s="464"/>
      <c r="C26" s="455"/>
      <c r="D26" s="435"/>
      <c r="E26" s="419"/>
      <c r="F26" s="469" t="s">
        <v>843</v>
      </c>
      <c r="G26" s="278"/>
      <c r="H26" s="56"/>
      <c r="I26" s="376"/>
      <c r="J26" s="467"/>
      <c r="K26" s="455"/>
      <c r="L26" s="435"/>
      <c r="M26" s="419"/>
      <c r="N26" s="469" t="s">
        <v>844</v>
      </c>
      <c r="O26" s="278"/>
      <c r="P26" s="56"/>
      <c r="Q26" s="378"/>
      <c r="R26" s="378"/>
      <c r="S26" s="378"/>
      <c r="T26" s="378"/>
      <c r="U26" s="378"/>
      <c r="V26" s="378"/>
      <c r="W26" s="378"/>
      <c r="X26" s="378"/>
      <c r="Y26" s="378"/>
      <c r="Z26" s="378"/>
      <c r="AA26" s="378"/>
      <c r="AB26" s="378"/>
      <c r="AC26" s="378"/>
      <c r="AD26" s="378"/>
      <c r="AE26" s="378"/>
      <c r="AF26" s="378"/>
      <c r="AG26" s="378"/>
    </row>
    <row r="27">
      <c r="A27" s="419"/>
      <c r="B27" s="464"/>
      <c r="C27" s="455"/>
      <c r="D27" s="435"/>
      <c r="E27" s="419"/>
      <c r="F27" s="470"/>
      <c r="G27" s="215"/>
      <c r="H27" s="64"/>
      <c r="I27" s="376"/>
      <c r="J27" s="467"/>
      <c r="K27" s="455"/>
      <c r="L27" s="435"/>
      <c r="M27" s="419"/>
      <c r="N27" s="470"/>
      <c r="O27" s="215"/>
      <c r="P27" s="64"/>
      <c r="Q27" s="378"/>
      <c r="R27" s="378"/>
      <c r="S27" s="378"/>
      <c r="T27" s="378"/>
      <c r="U27" s="378"/>
      <c r="V27" s="378"/>
      <c r="W27" s="378"/>
      <c r="X27" s="378"/>
      <c r="Y27" s="378"/>
      <c r="Z27" s="378"/>
      <c r="AA27" s="378"/>
      <c r="AB27" s="378"/>
      <c r="AC27" s="378"/>
      <c r="AD27" s="378"/>
      <c r="AE27" s="378"/>
      <c r="AF27" s="378"/>
      <c r="AG27" s="378"/>
    </row>
    <row r="28">
      <c r="A28" s="419"/>
      <c r="B28" s="464"/>
      <c r="C28" s="455"/>
      <c r="D28" s="435"/>
      <c r="E28" s="419"/>
      <c r="F28" s="419"/>
      <c r="G28" s="419"/>
      <c r="H28" s="429"/>
      <c r="I28" s="376"/>
      <c r="J28" s="467"/>
      <c r="K28" s="455"/>
      <c r="L28" s="435"/>
      <c r="M28" s="419"/>
      <c r="N28" s="431"/>
      <c r="O28" s="432"/>
      <c r="P28" s="429"/>
      <c r="Q28" s="378"/>
      <c r="R28" s="378"/>
      <c r="S28" s="378"/>
      <c r="T28" s="378"/>
      <c r="U28" s="378"/>
      <c r="V28" s="378"/>
      <c r="W28" s="378"/>
      <c r="X28" s="378"/>
      <c r="Y28" s="378"/>
      <c r="Z28" s="378"/>
      <c r="AA28" s="378"/>
      <c r="AB28" s="378"/>
      <c r="AC28" s="378"/>
      <c r="AD28" s="378"/>
      <c r="AE28" s="398" t="s">
        <v>845</v>
      </c>
      <c r="AF28" s="380"/>
      <c r="AG28" s="380"/>
    </row>
    <row r="29">
      <c r="A29" s="419"/>
      <c r="B29" s="464"/>
      <c r="C29" s="455"/>
      <c r="D29" s="435"/>
      <c r="E29" s="419"/>
      <c r="F29" s="419"/>
      <c r="G29" s="419"/>
      <c r="H29" s="429"/>
      <c r="I29" s="376"/>
      <c r="J29" s="467"/>
      <c r="K29" s="455"/>
      <c r="L29" s="435"/>
      <c r="M29" s="419"/>
      <c r="N29" s="431"/>
      <c r="O29" s="432"/>
      <c r="P29" s="429"/>
      <c r="Q29" s="378"/>
      <c r="R29" s="378"/>
      <c r="S29" s="378"/>
      <c r="T29" s="378"/>
      <c r="U29" s="378"/>
      <c r="V29" s="378"/>
      <c r="W29" s="378"/>
      <c r="X29" s="378"/>
      <c r="Y29" s="378"/>
      <c r="Z29" s="378"/>
      <c r="AA29" s="378"/>
      <c r="AB29" s="378"/>
      <c r="AC29" s="378"/>
      <c r="AD29" s="378"/>
      <c r="AE29" s="398" t="s">
        <v>846</v>
      </c>
      <c r="AF29" s="380"/>
      <c r="AG29" s="380"/>
    </row>
    <row r="30">
      <c r="A30" s="375"/>
      <c r="B30" s="454" t="s">
        <v>721</v>
      </c>
      <c r="C30" s="460">
        <f>SUM(C21:C29)</f>
        <v>4007.66</v>
      </c>
      <c r="D30" s="440"/>
      <c r="E30" s="419"/>
      <c r="F30" s="419"/>
      <c r="G30" s="419"/>
      <c r="H30" s="429"/>
      <c r="I30" s="376"/>
      <c r="J30" s="458" t="s">
        <v>721</v>
      </c>
      <c r="K30" s="460">
        <f>SUM(K21:K29)</f>
        <v>0</v>
      </c>
      <c r="L30" s="440"/>
      <c r="M30" s="419"/>
      <c r="N30" s="431"/>
      <c r="O30" s="432"/>
      <c r="P30" s="429"/>
      <c r="Q30" s="378"/>
      <c r="R30" s="378"/>
      <c r="S30" s="378"/>
      <c r="T30" s="378"/>
      <c r="U30" s="378"/>
      <c r="V30" s="378"/>
      <c r="W30" s="378"/>
      <c r="X30" s="378"/>
      <c r="Y30" s="378"/>
      <c r="Z30" s="378"/>
      <c r="AA30" s="378"/>
      <c r="AB30" s="378"/>
      <c r="AC30" s="378"/>
      <c r="AD30" s="378"/>
      <c r="AE30" s="398" t="s">
        <v>847</v>
      </c>
      <c r="AF30" s="380"/>
      <c r="AG30" s="380"/>
    </row>
    <row r="31">
      <c r="A31" s="378"/>
      <c r="B31" s="471"/>
      <c r="C31" s="472"/>
      <c r="D31" s="472"/>
      <c r="E31" s="472"/>
      <c r="F31" s="472"/>
      <c r="G31" s="472"/>
      <c r="H31" s="473"/>
      <c r="I31" s="376"/>
      <c r="J31" s="474"/>
      <c r="K31" s="472"/>
      <c r="L31" s="472"/>
      <c r="M31" s="472"/>
      <c r="N31" s="475"/>
      <c r="O31" s="476"/>
      <c r="P31" s="473"/>
      <c r="Q31" s="378"/>
      <c r="R31" s="378"/>
      <c r="S31" s="378"/>
      <c r="T31" s="378"/>
      <c r="U31" s="378"/>
      <c r="V31" s="378"/>
      <c r="W31" s="378"/>
      <c r="X31" s="378"/>
      <c r="Y31" s="378"/>
      <c r="Z31" s="378"/>
      <c r="AA31" s="378"/>
      <c r="AB31" s="378"/>
      <c r="AC31" s="378"/>
      <c r="AD31" s="378"/>
      <c r="AE31" s="398" t="s">
        <v>848</v>
      </c>
      <c r="AF31" s="380"/>
      <c r="AG31" s="380"/>
    </row>
    <row r="32">
      <c r="A32" s="378"/>
      <c r="B32" s="477"/>
      <c r="C32" s="378"/>
      <c r="D32" s="378"/>
      <c r="E32" s="378"/>
      <c r="F32" s="378"/>
      <c r="G32" s="378"/>
      <c r="H32" s="378"/>
      <c r="I32" s="376"/>
      <c r="J32" s="381"/>
      <c r="K32" s="378"/>
      <c r="L32" s="378"/>
      <c r="M32" s="478"/>
      <c r="N32" s="379"/>
      <c r="O32" s="380"/>
      <c r="P32" s="378"/>
      <c r="Q32" s="378"/>
      <c r="R32" s="378"/>
      <c r="S32" s="378"/>
      <c r="T32" s="378"/>
      <c r="U32" s="378"/>
      <c r="V32" s="378"/>
      <c r="W32" s="378"/>
      <c r="X32" s="378"/>
      <c r="Y32" s="378"/>
      <c r="Z32" s="378"/>
      <c r="AA32" s="378"/>
      <c r="AB32" s="378"/>
      <c r="AC32" s="378"/>
      <c r="AD32" s="378"/>
      <c r="AE32" s="378"/>
      <c r="AF32" s="378"/>
      <c r="AG32" s="378"/>
    </row>
    <row r="33">
      <c r="A33" s="378"/>
      <c r="B33" s="477"/>
      <c r="C33" s="378"/>
      <c r="D33" s="378"/>
      <c r="E33" s="378"/>
      <c r="F33" s="378"/>
      <c r="G33" s="378"/>
      <c r="H33" s="378"/>
      <c r="I33" s="376"/>
      <c r="J33" s="381"/>
      <c r="K33" s="378"/>
      <c r="L33" s="378"/>
      <c r="M33" s="478"/>
      <c r="N33" s="379"/>
      <c r="O33" s="380"/>
      <c r="P33" s="378"/>
      <c r="Q33" s="378"/>
      <c r="R33" s="378"/>
      <c r="S33" s="378"/>
      <c r="T33" s="378"/>
      <c r="U33" s="378"/>
      <c r="V33" s="378"/>
      <c r="W33" s="378"/>
      <c r="X33" s="378"/>
      <c r="Y33" s="378"/>
      <c r="Z33" s="378"/>
      <c r="AA33" s="378"/>
      <c r="AB33" s="378"/>
      <c r="AC33" s="378"/>
      <c r="AD33" s="378"/>
      <c r="AE33" s="378"/>
      <c r="AF33" s="378"/>
      <c r="AG33" s="378"/>
    </row>
    <row r="34">
      <c r="A34" s="374">
        <v>2.0</v>
      </c>
      <c r="B34" s="382"/>
      <c r="C34" s="479"/>
      <c r="D34" s="480"/>
      <c r="E34" s="385" t="s">
        <v>700</v>
      </c>
      <c r="F34" s="385" t="str">
        <f>Board!A2</f>
        <v>11.17.25-11.23.25</v>
      </c>
      <c r="G34" s="213"/>
      <c r="H34" s="211"/>
      <c r="I34" s="386">
        <v>2.0</v>
      </c>
      <c r="J34" s="481"/>
      <c r="K34" s="482"/>
      <c r="L34" s="483"/>
      <c r="M34" s="484" t="s">
        <v>700</v>
      </c>
      <c r="N34" s="484" t="str">
        <f>Board!A2</f>
        <v>11.17.25-11.23.25</v>
      </c>
      <c r="O34" s="213"/>
      <c r="P34" s="211"/>
      <c r="Q34" s="378"/>
      <c r="R34" s="389" t="s">
        <v>831</v>
      </c>
      <c r="S34" s="389" t="s">
        <v>652</v>
      </c>
      <c r="T34" s="390" t="s">
        <v>832</v>
      </c>
      <c r="U34" s="391" t="s">
        <v>833</v>
      </c>
      <c r="V34" s="389" t="s">
        <v>655</v>
      </c>
      <c r="W34" s="389" t="s">
        <v>8</v>
      </c>
      <c r="X34" s="389" t="s">
        <v>656</v>
      </c>
      <c r="Y34" s="390" t="s">
        <v>834</v>
      </c>
      <c r="Z34" s="392" t="s">
        <v>835</v>
      </c>
      <c r="AA34" s="390" t="s">
        <v>836</v>
      </c>
      <c r="AB34" s="390" t="s">
        <v>837</v>
      </c>
      <c r="AC34" s="393" t="s">
        <v>716</v>
      </c>
      <c r="AD34" s="393" t="s">
        <v>717</v>
      </c>
      <c r="AE34" s="393" t="s">
        <v>718</v>
      </c>
      <c r="AF34" s="394" t="s">
        <v>838</v>
      </c>
      <c r="AG34" s="394"/>
    </row>
    <row r="35">
      <c r="A35" s="372"/>
      <c r="B35" s="395"/>
      <c r="C35" s="372"/>
      <c r="D35" s="396"/>
      <c r="E35" s="385" t="s">
        <v>702</v>
      </c>
      <c r="F35" s="385" t="str">
        <f t="array" ref="F35">XLOOKUP(F36,Board!K:K,Board!J:J)</f>
        <v>FERHAT BAL</v>
      </c>
      <c r="G35" s="213"/>
      <c r="H35" s="211"/>
      <c r="I35" s="376"/>
      <c r="J35" s="485"/>
      <c r="K35" s="486"/>
      <c r="L35" s="487"/>
      <c r="M35" s="484" t="s">
        <v>351</v>
      </c>
      <c r="N35" s="484"/>
      <c r="O35" s="213"/>
      <c r="P35" s="211"/>
      <c r="Q35" s="378"/>
      <c r="R35" s="398">
        <f>I34</f>
        <v>2</v>
      </c>
      <c r="S35" s="398">
        <f>F36</f>
        <v>6643</v>
      </c>
      <c r="T35" s="399">
        <f>G56</f>
        <v>4276.12</v>
      </c>
      <c r="U35" s="378" t="str">
        <f>N35</f>
        <v/>
      </c>
      <c r="V35" s="380" t="str">
        <f>O56</f>
        <v/>
      </c>
      <c r="W35" s="399" t="str">
        <f>P44</f>
        <v/>
      </c>
      <c r="X35" s="399">
        <f>C55</f>
        <v>1727.24</v>
      </c>
      <c r="Y35" s="378" t="str">
        <f>N44</f>
        <v/>
      </c>
      <c r="Z35" s="399">
        <f>V36-V35</f>
        <v>4276.12</v>
      </c>
      <c r="AA35" s="378"/>
      <c r="AB35" s="378"/>
      <c r="AC35" s="401">
        <f>C52</f>
        <v>150</v>
      </c>
      <c r="AD35" s="401">
        <f>C53</f>
        <v>400</v>
      </c>
      <c r="AE35" s="401" t="str">
        <f>C54</f>
        <v/>
      </c>
      <c r="AF35" s="398">
        <f>C56+C57+C58+C59+C60</f>
        <v>0</v>
      </c>
      <c r="AG35" s="398"/>
    </row>
    <row r="36">
      <c r="A36" s="372"/>
      <c r="B36" s="395"/>
      <c r="C36" s="372"/>
      <c r="D36" s="402"/>
      <c r="E36" s="385" t="s">
        <v>703</v>
      </c>
      <c r="F36" s="385">
        <v>6643.0</v>
      </c>
      <c r="G36" s="213"/>
      <c r="H36" s="211"/>
      <c r="I36" s="376"/>
      <c r="J36" s="485"/>
      <c r="K36" s="486"/>
      <c r="L36" s="488"/>
      <c r="M36" s="484" t="s">
        <v>703</v>
      </c>
      <c r="N36" s="484"/>
      <c r="O36" s="213"/>
      <c r="P36" s="211"/>
      <c r="Q36" s="378"/>
      <c r="R36" s="378"/>
      <c r="S36" s="378"/>
      <c r="T36" s="378"/>
      <c r="U36" s="378" t="str">
        <f>F35</f>
        <v>FERHAT BAL</v>
      </c>
      <c r="V36" s="399">
        <f>G56</f>
        <v>4276.12</v>
      </c>
      <c r="W36" s="399">
        <f>H44</f>
        <v>6553.36</v>
      </c>
      <c r="X36" s="378"/>
      <c r="Y36" s="378"/>
      <c r="Z36" s="378"/>
      <c r="AA36" s="378"/>
      <c r="AB36" s="378"/>
      <c r="AC36" s="378"/>
      <c r="AD36" s="378"/>
      <c r="AE36" s="378"/>
      <c r="AF36" s="378"/>
      <c r="AG36" s="378"/>
    </row>
    <row r="37">
      <c r="A37" s="372"/>
      <c r="B37" s="403" t="s">
        <v>704</v>
      </c>
      <c r="C37" s="404" t="s">
        <v>5</v>
      </c>
      <c r="D37" s="405" t="s">
        <v>6</v>
      </c>
      <c r="E37" s="406" t="s">
        <v>7</v>
      </c>
      <c r="F37" s="404" t="s">
        <v>8</v>
      </c>
      <c r="G37" s="404" t="s">
        <v>706</v>
      </c>
      <c r="H37" s="404" t="s">
        <v>707</v>
      </c>
      <c r="I37" s="376"/>
      <c r="J37" s="489" t="s">
        <v>704</v>
      </c>
      <c r="K37" s="490" t="s">
        <v>5</v>
      </c>
      <c r="L37" s="491" t="s">
        <v>6</v>
      </c>
      <c r="M37" s="492" t="s">
        <v>7</v>
      </c>
      <c r="N37" s="490" t="s">
        <v>591</v>
      </c>
      <c r="O37" s="493" t="s">
        <v>839</v>
      </c>
      <c r="P37" s="490" t="s">
        <v>707</v>
      </c>
      <c r="Q37" s="378"/>
      <c r="R37" s="378"/>
      <c r="S37" s="378"/>
      <c r="T37" s="378"/>
      <c r="U37" s="398"/>
      <c r="V37" s="378"/>
      <c r="W37" s="378"/>
      <c r="X37" s="398"/>
      <c r="Y37" s="380"/>
      <c r="Z37" s="380"/>
      <c r="AA37" s="380"/>
      <c r="AB37" s="380"/>
      <c r="AC37" s="380"/>
      <c r="AD37" s="380"/>
      <c r="AE37" s="380"/>
      <c r="AF37" s="380"/>
      <c r="AG37" s="380"/>
    </row>
    <row r="38">
      <c r="A38" s="372"/>
      <c r="B38" s="494">
        <f>IFERROR(__xludf.DUMMYFUNCTION("FILTER(Board!C:G,Board!K:K=F36)"),45978.0)</f>
        <v>45978</v>
      </c>
      <c r="C38" s="411">
        <f>IFERROR(__xludf.DUMMYFUNCTION("""COMPUTED_VALUE"""),5152889.0)</f>
        <v>5152889</v>
      </c>
      <c r="D38" s="411" t="str">
        <f>IFERROR(__xludf.DUMMYFUNCTION("""COMPUTED_VALUE"""),"Bridgeton, NJ, 08302")</f>
        <v>Bridgeton, NJ, 08302</v>
      </c>
      <c r="E38" s="411" t="str">
        <f>IFERROR(__xludf.DUMMYFUNCTION("""COMPUTED_VALUE"""),"Olathe, KS, 66061")</f>
        <v>Olathe, KS, 66061</v>
      </c>
      <c r="F38" s="412">
        <f>IFERROR(__xludf.DUMMYFUNCTION("""COMPUTED_VALUE"""),2597.0)</f>
        <v>2597</v>
      </c>
      <c r="G38" s="413">
        <v>0.88</v>
      </c>
      <c r="H38" s="414">
        <f t="shared" ref="H38:H41" si="3">F38*G38</f>
        <v>2285.36</v>
      </c>
      <c r="I38" s="376"/>
      <c r="J38" s="495"/>
      <c r="K38" s="496"/>
      <c r="L38" s="496"/>
      <c r="M38" s="496"/>
      <c r="N38" s="496"/>
      <c r="O38" s="493"/>
      <c r="P38" s="497"/>
      <c r="Q38" s="378"/>
      <c r="R38" s="378"/>
      <c r="S38" s="378"/>
      <c r="T38" s="378"/>
      <c r="U38" s="379"/>
      <c r="V38" s="378"/>
      <c r="W38" s="378"/>
      <c r="X38" s="378"/>
      <c r="Y38" s="378"/>
      <c r="Z38" s="378"/>
      <c r="AA38" s="378"/>
      <c r="AB38" s="378"/>
      <c r="AC38" s="378"/>
      <c r="AD38" s="378"/>
      <c r="AE38" s="378"/>
      <c r="AF38" s="378"/>
      <c r="AG38" s="378"/>
    </row>
    <row r="39">
      <c r="A39" s="372"/>
      <c r="B39" s="410">
        <f>IFERROR(__xludf.DUMMYFUNCTION("""COMPUTED_VALUE"""),45981.0)</f>
        <v>45981</v>
      </c>
      <c r="C39" s="411">
        <f>IFERROR(__xludf.DUMMYFUNCTION("""COMPUTED_VALUE"""),2172003.0)</f>
        <v>2172003</v>
      </c>
      <c r="D39" s="411" t="str">
        <f>IFERROR(__xludf.DUMMYFUNCTION("""COMPUTED_VALUE"""),"Kansas City, MO, 64161")</f>
        <v>Kansas City, MO, 64161</v>
      </c>
      <c r="E39" s="411" t="str">
        <f>IFERROR(__xludf.DUMMYFUNCTION("""COMPUTED_VALUE"""),"Charlotte, NC, 28214")</f>
        <v>Charlotte, NC, 28214</v>
      </c>
      <c r="F39" s="412">
        <f>IFERROR(__xludf.DUMMYFUNCTION("""COMPUTED_VALUE"""),3100.0)</f>
        <v>3100</v>
      </c>
      <c r="G39" s="413">
        <v>0.88</v>
      </c>
      <c r="H39" s="414">
        <f t="shared" si="3"/>
        <v>2728</v>
      </c>
      <c r="I39" s="376"/>
      <c r="J39" s="498"/>
      <c r="K39" s="496"/>
      <c r="L39" s="496"/>
      <c r="M39" s="496"/>
      <c r="N39" s="496"/>
      <c r="O39" s="493"/>
      <c r="P39" s="497"/>
      <c r="Q39" s="378"/>
      <c r="R39" s="378"/>
      <c r="S39" s="378"/>
      <c r="T39" s="378"/>
      <c r="U39" s="378"/>
      <c r="V39" s="378"/>
      <c r="W39" s="378"/>
      <c r="X39" s="378"/>
      <c r="Y39" s="378"/>
      <c r="Z39" s="378"/>
      <c r="AA39" s="378"/>
      <c r="AB39" s="378"/>
      <c r="AC39" s="378"/>
      <c r="AD39" s="378"/>
      <c r="AE39" s="378"/>
      <c r="AF39" s="378"/>
      <c r="AG39" s="378"/>
    </row>
    <row r="40">
      <c r="A40" s="375"/>
      <c r="B40" s="499">
        <f>IFERROR(__xludf.DUMMYFUNCTION("""COMPUTED_VALUE"""),45983.0)</f>
        <v>45983</v>
      </c>
      <c r="C40" s="421">
        <f>IFERROR(__xludf.DUMMYFUNCTION("""COMPUTED_VALUE"""),2397726.0)</f>
        <v>2397726</v>
      </c>
      <c r="D40" s="422" t="str">
        <f>IFERROR(__xludf.DUMMYFUNCTION("""COMPUTED_VALUE"""),"Shelby, NC, 28150")</f>
        <v>Shelby, NC, 28150</v>
      </c>
      <c r="E40" s="423" t="str">
        <f>IFERROR(__xludf.DUMMYFUNCTION("""COMPUTED_VALUE"""),"Cincinnati, OH, 45215")</f>
        <v>Cincinnati, OH, 45215</v>
      </c>
      <c r="F40" s="500">
        <f>IFERROR(__xludf.DUMMYFUNCTION("""COMPUTED_VALUE"""),900.0)</f>
        <v>900</v>
      </c>
      <c r="G40" s="413">
        <v>0.88</v>
      </c>
      <c r="H40" s="414">
        <f t="shared" si="3"/>
        <v>792</v>
      </c>
      <c r="I40" s="376"/>
      <c r="J40" s="501"/>
      <c r="K40" s="502"/>
      <c r="L40" s="503"/>
      <c r="M40" s="504"/>
      <c r="N40" s="505"/>
      <c r="O40" s="493"/>
      <c r="P40" s="497"/>
      <c r="Q40" s="378"/>
      <c r="R40" s="378"/>
      <c r="S40" s="378"/>
      <c r="T40" s="378"/>
      <c r="U40" s="378"/>
      <c r="V40" s="378"/>
      <c r="W40" s="378"/>
      <c r="X40" s="378"/>
      <c r="Y40" s="378"/>
      <c r="Z40" s="378"/>
      <c r="AA40" s="378"/>
      <c r="AB40" s="378"/>
      <c r="AC40" s="378"/>
      <c r="AD40" s="378"/>
      <c r="AE40" s="378"/>
      <c r="AF40" s="378"/>
      <c r="AG40" s="378"/>
    </row>
    <row r="41">
      <c r="A41" s="409"/>
      <c r="B41" s="499">
        <f>IFERROR(__xludf.DUMMYFUNCTION("""COMPUTED_VALUE"""),45984.0)</f>
        <v>45984</v>
      </c>
      <c r="C41" s="421" t="str">
        <f>IFERROR(__xludf.DUMMYFUNCTION("""COMPUTED_VALUE"""),"6LL0249")</f>
        <v>6LL0249</v>
      </c>
      <c r="D41" s="422" t="str">
        <f>IFERROR(__xludf.DUMMYFUNCTION("""COMPUTED_VALUE"""),"Monroe, OH, 45050
")</f>
        <v>Monroe, OH, 45050
</v>
      </c>
      <c r="E41" s="423" t="str">
        <f>IFERROR(__xludf.DUMMYFUNCTION("""COMPUTED_VALUE"""),"Beloit, WI, 53511")</f>
        <v>Beloit, WI, 53511</v>
      </c>
      <c r="F41" s="427">
        <f>IFERROR(__xludf.DUMMYFUNCTION("""COMPUTED_VALUE"""),850.0)</f>
        <v>850</v>
      </c>
      <c r="G41" s="413">
        <v>0.88</v>
      </c>
      <c r="H41" s="414">
        <f t="shared" si="3"/>
        <v>748</v>
      </c>
      <c r="I41" s="376"/>
      <c r="J41" s="501"/>
      <c r="K41" s="502"/>
      <c r="L41" s="503"/>
      <c r="M41" s="504"/>
      <c r="N41" s="505"/>
      <c r="O41" s="493"/>
      <c r="P41" s="497"/>
      <c r="Q41" s="378"/>
      <c r="R41" s="378"/>
      <c r="S41" s="378"/>
      <c r="T41" s="378"/>
      <c r="U41" s="378"/>
      <c r="V41" s="378"/>
      <c r="W41" s="378"/>
      <c r="X41" s="378"/>
      <c r="Y41" s="378"/>
      <c r="Z41" s="378"/>
      <c r="AA41" s="378"/>
      <c r="AB41" s="378"/>
      <c r="AC41" s="378"/>
      <c r="AD41" s="378"/>
      <c r="AE41" s="378"/>
      <c r="AF41" s="378"/>
      <c r="AG41" s="378"/>
    </row>
    <row r="42">
      <c r="A42" s="409"/>
      <c r="B42" s="420"/>
      <c r="C42" s="421"/>
      <c r="D42" s="422"/>
      <c r="E42" s="423"/>
      <c r="F42" s="421"/>
      <c r="G42" s="413"/>
      <c r="H42" s="414"/>
      <c r="I42" s="376"/>
      <c r="J42" s="501"/>
      <c r="K42" s="502"/>
      <c r="L42" s="503"/>
      <c r="M42" s="504"/>
      <c r="N42" s="505"/>
      <c r="O42" s="493"/>
      <c r="P42" s="497"/>
      <c r="Q42" s="378"/>
      <c r="R42" s="378"/>
      <c r="S42" s="378"/>
      <c r="T42" s="378"/>
      <c r="U42" s="378"/>
      <c r="V42" s="378"/>
      <c r="W42" s="378"/>
      <c r="X42" s="378"/>
      <c r="Y42" s="378"/>
      <c r="Z42" s="378"/>
      <c r="AA42" s="378"/>
      <c r="AB42" s="378"/>
      <c r="AC42" s="378"/>
      <c r="AD42" s="378"/>
      <c r="AE42" s="378"/>
      <c r="AF42" s="378"/>
      <c r="AG42" s="378"/>
    </row>
    <row r="43">
      <c r="A43" s="409"/>
      <c r="B43" s="420"/>
      <c r="C43" s="421"/>
      <c r="D43" s="422"/>
      <c r="E43" s="423"/>
      <c r="F43" s="421"/>
      <c r="G43" s="413"/>
      <c r="H43" s="414"/>
      <c r="I43" s="376"/>
      <c r="J43" s="501"/>
      <c r="K43" s="502"/>
      <c r="L43" s="503"/>
      <c r="M43" s="504"/>
      <c r="N43" s="505"/>
      <c r="O43" s="493"/>
      <c r="P43" s="497"/>
      <c r="Q43" s="378"/>
      <c r="R43" s="378"/>
      <c r="S43" s="378"/>
      <c r="T43" s="378"/>
      <c r="U43" s="378"/>
      <c r="V43" s="378"/>
      <c r="W43" s="378"/>
      <c r="X43" s="378"/>
      <c r="Y43" s="378"/>
      <c r="Z43" s="378"/>
      <c r="AA43" s="378"/>
      <c r="AB43" s="378"/>
      <c r="AC43" s="378"/>
      <c r="AD43" s="378"/>
      <c r="AE43" s="378"/>
      <c r="AF43" s="378"/>
      <c r="AG43" s="378"/>
    </row>
    <row r="44">
      <c r="A44" s="419"/>
      <c r="B44" s="403" t="s">
        <v>711</v>
      </c>
      <c r="C44" s="224"/>
      <c r="D44" s="224"/>
      <c r="E44" s="222"/>
      <c r="F44" s="414">
        <f>SUM(F38:F43)</f>
        <v>7447</v>
      </c>
      <c r="G44" s="421"/>
      <c r="H44" s="414">
        <f>SUM(H38:H43)</f>
        <v>6553.36</v>
      </c>
      <c r="I44" s="376"/>
      <c r="J44" s="489"/>
      <c r="K44" s="224"/>
      <c r="L44" s="224"/>
      <c r="M44" s="222"/>
      <c r="N44" s="490"/>
      <c r="O44" s="506"/>
      <c r="P44" s="497"/>
      <c r="Q44" s="378"/>
      <c r="R44" s="378"/>
      <c r="S44" s="378"/>
      <c r="T44" s="378"/>
      <c r="U44" s="378"/>
      <c r="V44" s="378"/>
      <c r="W44" s="378"/>
      <c r="X44" s="378"/>
      <c r="Y44" s="378"/>
      <c r="Z44" s="378"/>
      <c r="AA44" s="378"/>
      <c r="AB44" s="378"/>
      <c r="AC44" s="378"/>
      <c r="AD44" s="378"/>
      <c r="AE44" s="378"/>
      <c r="AF44" s="378"/>
      <c r="AG44" s="378"/>
    </row>
    <row r="45">
      <c r="A45" s="375"/>
      <c r="B45" s="428"/>
      <c r="C45" s="419"/>
      <c r="D45" s="419"/>
      <c r="E45" s="419"/>
      <c r="F45" s="419"/>
      <c r="G45" s="419"/>
      <c r="H45" s="429"/>
      <c r="I45" s="376"/>
      <c r="J45" s="507"/>
      <c r="K45" s="508"/>
      <c r="L45" s="508"/>
      <c r="M45" s="508"/>
      <c r="N45" s="509"/>
      <c r="O45" s="510"/>
      <c r="P45" s="511"/>
      <c r="Q45" s="378"/>
      <c r="R45" s="378"/>
      <c r="S45" s="378"/>
      <c r="T45" s="378"/>
      <c r="U45" s="378"/>
      <c r="V45" s="378"/>
      <c r="W45" s="378"/>
      <c r="X45" s="378"/>
      <c r="Y45" s="378"/>
      <c r="Z45" s="378"/>
      <c r="AA45" s="378"/>
      <c r="AB45" s="378"/>
      <c r="AC45" s="378"/>
      <c r="AD45" s="378"/>
      <c r="AE45" s="378"/>
      <c r="AF45" s="378"/>
      <c r="AG45" s="378"/>
    </row>
    <row r="46">
      <c r="A46" s="419"/>
      <c r="B46" s="433" t="s">
        <v>712</v>
      </c>
      <c r="C46" s="434"/>
      <c r="D46" s="435"/>
      <c r="E46" s="419"/>
      <c r="F46" s="419"/>
      <c r="G46" s="419"/>
      <c r="H46" s="429"/>
      <c r="I46" s="376"/>
      <c r="J46" s="512"/>
      <c r="K46" s="504"/>
      <c r="L46" s="513"/>
      <c r="M46" s="508"/>
      <c r="N46" s="509"/>
      <c r="O46" s="510"/>
      <c r="P46" s="511"/>
      <c r="Q46" s="378"/>
      <c r="R46" s="378"/>
      <c r="S46" s="378"/>
      <c r="T46" s="378"/>
      <c r="U46" s="378"/>
      <c r="V46" s="378"/>
      <c r="W46" s="378"/>
      <c r="X46" s="378"/>
      <c r="Y46" s="378"/>
      <c r="Z46" s="378"/>
      <c r="AA46" s="378"/>
      <c r="AB46" s="378"/>
      <c r="AC46" s="378"/>
      <c r="AD46" s="378"/>
      <c r="AE46" s="378"/>
      <c r="AF46" s="378"/>
      <c r="AG46" s="378"/>
    </row>
    <row r="47">
      <c r="A47" s="375"/>
      <c r="B47" s="438"/>
      <c r="C47" s="439"/>
      <c r="D47" s="440"/>
      <c r="E47" s="419"/>
      <c r="F47" s="419"/>
      <c r="G47" s="419"/>
      <c r="H47" s="429"/>
      <c r="I47" s="376"/>
      <c r="J47" s="489"/>
      <c r="K47" s="514"/>
      <c r="L47" s="515"/>
      <c r="M47" s="508"/>
      <c r="N47" s="509"/>
      <c r="O47" s="510"/>
      <c r="P47" s="511"/>
      <c r="Q47" s="378"/>
      <c r="R47" s="378"/>
      <c r="S47" s="378"/>
      <c r="T47" s="378"/>
      <c r="U47" s="378"/>
      <c r="V47" s="378"/>
      <c r="W47" s="378"/>
      <c r="X47" s="378"/>
      <c r="Y47" s="378"/>
      <c r="Z47" s="378"/>
      <c r="AA47" s="378"/>
      <c r="AB47" s="378"/>
      <c r="AC47" s="378"/>
      <c r="AD47" s="378"/>
      <c r="AE47" s="378"/>
      <c r="AF47" s="378"/>
      <c r="AG47" s="378"/>
    </row>
    <row r="48">
      <c r="A48" s="419"/>
      <c r="B48" s="444"/>
      <c r="C48" s="434"/>
      <c r="D48" s="435"/>
      <c r="E48" s="419"/>
      <c r="F48" s="463"/>
      <c r="G48" s="463"/>
      <c r="H48" s="448"/>
      <c r="I48" s="376"/>
      <c r="J48" s="516"/>
      <c r="K48" s="504"/>
      <c r="L48" s="513"/>
      <c r="M48" s="508"/>
      <c r="N48" s="517"/>
      <c r="O48" s="518"/>
      <c r="P48" s="519"/>
      <c r="Q48" s="378"/>
      <c r="R48" s="378"/>
      <c r="S48" s="378"/>
      <c r="T48" s="378"/>
      <c r="U48" s="378"/>
      <c r="V48" s="378"/>
      <c r="W48" s="378"/>
      <c r="X48" s="378"/>
      <c r="Y48" s="378"/>
      <c r="Z48" s="378"/>
      <c r="AA48" s="378"/>
      <c r="AB48" s="378"/>
      <c r="AC48" s="378"/>
      <c r="AD48" s="378"/>
      <c r="AE48" s="378"/>
      <c r="AF48" s="378"/>
      <c r="AG48" s="378"/>
    </row>
    <row r="49">
      <c r="A49" s="419"/>
      <c r="B49" s="438" t="s">
        <v>714</v>
      </c>
      <c r="C49" s="439">
        <f>SUM(C47:C48)</f>
        <v>0</v>
      </c>
      <c r="D49" s="440"/>
      <c r="E49" s="419"/>
      <c r="F49" s="463"/>
      <c r="G49" s="463"/>
      <c r="H49" s="448"/>
      <c r="I49" s="376"/>
      <c r="J49" s="489"/>
      <c r="K49" s="514"/>
      <c r="L49" s="515"/>
      <c r="M49" s="508"/>
      <c r="N49" s="517"/>
      <c r="O49" s="518"/>
      <c r="P49" s="519"/>
      <c r="Q49" s="378"/>
      <c r="R49" s="378"/>
      <c r="S49" s="378"/>
      <c r="T49" s="378"/>
      <c r="U49" s="378"/>
      <c r="V49" s="378"/>
      <c r="W49" s="378"/>
      <c r="X49" s="378"/>
      <c r="Y49" s="378"/>
      <c r="Z49" s="378"/>
      <c r="AA49" s="378"/>
      <c r="AB49" s="378"/>
      <c r="AC49" s="378"/>
      <c r="AD49" s="378"/>
      <c r="AE49" s="378"/>
      <c r="AF49" s="378"/>
      <c r="AG49" s="378"/>
    </row>
    <row r="50">
      <c r="A50" s="375"/>
      <c r="B50" s="450"/>
      <c r="C50" s="451"/>
      <c r="D50" s="419"/>
      <c r="E50" s="419"/>
      <c r="F50" s="463"/>
      <c r="G50" s="463"/>
      <c r="H50" s="448"/>
      <c r="I50" s="376"/>
      <c r="J50" s="516"/>
      <c r="K50" s="520"/>
      <c r="L50" s="508"/>
      <c r="M50" s="508"/>
      <c r="N50" s="517"/>
      <c r="O50" s="518"/>
      <c r="P50" s="519"/>
      <c r="Q50" s="378"/>
      <c r="R50" s="378"/>
      <c r="S50" s="378"/>
      <c r="T50" s="378"/>
      <c r="U50" s="378"/>
      <c r="V50" s="378"/>
      <c r="W50" s="378"/>
      <c r="X50" s="378"/>
      <c r="Y50" s="378"/>
      <c r="Z50" s="378"/>
      <c r="AA50" s="378"/>
      <c r="AB50" s="378"/>
      <c r="AC50" s="378"/>
      <c r="AD50" s="378"/>
      <c r="AE50" s="378"/>
      <c r="AF50" s="378"/>
      <c r="AG50" s="378"/>
    </row>
    <row r="51">
      <c r="A51" s="419"/>
      <c r="B51" s="454" t="s">
        <v>715</v>
      </c>
      <c r="C51" s="455"/>
      <c r="D51" s="521"/>
      <c r="E51" s="419"/>
      <c r="F51" s="463"/>
      <c r="G51" s="463"/>
      <c r="H51" s="448"/>
      <c r="I51" s="376"/>
      <c r="J51" s="512"/>
      <c r="K51" s="504"/>
      <c r="L51" s="513"/>
      <c r="M51" s="508"/>
      <c r="N51" s="517"/>
      <c r="O51" s="518"/>
      <c r="P51" s="519"/>
      <c r="Q51" s="378"/>
      <c r="R51" s="378"/>
      <c r="S51" s="378"/>
      <c r="T51" s="378"/>
      <c r="U51" s="378"/>
      <c r="V51" s="378"/>
      <c r="W51" s="378"/>
      <c r="X51" s="378"/>
      <c r="Y51" s="378"/>
      <c r="Z51" s="378"/>
      <c r="AA51" s="378"/>
      <c r="AB51" s="378"/>
      <c r="AC51" s="378"/>
      <c r="AD51" s="378"/>
      <c r="AE51" s="378"/>
      <c r="AF51" s="378"/>
      <c r="AG51" s="378"/>
    </row>
    <row r="52">
      <c r="A52" s="375"/>
      <c r="B52" s="459" t="s">
        <v>716</v>
      </c>
      <c r="C52" s="460">
        <v>150.0</v>
      </c>
      <c r="D52" s="440"/>
      <c r="E52" s="419"/>
      <c r="F52" s="463"/>
      <c r="G52" s="463"/>
      <c r="H52" s="448"/>
      <c r="I52" s="376"/>
      <c r="J52" s="489"/>
      <c r="K52" s="514"/>
      <c r="L52" s="515"/>
      <c r="M52" s="508"/>
      <c r="N52" s="517"/>
      <c r="O52" s="518"/>
      <c r="P52" s="519"/>
      <c r="Q52" s="378"/>
      <c r="R52" s="378"/>
      <c r="S52" s="378"/>
      <c r="T52" s="378"/>
      <c r="U52" s="378"/>
      <c r="V52" s="378"/>
      <c r="W52" s="378"/>
      <c r="X52" s="378"/>
      <c r="Y52" s="378"/>
      <c r="Z52" s="378"/>
      <c r="AA52" s="378"/>
      <c r="AB52" s="378"/>
      <c r="AC52" s="378"/>
      <c r="AD52" s="378"/>
      <c r="AE52" s="378"/>
      <c r="AF52" s="378"/>
      <c r="AG52" s="378"/>
    </row>
    <row r="53">
      <c r="A53" s="375"/>
      <c r="B53" s="459" t="s">
        <v>717</v>
      </c>
      <c r="C53" s="460">
        <v>400.0</v>
      </c>
      <c r="D53" s="440"/>
      <c r="E53" s="419"/>
      <c r="F53" s="463"/>
      <c r="G53" s="463"/>
      <c r="H53" s="448"/>
      <c r="I53" s="376"/>
      <c r="J53" s="489"/>
      <c r="K53" s="514"/>
      <c r="L53" s="515"/>
      <c r="M53" s="508"/>
      <c r="N53" s="517"/>
      <c r="O53" s="518"/>
      <c r="P53" s="519"/>
      <c r="Q53" s="378"/>
      <c r="R53" s="378"/>
      <c r="S53" s="378"/>
      <c r="T53" s="378"/>
      <c r="U53" s="378"/>
      <c r="V53" s="378"/>
      <c r="W53" s="378"/>
      <c r="X53" s="378"/>
      <c r="Y53" s="378"/>
      <c r="Z53" s="378"/>
      <c r="AA53" s="378"/>
      <c r="AB53" s="378"/>
      <c r="AC53" s="378"/>
      <c r="AD53" s="378"/>
      <c r="AE53" s="378"/>
      <c r="AF53" s="378"/>
      <c r="AG53" s="378"/>
    </row>
    <row r="54">
      <c r="A54" s="375"/>
      <c r="B54" s="459" t="s">
        <v>718</v>
      </c>
      <c r="C54" s="460"/>
      <c r="D54" s="440"/>
      <c r="E54" s="419"/>
      <c r="F54" s="463"/>
      <c r="G54" s="463"/>
      <c r="H54" s="448"/>
      <c r="I54" s="376"/>
      <c r="J54" s="489"/>
      <c r="K54" s="514"/>
      <c r="L54" s="515"/>
      <c r="M54" s="508"/>
      <c r="N54" s="517"/>
      <c r="O54" s="518"/>
      <c r="P54" s="519"/>
      <c r="Q54" s="378"/>
      <c r="R54" s="378"/>
      <c r="S54" s="378"/>
      <c r="T54" s="378"/>
      <c r="U54" s="378"/>
      <c r="V54" s="378"/>
      <c r="W54" s="378"/>
      <c r="X54" s="378"/>
      <c r="Y54" s="378"/>
      <c r="Z54" s="378"/>
      <c r="AA54" s="378"/>
      <c r="AB54" s="378"/>
      <c r="AC54" s="378"/>
      <c r="AD54" s="378"/>
      <c r="AE54" s="378"/>
      <c r="AF54" s="378"/>
      <c r="AG54" s="378"/>
    </row>
    <row r="55">
      <c r="A55" s="375"/>
      <c r="B55" s="459" t="s">
        <v>656</v>
      </c>
      <c r="C55" s="460">
        <f>IFERROR(__xludf.DUMMYFUNCTION("FILTER(D967:D995,C967:C995=F36)"),1727.24)</f>
        <v>1727.24</v>
      </c>
      <c r="D55" s="440"/>
      <c r="E55" s="419"/>
      <c r="F55" s="463"/>
      <c r="G55" s="463"/>
      <c r="H55" s="448"/>
      <c r="I55" s="376"/>
      <c r="J55" s="489"/>
      <c r="K55" s="514"/>
      <c r="L55" s="515"/>
      <c r="M55" s="508"/>
      <c r="N55" s="517"/>
      <c r="O55" s="518"/>
      <c r="P55" s="519"/>
      <c r="Q55" s="378"/>
      <c r="R55" s="378"/>
      <c r="S55" s="378"/>
      <c r="T55" s="378"/>
      <c r="U55" s="378"/>
      <c r="V55" s="378"/>
      <c r="W55" s="378"/>
      <c r="X55" s="378"/>
      <c r="Y55" s="378"/>
      <c r="Z55" s="378"/>
      <c r="AA55" s="378"/>
      <c r="AB55" s="378"/>
      <c r="AC55" s="378"/>
      <c r="AD55" s="378"/>
      <c r="AE55" s="378"/>
      <c r="AF55" s="378"/>
      <c r="AG55" s="378"/>
    </row>
    <row r="56">
      <c r="A56" s="375"/>
      <c r="B56" s="464"/>
      <c r="C56" s="455"/>
      <c r="D56" s="435"/>
      <c r="E56" s="419"/>
      <c r="F56" s="468" t="s">
        <v>842</v>
      </c>
      <c r="G56" s="466">
        <f>H44+C49-C61</f>
        <v>4276.12</v>
      </c>
      <c r="H56" s="211"/>
      <c r="I56" s="376"/>
      <c r="J56" s="501"/>
      <c r="K56" s="504"/>
      <c r="L56" s="513"/>
      <c r="M56" s="508"/>
      <c r="N56" s="522"/>
      <c r="O56" s="523"/>
      <c r="P56" s="211"/>
      <c r="Q56" s="378"/>
      <c r="R56" s="378"/>
      <c r="S56" s="378"/>
      <c r="T56" s="378"/>
      <c r="U56" s="378"/>
      <c r="V56" s="378"/>
      <c r="W56" s="378"/>
      <c r="X56" s="378"/>
      <c r="Y56" s="378"/>
      <c r="Z56" s="378"/>
      <c r="AA56" s="378"/>
      <c r="AB56" s="378"/>
      <c r="AC56" s="378"/>
      <c r="AD56" s="378"/>
      <c r="AE56" s="378"/>
      <c r="AF56" s="378"/>
      <c r="AG56" s="378"/>
    </row>
    <row r="57">
      <c r="A57" s="419"/>
      <c r="B57" s="464"/>
      <c r="C57" s="455"/>
      <c r="D57" s="435"/>
      <c r="E57" s="419"/>
      <c r="F57" s="469" t="s">
        <v>843</v>
      </c>
      <c r="G57" s="278"/>
      <c r="H57" s="56"/>
      <c r="I57" s="376"/>
      <c r="J57" s="501"/>
      <c r="K57" s="504"/>
      <c r="L57" s="513"/>
      <c r="M57" s="508"/>
      <c r="N57" s="55"/>
      <c r="O57" s="278"/>
      <c r="P57" s="56"/>
      <c r="Q57" s="378"/>
      <c r="R57" s="378"/>
      <c r="S57" s="378"/>
      <c r="T57" s="378"/>
      <c r="U57" s="378"/>
      <c r="V57" s="378"/>
      <c r="W57" s="378"/>
      <c r="X57" s="378"/>
      <c r="Y57" s="378"/>
      <c r="Z57" s="378"/>
      <c r="AA57" s="378"/>
      <c r="AB57" s="378"/>
      <c r="AC57" s="378"/>
      <c r="AD57" s="378"/>
      <c r="AE57" s="378"/>
      <c r="AF57" s="378"/>
      <c r="AG57" s="378"/>
    </row>
    <row r="58">
      <c r="A58" s="419"/>
      <c r="B58" s="464"/>
      <c r="C58" s="455"/>
      <c r="D58" s="435"/>
      <c r="E58" s="419"/>
      <c r="F58" s="470"/>
      <c r="G58" s="215"/>
      <c r="H58" s="64"/>
      <c r="I58" s="376"/>
      <c r="J58" s="501"/>
      <c r="K58" s="504"/>
      <c r="L58" s="513"/>
      <c r="M58" s="508"/>
      <c r="N58" s="60"/>
      <c r="O58" s="215"/>
      <c r="P58" s="64"/>
      <c r="Q58" s="378"/>
      <c r="R58" s="378"/>
      <c r="S58" s="378"/>
      <c r="T58" s="378"/>
      <c r="U58" s="378"/>
      <c r="V58" s="378"/>
      <c r="W58" s="378"/>
      <c r="X58" s="378"/>
      <c r="Y58" s="378"/>
      <c r="Z58" s="378"/>
      <c r="AA58" s="378"/>
      <c r="AB58" s="378"/>
      <c r="AC58" s="378"/>
      <c r="AD58" s="378"/>
      <c r="AE58" s="378"/>
      <c r="AF58" s="378"/>
      <c r="AG58" s="378"/>
    </row>
    <row r="59">
      <c r="A59" s="419"/>
      <c r="B59" s="464"/>
      <c r="C59" s="455"/>
      <c r="D59" s="435"/>
      <c r="E59" s="419"/>
      <c r="F59" s="419"/>
      <c r="G59" s="419"/>
      <c r="H59" s="429"/>
      <c r="I59" s="376"/>
      <c r="J59" s="501"/>
      <c r="K59" s="504"/>
      <c r="L59" s="513"/>
      <c r="M59" s="508"/>
      <c r="N59" s="509"/>
      <c r="O59" s="510"/>
      <c r="P59" s="511"/>
      <c r="Q59" s="378"/>
      <c r="R59" s="378"/>
      <c r="S59" s="378"/>
      <c r="T59" s="378"/>
      <c r="U59" s="378"/>
      <c r="V59" s="378"/>
      <c r="W59" s="378"/>
      <c r="X59" s="378"/>
      <c r="Y59" s="378"/>
      <c r="Z59" s="378"/>
      <c r="AA59" s="378"/>
      <c r="AB59" s="378"/>
      <c r="AC59" s="378"/>
      <c r="AD59" s="378"/>
      <c r="AE59" s="378"/>
      <c r="AF59" s="378"/>
      <c r="AG59" s="378"/>
    </row>
    <row r="60">
      <c r="A60" s="419"/>
      <c r="B60" s="464"/>
      <c r="C60" s="455"/>
      <c r="D60" s="435"/>
      <c r="E60" s="419"/>
      <c r="F60" s="419"/>
      <c r="G60" s="419"/>
      <c r="H60" s="429"/>
      <c r="I60" s="376"/>
      <c r="J60" s="501"/>
      <c r="K60" s="504"/>
      <c r="L60" s="513"/>
      <c r="M60" s="508"/>
      <c r="N60" s="509"/>
      <c r="O60" s="510"/>
      <c r="P60" s="511"/>
      <c r="Q60" s="378"/>
      <c r="R60" s="378"/>
      <c r="S60" s="378"/>
      <c r="T60" s="378"/>
      <c r="U60" s="378"/>
      <c r="V60" s="378"/>
      <c r="W60" s="378"/>
      <c r="X60" s="378"/>
      <c r="Y60" s="378"/>
      <c r="Z60" s="378"/>
      <c r="AA60" s="378"/>
      <c r="AB60" s="378"/>
      <c r="AC60" s="378"/>
      <c r="AD60" s="378"/>
      <c r="AE60" s="378"/>
      <c r="AF60" s="378"/>
      <c r="AG60" s="378"/>
    </row>
    <row r="61">
      <c r="A61" s="419"/>
      <c r="B61" s="454" t="s">
        <v>721</v>
      </c>
      <c r="C61" s="460">
        <f>SUM(C52:C60)</f>
        <v>2277.24</v>
      </c>
      <c r="D61" s="440"/>
      <c r="E61" s="419"/>
      <c r="F61" s="419"/>
      <c r="G61" s="419"/>
      <c r="H61" s="429"/>
      <c r="I61" s="376"/>
      <c r="J61" s="512"/>
      <c r="K61" s="514"/>
      <c r="L61" s="515"/>
      <c r="M61" s="508"/>
      <c r="N61" s="509"/>
      <c r="O61" s="510"/>
      <c r="P61" s="511"/>
      <c r="Q61" s="378"/>
      <c r="R61" s="378"/>
      <c r="S61" s="378"/>
      <c r="T61" s="378"/>
      <c r="U61" s="378"/>
      <c r="V61" s="378"/>
      <c r="W61" s="378"/>
      <c r="X61" s="378"/>
      <c r="Y61" s="378"/>
      <c r="Z61" s="378"/>
      <c r="AA61" s="378"/>
      <c r="AB61" s="378"/>
      <c r="AC61" s="378"/>
      <c r="AD61" s="378"/>
      <c r="AE61" s="378"/>
      <c r="AF61" s="378"/>
      <c r="AG61" s="378"/>
    </row>
    <row r="62">
      <c r="A62" s="375"/>
      <c r="B62" s="471"/>
      <c r="C62" s="472"/>
      <c r="D62" s="472"/>
      <c r="E62" s="472"/>
      <c r="F62" s="472"/>
      <c r="G62" s="472"/>
      <c r="H62" s="473"/>
      <c r="I62" s="376"/>
      <c r="J62" s="524"/>
      <c r="K62" s="525"/>
      <c r="L62" s="525"/>
      <c r="M62" s="525"/>
      <c r="N62" s="526"/>
      <c r="O62" s="527"/>
      <c r="P62" s="528"/>
      <c r="Q62" s="378"/>
      <c r="R62" s="378"/>
      <c r="S62" s="378"/>
      <c r="T62" s="378"/>
      <c r="U62" s="378"/>
      <c r="V62" s="378"/>
      <c r="W62" s="378"/>
      <c r="X62" s="378"/>
      <c r="Y62" s="378"/>
      <c r="Z62" s="378"/>
      <c r="AA62" s="378"/>
      <c r="AB62" s="378"/>
      <c r="AC62" s="378"/>
      <c r="AD62" s="378"/>
      <c r="AE62" s="378"/>
      <c r="AF62" s="378"/>
      <c r="AG62" s="378"/>
    </row>
    <row r="63">
      <c r="A63" s="372"/>
      <c r="B63" s="373"/>
      <c r="C63" s="372"/>
      <c r="D63" s="374"/>
      <c r="E63" s="372"/>
      <c r="F63" s="375"/>
      <c r="G63" s="375"/>
      <c r="H63" s="375"/>
      <c r="I63" s="376"/>
      <c r="J63" s="377"/>
      <c r="K63" s="378"/>
      <c r="L63" s="378"/>
      <c r="M63" s="478"/>
      <c r="N63" s="379"/>
      <c r="O63" s="380"/>
      <c r="P63" s="378"/>
      <c r="Q63" s="378"/>
      <c r="R63" s="378"/>
      <c r="S63" s="378"/>
      <c r="T63" s="378"/>
      <c r="U63" s="378"/>
      <c r="V63" s="378"/>
      <c r="W63" s="378"/>
      <c r="X63" s="378"/>
      <c r="Y63" s="378"/>
      <c r="Z63" s="378"/>
      <c r="AA63" s="378"/>
      <c r="AB63" s="378"/>
      <c r="AC63" s="378"/>
      <c r="AD63" s="378"/>
      <c r="AE63" s="378"/>
      <c r="AF63" s="378"/>
      <c r="AG63" s="378"/>
    </row>
    <row r="64">
      <c r="A64" s="372"/>
      <c r="B64" s="373"/>
      <c r="C64" s="372"/>
      <c r="D64" s="374"/>
      <c r="E64" s="372"/>
      <c r="F64" s="375"/>
      <c r="G64" s="529">
        <v>2653.0</v>
      </c>
      <c r="H64" s="529" t="s">
        <v>849</v>
      </c>
      <c r="I64" s="376"/>
      <c r="J64" s="377"/>
      <c r="K64" s="378"/>
      <c r="L64" s="378"/>
      <c r="M64" s="478"/>
      <c r="N64" s="379"/>
      <c r="O64" s="380"/>
      <c r="P64" s="378"/>
      <c r="Q64" s="378"/>
      <c r="R64" s="378"/>
      <c r="S64" s="378"/>
      <c r="T64" s="378"/>
      <c r="U64" s="378"/>
      <c r="V64" s="378"/>
      <c r="W64" s="378"/>
      <c r="X64" s="378"/>
      <c r="Y64" s="378"/>
      <c r="Z64" s="378"/>
      <c r="AA64" s="378"/>
      <c r="AB64" s="378"/>
      <c r="AC64" s="378"/>
      <c r="AD64" s="378"/>
      <c r="AE64" s="378"/>
      <c r="AF64" s="378"/>
      <c r="AG64" s="378"/>
    </row>
    <row r="65">
      <c r="A65" s="372"/>
      <c r="B65" s="382"/>
      <c r="C65" s="388"/>
      <c r="D65" s="384"/>
      <c r="E65" s="385" t="s">
        <v>700</v>
      </c>
      <c r="F65" s="385" t="str">
        <f>Board!A2</f>
        <v>11.17.25-11.23.25</v>
      </c>
      <c r="G65" s="213"/>
      <c r="H65" s="211"/>
      <c r="I65" s="386">
        <v>3.0</v>
      </c>
      <c r="J65" s="387"/>
      <c r="K65" s="388"/>
      <c r="L65" s="384"/>
      <c r="M65" s="385" t="s">
        <v>700</v>
      </c>
      <c r="N65" s="385" t="str">
        <f>Board!A2</f>
        <v>11.17.25-11.23.25</v>
      </c>
      <c r="O65" s="213"/>
      <c r="P65" s="211"/>
      <c r="Q65" s="378"/>
      <c r="R65" s="389" t="s">
        <v>831</v>
      </c>
      <c r="S65" s="389" t="s">
        <v>652</v>
      </c>
      <c r="T65" s="390" t="s">
        <v>832</v>
      </c>
      <c r="U65" s="391" t="s">
        <v>833</v>
      </c>
      <c r="V65" s="389" t="s">
        <v>655</v>
      </c>
      <c r="W65" s="389" t="s">
        <v>8</v>
      </c>
      <c r="X65" s="389" t="s">
        <v>656</v>
      </c>
      <c r="Y65" s="390" t="s">
        <v>834</v>
      </c>
      <c r="Z65" s="392" t="s">
        <v>835</v>
      </c>
      <c r="AA65" s="390" t="s">
        <v>836</v>
      </c>
      <c r="AB65" s="390" t="s">
        <v>837</v>
      </c>
      <c r="AC65" s="393" t="s">
        <v>716</v>
      </c>
      <c r="AD65" s="393" t="s">
        <v>717</v>
      </c>
      <c r="AE65" s="393" t="s">
        <v>718</v>
      </c>
      <c r="AF65" s="394" t="s">
        <v>838</v>
      </c>
      <c r="AG65" s="394"/>
    </row>
    <row r="66">
      <c r="A66" s="374">
        <v>3.0</v>
      </c>
      <c r="B66" s="395"/>
      <c r="C66" s="372"/>
      <c r="D66" s="396"/>
      <c r="E66" s="385" t="s">
        <v>702</v>
      </c>
      <c r="F66" s="385" t="s">
        <v>802</v>
      </c>
      <c r="G66" s="213"/>
      <c r="H66" s="211"/>
      <c r="I66" s="376"/>
      <c r="J66" s="397"/>
      <c r="K66" s="372"/>
      <c r="L66" s="396"/>
      <c r="M66" s="385" t="s">
        <v>351</v>
      </c>
      <c r="N66" s="385" t="str">
        <f t="array" ref="N66">XLOOKUP(N67,Board!K:K,Board!J:J)</f>
        <v>LOUIS JUSTE EMMANUEL</v>
      </c>
      <c r="O66" s="213"/>
      <c r="P66" s="211"/>
      <c r="Q66" s="378"/>
      <c r="R66" s="398">
        <f>I65</f>
        <v>3</v>
      </c>
      <c r="S66" s="398">
        <f>F67</f>
        <v>515</v>
      </c>
      <c r="T66" s="399">
        <f>G87</f>
        <v>-4687.831667</v>
      </c>
      <c r="U66" s="378" t="str">
        <f>N66</f>
        <v>LOUIS JUSTE EMMANUEL</v>
      </c>
      <c r="V66" s="380">
        <f>O87</f>
        <v>269.8</v>
      </c>
      <c r="W66" s="399">
        <f>P75</f>
        <v>685.2</v>
      </c>
      <c r="X66" s="399">
        <f>C86</f>
        <v>1310.84</v>
      </c>
      <c r="Y66" s="400">
        <f>N75</f>
        <v>1142</v>
      </c>
      <c r="Z66" s="399">
        <f>V67-V66</f>
        <v>-4957.631667</v>
      </c>
      <c r="AA66" s="378"/>
      <c r="AB66" s="378"/>
      <c r="AC66" s="401">
        <f>C83</f>
        <v>100</v>
      </c>
      <c r="AD66" s="401">
        <f>C84</f>
        <v>400</v>
      </c>
      <c r="AE66" s="401">
        <f>C85</f>
        <v>0</v>
      </c>
      <c r="AF66" s="530">
        <f>C87+C88+C89+C90+C92</f>
        <v>3807.711667</v>
      </c>
      <c r="AG66" s="398"/>
    </row>
    <row r="67">
      <c r="A67" s="372"/>
      <c r="B67" s="395"/>
      <c r="C67" s="372"/>
      <c r="D67" s="402"/>
      <c r="E67" s="385" t="s">
        <v>703</v>
      </c>
      <c r="F67" s="531">
        <v>515.0</v>
      </c>
      <c r="G67" s="532">
        <v>2653.0</v>
      </c>
      <c r="H67" s="533"/>
      <c r="I67" s="376"/>
      <c r="J67" s="397"/>
      <c r="K67" s="372"/>
      <c r="L67" s="402"/>
      <c r="M67" s="385" t="s">
        <v>703</v>
      </c>
      <c r="N67" s="534">
        <f>F67</f>
        <v>515</v>
      </c>
      <c r="O67" s="532">
        <v>2653.0</v>
      </c>
      <c r="P67" s="533"/>
      <c r="Q67" s="378"/>
      <c r="R67" s="378"/>
      <c r="S67" s="378"/>
      <c r="T67" s="378"/>
      <c r="U67" s="378" t="str">
        <f>F66</f>
        <v>Velox Limo LLC</v>
      </c>
      <c r="V67" s="399">
        <f>G87</f>
        <v>-4687.831667</v>
      </c>
      <c r="W67" s="399">
        <f>H75</f>
        <v>1848</v>
      </c>
      <c r="X67" s="378"/>
      <c r="Y67" s="378"/>
      <c r="Z67" s="378"/>
      <c r="AA67" s="378"/>
      <c r="AB67" s="378"/>
      <c r="AC67" s="378"/>
      <c r="AD67" s="378"/>
      <c r="AE67" s="378"/>
      <c r="AF67" s="378"/>
      <c r="AG67" s="378"/>
    </row>
    <row r="68">
      <c r="A68" s="372"/>
      <c r="B68" s="403" t="s">
        <v>704</v>
      </c>
      <c r="C68" s="404" t="s">
        <v>5</v>
      </c>
      <c r="D68" s="405" t="s">
        <v>6</v>
      </c>
      <c r="E68" s="406" t="s">
        <v>7</v>
      </c>
      <c r="F68" s="404" t="s">
        <v>8</v>
      </c>
      <c r="G68" s="404" t="s">
        <v>706</v>
      </c>
      <c r="H68" s="404" t="s">
        <v>707</v>
      </c>
      <c r="I68" s="376"/>
      <c r="J68" s="407" t="s">
        <v>704</v>
      </c>
      <c r="K68" s="404" t="s">
        <v>5</v>
      </c>
      <c r="L68" s="405" t="s">
        <v>6</v>
      </c>
      <c r="M68" s="406" t="s">
        <v>7</v>
      </c>
      <c r="N68" s="404" t="s">
        <v>591</v>
      </c>
      <c r="O68" s="408" t="s">
        <v>839</v>
      </c>
      <c r="P68" s="404" t="s">
        <v>707</v>
      </c>
      <c r="Q68" s="378"/>
      <c r="R68" s="378"/>
      <c r="S68" s="378"/>
      <c r="T68" s="378"/>
      <c r="U68" s="378"/>
      <c r="V68" s="378"/>
      <c r="W68" s="378"/>
      <c r="X68" s="378"/>
      <c r="Y68" s="378"/>
      <c r="Z68" s="378"/>
      <c r="AA68" s="378"/>
      <c r="AB68" s="378"/>
      <c r="AC68" s="378"/>
      <c r="AD68" s="378"/>
      <c r="AE68" s="378"/>
      <c r="AF68" s="378"/>
      <c r="AG68" s="378"/>
    </row>
    <row r="69">
      <c r="A69" s="372"/>
      <c r="B69" s="410">
        <f>IFERROR(__xludf.DUMMYFUNCTION("FILTER(Board!C:G,Board!K:K=F67)"),45980.0)</f>
        <v>45980</v>
      </c>
      <c r="C69" s="411">
        <f>IFERROR(__xludf.DUMMYFUNCTION("""COMPUTED_VALUE"""),7982712.0)</f>
        <v>7982712</v>
      </c>
      <c r="D69" s="411" t="str">
        <f>IFERROR(__xludf.DUMMYFUNCTION("""COMPUTED_VALUE"""),"Chester, VA, 23836")</f>
        <v>Chester, VA, 23836</v>
      </c>
      <c r="E69" s="411" t="str">
        <f>IFERROR(__xludf.DUMMYFUNCTION("""COMPUTED_VALUE"""),", SC, 29072")</f>
        <v>, SC, 29072</v>
      </c>
      <c r="F69" s="412">
        <f>IFERROR(__xludf.DUMMYFUNCTION("""COMPUTED_VALUE"""),800.0)</f>
        <v>800</v>
      </c>
      <c r="G69" s="413">
        <v>0.88</v>
      </c>
      <c r="H69" s="414">
        <f t="shared" ref="H69:H70" si="4">F69*G69</f>
        <v>704</v>
      </c>
      <c r="I69" s="376"/>
      <c r="J69" s="415">
        <f>IFERROR(__xludf.DUMMYFUNCTION("FILTER(Board!C:F,Board!K:K=N67)"),45980.0)</f>
        <v>45980</v>
      </c>
      <c r="K69" s="411">
        <f>IFERROR(__xludf.DUMMYFUNCTION("""COMPUTED_VALUE"""),7982712.0)</f>
        <v>7982712</v>
      </c>
      <c r="L69" s="411" t="str">
        <f>IFERROR(__xludf.DUMMYFUNCTION("""COMPUTED_VALUE"""),"Chester, VA, 23836")</f>
        <v>Chester, VA, 23836</v>
      </c>
      <c r="M69" s="411" t="str">
        <f>IFERROR(__xludf.DUMMYFUNCTION("""COMPUTED_VALUE"""),", SC, 29072")</f>
        <v>, SC, 29072</v>
      </c>
      <c r="N69" s="416">
        <f>IFERROR(__xludf.DUMMYFUNCTION("FILTER(Board!H:H,Board!K:K=N67)"),433.0)</f>
        <v>433</v>
      </c>
      <c r="O69" s="408">
        <v>0.6</v>
      </c>
      <c r="P69" s="414">
        <f t="shared" ref="P69:P70" si="5">N69*O69</f>
        <v>259.8</v>
      </c>
      <c r="Q69" s="378"/>
      <c r="R69" s="378"/>
      <c r="S69" s="378"/>
      <c r="T69" s="378"/>
      <c r="U69" s="378"/>
      <c r="V69" s="378"/>
      <c r="W69" s="378"/>
      <c r="X69" s="378"/>
      <c r="Y69" s="378"/>
      <c r="Z69" s="378"/>
      <c r="AA69" s="378"/>
      <c r="AB69" s="378"/>
      <c r="AC69" s="378"/>
      <c r="AD69" s="378"/>
      <c r="AE69" s="378"/>
      <c r="AF69" s="378"/>
      <c r="AG69" s="378"/>
    </row>
    <row r="70">
      <c r="A70" s="372"/>
      <c r="B70" s="410">
        <f>IFERROR(__xludf.DUMMYFUNCTION("""COMPUTED_VALUE"""),45981.0)</f>
        <v>45981</v>
      </c>
      <c r="C70" s="411">
        <f>IFERROR(__xludf.DUMMYFUNCTION("""COMPUTED_VALUE"""),2091995.0)</f>
        <v>2091995</v>
      </c>
      <c r="D70" s="411" t="str">
        <f>IFERROR(__xludf.DUMMYFUNCTION("""COMPUTED_VALUE"""),"Kennesaw, GA, 30144")</f>
        <v>Kennesaw, GA, 30144</v>
      </c>
      <c r="E70" s="411" t="str">
        <f>IFERROR(__xludf.DUMMYFUNCTION("""COMPUTED_VALUE"""),"Sumterville, FL, 33585")</f>
        <v>Sumterville, FL, 33585</v>
      </c>
      <c r="F70" s="412">
        <f>IFERROR(__xludf.DUMMYFUNCTION("""COMPUTED_VALUE"""),1300.0)</f>
        <v>1300</v>
      </c>
      <c r="G70" s="413">
        <v>0.88</v>
      </c>
      <c r="H70" s="414">
        <f t="shared" si="4"/>
        <v>1144</v>
      </c>
      <c r="I70" s="376"/>
      <c r="J70" s="418">
        <f>IFERROR(__xludf.DUMMYFUNCTION("""COMPUTED_VALUE"""),45981.0)</f>
        <v>45981</v>
      </c>
      <c r="K70" s="411">
        <f>IFERROR(__xludf.DUMMYFUNCTION("""COMPUTED_VALUE"""),2091995.0)</f>
        <v>2091995</v>
      </c>
      <c r="L70" s="411" t="str">
        <f>IFERROR(__xludf.DUMMYFUNCTION("""COMPUTED_VALUE"""),"Kennesaw, GA, 30144")</f>
        <v>Kennesaw, GA, 30144</v>
      </c>
      <c r="M70" s="411" t="str">
        <f>IFERROR(__xludf.DUMMYFUNCTION("""COMPUTED_VALUE"""),"Sumterville, FL, 33585")</f>
        <v>Sumterville, FL, 33585</v>
      </c>
      <c r="N70" s="416">
        <f>IFERROR(__xludf.DUMMYFUNCTION("""COMPUTED_VALUE"""),709.0)</f>
        <v>709</v>
      </c>
      <c r="O70" s="408">
        <v>0.6</v>
      </c>
      <c r="P70" s="414">
        <f t="shared" si="5"/>
        <v>425.4</v>
      </c>
      <c r="Q70" s="378"/>
      <c r="R70" s="378"/>
      <c r="S70" s="378"/>
      <c r="T70" s="378"/>
      <c r="U70" s="378"/>
      <c r="V70" s="378"/>
      <c r="W70" s="378"/>
      <c r="X70" s="378"/>
      <c r="Y70" s="378"/>
      <c r="Z70" s="378"/>
      <c r="AA70" s="378"/>
      <c r="AB70" s="378"/>
      <c r="AC70" s="378"/>
      <c r="AD70" s="378"/>
      <c r="AE70" s="378"/>
      <c r="AF70" s="378"/>
      <c r="AG70" s="378"/>
    </row>
    <row r="71">
      <c r="A71" s="375"/>
      <c r="B71" s="420"/>
      <c r="C71" s="421"/>
      <c r="D71" s="422"/>
      <c r="E71" s="423"/>
      <c r="F71" s="421"/>
      <c r="G71" s="413"/>
      <c r="H71" s="414"/>
      <c r="I71" s="376"/>
      <c r="J71" s="424"/>
      <c r="K71" s="421"/>
      <c r="L71" s="422"/>
      <c r="M71" s="423"/>
      <c r="N71" s="425"/>
      <c r="O71" s="408"/>
      <c r="P71" s="414"/>
      <c r="Q71" s="378"/>
      <c r="R71" s="378"/>
      <c r="S71" s="378"/>
      <c r="T71" s="378"/>
      <c r="U71" s="378"/>
      <c r="V71" s="378"/>
      <c r="W71" s="378"/>
      <c r="X71" s="378"/>
      <c r="Y71" s="378"/>
      <c r="Z71" s="378"/>
      <c r="AA71" s="378"/>
      <c r="AB71" s="378"/>
      <c r="AC71" s="378"/>
      <c r="AD71" s="378"/>
      <c r="AE71" s="378"/>
      <c r="AF71" s="378"/>
      <c r="AG71" s="378"/>
    </row>
    <row r="72">
      <c r="A72" s="409"/>
      <c r="B72" s="420"/>
      <c r="C72" s="421"/>
      <c r="D72" s="422"/>
      <c r="E72" s="423"/>
      <c r="F72" s="421"/>
      <c r="G72" s="413"/>
      <c r="H72" s="414"/>
      <c r="I72" s="376"/>
      <c r="J72" s="424"/>
      <c r="K72" s="421"/>
      <c r="L72" s="422"/>
      <c r="M72" s="423"/>
      <c r="N72" s="425"/>
      <c r="O72" s="408"/>
      <c r="P72" s="414"/>
      <c r="Q72" s="378"/>
      <c r="R72" s="378"/>
      <c r="S72" s="378"/>
      <c r="T72" s="378"/>
      <c r="U72" s="378"/>
      <c r="V72" s="378"/>
      <c r="W72" s="378"/>
      <c r="X72" s="378"/>
      <c r="Y72" s="378"/>
      <c r="Z72" s="378"/>
      <c r="AA72" s="378"/>
      <c r="AB72" s="378"/>
      <c r="AC72" s="378"/>
      <c r="AD72" s="378"/>
      <c r="AE72" s="378"/>
      <c r="AF72" s="378"/>
      <c r="AG72" s="378"/>
    </row>
    <row r="73">
      <c r="A73" s="409"/>
      <c r="B73" s="420"/>
      <c r="C73" s="421"/>
      <c r="D73" s="422"/>
      <c r="E73" s="423"/>
      <c r="F73" s="421"/>
      <c r="G73" s="413"/>
      <c r="H73" s="414"/>
      <c r="I73" s="376"/>
      <c r="J73" s="424"/>
      <c r="K73" s="421"/>
      <c r="L73" s="422"/>
      <c r="M73" s="423"/>
      <c r="N73" s="425"/>
      <c r="O73" s="408"/>
      <c r="P73" s="414"/>
      <c r="Q73" s="378"/>
      <c r="R73" s="378"/>
      <c r="S73" s="378"/>
      <c r="T73" s="378"/>
      <c r="U73" s="378"/>
      <c r="V73" s="378"/>
      <c r="W73" s="378"/>
      <c r="X73" s="378"/>
      <c r="Y73" s="378"/>
      <c r="Z73" s="378"/>
      <c r="AA73" s="378"/>
      <c r="AB73" s="378"/>
      <c r="AC73" s="378"/>
      <c r="AD73" s="378"/>
      <c r="AE73" s="378"/>
      <c r="AF73" s="378"/>
      <c r="AG73" s="378"/>
    </row>
    <row r="74">
      <c r="A74" s="409"/>
      <c r="B74" s="420"/>
      <c r="C74" s="421"/>
      <c r="D74" s="422"/>
      <c r="E74" s="423"/>
      <c r="F74" s="421"/>
      <c r="G74" s="413"/>
      <c r="H74" s="414"/>
      <c r="I74" s="376"/>
      <c r="J74" s="424"/>
      <c r="K74" s="421"/>
      <c r="L74" s="422"/>
      <c r="M74" s="423"/>
      <c r="N74" s="425"/>
      <c r="O74" s="408"/>
      <c r="P74" s="414"/>
      <c r="Q74" s="378"/>
      <c r="R74" s="378"/>
      <c r="S74" s="378"/>
      <c r="T74" s="378"/>
      <c r="U74" s="378"/>
      <c r="V74" s="378"/>
      <c r="W74" s="378"/>
      <c r="X74" s="378"/>
      <c r="Y74" s="378"/>
      <c r="Z74" s="378"/>
      <c r="AA74" s="378"/>
      <c r="AB74" s="378"/>
      <c r="AC74" s="378"/>
      <c r="AD74" s="378"/>
      <c r="AE74" s="378"/>
      <c r="AF74" s="378"/>
      <c r="AG74" s="378"/>
    </row>
    <row r="75">
      <c r="A75" s="419"/>
      <c r="B75" s="403" t="s">
        <v>711</v>
      </c>
      <c r="C75" s="224"/>
      <c r="D75" s="224"/>
      <c r="E75" s="222"/>
      <c r="F75" s="414">
        <f>SUM(F69:F74)</f>
        <v>2100</v>
      </c>
      <c r="G75" s="421"/>
      <c r="H75" s="414">
        <f>SUM(H69:H74)</f>
        <v>1848</v>
      </c>
      <c r="I75" s="376"/>
      <c r="J75" s="407" t="s">
        <v>711</v>
      </c>
      <c r="K75" s="224"/>
      <c r="L75" s="224"/>
      <c r="M75" s="222"/>
      <c r="N75" s="426">
        <f>SUM(N69:N74)</f>
        <v>1142</v>
      </c>
      <c r="O75" s="427"/>
      <c r="P75" s="414">
        <f>SUM(P69:P74)</f>
        <v>685.2</v>
      </c>
      <c r="Q75" s="378"/>
      <c r="R75" s="378"/>
      <c r="S75" s="378"/>
      <c r="T75" s="378"/>
      <c r="U75" s="378"/>
      <c r="V75" s="378"/>
      <c r="W75" s="378"/>
      <c r="X75" s="378"/>
      <c r="Y75" s="378"/>
      <c r="Z75" s="378"/>
      <c r="AA75" s="378"/>
      <c r="AB75" s="378"/>
      <c r="AC75" s="378"/>
      <c r="AD75" s="378"/>
      <c r="AE75" s="378"/>
      <c r="AF75" s="378"/>
      <c r="AG75" s="378"/>
    </row>
    <row r="76">
      <c r="A76" s="419"/>
      <c r="B76" s="428"/>
      <c r="C76" s="419"/>
      <c r="D76" s="419"/>
      <c r="E76" s="419"/>
      <c r="F76" s="419"/>
      <c r="G76" s="419"/>
      <c r="H76" s="429"/>
      <c r="I76" s="376"/>
      <c r="J76" s="430"/>
      <c r="K76" s="419"/>
      <c r="L76" s="419"/>
      <c r="M76" s="419"/>
      <c r="N76" s="431"/>
      <c r="O76" s="432"/>
      <c r="P76" s="429"/>
      <c r="Q76" s="378"/>
      <c r="R76" s="378"/>
      <c r="S76" s="378"/>
      <c r="T76" s="378"/>
      <c r="U76" s="378"/>
      <c r="V76" s="378"/>
      <c r="W76" s="378"/>
      <c r="X76" s="378"/>
      <c r="Y76" s="378"/>
      <c r="Z76" s="378"/>
      <c r="AA76" s="378"/>
      <c r="AB76" s="378"/>
      <c r="AC76" s="378"/>
      <c r="AD76" s="378"/>
      <c r="AE76" s="378"/>
      <c r="AF76" s="378"/>
      <c r="AG76" s="378"/>
    </row>
    <row r="77">
      <c r="A77" s="375"/>
      <c r="B77" s="433" t="s">
        <v>712</v>
      </c>
      <c r="C77" s="434"/>
      <c r="D77" s="435"/>
      <c r="E77" s="419"/>
      <c r="F77" s="419"/>
      <c r="G77" s="419"/>
      <c r="H77" s="429"/>
      <c r="I77" s="376"/>
      <c r="J77" s="437" t="s">
        <v>712</v>
      </c>
      <c r="K77" s="434"/>
      <c r="L77" s="435"/>
      <c r="M77" s="419"/>
      <c r="N77" s="431"/>
      <c r="O77" s="432"/>
      <c r="P77" s="429"/>
      <c r="Q77" s="378"/>
      <c r="R77" s="378"/>
      <c r="S77" s="378"/>
      <c r="T77" s="378"/>
      <c r="U77" s="378"/>
      <c r="V77" s="378"/>
      <c r="W77" s="378"/>
      <c r="X77" s="378"/>
      <c r="Y77" s="378"/>
      <c r="Z77" s="378"/>
      <c r="AA77" s="378"/>
      <c r="AB77" s="378"/>
      <c r="AC77" s="378"/>
      <c r="AD77" s="378"/>
      <c r="AE77" s="378"/>
      <c r="AF77" s="378"/>
      <c r="AG77" s="378"/>
    </row>
    <row r="78">
      <c r="A78" s="419"/>
      <c r="B78" s="438"/>
      <c r="C78" s="439"/>
      <c r="D78" s="440"/>
      <c r="E78" s="419"/>
      <c r="F78" s="419"/>
      <c r="G78" s="419"/>
      <c r="H78" s="429"/>
      <c r="I78" s="376"/>
      <c r="J78" s="443"/>
      <c r="K78" s="439"/>
      <c r="L78" s="440"/>
      <c r="M78" s="419"/>
      <c r="N78" s="431"/>
      <c r="O78" s="432"/>
      <c r="P78" s="429"/>
      <c r="Q78" s="378"/>
      <c r="R78" s="378"/>
      <c r="S78" s="378"/>
      <c r="T78" s="378"/>
      <c r="U78" s="378"/>
      <c r="V78" s="378"/>
      <c r="W78" s="378"/>
      <c r="X78" s="378"/>
      <c r="Y78" s="378"/>
      <c r="Z78" s="378"/>
      <c r="AA78" s="378"/>
      <c r="AB78" s="378"/>
      <c r="AC78" s="378"/>
      <c r="AD78" s="378"/>
      <c r="AE78" s="378"/>
      <c r="AF78" s="378"/>
      <c r="AG78" s="378"/>
    </row>
    <row r="79">
      <c r="A79" s="375"/>
      <c r="B79" s="444"/>
      <c r="C79" s="434"/>
      <c r="D79" s="435"/>
      <c r="E79" s="419"/>
      <c r="F79" s="463"/>
      <c r="G79" s="463"/>
      <c r="H79" s="448"/>
      <c r="I79" s="376"/>
      <c r="J79" s="445"/>
      <c r="K79" s="434"/>
      <c r="L79" s="435"/>
      <c r="M79" s="419"/>
      <c r="N79" s="446"/>
      <c r="O79" s="447"/>
      <c r="P79" s="448"/>
      <c r="Q79" s="378"/>
      <c r="R79" s="378"/>
      <c r="S79" s="378"/>
      <c r="T79" s="378"/>
      <c r="U79" s="378"/>
      <c r="V79" s="378"/>
      <c r="W79" s="378"/>
      <c r="X79" s="378"/>
      <c r="Y79" s="378"/>
      <c r="Z79" s="378"/>
      <c r="AA79" s="378"/>
      <c r="AB79" s="378"/>
      <c r="AC79" s="378"/>
      <c r="AD79" s="378"/>
      <c r="AE79" s="378"/>
      <c r="AF79" s="378"/>
      <c r="AG79" s="378"/>
    </row>
    <row r="80">
      <c r="A80" s="419"/>
      <c r="B80" s="438" t="s">
        <v>714</v>
      </c>
      <c r="C80" s="439"/>
      <c r="D80" s="440"/>
      <c r="E80" s="419"/>
      <c r="F80" s="463"/>
      <c r="G80" s="463"/>
      <c r="H80" s="448"/>
      <c r="I80" s="376"/>
      <c r="J80" s="443" t="s">
        <v>714</v>
      </c>
      <c r="K80" s="439">
        <f>SUM(K78:K79)</f>
        <v>0</v>
      </c>
      <c r="L80" s="440"/>
      <c r="M80" s="419"/>
      <c r="N80" s="446"/>
      <c r="O80" s="447"/>
      <c r="P80" s="448"/>
      <c r="Q80" s="378"/>
      <c r="R80" s="378"/>
      <c r="S80" s="378"/>
      <c r="T80" s="378"/>
      <c r="U80" s="378"/>
      <c r="V80" s="378"/>
      <c r="W80" s="378"/>
      <c r="X80" s="378"/>
      <c r="Y80" s="378"/>
      <c r="Z80" s="378"/>
      <c r="AA80" s="378"/>
      <c r="AB80" s="378"/>
      <c r="AC80" s="378"/>
      <c r="AD80" s="378"/>
      <c r="AE80" s="378"/>
      <c r="AF80" s="378"/>
      <c r="AG80" s="378"/>
    </row>
    <row r="81">
      <c r="A81" s="419"/>
      <c r="B81" s="450"/>
      <c r="C81" s="451"/>
      <c r="D81" s="419"/>
      <c r="E81" s="419"/>
      <c r="F81" s="463"/>
      <c r="G81" s="463"/>
      <c r="H81" s="448"/>
      <c r="I81" s="376"/>
      <c r="J81" s="535"/>
      <c r="K81" s="451"/>
      <c r="L81" s="419"/>
      <c r="M81" s="419"/>
      <c r="N81" s="446"/>
      <c r="O81" s="447"/>
      <c r="P81" s="448"/>
      <c r="Q81" s="378"/>
      <c r="R81" s="378"/>
      <c r="S81" s="378"/>
      <c r="T81" s="378"/>
      <c r="U81" s="378"/>
      <c r="V81" s="378"/>
      <c r="W81" s="378"/>
      <c r="X81" s="378"/>
      <c r="Y81" s="378"/>
      <c r="Z81" s="378"/>
      <c r="AA81" s="378"/>
      <c r="AB81" s="378"/>
      <c r="AC81" s="378"/>
      <c r="AD81" s="378"/>
      <c r="AE81" s="378"/>
      <c r="AF81" s="378"/>
      <c r="AG81" s="378"/>
    </row>
    <row r="82">
      <c r="A82" s="375"/>
      <c r="B82" s="454" t="s">
        <v>715</v>
      </c>
      <c r="C82" s="455"/>
      <c r="D82" s="435"/>
      <c r="E82" s="419"/>
      <c r="F82" s="463"/>
      <c r="G82" s="463"/>
      <c r="H82" s="448"/>
      <c r="I82" s="376"/>
      <c r="J82" s="458" t="s">
        <v>715</v>
      </c>
      <c r="K82" s="455"/>
      <c r="L82" s="435"/>
      <c r="M82" s="419"/>
      <c r="N82" s="446"/>
      <c r="O82" s="447"/>
      <c r="P82" s="448"/>
      <c r="Q82" s="378"/>
      <c r="R82" s="378"/>
      <c r="S82" s="378"/>
      <c r="T82" s="378"/>
      <c r="U82" s="378"/>
      <c r="V82" s="378"/>
      <c r="W82" s="378"/>
      <c r="X82" s="378"/>
      <c r="Y82" s="378"/>
      <c r="Z82" s="378"/>
      <c r="AA82" s="378"/>
      <c r="AB82" s="378"/>
      <c r="AC82" s="378"/>
      <c r="AD82" s="378"/>
      <c r="AE82" s="378"/>
      <c r="AF82" s="378"/>
      <c r="AG82" s="378"/>
    </row>
    <row r="83">
      <c r="A83" s="419"/>
      <c r="B83" s="459" t="s">
        <v>716</v>
      </c>
      <c r="C83" s="460">
        <v>100.0</v>
      </c>
      <c r="D83" s="440" t="s">
        <v>850</v>
      </c>
      <c r="E83" s="536" t="s">
        <v>851</v>
      </c>
      <c r="F83" s="463"/>
      <c r="G83" s="463"/>
      <c r="H83" s="448"/>
      <c r="I83" s="376"/>
      <c r="J83" s="458" t="s">
        <v>852</v>
      </c>
      <c r="K83" s="460">
        <v>415.4</v>
      </c>
      <c r="L83" s="440"/>
      <c r="M83" s="419"/>
      <c r="N83" s="446"/>
      <c r="O83" s="447"/>
      <c r="P83" s="448"/>
      <c r="Q83" s="378"/>
      <c r="R83" s="378"/>
      <c r="S83" s="378"/>
      <c r="T83" s="378"/>
      <c r="U83" s="378"/>
      <c r="V83" s="378"/>
      <c r="W83" s="378"/>
      <c r="X83" s="378"/>
      <c r="Y83" s="378"/>
      <c r="Z83" s="378"/>
      <c r="AA83" s="378"/>
      <c r="AB83" s="378"/>
      <c r="AC83" s="378"/>
      <c r="AD83" s="378"/>
      <c r="AE83" s="378"/>
      <c r="AF83" s="378"/>
      <c r="AG83" s="378"/>
    </row>
    <row r="84">
      <c r="A84" s="375"/>
      <c r="B84" s="459" t="s">
        <v>717</v>
      </c>
      <c r="C84" s="460">
        <v>400.0</v>
      </c>
      <c r="D84" s="440"/>
      <c r="E84" s="419"/>
      <c r="F84" s="463"/>
      <c r="G84" s="463"/>
      <c r="H84" s="448"/>
      <c r="I84" s="376"/>
      <c r="J84" s="462"/>
      <c r="K84" s="460"/>
      <c r="L84" s="440"/>
      <c r="M84" s="419"/>
      <c r="N84" s="446"/>
      <c r="O84" s="447"/>
      <c r="P84" s="448"/>
      <c r="Q84" s="378"/>
      <c r="R84" s="378"/>
      <c r="S84" s="378"/>
      <c r="T84" s="378"/>
      <c r="U84" s="378"/>
      <c r="V84" s="378"/>
      <c r="W84" s="378"/>
      <c r="X84" s="378"/>
      <c r="Y84" s="378"/>
      <c r="Z84" s="378"/>
      <c r="AA84" s="378"/>
      <c r="AB84" s="378"/>
      <c r="AC84" s="378"/>
      <c r="AD84" s="378"/>
      <c r="AE84" s="378"/>
      <c r="AF84" s="378"/>
      <c r="AG84" s="378"/>
    </row>
    <row r="85">
      <c r="A85" s="375"/>
      <c r="B85" s="459" t="s">
        <v>718</v>
      </c>
      <c r="C85" s="460">
        <v>0.0</v>
      </c>
      <c r="D85" s="440"/>
      <c r="E85" s="419"/>
      <c r="F85" s="463"/>
      <c r="G85" s="463"/>
      <c r="H85" s="448"/>
      <c r="I85" s="376"/>
      <c r="J85" s="462"/>
      <c r="K85" s="460"/>
      <c r="L85" s="440"/>
      <c r="M85" s="419"/>
      <c r="N85" s="446"/>
      <c r="O85" s="447"/>
      <c r="P85" s="448"/>
      <c r="Q85" s="378"/>
      <c r="R85" s="378"/>
      <c r="S85" s="378"/>
      <c r="T85" s="378"/>
      <c r="U85" s="378"/>
      <c r="V85" s="378"/>
      <c r="W85" s="378"/>
      <c r="X85" s="378"/>
      <c r="Y85" s="378"/>
      <c r="Z85" s="378"/>
      <c r="AA85" s="378"/>
      <c r="AB85" s="378"/>
      <c r="AC85" s="378"/>
      <c r="AD85" s="378"/>
      <c r="AE85" s="378"/>
      <c r="AF85" s="378"/>
      <c r="AG85" s="378"/>
    </row>
    <row r="86">
      <c r="A86" s="375"/>
      <c r="B86" s="459" t="s">
        <v>656</v>
      </c>
      <c r="C86" s="460">
        <f>IFERROR(__xludf.DUMMYFUNCTION("FILTER(D967:D995,C967:C995=G67)"),1310.84)</f>
        <v>1310.84</v>
      </c>
      <c r="D86" s="440"/>
      <c r="E86" s="419"/>
      <c r="F86" s="463"/>
      <c r="G86" s="463"/>
      <c r="H86" s="448"/>
      <c r="I86" s="376"/>
      <c r="J86" s="462"/>
      <c r="K86" s="460"/>
      <c r="L86" s="440"/>
      <c r="M86" s="419"/>
      <c r="N86" s="446"/>
      <c r="O86" s="447"/>
      <c r="P86" s="448"/>
      <c r="Q86" s="378"/>
      <c r="R86" s="378"/>
      <c r="S86" s="378"/>
      <c r="T86" s="378"/>
      <c r="U86" s="378"/>
      <c r="V86" s="378"/>
      <c r="W86" s="378"/>
      <c r="X86" s="378"/>
      <c r="Y86" s="378"/>
      <c r="Z86" s="378"/>
      <c r="AA86" s="378"/>
      <c r="AB86" s="378"/>
      <c r="AC86" s="378"/>
      <c r="AD86" s="378"/>
      <c r="AE86" s="378"/>
      <c r="AF86" s="378"/>
      <c r="AG86" s="378"/>
    </row>
    <row r="87">
      <c r="A87" s="375"/>
      <c r="B87" s="454" t="s">
        <v>852</v>
      </c>
      <c r="C87" s="537">
        <v>415.4</v>
      </c>
      <c r="D87" s="435"/>
      <c r="E87" s="419"/>
      <c r="F87" s="468" t="s">
        <v>842</v>
      </c>
      <c r="G87" s="538">
        <f>H75+C80-C93</f>
        <v>-4687.831667</v>
      </c>
      <c r="H87" s="211"/>
      <c r="I87" s="376"/>
      <c r="J87" s="467"/>
      <c r="K87" s="455"/>
      <c r="L87" s="435"/>
      <c r="M87" s="419"/>
      <c r="N87" s="468" t="s">
        <v>842</v>
      </c>
      <c r="O87" s="539">
        <f>P75+K80-K93</f>
        <v>269.8</v>
      </c>
      <c r="P87" s="211"/>
      <c r="Q87" s="378"/>
      <c r="R87" s="378"/>
      <c r="S87" s="378"/>
      <c r="T87" s="378"/>
      <c r="U87" s="378"/>
      <c r="V87" s="378"/>
      <c r="W87" s="378"/>
      <c r="X87" s="378"/>
      <c r="Y87" s="378"/>
      <c r="Z87" s="378"/>
      <c r="AA87" s="378"/>
      <c r="AB87" s="378"/>
      <c r="AC87" s="378"/>
      <c r="AD87" s="378"/>
      <c r="AE87" s="378"/>
      <c r="AF87" s="378"/>
      <c r="AG87" s="378"/>
    </row>
    <row r="88">
      <c r="A88" s="375"/>
      <c r="B88" s="540" t="s">
        <v>853</v>
      </c>
      <c r="C88" s="537">
        <v>69.13</v>
      </c>
      <c r="D88" s="435"/>
      <c r="E88" s="419"/>
      <c r="F88" s="469" t="s">
        <v>843</v>
      </c>
      <c r="G88" s="278"/>
      <c r="H88" s="56"/>
      <c r="I88" s="376"/>
      <c r="J88" s="467"/>
      <c r="K88" s="455"/>
      <c r="L88" s="435"/>
      <c r="M88" s="419"/>
      <c r="N88" s="469" t="s">
        <v>854</v>
      </c>
      <c r="O88" s="278"/>
      <c r="P88" s="56"/>
      <c r="Q88" s="378"/>
      <c r="R88" s="378"/>
      <c r="S88" s="378"/>
      <c r="T88" s="378"/>
      <c r="U88" s="378"/>
      <c r="V88" s="378"/>
      <c r="W88" s="378"/>
      <c r="X88" s="378"/>
      <c r="Y88" s="378"/>
      <c r="Z88" s="378"/>
      <c r="AA88" s="378"/>
      <c r="AB88" s="378"/>
      <c r="AC88" s="378"/>
      <c r="AD88" s="378"/>
      <c r="AE88" s="378"/>
      <c r="AF88" s="378"/>
      <c r="AG88" s="378"/>
    </row>
    <row r="89">
      <c r="A89" s="541"/>
      <c r="B89" s="542" t="s">
        <v>855</v>
      </c>
      <c r="C89" s="543">
        <f>6285.91/6</f>
        <v>1047.651667</v>
      </c>
      <c r="D89" s="435"/>
      <c r="E89" s="419"/>
      <c r="F89" s="470"/>
      <c r="G89" s="215"/>
      <c r="H89" s="64"/>
      <c r="I89" s="376"/>
      <c r="J89" s="467"/>
      <c r="K89" s="455"/>
      <c r="L89" s="435"/>
      <c r="M89" s="419"/>
      <c r="N89" s="470"/>
      <c r="O89" s="215"/>
      <c r="P89" s="64"/>
      <c r="Q89" s="378"/>
      <c r="R89" s="378"/>
      <c r="S89" s="378"/>
      <c r="T89" s="378"/>
      <c r="U89" s="378"/>
      <c r="V89" s="378"/>
      <c r="W89" s="378"/>
      <c r="X89" s="378"/>
      <c r="Y89" s="378"/>
      <c r="Z89" s="378"/>
      <c r="AA89" s="378"/>
      <c r="AB89" s="378"/>
      <c r="AC89" s="378"/>
      <c r="AD89" s="378"/>
      <c r="AE89" s="378"/>
      <c r="AF89" s="378"/>
      <c r="AG89" s="378"/>
    </row>
    <row r="90">
      <c r="A90" s="541"/>
      <c r="B90" s="540" t="s">
        <v>856</v>
      </c>
      <c r="C90" s="537">
        <v>1358.25</v>
      </c>
      <c r="D90" s="435"/>
      <c r="E90" s="419"/>
      <c r="F90" s="419"/>
      <c r="G90" s="419"/>
      <c r="H90" s="429"/>
      <c r="I90" s="376"/>
      <c r="J90" s="467"/>
      <c r="K90" s="455"/>
      <c r="L90" s="435"/>
      <c r="M90" s="419"/>
      <c r="N90" s="431"/>
      <c r="O90" s="432"/>
      <c r="P90" s="429"/>
      <c r="Q90" s="378"/>
      <c r="R90" s="378"/>
      <c r="S90" s="378"/>
      <c r="T90" s="378"/>
      <c r="U90" s="378"/>
      <c r="V90" s="378"/>
      <c r="W90" s="378"/>
      <c r="X90" s="378"/>
      <c r="Y90" s="378"/>
      <c r="Z90" s="378"/>
      <c r="AA90" s="378"/>
      <c r="AB90" s="378"/>
      <c r="AC90" s="378"/>
      <c r="AD90" s="378"/>
      <c r="AE90" s="378"/>
      <c r="AF90" s="378"/>
      <c r="AG90" s="378"/>
    </row>
    <row r="91">
      <c r="A91" s="375"/>
      <c r="B91" s="540" t="s">
        <v>857</v>
      </c>
      <c r="C91" s="537">
        <v>917.28</v>
      </c>
      <c r="D91" s="435"/>
      <c r="E91" s="419"/>
      <c r="F91" s="419"/>
      <c r="G91" s="419"/>
      <c r="H91" s="429"/>
      <c r="I91" s="376"/>
      <c r="J91" s="467"/>
      <c r="K91" s="455"/>
      <c r="L91" s="435"/>
      <c r="M91" s="419"/>
      <c r="N91" s="431"/>
      <c r="O91" s="432"/>
      <c r="P91" s="429"/>
      <c r="Q91" s="378"/>
      <c r="R91" s="378"/>
      <c r="S91" s="378"/>
      <c r="T91" s="378"/>
      <c r="U91" s="378"/>
      <c r="V91" s="378"/>
      <c r="W91" s="378"/>
      <c r="X91" s="378"/>
      <c r="Y91" s="378"/>
      <c r="Z91" s="378"/>
      <c r="AA91" s="378"/>
      <c r="AB91" s="378"/>
      <c r="AC91" s="378"/>
      <c r="AD91" s="378"/>
      <c r="AE91" s="378"/>
      <c r="AF91" s="378"/>
      <c r="AG91" s="378"/>
    </row>
    <row r="92">
      <c r="A92" s="375"/>
      <c r="B92" s="542" t="s">
        <v>858</v>
      </c>
      <c r="C92" s="537">
        <v>917.28</v>
      </c>
      <c r="D92" s="435"/>
      <c r="E92" s="419"/>
      <c r="F92" s="419"/>
      <c r="G92" s="419"/>
      <c r="H92" s="429"/>
      <c r="I92" s="376"/>
      <c r="J92" s="467"/>
      <c r="K92" s="455"/>
      <c r="L92" s="435"/>
      <c r="M92" s="419"/>
      <c r="N92" s="431"/>
      <c r="O92" s="432"/>
      <c r="P92" s="429"/>
      <c r="Q92" s="378"/>
      <c r="R92" s="378"/>
      <c r="S92" s="378"/>
      <c r="T92" s="378"/>
      <c r="U92" s="378"/>
      <c r="V92" s="378"/>
      <c r="W92" s="378"/>
      <c r="X92" s="378"/>
      <c r="Y92" s="378"/>
      <c r="Z92" s="378"/>
      <c r="AA92" s="378"/>
      <c r="AB92" s="378"/>
      <c r="AC92" s="378"/>
      <c r="AD92" s="378"/>
      <c r="AE92" s="378"/>
      <c r="AF92" s="378"/>
      <c r="AG92" s="378"/>
    </row>
    <row r="93">
      <c r="A93" s="419"/>
      <c r="B93" s="454" t="s">
        <v>721</v>
      </c>
      <c r="C93" s="460">
        <f>SUM(C83:C92)</f>
        <v>6535.831667</v>
      </c>
      <c r="D93" s="440"/>
      <c r="E93" s="419"/>
      <c r="F93" s="419"/>
      <c r="G93" s="419"/>
      <c r="H93" s="429"/>
      <c r="I93" s="376"/>
      <c r="J93" s="458" t="s">
        <v>721</v>
      </c>
      <c r="K93" s="460">
        <f>SUM(K83:K92)</f>
        <v>415.4</v>
      </c>
      <c r="L93" s="440"/>
      <c r="M93" s="419"/>
      <c r="N93" s="431"/>
      <c r="O93" s="432"/>
      <c r="P93" s="429"/>
      <c r="Q93" s="378"/>
      <c r="R93" s="378"/>
      <c r="S93" s="378"/>
      <c r="T93" s="378"/>
      <c r="U93" s="378"/>
      <c r="V93" s="378"/>
      <c r="W93" s="378"/>
      <c r="X93" s="378"/>
      <c r="Y93" s="378"/>
      <c r="Z93" s="378"/>
      <c r="AA93" s="378"/>
      <c r="AB93" s="378"/>
      <c r="AC93" s="378"/>
      <c r="AD93" s="378"/>
      <c r="AE93" s="378"/>
      <c r="AF93" s="378"/>
      <c r="AG93" s="378"/>
    </row>
    <row r="94">
      <c r="A94" s="419"/>
      <c r="B94" s="471"/>
      <c r="C94" s="472"/>
      <c r="D94" s="472"/>
      <c r="E94" s="472"/>
      <c r="F94" s="472"/>
      <c r="G94" s="472"/>
      <c r="H94" s="473"/>
      <c r="I94" s="376"/>
      <c r="J94" s="474"/>
      <c r="K94" s="472"/>
      <c r="L94" s="472"/>
      <c r="M94" s="472"/>
      <c r="N94" s="475"/>
      <c r="O94" s="476"/>
      <c r="P94" s="473"/>
      <c r="Q94" s="378"/>
      <c r="R94" s="378"/>
      <c r="S94" s="378"/>
      <c r="T94" s="378"/>
      <c r="U94" s="378"/>
      <c r="V94" s="378"/>
      <c r="W94" s="378"/>
      <c r="X94" s="378"/>
      <c r="Y94" s="378"/>
      <c r="Z94" s="378"/>
      <c r="AA94" s="378"/>
      <c r="AB94" s="378"/>
      <c r="AC94" s="378"/>
      <c r="AD94" s="378"/>
      <c r="AE94" s="378"/>
      <c r="AF94" s="378"/>
      <c r="AG94" s="378"/>
    </row>
    <row r="95">
      <c r="A95" s="378"/>
      <c r="B95" s="477"/>
      <c r="C95" s="378"/>
      <c r="D95" s="378"/>
      <c r="E95" s="378"/>
      <c r="F95" s="378"/>
      <c r="G95" s="378"/>
      <c r="H95" s="378"/>
      <c r="I95" s="376"/>
      <c r="J95" s="377"/>
      <c r="K95" s="378"/>
      <c r="L95" s="378"/>
      <c r="M95" s="446"/>
      <c r="N95" s="379"/>
      <c r="O95" s="380"/>
      <c r="P95" s="378"/>
      <c r="Q95" s="378"/>
      <c r="R95" s="378"/>
      <c r="S95" s="378"/>
      <c r="T95" s="378"/>
      <c r="U95" s="378"/>
      <c r="V95" s="378"/>
      <c r="W95" s="378"/>
      <c r="X95" s="378"/>
      <c r="Y95" s="378"/>
      <c r="Z95" s="378"/>
      <c r="AA95" s="378"/>
      <c r="AB95" s="378"/>
      <c r="AC95" s="378"/>
      <c r="AD95" s="378"/>
      <c r="AE95" s="378"/>
      <c r="AF95" s="378"/>
      <c r="AG95" s="378"/>
    </row>
    <row r="96">
      <c r="A96" s="378"/>
      <c r="B96" s="477"/>
      <c r="C96" s="378"/>
      <c r="D96" s="378"/>
      <c r="E96" s="378"/>
      <c r="F96" s="378"/>
      <c r="G96" s="544">
        <v>689.0</v>
      </c>
      <c r="H96" s="544" t="s">
        <v>849</v>
      </c>
      <c r="I96" s="376"/>
      <c r="J96" s="377"/>
      <c r="K96" s="378"/>
      <c r="L96" s="378"/>
      <c r="M96" s="378"/>
      <c r="N96" s="379"/>
      <c r="O96" s="380"/>
      <c r="P96" s="378"/>
      <c r="Q96" s="378"/>
      <c r="R96" s="378"/>
      <c r="S96" s="378"/>
      <c r="T96" s="378"/>
      <c r="U96" s="378"/>
      <c r="V96" s="378"/>
      <c r="W96" s="378"/>
      <c r="X96" s="378"/>
      <c r="Y96" s="378"/>
      <c r="Z96" s="378"/>
      <c r="AA96" s="378"/>
      <c r="AB96" s="378"/>
      <c r="AC96" s="378"/>
      <c r="AD96" s="378"/>
      <c r="AE96" s="378"/>
      <c r="AF96" s="378"/>
      <c r="AG96" s="378"/>
    </row>
    <row r="97">
      <c r="A97" s="398">
        <v>4.0</v>
      </c>
      <c r="B97" s="382"/>
      <c r="C97" s="388"/>
      <c r="D97" s="384"/>
      <c r="E97" s="385" t="s">
        <v>700</v>
      </c>
      <c r="F97" s="385" t="str">
        <f>Board!A2</f>
        <v>11.17.25-11.23.25</v>
      </c>
      <c r="G97" s="213"/>
      <c r="H97" s="211"/>
      <c r="I97" s="386">
        <v>4.0</v>
      </c>
      <c r="J97" s="387"/>
      <c r="K97" s="388"/>
      <c r="L97" s="384"/>
      <c r="M97" s="385" t="s">
        <v>700</v>
      </c>
      <c r="N97" s="385" t="str">
        <f>Board!A2</f>
        <v>11.17.25-11.23.25</v>
      </c>
      <c r="O97" s="213"/>
      <c r="P97" s="211"/>
      <c r="Q97" s="378"/>
      <c r="R97" s="389" t="s">
        <v>831</v>
      </c>
      <c r="S97" s="389" t="s">
        <v>652</v>
      </c>
      <c r="T97" s="390" t="s">
        <v>832</v>
      </c>
      <c r="U97" s="391" t="s">
        <v>833</v>
      </c>
      <c r="V97" s="389" t="s">
        <v>655</v>
      </c>
      <c r="W97" s="389" t="s">
        <v>8</v>
      </c>
      <c r="X97" s="389" t="s">
        <v>656</v>
      </c>
      <c r="Y97" s="390" t="s">
        <v>834</v>
      </c>
      <c r="Z97" s="392" t="s">
        <v>835</v>
      </c>
      <c r="AA97" s="390" t="s">
        <v>836</v>
      </c>
      <c r="AB97" s="390" t="s">
        <v>837</v>
      </c>
      <c r="AC97" s="393" t="s">
        <v>716</v>
      </c>
      <c r="AD97" s="393" t="s">
        <v>717</v>
      </c>
      <c r="AE97" s="393" t="s">
        <v>718</v>
      </c>
      <c r="AF97" s="394" t="s">
        <v>838</v>
      </c>
      <c r="AG97" s="394"/>
    </row>
    <row r="98">
      <c r="A98" s="378"/>
      <c r="B98" s="395"/>
      <c r="C98" s="372"/>
      <c r="D98" s="396"/>
      <c r="E98" s="385" t="s">
        <v>702</v>
      </c>
      <c r="F98" s="385" t="s">
        <v>680</v>
      </c>
      <c r="G98" s="213"/>
      <c r="H98" s="211"/>
      <c r="I98" s="376"/>
      <c r="J98" s="397"/>
      <c r="K98" s="372"/>
      <c r="L98" s="396"/>
      <c r="M98" s="385" t="s">
        <v>351</v>
      </c>
      <c r="N98" s="385" t="str">
        <f t="array" ref="N98">XLOOKUP(N99,Board!K:K,Board!J:J)</f>
        <v>GLADIMY JULME</v>
      </c>
      <c r="O98" s="213"/>
      <c r="P98" s="211"/>
      <c r="Q98" s="378"/>
      <c r="R98" s="398">
        <f>I97</f>
        <v>4</v>
      </c>
      <c r="S98" s="398">
        <f>F99</f>
        <v>659</v>
      </c>
      <c r="T98" s="399">
        <f>G119</f>
        <v>3492.55</v>
      </c>
      <c r="U98" s="378" t="str">
        <f>N98</f>
        <v>GLADIMY JULME</v>
      </c>
      <c r="V98" s="380">
        <f>O119</f>
        <v>3125.85</v>
      </c>
      <c r="W98" s="399">
        <f>P107</f>
        <v>3125.85</v>
      </c>
      <c r="X98" s="399">
        <f>C118</f>
        <v>3079.05</v>
      </c>
      <c r="Y98" s="400">
        <f>N107</f>
        <v>4809</v>
      </c>
      <c r="Z98" s="399">
        <f>V99-V98</f>
        <v>366.7</v>
      </c>
      <c r="AA98" s="378"/>
      <c r="AB98" s="378"/>
      <c r="AC98" s="401">
        <f>C115</f>
        <v>150</v>
      </c>
      <c r="AD98" s="401">
        <f>C116</f>
        <v>400</v>
      </c>
      <c r="AE98" s="401">
        <f>C117</f>
        <v>200</v>
      </c>
      <c r="AF98" s="398">
        <f>C119+C120+C121+C122+C123</f>
        <v>0</v>
      </c>
      <c r="AG98" s="398"/>
    </row>
    <row r="99">
      <c r="A99" s="378"/>
      <c r="B99" s="395"/>
      <c r="C99" s="372"/>
      <c r="D99" s="402"/>
      <c r="E99" s="385" t="s">
        <v>703</v>
      </c>
      <c r="F99" s="531">
        <v>659.0</v>
      </c>
      <c r="G99" s="532">
        <v>689.0</v>
      </c>
      <c r="H99" s="533"/>
      <c r="I99" s="376"/>
      <c r="J99" s="397"/>
      <c r="K99" s="372"/>
      <c r="L99" s="402"/>
      <c r="M99" s="385" t="s">
        <v>703</v>
      </c>
      <c r="N99" s="385">
        <f>F99</f>
        <v>659</v>
      </c>
      <c r="O99" s="213"/>
      <c r="P99" s="211"/>
      <c r="Q99" s="378"/>
      <c r="R99" s="378"/>
      <c r="S99" s="378"/>
      <c r="T99" s="378"/>
      <c r="U99" s="378" t="str">
        <f>F98</f>
        <v>EDT Logistics LLC</v>
      </c>
      <c r="V99" s="399">
        <f>G119</f>
        <v>3492.55</v>
      </c>
      <c r="W99" s="399">
        <f>H107</f>
        <v>7321.6</v>
      </c>
      <c r="X99" s="378"/>
      <c r="Y99" s="378"/>
      <c r="Z99" s="378"/>
      <c r="AA99" s="378"/>
      <c r="AB99" s="378"/>
      <c r="AC99" s="378"/>
      <c r="AD99" s="378"/>
      <c r="AE99" s="378"/>
      <c r="AF99" s="378"/>
      <c r="AG99" s="378"/>
    </row>
    <row r="100">
      <c r="A100" s="378"/>
      <c r="B100" s="403" t="s">
        <v>704</v>
      </c>
      <c r="C100" s="404" t="s">
        <v>5</v>
      </c>
      <c r="D100" s="405" t="s">
        <v>6</v>
      </c>
      <c r="E100" s="406" t="s">
        <v>7</v>
      </c>
      <c r="F100" s="404" t="s">
        <v>8</v>
      </c>
      <c r="G100" s="404" t="s">
        <v>706</v>
      </c>
      <c r="H100" s="404" t="s">
        <v>707</v>
      </c>
      <c r="I100" s="376"/>
      <c r="J100" s="407" t="s">
        <v>704</v>
      </c>
      <c r="K100" s="404" t="s">
        <v>5</v>
      </c>
      <c r="L100" s="405" t="s">
        <v>6</v>
      </c>
      <c r="M100" s="406" t="s">
        <v>7</v>
      </c>
      <c r="N100" s="404" t="s">
        <v>591</v>
      </c>
      <c r="O100" s="408" t="s">
        <v>839</v>
      </c>
      <c r="P100" s="404" t="s">
        <v>707</v>
      </c>
      <c r="Q100" s="378"/>
      <c r="R100" s="378"/>
      <c r="S100" s="378"/>
      <c r="T100" s="378"/>
      <c r="U100" s="378"/>
      <c r="V100" s="378"/>
      <c r="W100" s="378"/>
      <c r="X100" s="378"/>
      <c r="Y100" s="378"/>
      <c r="Z100" s="378"/>
      <c r="AA100" s="378"/>
      <c r="AB100" s="378"/>
      <c r="AC100" s="378"/>
      <c r="AD100" s="378"/>
      <c r="AE100" s="378"/>
      <c r="AF100" s="378"/>
      <c r="AG100" s="378"/>
    </row>
    <row r="101">
      <c r="A101" s="378"/>
      <c r="B101" s="410">
        <v>45978.0</v>
      </c>
      <c r="C101" s="411">
        <v>2.0256418E7</v>
      </c>
      <c r="D101" s="411" t="s">
        <v>34</v>
      </c>
      <c r="E101" s="411" t="s">
        <v>35</v>
      </c>
      <c r="F101" s="412">
        <v>1100.0</v>
      </c>
      <c r="G101" s="413">
        <v>0.88</v>
      </c>
      <c r="H101" s="414">
        <f t="shared" ref="H101:H104" si="6">F101*G101</f>
        <v>968</v>
      </c>
      <c r="I101" s="376"/>
      <c r="J101" s="415">
        <f>IFERROR(__xludf.DUMMYFUNCTION("FILTER(Board!C:F,Board!K:K=N99)"),45978.0)</f>
        <v>45978</v>
      </c>
      <c r="K101" s="411">
        <f>IFERROR(__xludf.DUMMYFUNCTION("""COMPUTED_VALUE"""),2.0256418E7)</f>
        <v>20256418</v>
      </c>
      <c r="L101" s="411" t="str">
        <f>IFERROR(__xludf.DUMMYFUNCTION("""COMPUTED_VALUE"""),"Holly Hill, FL, 32117")</f>
        <v>Holly Hill, FL, 32117</v>
      </c>
      <c r="M101" s="411" t="str">
        <f>IFERROR(__xludf.DUMMYFUNCTION("""COMPUTED_VALUE"""),"Twinsburg, OH, 44087")</f>
        <v>Twinsburg, OH, 44087</v>
      </c>
      <c r="N101" s="416">
        <f>IFERROR(__xludf.DUMMYFUNCTION("FILTER(Board!H:H,Board!K:K=N99)"),1025.0)</f>
        <v>1025</v>
      </c>
      <c r="O101" s="408">
        <v>0.65</v>
      </c>
      <c r="P101" s="414">
        <f t="shared" ref="P101:P104" si="7">N101*O101</f>
        <v>666.25</v>
      </c>
      <c r="Q101" s="378"/>
      <c r="R101" s="378"/>
      <c r="S101" s="378"/>
      <c r="T101" s="378"/>
      <c r="U101" s="378"/>
      <c r="V101" s="378"/>
      <c r="W101" s="378"/>
      <c r="X101" s="378"/>
      <c r="Y101" s="378"/>
      <c r="Z101" s="378"/>
      <c r="AA101" s="378"/>
      <c r="AB101" s="378"/>
      <c r="AC101" s="378"/>
      <c r="AD101" s="378"/>
      <c r="AE101" s="378"/>
      <c r="AF101" s="378"/>
      <c r="AG101" s="378"/>
    </row>
    <row r="102">
      <c r="A102" s="378"/>
      <c r="B102" s="410">
        <v>45980.0</v>
      </c>
      <c r="C102" s="411">
        <v>269578.0</v>
      </c>
      <c r="D102" s="411" t="s">
        <v>39</v>
      </c>
      <c r="E102" s="411" t="s">
        <v>40</v>
      </c>
      <c r="F102" s="412">
        <v>1300.0</v>
      </c>
      <c r="G102" s="413">
        <v>0.88</v>
      </c>
      <c r="H102" s="414">
        <f t="shared" si="6"/>
        <v>1144</v>
      </c>
      <c r="I102" s="376"/>
      <c r="J102" s="418">
        <f>IFERROR(__xludf.DUMMYFUNCTION("""COMPUTED_VALUE"""),45980.0)</f>
        <v>45980</v>
      </c>
      <c r="K102" s="411">
        <f>IFERROR(__xludf.DUMMYFUNCTION("""COMPUTED_VALUE"""),269578.0)</f>
        <v>269578</v>
      </c>
      <c r="L102" s="411" t="str">
        <f>IFERROR(__xludf.DUMMYFUNCTION("""COMPUTED_VALUE"""),"Norwalk, OH, 44857")</f>
        <v>Norwalk, OH, 44857</v>
      </c>
      <c r="M102" s="411" t="str">
        <f>IFERROR(__xludf.DUMMYFUNCTION("""COMPUTED_VALUE"""),"Kennett, MO, 63857")</f>
        <v>Kennett, MO, 63857</v>
      </c>
      <c r="N102" s="416">
        <f>IFERROR(__xludf.DUMMYFUNCTION("""COMPUTED_VALUE"""),718.0)</f>
        <v>718</v>
      </c>
      <c r="O102" s="408">
        <v>0.65</v>
      </c>
      <c r="P102" s="414">
        <f t="shared" si="7"/>
        <v>466.7</v>
      </c>
      <c r="Q102" s="378"/>
      <c r="R102" s="378"/>
      <c r="S102" s="378"/>
      <c r="T102" s="378"/>
      <c r="U102" s="378"/>
      <c r="V102" s="378"/>
      <c r="W102" s="378"/>
      <c r="X102" s="378"/>
      <c r="Y102" s="378"/>
      <c r="Z102" s="378"/>
      <c r="AA102" s="378"/>
      <c r="AB102" s="378"/>
      <c r="AC102" s="378"/>
      <c r="AD102" s="378"/>
      <c r="AE102" s="378"/>
      <c r="AF102" s="378"/>
      <c r="AG102" s="378"/>
    </row>
    <row r="103">
      <c r="A103" s="378"/>
      <c r="B103" s="410">
        <v>45981.0</v>
      </c>
      <c r="C103" s="411">
        <v>9389500.0</v>
      </c>
      <c r="D103" s="411" t="s">
        <v>43</v>
      </c>
      <c r="E103" s="411" t="s">
        <v>44</v>
      </c>
      <c r="F103" s="412">
        <v>870.0</v>
      </c>
      <c r="G103" s="413">
        <v>0.88</v>
      </c>
      <c r="H103" s="414">
        <f t="shared" si="6"/>
        <v>765.6</v>
      </c>
      <c r="I103" s="376"/>
      <c r="J103" s="545">
        <f>IFERROR(__xludf.DUMMYFUNCTION("""COMPUTED_VALUE"""),45981.0)</f>
        <v>45981</v>
      </c>
      <c r="K103" s="421">
        <f>IFERROR(__xludf.DUMMYFUNCTION("""COMPUTED_VALUE"""),9389500.0)</f>
        <v>9389500</v>
      </c>
      <c r="L103" s="422" t="str">
        <f>IFERROR(__xludf.DUMMYFUNCTION("""COMPUTED_VALUE"""),"Jackson, MO, 63755")</f>
        <v>Jackson, MO, 63755</v>
      </c>
      <c r="M103" s="423" t="str">
        <f>IFERROR(__xludf.DUMMYFUNCTION("""COMPUTED_VALUE"""),"Harper, IA, 52231")</f>
        <v>Harper, IA, 52231</v>
      </c>
      <c r="N103" s="546">
        <f>IFERROR(__xludf.DUMMYFUNCTION("""COMPUTED_VALUE"""),468.0)</f>
        <v>468</v>
      </c>
      <c r="O103" s="408">
        <v>0.65</v>
      </c>
      <c r="P103" s="414">
        <f t="shared" si="7"/>
        <v>304.2</v>
      </c>
      <c r="Q103" s="378"/>
      <c r="R103" s="378"/>
      <c r="S103" s="378"/>
      <c r="T103" s="378"/>
      <c r="U103" s="378"/>
      <c r="V103" s="378"/>
      <c r="W103" s="378"/>
      <c r="X103" s="378"/>
      <c r="Y103" s="378"/>
      <c r="Z103" s="378"/>
      <c r="AA103" s="378"/>
      <c r="AB103" s="378"/>
      <c r="AC103" s="378"/>
      <c r="AD103" s="378"/>
      <c r="AE103" s="378"/>
      <c r="AF103" s="378"/>
      <c r="AG103" s="378"/>
    </row>
    <row r="104">
      <c r="A104" s="378"/>
      <c r="B104" s="410">
        <v>45982.0</v>
      </c>
      <c r="C104" s="411">
        <v>6.01124379E10</v>
      </c>
      <c r="D104" s="411" t="s">
        <v>47</v>
      </c>
      <c r="E104" s="411" t="s">
        <v>48</v>
      </c>
      <c r="F104" s="412">
        <v>5050.0</v>
      </c>
      <c r="G104" s="413">
        <v>0.88</v>
      </c>
      <c r="H104" s="414">
        <f t="shared" si="6"/>
        <v>4444</v>
      </c>
      <c r="I104" s="376"/>
      <c r="J104" s="545">
        <f>IFERROR(__xludf.DUMMYFUNCTION("""COMPUTED_VALUE"""),45982.0)</f>
        <v>45982</v>
      </c>
      <c r="K104" s="421">
        <f>IFERROR(__xludf.DUMMYFUNCTION("""COMPUTED_VALUE"""),6.01124379E10)</f>
        <v>60112437900</v>
      </c>
      <c r="L104" s="422" t="str">
        <f>IFERROR(__xludf.DUMMYFUNCTION("""COMPUTED_VALUE"""),"Hampton, IA, 50441")</f>
        <v>Hampton, IA, 50441</v>
      </c>
      <c r="M104" s="423" t="str">
        <f>IFERROR(__xludf.DUMMYFUNCTION("""COMPUTED_VALUE"""),", CA, 93725")</f>
        <v>, CA, 93725</v>
      </c>
      <c r="N104" s="546">
        <f>IFERROR(__xludf.DUMMYFUNCTION("""COMPUTED_VALUE"""),2598.0)</f>
        <v>2598</v>
      </c>
      <c r="O104" s="408">
        <v>0.65</v>
      </c>
      <c r="P104" s="414">
        <f t="shared" si="7"/>
        <v>1688.7</v>
      </c>
      <c r="Q104" s="378"/>
      <c r="R104" s="378"/>
      <c r="S104" s="378"/>
      <c r="T104" s="378"/>
      <c r="U104" s="378"/>
      <c r="V104" s="378"/>
      <c r="W104" s="378"/>
      <c r="X104" s="378"/>
      <c r="Y104" s="378"/>
      <c r="Z104" s="378"/>
      <c r="AA104" s="378"/>
      <c r="AB104" s="378"/>
      <c r="AC104" s="378"/>
      <c r="AD104" s="378"/>
      <c r="AE104" s="378"/>
      <c r="AF104" s="378"/>
      <c r="AG104" s="378"/>
    </row>
    <row r="105">
      <c r="A105" s="378"/>
      <c r="B105" s="420"/>
      <c r="C105" s="421"/>
      <c r="D105" s="422"/>
      <c r="E105" s="423"/>
      <c r="F105" s="421"/>
      <c r="G105" s="413"/>
      <c r="H105" s="414"/>
      <c r="I105" s="376"/>
      <c r="J105" s="424"/>
      <c r="K105" s="421"/>
      <c r="L105" s="422"/>
      <c r="M105" s="423"/>
      <c r="N105" s="425"/>
      <c r="O105" s="408"/>
      <c r="P105" s="414"/>
      <c r="Q105" s="378"/>
      <c r="R105" s="378"/>
      <c r="S105" s="378"/>
      <c r="T105" s="378"/>
      <c r="U105" s="378"/>
      <c r="V105" s="378"/>
      <c r="W105" s="378"/>
      <c r="X105" s="378"/>
      <c r="Y105" s="378"/>
      <c r="Z105" s="378"/>
      <c r="AA105" s="378"/>
      <c r="AB105" s="378"/>
      <c r="AC105" s="378"/>
      <c r="AD105" s="378"/>
      <c r="AE105" s="378"/>
      <c r="AF105" s="378"/>
      <c r="AG105" s="378"/>
    </row>
    <row r="106">
      <c r="A106" s="378"/>
      <c r="B106" s="420"/>
      <c r="C106" s="421"/>
      <c r="D106" s="422"/>
      <c r="E106" s="423"/>
      <c r="F106" s="421"/>
      <c r="G106" s="413"/>
      <c r="H106" s="414"/>
      <c r="I106" s="376"/>
      <c r="J106" s="424"/>
      <c r="K106" s="421"/>
      <c r="L106" s="422"/>
      <c r="M106" s="423"/>
      <c r="N106" s="425"/>
      <c r="O106" s="408"/>
      <c r="P106" s="414"/>
      <c r="Q106" s="378"/>
      <c r="R106" s="378"/>
      <c r="S106" s="378"/>
      <c r="T106" s="378"/>
      <c r="U106" s="378"/>
      <c r="V106" s="378"/>
      <c r="W106" s="378"/>
      <c r="X106" s="378"/>
      <c r="Y106" s="378"/>
      <c r="Z106" s="378"/>
      <c r="AA106" s="378"/>
      <c r="AB106" s="378"/>
      <c r="AC106" s="378"/>
      <c r="AD106" s="378"/>
      <c r="AE106" s="378"/>
      <c r="AF106" s="378"/>
      <c r="AG106" s="378"/>
    </row>
    <row r="107">
      <c r="A107" s="378"/>
      <c r="B107" s="403" t="s">
        <v>711</v>
      </c>
      <c r="C107" s="224"/>
      <c r="D107" s="224"/>
      <c r="E107" s="222"/>
      <c r="F107" s="414">
        <f>SUM(F101:F106)</f>
        <v>8320</v>
      </c>
      <c r="G107" s="421"/>
      <c r="H107" s="414">
        <f>SUM(H101:H106)</f>
        <v>7321.6</v>
      </c>
      <c r="I107" s="376"/>
      <c r="J107" s="407" t="s">
        <v>711</v>
      </c>
      <c r="K107" s="224"/>
      <c r="L107" s="224"/>
      <c r="M107" s="222"/>
      <c r="N107" s="426">
        <f>SUM(N101:N106)</f>
        <v>4809</v>
      </c>
      <c r="O107" s="427"/>
      <c r="P107" s="414">
        <f>SUM(P101:P106)</f>
        <v>3125.85</v>
      </c>
      <c r="Q107" s="378"/>
      <c r="R107" s="378"/>
      <c r="S107" s="378"/>
      <c r="T107" s="378"/>
      <c r="U107" s="378"/>
      <c r="V107" s="378"/>
      <c r="W107" s="378"/>
      <c r="X107" s="378"/>
      <c r="Y107" s="378"/>
      <c r="Z107" s="378"/>
      <c r="AA107" s="378"/>
      <c r="AB107" s="378"/>
      <c r="AC107" s="378"/>
      <c r="AD107" s="378"/>
      <c r="AE107" s="378"/>
      <c r="AF107" s="378"/>
      <c r="AG107" s="378"/>
    </row>
    <row r="108">
      <c r="A108" s="378"/>
      <c r="B108" s="428"/>
      <c r="C108" s="419"/>
      <c r="D108" s="419"/>
      <c r="E108" s="419"/>
      <c r="F108" s="419"/>
      <c r="G108" s="419"/>
      <c r="H108" s="429"/>
      <c r="I108" s="376"/>
      <c r="J108" s="430"/>
      <c r="K108" s="419"/>
      <c r="L108" s="419"/>
      <c r="M108" s="419"/>
      <c r="N108" s="431"/>
      <c r="O108" s="432"/>
      <c r="P108" s="429"/>
      <c r="Q108" s="378"/>
      <c r="R108" s="378"/>
      <c r="S108" s="378"/>
      <c r="T108" s="378"/>
      <c r="U108" s="378"/>
      <c r="V108" s="378"/>
      <c r="W108" s="378"/>
      <c r="X108" s="378"/>
      <c r="Y108" s="378"/>
      <c r="Z108" s="378"/>
      <c r="AA108" s="378"/>
      <c r="AB108" s="378"/>
      <c r="AC108" s="378"/>
      <c r="AD108" s="378"/>
      <c r="AE108" s="378"/>
      <c r="AF108" s="378"/>
      <c r="AG108" s="378"/>
    </row>
    <row r="109">
      <c r="A109" s="378"/>
      <c r="B109" s="433" t="s">
        <v>712</v>
      </c>
      <c r="C109" s="434"/>
      <c r="D109" s="435"/>
      <c r="E109" s="419"/>
      <c r="F109" s="419"/>
      <c r="G109" s="419"/>
      <c r="H109" s="429"/>
      <c r="I109" s="376"/>
      <c r="J109" s="437" t="s">
        <v>712</v>
      </c>
      <c r="K109" s="434"/>
      <c r="L109" s="435"/>
      <c r="M109" s="419"/>
      <c r="N109" s="431"/>
      <c r="O109" s="432"/>
      <c r="P109" s="429"/>
      <c r="Q109" s="378"/>
      <c r="R109" s="378"/>
      <c r="S109" s="378"/>
      <c r="T109" s="378"/>
      <c r="U109" s="378"/>
      <c r="V109" s="378"/>
      <c r="W109" s="378"/>
      <c r="X109" s="378"/>
      <c r="Y109" s="378"/>
      <c r="Z109" s="378"/>
      <c r="AA109" s="378"/>
      <c r="AB109" s="378"/>
      <c r="AC109" s="378"/>
      <c r="AD109" s="378"/>
      <c r="AE109" s="378"/>
      <c r="AF109" s="378"/>
      <c r="AG109" s="378"/>
    </row>
    <row r="110">
      <c r="A110" s="378"/>
      <c r="B110" s="438"/>
      <c r="C110" s="439"/>
      <c r="D110" s="440"/>
      <c r="E110" s="419"/>
      <c r="F110" s="419"/>
      <c r="G110" s="419"/>
      <c r="H110" s="429"/>
      <c r="I110" s="376"/>
      <c r="J110" s="443" t="s">
        <v>859</v>
      </c>
      <c r="K110" s="439"/>
      <c r="L110" s="440" t="s">
        <v>860</v>
      </c>
      <c r="M110" s="419"/>
      <c r="N110" s="431"/>
      <c r="O110" s="432"/>
      <c r="P110" s="429"/>
      <c r="Q110" s="378"/>
      <c r="R110" s="378"/>
      <c r="S110" s="378"/>
      <c r="T110" s="378"/>
      <c r="U110" s="378"/>
      <c r="V110" s="378"/>
      <c r="W110" s="378"/>
      <c r="X110" s="378"/>
      <c r="Y110" s="378"/>
      <c r="Z110" s="378"/>
      <c r="AA110" s="378"/>
      <c r="AB110" s="378"/>
      <c r="AC110" s="378"/>
      <c r="AD110" s="378"/>
      <c r="AE110" s="378"/>
      <c r="AF110" s="378"/>
      <c r="AG110" s="378"/>
    </row>
    <row r="111">
      <c r="A111" s="378"/>
      <c r="B111" s="444"/>
      <c r="C111" s="434"/>
      <c r="D111" s="435"/>
      <c r="E111" s="419"/>
      <c r="F111" s="463"/>
      <c r="G111" s="463"/>
      <c r="H111" s="448"/>
      <c r="I111" s="376"/>
      <c r="J111" s="445"/>
      <c r="K111" s="434"/>
      <c r="L111" s="435"/>
      <c r="M111" s="419"/>
      <c r="N111" s="446"/>
      <c r="O111" s="447"/>
      <c r="P111" s="448"/>
      <c r="Q111" s="378"/>
      <c r="R111" s="378"/>
      <c r="S111" s="378"/>
      <c r="T111" s="378"/>
      <c r="U111" s="378"/>
      <c r="V111" s="378"/>
      <c r="W111" s="378"/>
      <c r="X111" s="378"/>
      <c r="Y111" s="378"/>
      <c r="Z111" s="378"/>
      <c r="AA111" s="378"/>
      <c r="AB111" s="378"/>
      <c r="AC111" s="378"/>
      <c r="AD111" s="378"/>
      <c r="AE111" s="378"/>
      <c r="AF111" s="378"/>
      <c r="AG111" s="378"/>
    </row>
    <row r="112">
      <c r="A112" s="378"/>
      <c r="B112" s="438" t="s">
        <v>714</v>
      </c>
      <c r="C112" s="439"/>
      <c r="D112" s="440"/>
      <c r="E112" s="419"/>
      <c r="F112" s="463"/>
      <c r="G112" s="463"/>
      <c r="H112" s="448"/>
      <c r="I112" s="376"/>
      <c r="J112" s="443" t="s">
        <v>714</v>
      </c>
      <c r="K112" s="439">
        <f>SUM(K110:K111)</f>
        <v>0</v>
      </c>
      <c r="L112" s="440"/>
      <c r="M112" s="419"/>
      <c r="N112" s="446"/>
      <c r="O112" s="447"/>
      <c r="P112" s="448"/>
      <c r="Q112" s="378"/>
      <c r="R112" s="378"/>
      <c r="S112" s="378"/>
      <c r="T112" s="378"/>
      <c r="U112" s="378"/>
      <c r="V112" s="378"/>
      <c r="W112" s="378"/>
      <c r="X112" s="378"/>
      <c r="Y112" s="378"/>
      <c r="Z112" s="378"/>
      <c r="AA112" s="378"/>
      <c r="AB112" s="378"/>
      <c r="AC112" s="378"/>
      <c r="AD112" s="378"/>
      <c r="AE112" s="378"/>
      <c r="AF112" s="378"/>
      <c r="AG112" s="378"/>
    </row>
    <row r="113">
      <c r="A113" s="378"/>
      <c r="B113" s="450"/>
      <c r="C113" s="451"/>
      <c r="D113" s="419"/>
      <c r="E113" s="419"/>
      <c r="F113" s="463"/>
      <c r="G113" s="463"/>
      <c r="H113" s="448"/>
      <c r="I113" s="376"/>
      <c r="J113" s="535"/>
      <c r="K113" s="451"/>
      <c r="L113" s="419"/>
      <c r="M113" s="419"/>
      <c r="N113" s="446"/>
      <c r="O113" s="447"/>
      <c r="P113" s="448"/>
      <c r="Q113" s="378"/>
      <c r="R113" s="378"/>
      <c r="S113" s="378"/>
      <c r="T113" s="378"/>
      <c r="U113" s="378"/>
      <c r="V113" s="378"/>
      <c r="W113" s="378"/>
      <c r="X113" s="378"/>
      <c r="Y113" s="378"/>
      <c r="Z113" s="378"/>
      <c r="AA113" s="378"/>
      <c r="AB113" s="378"/>
      <c r="AC113" s="378"/>
      <c r="AD113" s="378"/>
      <c r="AE113" s="378"/>
      <c r="AF113" s="378"/>
      <c r="AG113" s="378"/>
    </row>
    <row r="114">
      <c r="A114" s="378"/>
      <c r="B114" s="454" t="s">
        <v>715</v>
      </c>
      <c r="C114" s="455"/>
      <c r="D114" s="435"/>
      <c r="E114" s="419"/>
      <c r="F114" s="463"/>
      <c r="G114" s="463"/>
      <c r="H114" s="448"/>
      <c r="I114" s="376"/>
      <c r="J114" s="458" t="s">
        <v>715</v>
      </c>
      <c r="K114" s="455"/>
      <c r="L114" s="435"/>
      <c r="M114" s="419"/>
      <c r="N114" s="446"/>
      <c r="O114" s="447"/>
      <c r="P114" s="448"/>
      <c r="Q114" s="378"/>
      <c r="R114" s="378"/>
      <c r="S114" s="378"/>
      <c r="T114" s="378"/>
      <c r="U114" s="378"/>
      <c r="V114" s="378"/>
      <c r="W114" s="378"/>
      <c r="X114" s="378"/>
      <c r="Y114" s="378"/>
      <c r="Z114" s="378"/>
      <c r="AA114" s="378"/>
      <c r="AB114" s="378"/>
      <c r="AC114" s="378"/>
      <c r="AD114" s="378"/>
      <c r="AE114" s="378"/>
      <c r="AF114" s="378"/>
      <c r="AG114" s="378"/>
    </row>
    <row r="115">
      <c r="A115" s="378"/>
      <c r="B115" s="459" t="s">
        <v>716</v>
      </c>
      <c r="C115" s="460">
        <v>150.0</v>
      </c>
      <c r="D115" s="440"/>
      <c r="E115" s="419"/>
      <c r="F115" s="463"/>
      <c r="G115" s="463"/>
      <c r="H115" s="448"/>
      <c r="I115" s="376"/>
      <c r="J115" s="462"/>
      <c r="K115" s="460"/>
      <c r="L115" s="440"/>
      <c r="M115" s="419"/>
      <c r="N115" s="446"/>
      <c r="O115" s="447"/>
      <c r="P115" s="448"/>
      <c r="Q115" s="378"/>
      <c r="R115" s="378"/>
      <c r="S115" s="378"/>
      <c r="T115" s="378"/>
      <c r="U115" s="378"/>
      <c r="V115" s="378"/>
      <c r="W115" s="378"/>
      <c r="X115" s="378"/>
      <c r="Y115" s="378"/>
      <c r="Z115" s="378"/>
      <c r="AA115" s="378"/>
      <c r="AB115" s="378"/>
      <c r="AC115" s="378"/>
      <c r="AD115" s="378"/>
      <c r="AE115" s="378"/>
      <c r="AF115" s="378"/>
      <c r="AG115" s="378"/>
    </row>
    <row r="116">
      <c r="A116" s="378"/>
      <c r="B116" s="459" t="s">
        <v>717</v>
      </c>
      <c r="C116" s="460">
        <v>400.0</v>
      </c>
      <c r="D116" s="440"/>
      <c r="E116" s="419"/>
      <c r="F116" s="463"/>
      <c r="G116" s="463"/>
      <c r="H116" s="448"/>
      <c r="I116" s="376"/>
      <c r="J116" s="462"/>
      <c r="K116" s="460"/>
      <c r="L116" s="440"/>
      <c r="M116" s="419"/>
      <c r="N116" s="446"/>
      <c r="O116" s="447"/>
      <c r="P116" s="448"/>
      <c r="Q116" s="378"/>
      <c r="R116" s="378"/>
      <c r="S116" s="378"/>
      <c r="T116" s="378"/>
      <c r="U116" s="378"/>
      <c r="V116" s="378"/>
      <c r="W116" s="378"/>
      <c r="X116" s="378"/>
      <c r="Y116" s="378"/>
      <c r="Z116" s="378"/>
      <c r="AA116" s="378"/>
      <c r="AB116" s="378"/>
      <c r="AC116" s="378"/>
      <c r="AD116" s="378"/>
      <c r="AE116" s="378"/>
      <c r="AF116" s="378"/>
      <c r="AG116" s="378"/>
    </row>
    <row r="117">
      <c r="A117" s="378"/>
      <c r="B117" s="459" t="s">
        <v>718</v>
      </c>
      <c r="C117" s="460">
        <v>200.0</v>
      </c>
      <c r="D117" s="440"/>
      <c r="E117" s="419"/>
      <c r="F117" s="463"/>
      <c r="G117" s="463"/>
      <c r="H117" s="448"/>
      <c r="I117" s="376"/>
      <c r="J117" s="462"/>
      <c r="K117" s="460"/>
      <c r="L117" s="440"/>
      <c r="M117" s="419"/>
      <c r="N117" s="446"/>
      <c r="O117" s="447"/>
      <c r="P117" s="448"/>
      <c r="Q117" s="378"/>
      <c r="R117" s="378"/>
      <c r="S117" s="378"/>
      <c r="T117" s="378"/>
      <c r="U117" s="378"/>
      <c r="V117" s="378"/>
      <c r="W117" s="378"/>
      <c r="X117" s="378"/>
      <c r="Y117" s="378"/>
      <c r="Z117" s="378"/>
      <c r="AA117" s="378"/>
      <c r="AB117" s="378"/>
      <c r="AC117" s="378"/>
      <c r="AD117" s="378"/>
      <c r="AE117" s="378"/>
      <c r="AF117" s="378"/>
      <c r="AG117" s="378"/>
    </row>
    <row r="118">
      <c r="A118" s="378"/>
      <c r="B118" s="459" t="s">
        <v>656</v>
      </c>
      <c r="C118" s="460">
        <f>IFERROR(__xludf.DUMMYFUNCTION("FILTER(D967:D995,C967:C995=F99)"),3079.05)</f>
        <v>3079.05</v>
      </c>
      <c r="D118" s="440"/>
      <c r="E118" s="419"/>
      <c r="F118" s="463"/>
      <c r="G118" s="463"/>
      <c r="H118" s="448"/>
      <c r="I118" s="376"/>
      <c r="J118" s="462"/>
      <c r="K118" s="460"/>
      <c r="L118" s="440"/>
      <c r="M118" s="419"/>
      <c r="N118" s="446"/>
      <c r="O118" s="447"/>
      <c r="P118" s="448"/>
      <c r="Q118" s="378"/>
      <c r="R118" s="378"/>
      <c r="S118" s="378"/>
      <c r="T118" s="378"/>
      <c r="U118" s="378"/>
      <c r="V118" s="378"/>
      <c r="W118" s="378"/>
      <c r="X118" s="378"/>
      <c r="Y118" s="378"/>
      <c r="Z118" s="378"/>
      <c r="AA118" s="378"/>
      <c r="AB118" s="378"/>
      <c r="AC118" s="378"/>
      <c r="AD118" s="378"/>
      <c r="AE118" s="378"/>
      <c r="AF118" s="378"/>
      <c r="AG118" s="378"/>
    </row>
    <row r="119">
      <c r="A119" s="378"/>
      <c r="B119" s="464"/>
      <c r="C119" s="455"/>
      <c r="D119" s="435"/>
      <c r="E119" s="419"/>
      <c r="F119" s="468" t="s">
        <v>842</v>
      </c>
      <c r="G119" s="466">
        <f>H107+C112-C124</f>
        <v>3492.55</v>
      </c>
      <c r="H119" s="211"/>
      <c r="I119" s="376"/>
      <c r="J119" s="467"/>
      <c r="K119" s="455"/>
      <c r="L119" s="435"/>
      <c r="M119" s="419"/>
      <c r="N119" s="547" t="s">
        <v>842</v>
      </c>
      <c r="O119" s="539">
        <f>P107+K112-K124</f>
        <v>3125.85</v>
      </c>
      <c r="P119" s="211"/>
      <c r="Q119" s="378"/>
      <c r="R119" s="378"/>
      <c r="S119" s="378"/>
      <c r="T119" s="378"/>
      <c r="U119" s="378"/>
      <c r="V119" s="378"/>
      <c r="W119" s="378"/>
      <c r="X119" s="378"/>
      <c r="Y119" s="378"/>
      <c r="Z119" s="378"/>
      <c r="AA119" s="378"/>
      <c r="AB119" s="378"/>
      <c r="AC119" s="378"/>
      <c r="AD119" s="378"/>
      <c r="AE119" s="378"/>
      <c r="AF119" s="378"/>
      <c r="AG119" s="378"/>
    </row>
    <row r="120">
      <c r="A120" s="378"/>
      <c r="B120" s="464"/>
      <c r="C120" s="455"/>
      <c r="D120" s="435"/>
      <c r="E120" s="419"/>
      <c r="F120" s="469" t="s">
        <v>843</v>
      </c>
      <c r="G120" s="278"/>
      <c r="H120" s="56"/>
      <c r="I120" s="376"/>
      <c r="J120" s="467"/>
      <c r="K120" s="455"/>
      <c r="L120" s="435"/>
      <c r="M120" s="419"/>
      <c r="N120" s="548" t="s">
        <v>854</v>
      </c>
      <c r="O120" s="278"/>
      <c r="P120" s="56"/>
      <c r="Q120" s="378"/>
      <c r="R120" s="378"/>
      <c r="S120" s="378"/>
      <c r="T120" s="378"/>
      <c r="U120" s="378"/>
      <c r="V120" s="378"/>
      <c r="W120" s="378"/>
      <c r="X120" s="378"/>
      <c r="Y120" s="378"/>
      <c r="Z120" s="378"/>
      <c r="AA120" s="378"/>
      <c r="AB120" s="378"/>
      <c r="AC120" s="378"/>
      <c r="AD120" s="378"/>
      <c r="AE120" s="378"/>
      <c r="AF120" s="378"/>
      <c r="AG120" s="378"/>
    </row>
    <row r="121">
      <c r="A121" s="378"/>
      <c r="B121" s="464"/>
      <c r="C121" s="455"/>
      <c r="D121" s="435"/>
      <c r="E121" s="419"/>
      <c r="F121" s="470"/>
      <c r="G121" s="215"/>
      <c r="H121" s="64"/>
      <c r="I121" s="376"/>
      <c r="J121" s="467"/>
      <c r="K121" s="455"/>
      <c r="L121" s="435"/>
      <c r="M121" s="419"/>
      <c r="N121" s="549"/>
      <c r="O121" s="215"/>
      <c r="P121" s="64"/>
      <c r="Q121" s="378"/>
      <c r="R121" s="378"/>
      <c r="S121" s="378"/>
      <c r="T121" s="378"/>
      <c r="U121" s="378"/>
      <c r="V121" s="378"/>
      <c r="W121" s="378"/>
      <c r="X121" s="378"/>
      <c r="Y121" s="378"/>
      <c r="Z121" s="378"/>
      <c r="AA121" s="378"/>
      <c r="AB121" s="378"/>
      <c r="AC121" s="378"/>
      <c r="AD121" s="378"/>
      <c r="AE121" s="378"/>
      <c r="AF121" s="378"/>
      <c r="AG121" s="378"/>
    </row>
    <row r="122">
      <c r="A122" s="378"/>
      <c r="B122" s="464"/>
      <c r="C122" s="455"/>
      <c r="D122" s="435"/>
      <c r="E122" s="419"/>
      <c r="F122" s="419"/>
      <c r="G122" s="419"/>
      <c r="H122" s="429"/>
      <c r="I122" s="376"/>
      <c r="J122" s="467"/>
      <c r="K122" s="455"/>
      <c r="L122" s="435"/>
      <c r="M122" s="419"/>
      <c r="N122" s="431"/>
      <c r="O122" s="432"/>
      <c r="P122" s="429"/>
      <c r="Q122" s="378"/>
      <c r="R122" s="378"/>
      <c r="S122" s="378"/>
      <c r="T122" s="378"/>
      <c r="U122" s="378"/>
      <c r="V122" s="378"/>
      <c r="W122" s="378"/>
      <c r="X122" s="378"/>
      <c r="Y122" s="378"/>
      <c r="Z122" s="378"/>
      <c r="AA122" s="378"/>
      <c r="AB122" s="378"/>
      <c r="AC122" s="378"/>
      <c r="AD122" s="378"/>
      <c r="AE122" s="378"/>
      <c r="AF122" s="378"/>
      <c r="AG122" s="378"/>
    </row>
    <row r="123">
      <c r="A123" s="378"/>
      <c r="B123" s="464"/>
      <c r="C123" s="455"/>
      <c r="D123" s="435"/>
      <c r="E123" s="419"/>
      <c r="F123" s="419"/>
      <c r="G123" s="419"/>
      <c r="H123" s="429"/>
      <c r="I123" s="376"/>
      <c r="J123" s="467"/>
      <c r="K123" s="455"/>
      <c r="L123" s="435"/>
      <c r="M123" s="419"/>
      <c r="N123" s="431"/>
      <c r="O123" s="432"/>
      <c r="P123" s="429"/>
      <c r="Q123" s="378"/>
      <c r="R123" s="378"/>
      <c r="S123" s="378"/>
      <c r="T123" s="378"/>
      <c r="U123" s="378"/>
      <c r="V123" s="378"/>
      <c r="W123" s="378"/>
      <c r="X123" s="378"/>
      <c r="Y123" s="378"/>
      <c r="Z123" s="378"/>
      <c r="AA123" s="378"/>
      <c r="AB123" s="378"/>
      <c r="AC123" s="378"/>
      <c r="AD123" s="378"/>
      <c r="AE123" s="378"/>
      <c r="AF123" s="378"/>
      <c r="AG123" s="378"/>
    </row>
    <row r="124">
      <c r="A124" s="378"/>
      <c r="B124" s="454" t="s">
        <v>721</v>
      </c>
      <c r="C124" s="460">
        <f>SUM(C115:C123)</f>
        <v>3829.05</v>
      </c>
      <c r="D124" s="440"/>
      <c r="E124" s="419"/>
      <c r="F124" s="419"/>
      <c r="G124" s="419"/>
      <c r="H124" s="429"/>
      <c r="I124" s="376"/>
      <c r="J124" s="458" t="s">
        <v>721</v>
      </c>
      <c r="K124" s="460">
        <f>SUM(K115:K123)</f>
        <v>0</v>
      </c>
      <c r="L124" s="440"/>
      <c r="M124" s="419"/>
      <c r="N124" s="431"/>
      <c r="O124" s="432"/>
      <c r="P124" s="429"/>
      <c r="Q124" s="378"/>
      <c r="R124" s="378"/>
      <c r="S124" s="378"/>
      <c r="T124" s="378"/>
      <c r="U124" s="378"/>
      <c r="V124" s="378"/>
      <c r="W124" s="378"/>
      <c r="X124" s="378"/>
      <c r="Y124" s="378"/>
      <c r="Z124" s="378"/>
      <c r="AA124" s="378"/>
      <c r="AB124" s="378"/>
      <c r="AC124" s="378"/>
      <c r="AD124" s="378"/>
      <c r="AE124" s="378"/>
      <c r="AF124" s="378"/>
      <c r="AG124" s="378"/>
    </row>
    <row r="125">
      <c r="A125" s="378"/>
      <c r="B125" s="471"/>
      <c r="C125" s="472"/>
      <c r="D125" s="472"/>
      <c r="E125" s="472"/>
      <c r="F125" s="472"/>
      <c r="G125" s="472"/>
      <c r="H125" s="473"/>
      <c r="I125" s="376"/>
      <c r="J125" s="474"/>
      <c r="K125" s="472"/>
      <c r="L125" s="472"/>
      <c r="M125" s="472"/>
      <c r="N125" s="475"/>
      <c r="O125" s="476"/>
      <c r="P125" s="473"/>
      <c r="Q125" s="378"/>
      <c r="R125" s="378"/>
      <c r="S125" s="378"/>
      <c r="T125" s="378"/>
      <c r="U125" s="378"/>
      <c r="V125" s="378"/>
      <c r="W125" s="378"/>
      <c r="X125" s="378"/>
      <c r="Y125" s="378"/>
      <c r="Z125" s="378"/>
      <c r="AA125" s="378"/>
      <c r="AB125" s="378"/>
      <c r="AC125" s="378"/>
      <c r="AD125" s="378"/>
      <c r="AE125" s="378"/>
      <c r="AF125" s="378"/>
      <c r="AG125" s="378"/>
    </row>
    <row r="126">
      <c r="A126" s="378"/>
      <c r="B126" s="550"/>
      <c r="C126" s="463"/>
      <c r="D126" s="463"/>
      <c r="E126" s="463"/>
      <c r="F126" s="463"/>
      <c r="G126" s="463"/>
      <c r="H126" s="463"/>
      <c r="I126" s="376"/>
      <c r="J126" s="377"/>
      <c r="K126" s="378"/>
      <c r="L126" s="378"/>
      <c r="M126" s="378"/>
      <c r="N126" s="379"/>
      <c r="O126" s="380"/>
      <c r="P126" s="378"/>
      <c r="Q126" s="378"/>
      <c r="R126" s="378"/>
      <c r="S126" s="378"/>
      <c r="T126" s="378"/>
      <c r="U126" s="378"/>
      <c r="V126" s="378"/>
      <c r="W126" s="378"/>
      <c r="X126" s="378"/>
      <c r="Y126" s="378"/>
      <c r="Z126" s="378"/>
      <c r="AA126" s="378"/>
      <c r="AB126" s="378"/>
      <c r="AC126" s="378"/>
      <c r="AD126" s="378"/>
      <c r="AE126" s="378"/>
      <c r="AF126" s="378"/>
      <c r="AG126" s="378"/>
    </row>
    <row r="127">
      <c r="A127" s="378"/>
      <c r="B127" s="477"/>
      <c r="C127" s="378"/>
      <c r="D127" s="378"/>
      <c r="E127" s="378"/>
      <c r="F127" s="378"/>
      <c r="G127" s="378"/>
      <c r="H127" s="378"/>
      <c r="I127" s="376"/>
      <c r="J127" s="377"/>
      <c r="K127" s="378"/>
      <c r="L127" s="378"/>
      <c r="M127" s="378"/>
      <c r="N127" s="379"/>
      <c r="O127" s="380"/>
      <c r="P127" s="378"/>
      <c r="Q127" s="378"/>
      <c r="R127" s="378"/>
      <c r="S127" s="378"/>
      <c r="T127" s="378"/>
      <c r="U127" s="378"/>
      <c r="V127" s="378"/>
      <c r="W127" s="378"/>
      <c r="X127" s="378"/>
      <c r="Y127" s="378"/>
      <c r="Z127" s="378"/>
      <c r="AA127" s="378"/>
      <c r="AB127" s="378"/>
      <c r="AC127" s="378"/>
      <c r="AD127" s="378"/>
      <c r="AE127" s="378"/>
      <c r="AF127" s="378"/>
      <c r="AG127" s="378"/>
    </row>
    <row r="128">
      <c r="A128" s="378"/>
      <c r="B128" s="382"/>
      <c r="C128" s="388"/>
      <c r="D128" s="384"/>
      <c r="E128" s="385" t="s">
        <v>700</v>
      </c>
      <c r="F128" s="385" t="str">
        <f>Board!A2</f>
        <v>11.17.25-11.23.25</v>
      </c>
      <c r="G128" s="213"/>
      <c r="H128" s="211"/>
      <c r="I128" s="386">
        <v>5.0</v>
      </c>
      <c r="J128" s="387"/>
      <c r="K128" s="388"/>
      <c r="L128" s="384"/>
      <c r="M128" s="385" t="s">
        <v>700</v>
      </c>
      <c r="N128" s="385" t="str">
        <f>Board!A2</f>
        <v>11.17.25-11.23.25</v>
      </c>
      <c r="O128" s="213"/>
      <c r="P128" s="211"/>
      <c r="Q128" s="378"/>
      <c r="R128" s="389" t="s">
        <v>831</v>
      </c>
      <c r="S128" s="389" t="s">
        <v>652</v>
      </c>
      <c r="T128" s="390" t="s">
        <v>832</v>
      </c>
      <c r="U128" s="391" t="s">
        <v>833</v>
      </c>
      <c r="V128" s="389" t="s">
        <v>655</v>
      </c>
      <c r="W128" s="389" t="s">
        <v>8</v>
      </c>
      <c r="X128" s="389" t="s">
        <v>656</v>
      </c>
      <c r="Y128" s="390" t="s">
        <v>834</v>
      </c>
      <c r="Z128" s="392" t="s">
        <v>835</v>
      </c>
      <c r="AA128" s="390" t="s">
        <v>836</v>
      </c>
      <c r="AB128" s="390" t="s">
        <v>837</v>
      </c>
      <c r="AC128" s="393" t="s">
        <v>716</v>
      </c>
      <c r="AD128" s="393" t="s">
        <v>717</v>
      </c>
      <c r="AE128" s="393" t="s">
        <v>718</v>
      </c>
      <c r="AF128" s="394" t="s">
        <v>838</v>
      </c>
      <c r="AG128" s="394"/>
    </row>
    <row r="129">
      <c r="A129" s="378"/>
      <c r="B129" s="395"/>
      <c r="C129" s="372"/>
      <c r="D129" s="396"/>
      <c r="E129" s="385" t="s">
        <v>702</v>
      </c>
      <c r="F129" s="385" t="s">
        <v>861</v>
      </c>
      <c r="G129" s="213"/>
      <c r="H129" s="211"/>
      <c r="I129" s="376"/>
      <c r="J129" s="397"/>
      <c r="K129" s="372"/>
      <c r="L129" s="396"/>
      <c r="M129" s="385" t="s">
        <v>351</v>
      </c>
      <c r="N129" s="385" t="str">
        <f t="array" ref="N129">XLOOKUP(N130,Board!K:K,Board!J:J)</f>
        <v>Marco Cayo Cayo</v>
      </c>
      <c r="O129" s="213"/>
      <c r="P129" s="211"/>
      <c r="Q129" s="378"/>
      <c r="R129" s="398">
        <f>I128</f>
        <v>5</v>
      </c>
      <c r="S129" s="398">
        <f>F130</f>
        <v>997</v>
      </c>
      <c r="T129" s="399">
        <f>G150</f>
        <v>3341.03</v>
      </c>
      <c r="U129" s="378" t="str">
        <f>N129</f>
        <v>Marco Cayo Cayo</v>
      </c>
      <c r="V129" s="380">
        <f>O150</f>
        <v>2519.4</v>
      </c>
      <c r="W129" s="399">
        <f>P138</f>
        <v>2519.4</v>
      </c>
      <c r="X129" s="399">
        <f>C149</f>
        <v>2029.97</v>
      </c>
      <c r="Y129" s="400">
        <f>N138</f>
        <v>3876</v>
      </c>
      <c r="Z129" s="399">
        <f>V130-V129</f>
        <v>821.63</v>
      </c>
      <c r="AA129" s="378"/>
      <c r="AB129" s="378"/>
      <c r="AC129" s="401">
        <f>C146</f>
        <v>150</v>
      </c>
      <c r="AD129" s="401">
        <f>C147</f>
        <v>400</v>
      </c>
      <c r="AE129" s="401">
        <f>C148</f>
        <v>200</v>
      </c>
      <c r="AF129" s="530">
        <f>C150+C151+C152+C153+C154</f>
        <v>215</v>
      </c>
      <c r="AG129" s="398"/>
    </row>
    <row r="130">
      <c r="A130" s="378"/>
      <c r="B130" s="395"/>
      <c r="C130" s="372"/>
      <c r="D130" s="402"/>
      <c r="E130" s="385" t="s">
        <v>703</v>
      </c>
      <c r="F130" s="385">
        <v>997.0</v>
      </c>
      <c r="G130" s="213"/>
      <c r="H130" s="211"/>
      <c r="I130" s="376"/>
      <c r="J130" s="397"/>
      <c r="K130" s="372"/>
      <c r="L130" s="402"/>
      <c r="M130" s="385" t="s">
        <v>703</v>
      </c>
      <c r="N130" s="385">
        <f>F130</f>
        <v>997</v>
      </c>
      <c r="O130" s="213"/>
      <c r="P130" s="211"/>
      <c r="Q130" s="378"/>
      <c r="R130" s="378"/>
      <c r="S130" s="378"/>
      <c r="T130" s="378"/>
      <c r="U130" s="378" t="str">
        <f>F129</f>
        <v>Careway Logistics LLC</v>
      </c>
      <c r="V130" s="399">
        <f>G150</f>
        <v>3341.03</v>
      </c>
      <c r="W130" s="399">
        <f>H138</f>
        <v>6336</v>
      </c>
      <c r="X130" s="378"/>
      <c r="Y130" s="378"/>
      <c r="Z130" s="378"/>
      <c r="AA130" s="378"/>
      <c r="AB130" s="378"/>
      <c r="AC130" s="378"/>
      <c r="AD130" s="378"/>
      <c r="AE130" s="378"/>
      <c r="AF130" s="378"/>
      <c r="AG130" s="378"/>
    </row>
    <row r="131">
      <c r="A131" s="378"/>
      <c r="B131" s="403" t="s">
        <v>704</v>
      </c>
      <c r="C131" s="404" t="s">
        <v>5</v>
      </c>
      <c r="D131" s="405" t="s">
        <v>6</v>
      </c>
      <c r="E131" s="406" t="s">
        <v>7</v>
      </c>
      <c r="F131" s="404" t="s">
        <v>8</v>
      </c>
      <c r="G131" s="404" t="s">
        <v>706</v>
      </c>
      <c r="H131" s="404" t="s">
        <v>707</v>
      </c>
      <c r="I131" s="376"/>
      <c r="J131" s="407" t="s">
        <v>704</v>
      </c>
      <c r="K131" s="404" t="s">
        <v>5</v>
      </c>
      <c r="L131" s="405" t="s">
        <v>6</v>
      </c>
      <c r="M131" s="406" t="s">
        <v>7</v>
      </c>
      <c r="N131" s="404" t="s">
        <v>591</v>
      </c>
      <c r="O131" s="408" t="s">
        <v>839</v>
      </c>
      <c r="P131" s="404" t="s">
        <v>707</v>
      </c>
      <c r="Q131" s="378"/>
      <c r="R131" s="378"/>
      <c r="S131" s="378"/>
      <c r="T131" s="378"/>
      <c r="U131" s="378"/>
      <c r="V131" s="378"/>
      <c r="W131" s="378"/>
      <c r="X131" s="378"/>
      <c r="Y131" s="378"/>
      <c r="Z131" s="378"/>
      <c r="AA131" s="378"/>
      <c r="AB131" s="378"/>
      <c r="AC131" s="378"/>
      <c r="AD131" s="378"/>
      <c r="AE131" s="378"/>
      <c r="AF131" s="378"/>
      <c r="AG131" s="378"/>
    </row>
    <row r="132">
      <c r="A132" s="378"/>
      <c r="B132" s="410">
        <v>45980.0</v>
      </c>
      <c r="C132" s="411">
        <v>1.5421907E7</v>
      </c>
      <c r="D132" s="411" t="s">
        <v>55</v>
      </c>
      <c r="E132" s="411" t="s">
        <v>56</v>
      </c>
      <c r="F132" s="412">
        <v>3000.0</v>
      </c>
      <c r="G132" s="413">
        <v>0.88</v>
      </c>
      <c r="H132" s="414">
        <f t="shared" ref="H132:H133" si="8">F132*G132</f>
        <v>2640</v>
      </c>
      <c r="I132" s="376"/>
      <c r="J132" s="415">
        <f>IFERROR(__xludf.DUMMYFUNCTION("FILTER(Board!C:F,Board!K:K=N130)"),45980.0)</f>
        <v>45980</v>
      </c>
      <c r="K132" s="411">
        <f>IFERROR(__xludf.DUMMYFUNCTION("""COMPUTED_VALUE"""),1.5421907E7)</f>
        <v>15421907</v>
      </c>
      <c r="L132" s="411" t="str">
        <f>IFERROR(__xludf.DUMMYFUNCTION("""COMPUTED_VALUE"""),"Powell, WY, 82435")</f>
        <v>Powell, WY, 82435</v>
      </c>
      <c r="M132" s="411" t="str">
        <f>IFERROR(__xludf.DUMMYFUNCTION("""COMPUTED_VALUE"""),"Brookshire, TX, 77423")</f>
        <v>Brookshire, TX, 77423</v>
      </c>
      <c r="N132" s="416">
        <f>IFERROR(__xludf.DUMMYFUNCTION("FILTER(Board!H:H,Board!K:K=N130)"),1625.0)</f>
        <v>1625</v>
      </c>
      <c r="O132" s="408">
        <v>0.65</v>
      </c>
      <c r="P132" s="414">
        <f t="shared" ref="P132:P133" si="9">N132*O132</f>
        <v>1056.25</v>
      </c>
      <c r="Q132" s="378"/>
      <c r="R132" s="378"/>
      <c r="S132" s="378"/>
      <c r="T132" s="378"/>
      <c r="U132" s="378"/>
      <c r="V132" s="378"/>
      <c r="W132" s="378"/>
      <c r="X132" s="378"/>
      <c r="Y132" s="378"/>
      <c r="Z132" s="378"/>
      <c r="AA132" s="378"/>
      <c r="AB132" s="378"/>
      <c r="AC132" s="378"/>
      <c r="AD132" s="378"/>
      <c r="AE132" s="378"/>
      <c r="AF132" s="378"/>
      <c r="AG132" s="378"/>
    </row>
    <row r="133">
      <c r="A133" s="378"/>
      <c r="B133" s="410">
        <v>45982.0</v>
      </c>
      <c r="C133" s="411">
        <v>5546288.0</v>
      </c>
      <c r="D133" s="411" t="s">
        <v>60</v>
      </c>
      <c r="E133" s="411" t="s">
        <v>61</v>
      </c>
      <c r="F133" s="412">
        <v>4200.0</v>
      </c>
      <c r="G133" s="413">
        <v>0.88</v>
      </c>
      <c r="H133" s="414">
        <f t="shared" si="8"/>
        <v>3696</v>
      </c>
      <c r="I133" s="376"/>
      <c r="J133" s="418">
        <f>IFERROR(__xludf.DUMMYFUNCTION("""COMPUTED_VALUE"""),45982.0)</f>
        <v>45982</v>
      </c>
      <c r="K133" s="411">
        <f>IFERROR(__xludf.DUMMYFUNCTION("""COMPUTED_VALUE"""),5546288.0)</f>
        <v>5546288</v>
      </c>
      <c r="L133" s="411" t="str">
        <f>IFERROR(__xludf.DUMMYFUNCTION("""COMPUTED_VALUE"""),", TX, 77484")</f>
        <v>, TX, 77484</v>
      </c>
      <c r="M133" s="411" t="str">
        <f>IFERROR(__xludf.DUMMYFUNCTION("""COMPUTED_VALUE"""),"Vancouver, WA, 98662")</f>
        <v>Vancouver, WA, 98662</v>
      </c>
      <c r="N133" s="416">
        <f>IFERROR(__xludf.DUMMYFUNCTION("""COMPUTED_VALUE"""),2251.0)</f>
        <v>2251</v>
      </c>
      <c r="O133" s="408">
        <v>0.65</v>
      </c>
      <c r="P133" s="414">
        <f t="shared" si="9"/>
        <v>1463.15</v>
      </c>
      <c r="Q133" s="378"/>
      <c r="R133" s="378"/>
      <c r="S133" s="378"/>
      <c r="T133" s="378"/>
      <c r="U133" s="378"/>
      <c r="V133" s="378"/>
      <c r="W133" s="378"/>
      <c r="X133" s="378"/>
      <c r="Y133" s="378"/>
      <c r="Z133" s="378"/>
      <c r="AA133" s="378"/>
      <c r="AB133" s="378"/>
      <c r="AC133" s="378"/>
      <c r="AD133" s="378"/>
      <c r="AE133" s="378"/>
      <c r="AF133" s="378"/>
      <c r="AG133" s="378"/>
    </row>
    <row r="134">
      <c r="A134" s="378"/>
      <c r="B134" s="420"/>
      <c r="C134" s="421"/>
      <c r="D134" s="422"/>
      <c r="E134" s="423"/>
      <c r="F134" s="421"/>
      <c r="G134" s="413"/>
      <c r="H134" s="414"/>
      <c r="I134" s="376"/>
      <c r="J134" s="424"/>
      <c r="K134" s="421"/>
      <c r="L134" s="422"/>
      <c r="M134" s="423"/>
      <c r="N134" s="425"/>
      <c r="O134" s="408"/>
      <c r="P134" s="414"/>
      <c r="Q134" s="378"/>
      <c r="R134" s="378"/>
      <c r="S134" s="378"/>
      <c r="T134" s="378"/>
      <c r="U134" s="378"/>
      <c r="V134" s="378"/>
      <c r="W134" s="378"/>
      <c r="X134" s="378"/>
      <c r="Y134" s="378"/>
      <c r="Z134" s="378"/>
      <c r="AA134" s="378"/>
      <c r="AB134" s="378"/>
      <c r="AC134" s="378"/>
      <c r="AD134" s="378"/>
      <c r="AE134" s="378"/>
      <c r="AF134" s="378"/>
      <c r="AG134" s="378"/>
    </row>
    <row r="135">
      <c r="A135" s="378"/>
      <c r="B135" s="420"/>
      <c r="C135" s="421"/>
      <c r="D135" s="422"/>
      <c r="E135" s="423"/>
      <c r="F135" s="421"/>
      <c r="G135" s="413"/>
      <c r="H135" s="414"/>
      <c r="I135" s="376"/>
      <c r="J135" s="424"/>
      <c r="K135" s="421"/>
      <c r="L135" s="422"/>
      <c r="M135" s="423"/>
      <c r="N135" s="425"/>
      <c r="O135" s="408"/>
      <c r="P135" s="414"/>
      <c r="Q135" s="378"/>
      <c r="R135" s="378"/>
      <c r="S135" s="378"/>
      <c r="T135" s="378"/>
      <c r="U135" s="378"/>
      <c r="V135" s="378"/>
      <c r="W135" s="378"/>
      <c r="X135" s="378"/>
      <c r="Y135" s="378"/>
      <c r="Z135" s="378"/>
      <c r="AA135" s="378"/>
      <c r="AB135" s="378"/>
      <c r="AC135" s="378"/>
      <c r="AD135" s="378"/>
      <c r="AE135" s="378"/>
      <c r="AF135" s="378"/>
      <c r="AG135" s="378"/>
    </row>
    <row r="136">
      <c r="A136" s="378"/>
      <c r="B136" s="420"/>
      <c r="C136" s="421"/>
      <c r="D136" s="422"/>
      <c r="E136" s="423"/>
      <c r="F136" s="421"/>
      <c r="G136" s="413"/>
      <c r="H136" s="414"/>
      <c r="I136" s="376"/>
      <c r="J136" s="424"/>
      <c r="K136" s="421"/>
      <c r="L136" s="422"/>
      <c r="M136" s="423"/>
      <c r="N136" s="425"/>
      <c r="O136" s="408"/>
      <c r="P136" s="414"/>
      <c r="Q136" s="378"/>
      <c r="R136" s="378"/>
      <c r="S136" s="378"/>
      <c r="T136" s="378"/>
      <c r="U136" s="378"/>
      <c r="V136" s="378"/>
      <c r="W136" s="378"/>
      <c r="X136" s="378"/>
      <c r="Y136" s="378"/>
      <c r="Z136" s="378"/>
      <c r="AA136" s="378"/>
      <c r="AB136" s="378"/>
      <c r="AC136" s="378"/>
      <c r="AD136" s="378"/>
      <c r="AE136" s="378"/>
      <c r="AF136" s="378"/>
      <c r="AG136" s="378"/>
    </row>
    <row r="137">
      <c r="A137" s="378"/>
      <c r="B137" s="420"/>
      <c r="C137" s="421"/>
      <c r="D137" s="422"/>
      <c r="E137" s="423"/>
      <c r="F137" s="421"/>
      <c r="G137" s="413"/>
      <c r="H137" s="414"/>
      <c r="I137" s="376"/>
      <c r="J137" s="424"/>
      <c r="K137" s="421"/>
      <c r="L137" s="422"/>
      <c r="M137" s="423"/>
      <c r="N137" s="425"/>
      <c r="O137" s="408"/>
      <c r="P137" s="414"/>
      <c r="Q137" s="378"/>
      <c r="R137" s="378"/>
      <c r="S137" s="378"/>
      <c r="T137" s="378"/>
      <c r="U137" s="378"/>
      <c r="V137" s="378"/>
      <c r="W137" s="378"/>
      <c r="X137" s="378"/>
      <c r="Y137" s="378"/>
      <c r="Z137" s="378"/>
      <c r="AA137" s="378"/>
      <c r="AB137" s="378"/>
      <c r="AC137" s="378"/>
      <c r="AD137" s="378"/>
      <c r="AE137" s="378"/>
      <c r="AF137" s="378"/>
      <c r="AG137" s="378"/>
    </row>
    <row r="138">
      <c r="A138" s="378"/>
      <c r="B138" s="403" t="s">
        <v>711</v>
      </c>
      <c r="C138" s="224"/>
      <c r="D138" s="224"/>
      <c r="E138" s="222"/>
      <c r="F138" s="414">
        <f>SUM(F132:F137)</f>
        <v>7200</v>
      </c>
      <c r="G138" s="421"/>
      <c r="H138" s="414">
        <f>SUM(H132:H137)</f>
        <v>6336</v>
      </c>
      <c r="I138" s="376"/>
      <c r="J138" s="407" t="s">
        <v>711</v>
      </c>
      <c r="K138" s="224"/>
      <c r="L138" s="224"/>
      <c r="M138" s="222"/>
      <c r="N138" s="426">
        <f>SUM(N132:N137)</f>
        <v>3876</v>
      </c>
      <c r="O138" s="427"/>
      <c r="P138" s="414">
        <f>SUM(P132:P137)</f>
        <v>2519.4</v>
      </c>
      <c r="Q138" s="378"/>
      <c r="R138" s="378"/>
      <c r="S138" s="378"/>
      <c r="T138" s="378"/>
      <c r="U138" s="378"/>
      <c r="V138" s="378"/>
      <c r="W138" s="378"/>
      <c r="X138" s="378"/>
      <c r="Y138" s="378"/>
      <c r="Z138" s="378"/>
      <c r="AA138" s="378"/>
      <c r="AB138" s="378"/>
      <c r="AC138" s="378"/>
      <c r="AD138" s="378"/>
      <c r="AE138" s="378"/>
      <c r="AF138" s="378"/>
      <c r="AG138" s="378"/>
    </row>
    <row r="139">
      <c r="A139" s="378"/>
      <c r="B139" s="428"/>
      <c r="C139" s="419"/>
      <c r="D139" s="419"/>
      <c r="E139" s="419"/>
      <c r="F139" s="419"/>
      <c r="G139" s="419"/>
      <c r="H139" s="429"/>
      <c r="I139" s="376"/>
      <c r="J139" s="430"/>
      <c r="K139" s="419"/>
      <c r="L139" s="419"/>
      <c r="M139" s="419"/>
      <c r="N139" s="431"/>
      <c r="O139" s="432"/>
      <c r="P139" s="429"/>
      <c r="Q139" s="378"/>
      <c r="R139" s="378"/>
      <c r="S139" s="378"/>
      <c r="T139" s="378"/>
      <c r="U139" s="378"/>
      <c r="V139" s="378"/>
      <c r="W139" s="378"/>
      <c r="X139" s="378"/>
      <c r="Y139" s="378"/>
      <c r="Z139" s="378"/>
      <c r="AA139" s="378"/>
      <c r="AB139" s="378"/>
      <c r="AC139" s="378"/>
      <c r="AD139" s="378"/>
      <c r="AE139" s="378"/>
      <c r="AF139" s="378"/>
      <c r="AG139" s="378"/>
    </row>
    <row r="140">
      <c r="A140" s="378"/>
      <c r="B140" s="433" t="s">
        <v>712</v>
      </c>
      <c r="C140" s="434"/>
      <c r="D140" s="435"/>
      <c r="E140" s="419"/>
      <c r="F140" s="419"/>
      <c r="G140" s="419"/>
      <c r="H140" s="429"/>
      <c r="I140" s="376"/>
      <c r="J140" s="437" t="s">
        <v>712</v>
      </c>
      <c r="K140" s="434"/>
      <c r="L140" s="435"/>
      <c r="M140" s="419"/>
      <c r="N140" s="431"/>
      <c r="O140" s="432"/>
      <c r="P140" s="429"/>
      <c r="Q140" s="378"/>
      <c r="R140" s="378"/>
      <c r="S140" s="378"/>
      <c r="T140" s="378"/>
      <c r="U140" s="378"/>
      <c r="V140" s="378"/>
      <c r="W140" s="378"/>
      <c r="X140" s="378"/>
      <c r="Y140" s="378"/>
      <c r="Z140" s="378"/>
      <c r="AA140" s="378"/>
      <c r="AB140" s="378"/>
      <c r="AC140" s="378"/>
      <c r="AD140" s="378"/>
      <c r="AE140" s="378"/>
      <c r="AF140" s="378"/>
      <c r="AG140" s="378"/>
    </row>
    <row r="141">
      <c r="A141" s="378"/>
      <c r="B141" s="551"/>
      <c r="C141" s="551"/>
      <c r="D141" s="440"/>
      <c r="E141" s="552" t="s">
        <v>657</v>
      </c>
      <c r="F141" s="553">
        <f>H138-P138</f>
        <v>3816.6</v>
      </c>
      <c r="G141" s="419"/>
      <c r="H141" s="429"/>
      <c r="I141" s="376"/>
      <c r="J141" s="443" t="s">
        <v>713</v>
      </c>
      <c r="K141" s="439"/>
      <c r="L141" s="440"/>
      <c r="M141" s="419"/>
      <c r="N141" s="431"/>
      <c r="O141" s="432"/>
      <c r="P141" s="429"/>
      <c r="Q141" s="378"/>
      <c r="R141" s="378"/>
      <c r="S141" s="378"/>
      <c r="T141" s="378"/>
      <c r="U141" s="378"/>
      <c r="V141" s="378"/>
      <c r="W141" s="378"/>
      <c r="X141" s="378"/>
      <c r="Y141" s="378"/>
      <c r="Z141" s="378"/>
      <c r="AA141" s="378"/>
      <c r="AB141" s="378"/>
      <c r="AC141" s="378"/>
      <c r="AD141" s="378"/>
      <c r="AE141" s="378"/>
      <c r="AF141" s="378"/>
      <c r="AG141" s="378"/>
    </row>
    <row r="142">
      <c r="A142" s="378"/>
      <c r="B142" s="444"/>
      <c r="C142" s="434"/>
      <c r="D142" s="435"/>
      <c r="E142" s="419"/>
      <c r="F142" s="463"/>
      <c r="G142" s="463"/>
      <c r="H142" s="448"/>
      <c r="I142" s="376"/>
      <c r="J142" s="445"/>
      <c r="K142" s="434"/>
      <c r="L142" s="435"/>
      <c r="M142" s="419"/>
      <c r="N142" s="446"/>
      <c r="O142" s="447"/>
      <c r="P142" s="448"/>
      <c r="Q142" s="378"/>
      <c r="R142" s="378"/>
      <c r="S142" s="378"/>
      <c r="T142" s="378"/>
      <c r="U142" s="378"/>
      <c r="V142" s="378"/>
      <c r="W142" s="378"/>
      <c r="X142" s="378"/>
      <c r="Y142" s="378"/>
      <c r="Z142" s="378"/>
      <c r="AA142" s="378"/>
      <c r="AB142" s="378"/>
      <c r="AC142" s="378"/>
      <c r="AD142" s="378"/>
      <c r="AE142" s="378"/>
      <c r="AF142" s="378"/>
      <c r="AG142" s="378"/>
    </row>
    <row r="143">
      <c r="A143" s="378"/>
      <c r="B143" s="438" t="s">
        <v>714</v>
      </c>
      <c r="C143" s="439"/>
      <c r="D143" s="440"/>
      <c r="E143" s="419"/>
      <c r="F143" s="463"/>
      <c r="G143" s="463"/>
      <c r="H143" s="448"/>
      <c r="I143" s="376"/>
      <c r="J143" s="443" t="s">
        <v>714</v>
      </c>
      <c r="K143" s="439"/>
      <c r="L143" s="440"/>
      <c r="M143" s="419"/>
      <c r="N143" s="446"/>
      <c r="O143" s="447"/>
      <c r="P143" s="448"/>
      <c r="Q143" s="378"/>
      <c r="R143" s="378"/>
      <c r="S143" s="378"/>
      <c r="T143" s="378"/>
      <c r="U143" s="378"/>
      <c r="V143" s="378"/>
      <c r="W143" s="378"/>
      <c r="X143" s="378"/>
      <c r="Y143" s="378"/>
      <c r="Z143" s="378"/>
      <c r="AA143" s="378"/>
      <c r="AB143" s="378"/>
      <c r="AC143" s="378"/>
      <c r="AD143" s="378"/>
      <c r="AE143" s="378"/>
      <c r="AF143" s="378"/>
      <c r="AG143" s="378"/>
    </row>
    <row r="144">
      <c r="A144" s="378"/>
      <c r="B144" s="450"/>
      <c r="C144" s="451"/>
      <c r="D144" s="419"/>
      <c r="E144" s="419"/>
      <c r="F144" s="463"/>
      <c r="G144" s="463"/>
      <c r="H144" s="448"/>
      <c r="I144" s="376"/>
      <c r="J144" s="535"/>
      <c r="K144" s="451"/>
      <c r="L144" s="419"/>
      <c r="M144" s="419"/>
      <c r="N144" s="446"/>
      <c r="O144" s="447"/>
      <c r="P144" s="448"/>
      <c r="Q144" s="378"/>
      <c r="R144" s="378"/>
      <c r="S144" s="378"/>
      <c r="T144" s="378"/>
      <c r="U144" s="378"/>
      <c r="V144" s="378"/>
      <c r="W144" s="378"/>
      <c r="X144" s="378"/>
      <c r="Y144" s="378"/>
      <c r="Z144" s="378"/>
      <c r="AA144" s="378"/>
      <c r="AB144" s="378"/>
      <c r="AC144" s="378"/>
      <c r="AD144" s="378"/>
      <c r="AE144" s="378"/>
      <c r="AF144" s="378"/>
      <c r="AG144" s="378"/>
    </row>
    <row r="145">
      <c r="A145" s="378"/>
      <c r="B145" s="454" t="s">
        <v>715</v>
      </c>
      <c r="C145" s="455"/>
      <c r="D145" s="435"/>
      <c r="E145" s="419"/>
      <c r="F145" s="463"/>
      <c r="G145" s="463"/>
      <c r="H145" s="448"/>
      <c r="I145" s="376"/>
      <c r="J145" s="458" t="s">
        <v>715</v>
      </c>
      <c r="K145" s="455"/>
      <c r="L145" s="435"/>
      <c r="M145" s="419"/>
      <c r="N145" s="446"/>
      <c r="O145" s="447"/>
      <c r="P145" s="448"/>
      <c r="Q145" s="378"/>
      <c r="R145" s="378"/>
      <c r="S145" s="378"/>
      <c r="T145" s="378"/>
      <c r="U145" s="378"/>
      <c r="V145" s="378"/>
      <c r="W145" s="378"/>
      <c r="X145" s="378"/>
      <c r="Y145" s="378"/>
      <c r="Z145" s="378"/>
      <c r="AA145" s="378"/>
      <c r="AB145" s="378"/>
      <c r="AC145" s="378"/>
      <c r="AD145" s="378"/>
      <c r="AE145" s="378"/>
      <c r="AF145" s="378"/>
      <c r="AG145" s="378"/>
    </row>
    <row r="146">
      <c r="A146" s="378"/>
      <c r="B146" s="459" t="s">
        <v>716</v>
      </c>
      <c r="C146" s="460">
        <v>150.0</v>
      </c>
      <c r="D146" s="440"/>
      <c r="E146" s="419"/>
      <c r="F146" s="463"/>
      <c r="G146" s="463"/>
      <c r="H146" s="448"/>
      <c r="I146" s="376"/>
      <c r="J146" s="462" t="s">
        <v>716</v>
      </c>
      <c r="K146" s="460"/>
      <c r="L146" s="440"/>
      <c r="M146" s="419"/>
      <c r="N146" s="446"/>
      <c r="O146" s="447"/>
      <c r="P146" s="448"/>
      <c r="Q146" s="378"/>
      <c r="R146" s="378"/>
      <c r="S146" s="378"/>
      <c r="T146" s="378"/>
      <c r="U146" s="378"/>
      <c r="V146" s="378"/>
      <c r="W146" s="378"/>
      <c r="X146" s="378"/>
      <c r="Y146" s="378"/>
      <c r="Z146" s="378"/>
      <c r="AA146" s="378"/>
      <c r="AB146" s="378"/>
      <c r="AC146" s="378"/>
      <c r="AD146" s="378"/>
      <c r="AE146" s="378"/>
      <c r="AF146" s="378"/>
      <c r="AG146" s="378"/>
    </row>
    <row r="147">
      <c r="A147" s="378"/>
      <c r="B147" s="459" t="s">
        <v>717</v>
      </c>
      <c r="C147" s="460">
        <v>400.0</v>
      </c>
      <c r="D147" s="440"/>
      <c r="E147" s="419"/>
      <c r="F147" s="463"/>
      <c r="G147" s="463"/>
      <c r="H147" s="448"/>
      <c r="I147" s="376"/>
      <c r="J147" s="462" t="s">
        <v>717</v>
      </c>
      <c r="K147" s="460"/>
      <c r="L147" s="440"/>
      <c r="M147" s="419"/>
      <c r="N147" s="446"/>
      <c r="O147" s="447"/>
      <c r="P147" s="448"/>
      <c r="Q147" s="378"/>
      <c r="R147" s="378"/>
      <c r="S147" s="378"/>
      <c r="T147" s="378"/>
      <c r="U147" s="378"/>
      <c r="V147" s="378"/>
      <c r="W147" s="378"/>
      <c r="X147" s="378"/>
      <c r="Y147" s="378"/>
      <c r="Z147" s="378"/>
      <c r="AA147" s="378"/>
      <c r="AB147" s="378"/>
      <c r="AC147" s="378"/>
      <c r="AD147" s="378"/>
      <c r="AE147" s="378"/>
      <c r="AF147" s="378"/>
      <c r="AG147" s="378"/>
    </row>
    <row r="148">
      <c r="A148" s="378"/>
      <c r="B148" s="459" t="s">
        <v>718</v>
      </c>
      <c r="C148" s="460">
        <v>200.0</v>
      </c>
      <c r="D148" s="440"/>
      <c r="E148" s="419"/>
      <c r="F148" s="463"/>
      <c r="G148" s="463"/>
      <c r="H148" s="448"/>
      <c r="I148" s="376"/>
      <c r="J148" s="462" t="s">
        <v>718</v>
      </c>
      <c r="K148" s="460"/>
      <c r="L148" s="440"/>
      <c r="M148" s="419"/>
      <c r="N148" s="446"/>
      <c r="O148" s="447"/>
      <c r="P148" s="448"/>
      <c r="Q148" s="378"/>
      <c r="R148" s="378"/>
      <c r="S148" s="378"/>
      <c r="T148" s="378"/>
      <c r="U148" s="378"/>
      <c r="V148" s="378"/>
      <c r="W148" s="378"/>
      <c r="X148" s="378"/>
      <c r="Y148" s="378"/>
      <c r="Z148" s="378"/>
      <c r="AA148" s="378"/>
      <c r="AB148" s="378"/>
      <c r="AC148" s="378"/>
      <c r="AD148" s="378"/>
      <c r="AE148" s="378"/>
      <c r="AF148" s="378"/>
      <c r="AG148" s="378"/>
    </row>
    <row r="149">
      <c r="A149" s="378"/>
      <c r="B149" s="459" t="s">
        <v>656</v>
      </c>
      <c r="C149" s="460">
        <f>IFERROR(__xludf.DUMMYFUNCTION("FILTER(D967:D995,C967:C995=F130)"),2029.97)</f>
        <v>2029.97</v>
      </c>
      <c r="D149" s="440"/>
      <c r="E149" s="419"/>
      <c r="F149" s="463"/>
      <c r="G149" s="463"/>
      <c r="H149" s="448"/>
      <c r="I149" s="376"/>
      <c r="J149" s="462" t="s">
        <v>656</v>
      </c>
      <c r="K149" s="460"/>
      <c r="L149" s="440"/>
      <c r="M149" s="419"/>
      <c r="N149" s="446"/>
      <c r="O149" s="447"/>
      <c r="P149" s="448"/>
      <c r="Q149" s="378"/>
      <c r="R149" s="378"/>
      <c r="S149" s="378"/>
      <c r="T149" s="378"/>
      <c r="U149" s="378"/>
      <c r="V149" s="378"/>
      <c r="W149" s="378"/>
      <c r="X149" s="378"/>
      <c r="Y149" s="378"/>
      <c r="Z149" s="378"/>
      <c r="AA149" s="378"/>
      <c r="AB149" s="378"/>
      <c r="AC149" s="378"/>
      <c r="AD149" s="378"/>
      <c r="AE149" s="378"/>
      <c r="AF149" s="378"/>
      <c r="AG149" s="378"/>
    </row>
    <row r="150">
      <c r="A150" s="378"/>
      <c r="B150" s="454" t="s">
        <v>862</v>
      </c>
      <c r="C150" s="537">
        <v>215.0</v>
      </c>
      <c r="D150" s="435"/>
      <c r="E150" s="419"/>
      <c r="F150" s="468" t="s">
        <v>842</v>
      </c>
      <c r="G150" s="466">
        <f>H138+C143-C155</f>
        <v>3341.03</v>
      </c>
      <c r="H150" s="211"/>
      <c r="I150" s="376"/>
      <c r="J150" s="467"/>
      <c r="K150" s="455"/>
      <c r="L150" s="435"/>
      <c r="M150" s="419"/>
      <c r="N150" s="468" t="s">
        <v>842</v>
      </c>
      <c r="O150" s="539">
        <f>P138+K143-K155</f>
        <v>2519.4</v>
      </c>
      <c r="P150" s="211"/>
      <c r="Q150" s="378"/>
      <c r="R150" s="378"/>
      <c r="S150" s="378"/>
      <c r="T150" s="378"/>
      <c r="U150" s="378"/>
      <c r="V150" s="378"/>
      <c r="W150" s="378"/>
      <c r="X150" s="378"/>
      <c r="Y150" s="378"/>
      <c r="Z150" s="378"/>
      <c r="AA150" s="378"/>
      <c r="AB150" s="378"/>
      <c r="AC150" s="378"/>
      <c r="AD150" s="378"/>
      <c r="AE150" s="378"/>
      <c r="AF150" s="378"/>
      <c r="AG150" s="378"/>
    </row>
    <row r="151">
      <c r="A151" s="378"/>
      <c r="B151" s="464"/>
      <c r="C151" s="455"/>
      <c r="D151" s="435"/>
      <c r="E151" s="419"/>
      <c r="F151" s="469" t="s">
        <v>843</v>
      </c>
      <c r="G151" s="278"/>
      <c r="H151" s="56"/>
      <c r="I151" s="376"/>
      <c r="J151" s="467"/>
      <c r="K151" s="455"/>
      <c r="L151" s="435"/>
      <c r="M151" s="419"/>
      <c r="N151" s="469" t="s">
        <v>854</v>
      </c>
      <c r="O151" s="278"/>
      <c r="P151" s="56"/>
      <c r="Q151" s="378"/>
      <c r="R151" s="378"/>
      <c r="S151" s="378"/>
      <c r="T151" s="378"/>
      <c r="U151" s="378"/>
      <c r="V151" s="378"/>
      <c r="W151" s="378"/>
      <c r="X151" s="378"/>
      <c r="Y151" s="378"/>
      <c r="Z151" s="378"/>
      <c r="AA151" s="378"/>
      <c r="AB151" s="378"/>
      <c r="AC151" s="378"/>
      <c r="AD151" s="378"/>
      <c r="AE151" s="378"/>
      <c r="AF151" s="378"/>
      <c r="AG151" s="378"/>
    </row>
    <row r="152">
      <c r="A152" s="378"/>
      <c r="B152" s="464"/>
      <c r="C152" s="455"/>
      <c r="D152" s="435"/>
      <c r="E152" s="419"/>
      <c r="F152" s="470"/>
      <c r="G152" s="215"/>
      <c r="H152" s="64"/>
      <c r="I152" s="376"/>
      <c r="J152" s="467"/>
      <c r="K152" s="455"/>
      <c r="L152" s="435"/>
      <c r="M152" s="419"/>
      <c r="N152" s="470"/>
      <c r="O152" s="215"/>
      <c r="P152" s="64"/>
      <c r="Q152" s="378"/>
      <c r="R152" s="378"/>
      <c r="S152" s="378"/>
      <c r="T152" s="378"/>
      <c r="U152" s="378"/>
      <c r="V152" s="378"/>
      <c r="W152" s="378"/>
      <c r="X152" s="378"/>
      <c r="Y152" s="378"/>
      <c r="Z152" s="378"/>
      <c r="AA152" s="378"/>
      <c r="AB152" s="378"/>
      <c r="AC152" s="378"/>
      <c r="AD152" s="378"/>
      <c r="AE152" s="378"/>
      <c r="AF152" s="378"/>
      <c r="AG152" s="378"/>
    </row>
    <row r="153">
      <c r="A153" s="378"/>
      <c r="B153" s="464"/>
      <c r="C153" s="455"/>
      <c r="D153" s="435"/>
      <c r="E153" s="419"/>
      <c r="F153" s="419"/>
      <c r="G153" s="419"/>
      <c r="H153" s="429"/>
      <c r="I153" s="376"/>
      <c r="J153" s="467"/>
      <c r="K153" s="455"/>
      <c r="L153" s="435"/>
      <c r="M153" s="419"/>
      <c r="N153" s="431"/>
      <c r="O153" s="432"/>
      <c r="P153" s="429"/>
      <c r="Q153" s="378"/>
      <c r="R153" s="378"/>
      <c r="S153" s="378"/>
      <c r="T153" s="378"/>
      <c r="U153" s="378"/>
      <c r="V153" s="378"/>
      <c r="W153" s="378"/>
      <c r="X153" s="378"/>
      <c r="Y153" s="378"/>
      <c r="Z153" s="378"/>
      <c r="AA153" s="378"/>
      <c r="AB153" s="378"/>
      <c r="AC153" s="378"/>
      <c r="AD153" s="378"/>
      <c r="AE153" s="378"/>
      <c r="AF153" s="378"/>
      <c r="AG153" s="378"/>
    </row>
    <row r="154">
      <c r="A154" s="378"/>
      <c r="B154" s="464"/>
      <c r="C154" s="455"/>
      <c r="D154" s="435"/>
      <c r="E154" s="419"/>
      <c r="F154" s="419"/>
      <c r="G154" s="419"/>
      <c r="H154" s="429"/>
      <c r="I154" s="376"/>
      <c r="J154" s="467"/>
      <c r="K154" s="455"/>
      <c r="L154" s="435"/>
      <c r="M154" s="419"/>
      <c r="N154" s="431"/>
      <c r="O154" s="432"/>
      <c r="P154" s="429"/>
      <c r="Q154" s="378"/>
      <c r="R154" s="378"/>
      <c r="S154" s="378"/>
      <c r="T154" s="378"/>
      <c r="U154" s="378"/>
      <c r="V154" s="378"/>
      <c r="W154" s="378"/>
      <c r="X154" s="378"/>
      <c r="Y154" s="378"/>
      <c r="Z154" s="378"/>
      <c r="AA154" s="378"/>
      <c r="AB154" s="378"/>
      <c r="AC154" s="378"/>
      <c r="AD154" s="378"/>
      <c r="AE154" s="378"/>
      <c r="AF154" s="378"/>
      <c r="AG154" s="378"/>
    </row>
    <row r="155">
      <c r="A155" s="378"/>
      <c r="B155" s="454" t="s">
        <v>721</v>
      </c>
      <c r="C155" s="460">
        <f>SUM(C146:C154)</f>
        <v>2994.97</v>
      </c>
      <c r="D155" s="440"/>
      <c r="E155" s="419"/>
      <c r="F155" s="419"/>
      <c r="G155" s="419"/>
      <c r="H155" s="429"/>
      <c r="I155" s="376"/>
      <c r="J155" s="458" t="s">
        <v>721</v>
      </c>
      <c r="K155" s="460"/>
      <c r="L155" s="440"/>
      <c r="M155" s="419"/>
      <c r="N155" s="431"/>
      <c r="O155" s="432"/>
      <c r="P155" s="429"/>
      <c r="Q155" s="378"/>
      <c r="R155" s="378"/>
      <c r="S155" s="378"/>
      <c r="T155" s="378"/>
      <c r="U155" s="378"/>
      <c r="V155" s="378"/>
      <c r="W155" s="378"/>
      <c r="X155" s="378"/>
      <c r="Y155" s="378"/>
      <c r="Z155" s="378"/>
      <c r="AA155" s="378"/>
      <c r="AB155" s="378"/>
      <c r="AC155" s="378"/>
      <c r="AD155" s="378"/>
      <c r="AE155" s="378"/>
      <c r="AF155" s="378"/>
      <c r="AG155" s="378"/>
    </row>
    <row r="156">
      <c r="A156" s="378"/>
      <c r="B156" s="471"/>
      <c r="C156" s="472"/>
      <c r="D156" s="472"/>
      <c r="E156" s="472"/>
      <c r="F156" s="472"/>
      <c r="G156" s="472"/>
      <c r="H156" s="473"/>
      <c r="I156" s="376"/>
      <c r="J156" s="474"/>
      <c r="K156" s="472"/>
      <c r="L156" s="472"/>
      <c r="M156" s="472"/>
      <c r="N156" s="475"/>
      <c r="O156" s="476"/>
      <c r="P156" s="473"/>
      <c r="Q156" s="378"/>
      <c r="R156" s="378"/>
      <c r="S156" s="378"/>
      <c r="T156" s="378"/>
      <c r="U156" s="378"/>
      <c r="V156" s="378"/>
      <c r="W156" s="378"/>
      <c r="X156" s="378"/>
      <c r="Y156" s="378"/>
      <c r="Z156" s="378"/>
      <c r="AA156" s="378"/>
      <c r="AB156" s="378"/>
      <c r="AC156" s="378"/>
      <c r="AD156" s="378"/>
      <c r="AE156" s="378"/>
      <c r="AF156" s="378"/>
      <c r="AG156" s="378"/>
    </row>
    <row r="157">
      <c r="A157" s="378"/>
      <c r="B157" s="477"/>
      <c r="C157" s="378"/>
      <c r="D157" s="378"/>
      <c r="E157" s="378"/>
      <c r="F157" s="378"/>
      <c r="G157" s="378"/>
      <c r="H157" s="378"/>
      <c r="I157" s="376"/>
      <c r="J157" s="377"/>
      <c r="K157" s="378"/>
      <c r="L157" s="378"/>
      <c r="M157" s="378"/>
      <c r="N157" s="379"/>
      <c r="O157" s="380"/>
      <c r="P157" s="378"/>
      <c r="Q157" s="378"/>
      <c r="R157" s="378"/>
      <c r="S157" s="378"/>
      <c r="T157" s="378"/>
      <c r="U157" s="378"/>
      <c r="V157" s="378"/>
      <c r="W157" s="378"/>
      <c r="X157" s="378"/>
      <c r="Y157" s="378"/>
      <c r="Z157" s="378"/>
      <c r="AA157" s="378"/>
      <c r="AB157" s="378"/>
      <c r="AC157" s="378"/>
      <c r="AD157" s="378"/>
      <c r="AE157" s="378"/>
      <c r="AF157" s="378"/>
      <c r="AG157" s="378"/>
    </row>
    <row r="158">
      <c r="A158" s="378"/>
      <c r="B158" s="477"/>
      <c r="C158" s="378"/>
      <c r="D158" s="378"/>
      <c r="E158" s="378"/>
      <c r="F158" s="378"/>
      <c r="G158" s="378"/>
      <c r="H158" s="378"/>
      <c r="I158" s="376"/>
      <c r="J158" s="377"/>
      <c r="K158" s="378"/>
      <c r="L158" s="378"/>
      <c r="M158" s="378"/>
      <c r="N158" s="379"/>
      <c r="O158" s="380"/>
      <c r="P158" s="378"/>
      <c r="Q158" s="378"/>
      <c r="R158" s="378"/>
      <c r="S158" s="378"/>
      <c r="T158" s="378"/>
      <c r="U158" s="378"/>
      <c r="V158" s="378"/>
      <c r="W158" s="378"/>
      <c r="X158" s="378"/>
      <c r="Y158" s="378"/>
      <c r="Z158" s="378"/>
      <c r="AA158" s="378"/>
      <c r="AB158" s="378"/>
      <c r="AC158" s="378"/>
      <c r="AD158" s="378"/>
      <c r="AE158" s="378"/>
      <c r="AF158" s="378"/>
      <c r="AG158" s="378"/>
    </row>
    <row r="159">
      <c r="A159" s="378"/>
      <c r="B159" s="382"/>
      <c r="C159" s="554" t="s">
        <v>863</v>
      </c>
      <c r="D159" s="384"/>
      <c r="E159" s="385" t="s">
        <v>700</v>
      </c>
      <c r="F159" s="385" t="str">
        <f>Board!A2</f>
        <v>11.17.25-11.23.25</v>
      </c>
      <c r="G159" s="213"/>
      <c r="H159" s="211"/>
      <c r="I159" s="386">
        <v>6.0</v>
      </c>
      <c r="J159" s="387"/>
      <c r="K159" s="388"/>
      <c r="L159" s="384"/>
      <c r="M159" s="385" t="s">
        <v>700</v>
      </c>
      <c r="N159" s="385" t="str">
        <f>Board!A2</f>
        <v>11.17.25-11.23.25</v>
      </c>
      <c r="O159" s="213"/>
      <c r="P159" s="211"/>
      <c r="Q159" s="378"/>
      <c r="R159" s="389" t="s">
        <v>831</v>
      </c>
      <c r="S159" s="389" t="s">
        <v>652</v>
      </c>
      <c r="T159" s="390" t="s">
        <v>832</v>
      </c>
      <c r="U159" s="391" t="s">
        <v>833</v>
      </c>
      <c r="V159" s="389" t="s">
        <v>655</v>
      </c>
      <c r="W159" s="389" t="s">
        <v>8</v>
      </c>
      <c r="X159" s="389" t="s">
        <v>656</v>
      </c>
      <c r="Y159" s="390" t="s">
        <v>834</v>
      </c>
      <c r="Z159" s="392" t="s">
        <v>835</v>
      </c>
      <c r="AA159" s="390" t="s">
        <v>836</v>
      </c>
      <c r="AB159" s="390" t="s">
        <v>837</v>
      </c>
      <c r="AC159" s="393" t="s">
        <v>716</v>
      </c>
      <c r="AD159" s="393" t="s">
        <v>717</v>
      </c>
      <c r="AE159" s="393" t="s">
        <v>718</v>
      </c>
      <c r="AF159" s="394" t="s">
        <v>838</v>
      </c>
      <c r="AG159" s="394"/>
    </row>
    <row r="160">
      <c r="A160" s="378"/>
      <c r="B160" s="395"/>
      <c r="C160" s="372"/>
      <c r="D160" s="396"/>
      <c r="E160" s="385" t="s">
        <v>702</v>
      </c>
      <c r="F160" s="385" t="s">
        <v>678</v>
      </c>
      <c r="G160" s="213"/>
      <c r="H160" s="211"/>
      <c r="I160" s="376"/>
      <c r="J160" s="397"/>
      <c r="K160" s="372"/>
      <c r="L160" s="396"/>
      <c r="M160" s="385" t="s">
        <v>351</v>
      </c>
      <c r="N160" s="385" t="str">
        <f t="array" ref="N160">XLOOKUP(N161,Board!K:K,Board!J:J)</f>
        <v>NICOLAS PAULA</v>
      </c>
      <c r="O160" s="213"/>
      <c r="P160" s="211"/>
      <c r="Q160" s="378"/>
      <c r="R160" s="398">
        <f>I159</f>
        <v>6</v>
      </c>
      <c r="S160" s="398">
        <f>F161</f>
        <v>1002</v>
      </c>
      <c r="T160" s="399">
        <f>G181</f>
        <v>4029.89</v>
      </c>
      <c r="U160" s="378" t="str">
        <f>N160</f>
        <v>NICOLAS PAULA</v>
      </c>
      <c r="V160" s="380">
        <f>O181</f>
        <v>2291.9</v>
      </c>
      <c r="W160" s="399">
        <f>P169</f>
        <v>2291.9</v>
      </c>
      <c r="X160" s="399">
        <f>C180</f>
        <v>2035.95</v>
      </c>
      <c r="Y160" s="400">
        <f>N169</f>
        <v>3526</v>
      </c>
      <c r="Z160" s="399">
        <f>V161-V160</f>
        <v>1737.99</v>
      </c>
      <c r="AA160" s="378"/>
      <c r="AB160" s="378"/>
      <c r="AC160" s="401" t="str">
        <f>C177</f>
        <v/>
      </c>
      <c r="AD160" s="401" t="str">
        <f>C178</f>
        <v/>
      </c>
      <c r="AE160" s="401" t="str">
        <f>C179</f>
        <v/>
      </c>
      <c r="AF160" s="398">
        <f>C181+C182+C183+C184+C185</f>
        <v>0</v>
      </c>
      <c r="AG160" s="398"/>
    </row>
    <row r="161">
      <c r="A161" s="378"/>
      <c r="B161" s="395"/>
      <c r="C161" s="372"/>
      <c r="D161" s="402"/>
      <c r="E161" s="385" t="s">
        <v>703</v>
      </c>
      <c r="F161" s="385">
        <v>1002.0</v>
      </c>
      <c r="G161" s="213"/>
      <c r="H161" s="211"/>
      <c r="I161" s="376"/>
      <c r="J161" s="397"/>
      <c r="K161" s="372"/>
      <c r="L161" s="402"/>
      <c r="M161" s="385" t="s">
        <v>703</v>
      </c>
      <c r="N161" s="385">
        <f>F161</f>
        <v>1002</v>
      </c>
      <c r="O161" s="213"/>
      <c r="P161" s="211"/>
      <c r="Q161" s="378"/>
      <c r="R161" s="378"/>
      <c r="S161" s="378"/>
      <c r="T161" s="378"/>
      <c r="U161" s="378" t="str">
        <f>F160</f>
        <v>Rivershore</v>
      </c>
      <c r="V161" s="399">
        <f>G181</f>
        <v>4029.89</v>
      </c>
      <c r="W161" s="399">
        <f>H169</f>
        <v>6065.84</v>
      </c>
      <c r="X161" s="378"/>
      <c r="Y161" s="378"/>
      <c r="Z161" s="378"/>
      <c r="AA161" s="378"/>
      <c r="AB161" s="378"/>
      <c r="AC161" s="378"/>
      <c r="AD161" s="378"/>
      <c r="AE161" s="378"/>
      <c r="AF161" s="378"/>
      <c r="AG161" s="378"/>
    </row>
    <row r="162">
      <c r="A162" s="378"/>
      <c r="B162" s="403" t="s">
        <v>704</v>
      </c>
      <c r="C162" s="404" t="s">
        <v>5</v>
      </c>
      <c r="D162" s="405" t="s">
        <v>6</v>
      </c>
      <c r="E162" s="406" t="s">
        <v>7</v>
      </c>
      <c r="F162" s="404" t="s">
        <v>8</v>
      </c>
      <c r="G162" s="404" t="s">
        <v>706</v>
      </c>
      <c r="H162" s="404" t="s">
        <v>707</v>
      </c>
      <c r="I162" s="376"/>
      <c r="J162" s="407" t="s">
        <v>704</v>
      </c>
      <c r="K162" s="404" t="s">
        <v>5</v>
      </c>
      <c r="L162" s="405" t="s">
        <v>6</v>
      </c>
      <c r="M162" s="406" t="s">
        <v>7</v>
      </c>
      <c r="N162" s="404" t="s">
        <v>591</v>
      </c>
      <c r="O162" s="408" t="s">
        <v>839</v>
      </c>
      <c r="P162" s="404" t="s">
        <v>707</v>
      </c>
      <c r="Q162" s="378"/>
      <c r="R162" s="378"/>
      <c r="S162" s="378"/>
      <c r="T162" s="378"/>
      <c r="U162" s="378"/>
      <c r="V162" s="378"/>
      <c r="W162" s="378"/>
      <c r="X162" s="378"/>
      <c r="Y162" s="378"/>
      <c r="Z162" s="378"/>
      <c r="AA162" s="378"/>
      <c r="AB162" s="378"/>
      <c r="AC162" s="378"/>
      <c r="AD162" s="378"/>
      <c r="AE162" s="378"/>
      <c r="AF162" s="378"/>
      <c r="AG162" s="378"/>
    </row>
    <row r="163">
      <c r="A163" s="378"/>
      <c r="B163" s="555">
        <f>IFERROR(__xludf.DUMMYFUNCTION("FILTER(Board!C:G,Board!K:K=F161)"),45978.0)</f>
        <v>45978</v>
      </c>
      <c r="C163" s="404">
        <f>IFERROR(__xludf.DUMMYFUNCTION("""COMPUTED_VALUE"""),1238994.0)</f>
        <v>1238994</v>
      </c>
      <c r="D163" s="405" t="str">
        <f>IFERROR(__xludf.DUMMYFUNCTION("""COMPUTED_VALUE"""),"Franklin, AL, 36444")</f>
        <v>Franklin, AL, 36444</v>
      </c>
      <c r="E163" s="406" t="str">
        <f>IFERROR(__xludf.DUMMYFUNCTION("""COMPUTED_VALUE"""),"Cleburne, TX, 76033")</f>
        <v>Cleburne, TX, 76033</v>
      </c>
      <c r="F163" s="414">
        <f>IFERROR(__xludf.DUMMYFUNCTION("""COMPUTED_VALUE"""),1420.0)</f>
        <v>1420</v>
      </c>
      <c r="G163" s="413">
        <v>0.88</v>
      </c>
      <c r="H163" s="414">
        <f t="shared" ref="H163:H165" si="10">F163*G163</f>
        <v>1249.6</v>
      </c>
      <c r="I163" s="376"/>
      <c r="J163" s="415">
        <f>IFERROR(__xludf.DUMMYFUNCTION("FILTER(Board!C:F,Board!K:K=N161)"),45978.0)</f>
        <v>45978</v>
      </c>
      <c r="K163" s="411">
        <f>IFERROR(__xludf.DUMMYFUNCTION("""COMPUTED_VALUE"""),1238994.0)</f>
        <v>1238994</v>
      </c>
      <c r="L163" s="411" t="str">
        <f>IFERROR(__xludf.DUMMYFUNCTION("""COMPUTED_VALUE"""),"Franklin, AL, 36444")</f>
        <v>Franklin, AL, 36444</v>
      </c>
      <c r="M163" s="411" t="str">
        <f>IFERROR(__xludf.DUMMYFUNCTION("""COMPUTED_VALUE"""),"Cleburne, TX, 76033")</f>
        <v>Cleburne, TX, 76033</v>
      </c>
      <c r="N163" s="416">
        <f>IFERROR(__xludf.DUMMYFUNCTION("FILTER(Board!H:H,Board!K:K=N161)"),705.0)</f>
        <v>705</v>
      </c>
      <c r="O163" s="408">
        <v>0.65</v>
      </c>
      <c r="P163" s="414">
        <f t="shared" ref="P163:P166" si="11">N163*O163</f>
        <v>458.25</v>
      </c>
      <c r="Q163" s="378"/>
      <c r="R163" s="378"/>
      <c r="S163" s="378"/>
      <c r="T163" s="378"/>
      <c r="U163" s="378"/>
      <c r="V163" s="378"/>
      <c r="W163" s="378"/>
      <c r="X163" s="378"/>
      <c r="Y163" s="378"/>
      <c r="Z163" s="378"/>
      <c r="AA163" s="378"/>
      <c r="AB163" s="378"/>
      <c r="AC163" s="378"/>
      <c r="AD163" s="378"/>
      <c r="AE163" s="378"/>
      <c r="AF163" s="378"/>
      <c r="AG163" s="378"/>
    </row>
    <row r="164">
      <c r="A164" s="378"/>
      <c r="B164" s="555">
        <f>IFERROR(__xludf.DUMMYFUNCTION("""COMPUTED_VALUE"""),45979.0)</f>
        <v>45979</v>
      </c>
      <c r="C164" s="404">
        <f>IFERROR(__xludf.DUMMYFUNCTION("""COMPUTED_VALUE"""),8002007.0)</f>
        <v>8002007</v>
      </c>
      <c r="D164" s="405" t="str">
        <f>IFERROR(__xludf.DUMMYFUNCTION("""COMPUTED_VALUE"""),"Fort Worth, TX, 76106")</f>
        <v>Fort Worth, TX, 76106</v>
      </c>
      <c r="E164" s="406" t="str">
        <f>IFERROR(__xludf.DUMMYFUNCTION("""COMPUTED_VALUE"""),"Myerstown, PA, 17067")</f>
        <v>Myerstown, PA, 17067</v>
      </c>
      <c r="F164" s="414">
        <f>IFERROR(__xludf.DUMMYFUNCTION("""COMPUTED_VALUE"""),2700.0)</f>
        <v>2700</v>
      </c>
      <c r="G164" s="413">
        <v>0.88</v>
      </c>
      <c r="H164" s="414">
        <f t="shared" si="10"/>
        <v>2376</v>
      </c>
      <c r="I164" s="376"/>
      <c r="J164" s="418">
        <f>IFERROR(__xludf.DUMMYFUNCTION("""COMPUTED_VALUE"""),45979.0)</f>
        <v>45979</v>
      </c>
      <c r="K164" s="411">
        <f>IFERROR(__xludf.DUMMYFUNCTION("""COMPUTED_VALUE"""),8002007.0)</f>
        <v>8002007</v>
      </c>
      <c r="L164" s="411" t="str">
        <f>IFERROR(__xludf.DUMMYFUNCTION("""COMPUTED_VALUE"""),"Fort Worth, TX, 76106")</f>
        <v>Fort Worth, TX, 76106</v>
      </c>
      <c r="M164" s="411" t="str">
        <f>IFERROR(__xludf.DUMMYFUNCTION("""COMPUTED_VALUE"""),"Myerstown, PA, 17067")</f>
        <v>Myerstown, PA, 17067</v>
      </c>
      <c r="N164" s="416">
        <f>IFERROR(__xludf.DUMMYFUNCTION("""COMPUTED_VALUE"""),1467.0)</f>
        <v>1467</v>
      </c>
      <c r="O164" s="408">
        <v>0.65</v>
      </c>
      <c r="P164" s="414">
        <f t="shared" si="11"/>
        <v>953.55</v>
      </c>
      <c r="Q164" s="378"/>
      <c r="R164" s="378"/>
      <c r="S164" s="378"/>
      <c r="T164" s="378"/>
      <c r="U164" s="378"/>
      <c r="V164" s="378"/>
      <c r="W164" s="378"/>
      <c r="X164" s="378"/>
      <c r="Y164" s="378"/>
      <c r="Z164" s="378"/>
      <c r="AA164" s="378"/>
      <c r="AB164" s="378"/>
      <c r="AC164" s="378"/>
      <c r="AD164" s="378"/>
      <c r="AE164" s="378"/>
      <c r="AF164" s="378"/>
      <c r="AG164" s="378"/>
    </row>
    <row r="165">
      <c r="A165" s="378"/>
      <c r="B165" s="499">
        <f>IFERROR(__xludf.DUMMYFUNCTION("""COMPUTED_VALUE"""),45982.0)</f>
        <v>45982</v>
      </c>
      <c r="C165" s="421">
        <f>IFERROR(__xludf.DUMMYFUNCTION("""COMPUTED_VALUE"""),57602.0)</f>
        <v>57602</v>
      </c>
      <c r="D165" s="422" t="str">
        <f>IFERROR(__xludf.DUMMYFUNCTION("""COMPUTED_VALUE"""),"Edison, NJ, 08837")</f>
        <v>Edison, NJ, 08837</v>
      </c>
      <c r="E165" s="423" t="str">
        <f>IFERROR(__xludf.DUMMYFUNCTION("""COMPUTED_VALUE"""),"Weston, FL, 33331")</f>
        <v>Weston, FL, 33331</v>
      </c>
      <c r="F165" s="500">
        <f>IFERROR(__xludf.DUMMYFUNCTION("""COMPUTED_VALUE"""),2773.0)</f>
        <v>2773</v>
      </c>
      <c r="G165" s="413">
        <v>0.88</v>
      </c>
      <c r="H165" s="414">
        <f t="shared" si="10"/>
        <v>2440.24</v>
      </c>
      <c r="I165" s="376"/>
      <c r="J165" s="545">
        <f>IFERROR(__xludf.DUMMYFUNCTION("""COMPUTED_VALUE"""),45982.0)</f>
        <v>45982</v>
      </c>
      <c r="K165" s="421">
        <f>IFERROR(__xludf.DUMMYFUNCTION("""COMPUTED_VALUE"""),57602.0)</f>
        <v>57602</v>
      </c>
      <c r="L165" s="422" t="str">
        <f>IFERROR(__xludf.DUMMYFUNCTION("""COMPUTED_VALUE"""),"Edison, NJ, 08837")</f>
        <v>Edison, NJ, 08837</v>
      </c>
      <c r="M165" s="423" t="str">
        <f>IFERROR(__xludf.DUMMYFUNCTION("""COMPUTED_VALUE"""),"Weston, FL, 33331")</f>
        <v>Weston, FL, 33331</v>
      </c>
      <c r="N165" s="546">
        <f>IFERROR(__xludf.DUMMYFUNCTION("""COMPUTED_VALUE"""),1354.0)</f>
        <v>1354</v>
      </c>
      <c r="O165" s="408">
        <v>0.65</v>
      </c>
      <c r="P165" s="414">
        <f t="shared" si="11"/>
        <v>880.1</v>
      </c>
      <c r="Q165" s="378"/>
      <c r="R165" s="378"/>
      <c r="S165" s="378"/>
      <c r="T165" s="378"/>
      <c r="U165" s="378"/>
      <c r="V165" s="378"/>
      <c r="W165" s="378"/>
      <c r="X165" s="378"/>
      <c r="Y165" s="378"/>
      <c r="Z165" s="378"/>
      <c r="AA165" s="378"/>
      <c r="AB165" s="378"/>
      <c r="AC165" s="378"/>
      <c r="AD165" s="378"/>
      <c r="AE165" s="378"/>
      <c r="AF165" s="378"/>
      <c r="AG165" s="378"/>
    </row>
    <row r="166">
      <c r="A166" s="378"/>
      <c r="B166" s="420"/>
      <c r="C166" s="421"/>
      <c r="D166" s="422"/>
      <c r="E166" s="423"/>
      <c r="F166" s="421"/>
      <c r="G166" s="413"/>
      <c r="H166" s="414"/>
      <c r="I166" s="376"/>
      <c r="J166" s="424"/>
      <c r="K166" s="421"/>
      <c r="L166" s="422"/>
      <c r="M166" s="423"/>
      <c r="N166" s="425"/>
      <c r="O166" s="408">
        <v>0.65</v>
      </c>
      <c r="P166" s="414">
        <f t="shared" si="11"/>
        <v>0</v>
      </c>
      <c r="Q166" s="378"/>
      <c r="R166" s="378"/>
      <c r="S166" s="378"/>
      <c r="T166" s="378"/>
      <c r="U166" s="378"/>
      <c r="V166" s="378"/>
      <c r="W166" s="378"/>
      <c r="X166" s="378"/>
      <c r="Y166" s="378"/>
      <c r="Z166" s="378"/>
      <c r="AA166" s="378"/>
      <c r="AB166" s="378"/>
      <c r="AC166" s="378"/>
      <c r="AD166" s="378"/>
      <c r="AE166" s="378"/>
      <c r="AF166" s="378"/>
      <c r="AG166" s="378"/>
    </row>
    <row r="167">
      <c r="A167" s="378"/>
      <c r="B167" s="420"/>
      <c r="C167" s="421"/>
      <c r="D167" s="422"/>
      <c r="E167" s="423"/>
      <c r="F167" s="421"/>
      <c r="G167" s="413"/>
      <c r="H167" s="414"/>
      <c r="I167" s="376"/>
      <c r="J167" s="424"/>
      <c r="K167" s="421"/>
      <c r="L167" s="422"/>
      <c r="M167" s="423"/>
      <c r="N167" s="425"/>
      <c r="O167" s="408"/>
      <c r="P167" s="414"/>
      <c r="Q167" s="378"/>
      <c r="R167" s="378"/>
      <c r="S167" s="378"/>
      <c r="T167" s="378"/>
      <c r="U167" s="378"/>
      <c r="V167" s="378"/>
      <c r="W167" s="378"/>
      <c r="X167" s="378"/>
      <c r="Y167" s="378"/>
      <c r="Z167" s="378"/>
      <c r="AA167" s="378"/>
      <c r="AB167" s="378"/>
      <c r="AC167" s="378"/>
      <c r="AD167" s="378"/>
      <c r="AE167" s="378"/>
      <c r="AF167" s="378"/>
      <c r="AG167" s="378"/>
    </row>
    <row r="168">
      <c r="A168" s="378"/>
      <c r="B168" s="420"/>
      <c r="C168" s="421"/>
      <c r="D168" s="422"/>
      <c r="E168" s="423"/>
      <c r="F168" s="421"/>
      <c r="G168" s="413"/>
      <c r="H168" s="414"/>
      <c r="I168" s="376"/>
      <c r="J168" s="424"/>
      <c r="K168" s="421"/>
      <c r="L168" s="422"/>
      <c r="M168" s="423"/>
      <c r="N168" s="425"/>
      <c r="O168" s="408"/>
      <c r="P168" s="414"/>
      <c r="Q168" s="378"/>
      <c r="R168" s="378"/>
      <c r="S168" s="378"/>
      <c r="T168" s="378"/>
      <c r="U168" s="378"/>
      <c r="V168" s="378"/>
      <c r="W168" s="378"/>
      <c r="X168" s="378"/>
      <c r="Y168" s="378"/>
      <c r="Z168" s="378"/>
      <c r="AA168" s="378"/>
      <c r="AB168" s="378"/>
      <c r="AC168" s="378"/>
      <c r="AD168" s="378"/>
      <c r="AE168" s="378"/>
      <c r="AF168" s="378"/>
      <c r="AG168" s="378"/>
    </row>
    <row r="169">
      <c r="A169" s="378"/>
      <c r="B169" s="403" t="s">
        <v>711</v>
      </c>
      <c r="C169" s="224"/>
      <c r="D169" s="224"/>
      <c r="E169" s="222"/>
      <c r="F169" s="414">
        <f>SUM(F163:F168)</f>
        <v>6893</v>
      </c>
      <c r="G169" s="421"/>
      <c r="H169" s="414">
        <f>SUM(H163:H168)</f>
        <v>6065.84</v>
      </c>
      <c r="I169" s="376"/>
      <c r="J169" s="407" t="s">
        <v>711</v>
      </c>
      <c r="K169" s="224"/>
      <c r="L169" s="224"/>
      <c r="M169" s="222"/>
      <c r="N169" s="426">
        <f>SUM(N163:N168)</f>
        <v>3526</v>
      </c>
      <c r="O169" s="427"/>
      <c r="P169" s="414">
        <f>SUM(P163:P168)</f>
        <v>2291.9</v>
      </c>
      <c r="Q169" s="378"/>
      <c r="R169" s="378"/>
      <c r="S169" s="378"/>
      <c r="T169" s="378"/>
      <c r="U169" s="378"/>
      <c r="V169" s="378"/>
      <c r="W169" s="378"/>
      <c r="X169" s="378"/>
      <c r="Y169" s="378"/>
      <c r="Z169" s="378"/>
      <c r="AA169" s="378"/>
      <c r="AB169" s="378"/>
      <c r="AC169" s="378"/>
      <c r="AD169" s="378"/>
      <c r="AE169" s="378"/>
      <c r="AF169" s="378"/>
      <c r="AG169" s="378"/>
    </row>
    <row r="170">
      <c r="A170" s="378"/>
      <c r="B170" s="428"/>
      <c r="C170" s="419"/>
      <c r="D170" s="419"/>
      <c r="E170" s="419"/>
      <c r="F170" s="419"/>
      <c r="G170" s="419"/>
      <c r="H170" s="429"/>
      <c r="I170" s="376"/>
      <c r="J170" s="430"/>
      <c r="K170" s="419"/>
      <c r="L170" s="419"/>
      <c r="M170" s="419"/>
      <c r="N170" s="431"/>
      <c r="O170" s="432"/>
      <c r="P170" s="429"/>
      <c r="Q170" s="378"/>
      <c r="R170" s="378"/>
      <c r="S170" s="378"/>
      <c r="T170" s="378"/>
      <c r="U170" s="378"/>
      <c r="V170" s="378"/>
      <c r="W170" s="378"/>
      <c r="X170" s="378"/>
      <c r="Y170" s="378"/>
      <c r="Z170" s="378"/>
      <c r="AA170" s="378"/>
      <c r="AB170" s="378"/>
      <c r="AC170" s="378"/>
      <c r="AD170" s="378"/>
      <c r="AE170" s="378"/>
      <c r="AF170" s="378"/>
      <c r="AG170" s="378"/>
    </row>
    <row r="171">
      <c r="A171" s="378"/>
      <c r="B171" s="433" t="s">
        <v>712</v>
      </c>
      <c r="C171" s="434"/>
      <c r="D171" s="435"/>
      <c r="E171" s="419"/>
      <c r="F171" s="419"/>
      <c r="G171" s="419"/>
      <c r="H171" s="429"/>
      <c r="I171" s="376"/>
      <c r="J171" s="437" t="s">
        <v>712</v>
      </c>
      <c r="K171" s="434"/>
      <c r="L171" s="435"/>
      <c r="M171" s="419"/>
      <c r="N171" s="431"/>
      <c r="O171" s="432"/>
      <c r="P171" s="429"/>
      <c r="Q171" s="378"/>
      <c r="R171" s="378"/>
      <c r="S171" s="378"/>
      <c r="T171" s="378"/>
      <c r="U171" s="378"/>
      <c r="V171" s="378"/>
      <c r="W171" s="378"/>
      <c r="X171" s="378"/>
      <c r="Y171" s="378"/>
      <c r="Z171" s="378"/>
      <c r="AA171" s="378"/>
      <c r="AB171" s="378"/>
      <c r="AC171" s="378"/>
      <c r="AD171" s="378"/>
      <c r="AE171" s="378"/>
      <c r="AF171" s="378"/>
      <c r="AG171" s="378"/>
    </row>
    <row r="172">
      <c r="A172" s="378"/>
      <c r="B172" s="438" t="s">
        <v>657</v>
      </c>
      <c r="C172" s="439" t="str">
        <f>C172</f>
        <v>#REF!</v>
      </c>
      <c r="D172" s="440">
        <v>555.55</v>
      </c>
      <c r="E172" s="556" t="s">
        <v>864</v>
      </c>
      <c r="F172" s="419"/>
      <c r="G172" s="419"/>
      <c r="H172" s="429"/>
      <c r="I172" s="376"/>
      <c r="J172" s="443" t="s">
        <v>713</v>
      </c>
      <c r="K172" s="439"/>
      <c r="L172" s="440"/>
      <c r="M172" s="419"/>
      <c r="N172" s="431"/>
      <c r="O172" s="432"/>
      <c r="P172" s="429"/>
      <c r="Q172" s="378"/>
      <c r="R172" s="378"/>
      <c r="S172" s="378"/>
      <c r="T172" s="378"/>
      <c r="U172" s="378"/>
      <c r="V172" s="378"/>
      <c r="W172" s="378"/>
      <c r="X172" s="378"/>
      <c r="Y172" s="378"/>
      <c r="Z172" s="378"/>
      <c r="AA172" s="378"/>
      <c r="AB172" s="378"/>
      <c r="AC172" s="378"/>
      <c r="AD172" s="378"/>
      <c r="AE172" s="378"/>
      <c r="AF172" s="378"/>
      <c r="AG172" s="378"/>
    </row>
    <row r="173">
      <c r="A173" s="378"/>
      <c r="B173" s="444"/>
      <c r="C173" s="434"/>
      <c r="D173" s="435"/>
      <c r="E173" s="419"/>
      <c r="F173" s="463"/>
      <c r="G173" s="463"/>
      <c r="H173" s="448"/>
      <c r="I173" s="376"/>
      <c r="J173" s="445"/>
      <c r="K173" s="434"/>
      <c r="L173" s="435"/>
      <c r="M173" s="419"/>
      <c r="N173" s="446"/>
      <c r="O173" s="447"/>
      <c r="P173" s="448"/>
      <c r="Q173" s="378"/>
      <c r="R173" s="378"/>
      <c r="S173" s="378"/>
      <c r="T173" s="378"/>
      <c r="U173" s="378"/>
      <c r="V173" s="378"/>
      <c r="W173" s="378"/>
      <c r="X173" s="378"/>
      <c r="Y173" s="378"/>
      <c r="Z173" s="378"/>
      <c r="AA173" s="378"/>
      <c r="AB173" s="378"/>
      <c r="AC173" s="378"/>
      <c r="AD173" s="378"/>
      <c r="AE173" s="378"/>
      <c r="AF173" s="378"/>
      <c r="AG173" s="378"/>
    </row>
    <row r="174">
      <c r="A174" s="378"/>
      <c r="B174" s="438" t="s">
        <v>714</v>
      </c>
      <c r="C174" s="439"/>
      <c r="D174" s="440"/>
      <c r="E174" s="419"/>
      <c r="F174" s="463"/>
      <c r="G174" s="463"/>
      <c r="H174" s="448"/>
      <c r="I174" s="376"/>
      <c r="J174" s="443" t="s">
        <v>714</v>
      </c>
      <c r="K174" s="439">
        <f>SUM(K172:K173)</f>
        <v>0</v>
      </c>
      <c r="L174" s="440"/>
      <c r="M174" s="419"/>
      <c r="N174" s="446"/>
      <c r="O174" s="447"/>
      <c r="P174" s="448"/>
      <c r="Q174" s="378"/>
      <c r="R174" s="378"/>
      <c r="S174" s="378"/>
      <c r="T174" s="378"/>
      <c r="U174" s="378"/>
      <c r="V174" s="378"/>
      <c r="W174" s="378"/>
      <c r="X174" s="378"/>
      <c r="Y174" s="378"/>
      <c r="Z174" s="378"/>
      <c r="AA174" s="378"/>
      <c r="AB174" s="378"/>
      <c r="AC174" s="378"/>
      <c r="AD174" s="378"/>
      <c r="AE174" s="378"/>
      <c r="AF174" s="378"/>
      <c r="AG174" s="378"/>
    </row>
    <row r="175">
      <c r="A175" s="378"/>
      <c r="B175" s="450"/>
      <c r="C175" s="451"/>
      <c r="D175" s="419"/>
      <c r="E175" s="419"/>
      <c r="F175" s="463"/>
      <c r="G175" s="463"/>
      <c r="H175" s="448"/>
      <c r="I175" s="376"/>
      <c r="J175" s="535"/>
      <c r="K175" s="451"/>
      <c r="L175" s="419"/>
      <c r="M175" s="419"/>
      <c r="N175" s="446"/>
      <c r="O175" s="447"/>
      <c r="P175" s="448"/>
      <c r="Q175" s="378"/>
      <c r="R175" s="378"/>
      <c r="S175" s="378"/>
      <c r="T175" s="378"/>
      <c r="U175" s="378"/>
      <c r="V175" s="378"/>
      <c r="W175" s="378"/>
      <c r="X175" s="378"/>
      <c r="Y175" s="378"/>
      <c r="Z175" s="378"/>
      <c r="AA175" s="378"/>
      <c r="AB175" s="378"/>
      <c r="AC175" s="378"/>
      <c r="AD175" s="378"/>
      <c r="AE175" s="378"/>
      <c r="AF175" s="378"/>
      <c r="AG175" s="378"/>
    </row>
    <row r="176">
      <c r="A176" s="378"/>
      <c r="B176" s="454" t="s">
        <v>715</v>
      </c>
      <c r="C176" s="455"/>
      <c r="D176" s="456" t="s">
        <v>865</v>
      </c>
      <c r="E176" s="419"/>
      <c r="F176" s="463"/>
      <c r="G176" s="463"/>
      <c r="H176" s="448"/>
      <c r="I176" s="376"/>
      <c r="J176" s="458" t="s">
        <v>715</v>
      </c>
      <c r="K176" s="455"/>
      <c r="L176" s="435"/>
      <c r="M176" s="419"/>
      <c r="N176" s="446"/>
      <c r="O176" s="447"/>
      <c r="P176" s="448"/>
      <c r="Q176" s="378"/>
      <c r="R176" s="378"/>
      <c r="S176" s="378"/>
      <c r="T176" s="378"/>
      <c r="U176" s="378"/>
      <c r="V176" s="378"/>
      <c r="W176" s="378"/>
      <c r="X176" s="378"/>
      <c r="Y176" s="378"/>
      <c r="Z176" s="378"/>
      <c r="AA176" s="378"/>
      <c r="AB176" s="378"/>
      <c r="AC176" s="378"/>
      <c r="AD176" s="378"/>
      <c r="AE176" s="378"/>
      <c r="AF176" s="378"/>
      <c r="AG176" s="378"/>
    </row>
    <row r="177">
      <c r="A177" s="378"/>
      <c r="B177" s="459" t="s">
        <v>716</v>
      </c>
      <c r="C177" s="460"/>
      <c r="D177" s="440"/>
      <c r="E177" s="419"/>
      <c r="F177" s="463"/>
      <c r="G177" s="463"/>
      <c r="H177" s="448"/>
      <c r="I177" s="376"/>
      <c r="J177" s="462" t="s">
        <v>716</v>
      </c>
      <c r="K177" s="460"/>
      <c r="L177" s="440"/>
      <c r="M177" s="419"/>
      <c r="N177" s="446"/>
      <c r="O177" s="447"/>
      <c r="P177" s="448"/>
      <c r="Q177" s="378"/>
      <c r="R177" s="378"/>
      <c r="S177" s="378"/>
      <c r="T177" s="378"/>
      <c r="U177" s="378"/>
      <c r="V177" s="378"/>
      <c r="W177" s="378"/>
      <c r="X177" s="378"/>
      <c r="Y177" s="378"/>
      <c r="Z177" s="378"/>
      <c r="AA177" s="378"/>
      <c r="AB177" s="378"/>
      <c r="AC177" s="378"/>
      <c r="AD177" s="378"/>
      <c r="AE177" s="378"/>
      <c r="AF177" s="378"/>
      <c r="AG177" s="378"/>
    </row>
    <row r="178">
      <c r="A178" s="378"/>
      <c r="B178" s="459" t="s">
        <v>717</v>
      </c>
      <c r="C178" s="460"/>
      <c r="D178" s="440"/>
      <c r="E178" s="419"/>
      <c r="F178" s="463"/>
      <c r="G178" s="463"/>
      <c r="H178" s="448"/>
      <c r="I178" s="376"/>
      <c r="J178" s="462" t="s">
        <v>717</v>
      </c>
      <c r="K178" s="460"/>
      <c r="L178" s="440"/>
      <c r="M178" s="419"/>
      <c r="N178" s="446"/>
      <c r="O178" s="447"/>
      <c r="P178" s="448"/>
      <c r="Q178" s="378"/>
      <c r="R178" s="378"/>
      <c r="S178" s="378"/>
      <c r="T178" s="378"/>
      <c r="U178" s="378"/>
      <c r="V178" s="378"/>
      <c r="W178" s="378"/>
      <c r="X178" s="378"/>
      <c r="Y178" s="378"/>
      <c r="Z178" s="378"/>
      <c r="AA178" s="378"/>
      <c r="AB178" s="378"/>
      <c r="AC178" s="378"/>
      <c r="AD178" s="378"/>
      <c r="AE178" s="378"/>
      <c r="AF178" s="378"/>
      <c r="AG178" s="378"/>
    </row>
    <row r="179">
      <c r="A179" s="378"/>
      <c r="B179" s="459" t="s">
        <v>718</v>
      </c>
      <c r="C179" s="460"/>
      <c r="D179" s="440"/>
      <c r="E179" s="419"/>
      <c r="F179" s="463"/>
      <c r="G179" s="463"/>
      <c r="H179" s="448"/>
      <c r="I179" s="376"/>
      <c r="J179" s="462" t="s">
        <v>718</v>
      </c>
      <c r="K179" s="460"/>
      <c r="L179" s="440"/>
      <c r="M179" s="419"/>
      <c r="N179" s="446"/>
      <c r="O179" s="447"/>
      <c r="P179" s="448"/>
      <c r="Q179" s="378"/>
      <c r="R179" s="378"/>
      <c r="S179" s="378"/>
      <c r="T179" s="378"/>
      <c r="U179" s="378"/>
      <c r="V179" s="378"/>
      <c r="W179" s="378"/>
      <c r="X179" s="378"/>
      <c r="Y179" s="378"/>
      <c r="Z179" s="378"/>
      <c r="AA179" s="378"/>
      <c r="AB179" s="378"/>
      <c r="AC179" s="378"/>
      <c r="AD179" s="378"/>
      <c r="AE179" s="378"/>
      <c r="AF179" s="378"/>
      <c r="AG179" s="378"/>
    </row>
    <row r="180">
      <c r="A180" s="378"/>
      <c r="B180" s="459" t="s">
        <v>656</v>
      </c>
      <c r="C180" s="460">
        <f>IFERROR(__xludf.DUMMYFUNCTION("FILTER(D967:D995,C967:C995=F161)"),2035.95)</f>
        <v>2035.95</v>
      </c>
      <c r="D180" s="440"/>
      <c r="E180" s="419"/>
      <c r="F180" s="463"/>
      <c r="G180" s="463"/>
      <c r="H180" s="448"/>
      <c r="I180" s="376"/>
      <c r="J180" s="462" t="s">
        <v>656</v>
      </c>
      <c r="K180" s="460"/>
      <c r="L180" s="440"/>
      <c r="M180" s="419"/>
      <c r="N180" s="446"/>
      <c r="O180" s="447"/>
      <c r="P180" s="448"/>
      <c r="Q180" s="378"/>
      <c r="R180" s="378"/>
      <c r="S180" s="378"/>
      <c r="T180" s="378"/>
      <c r="U180" s="378"/>
      <c r="V180" s="378"/>
      <c r="W180" s="378"/>
      <c r="X180" s="378"/>
      <c r="Y180" s="378"/>
      <c r="Z180" s="378"/>
      <c r="AA180" s="378"/>
      <c r="AB180" s="378"/>
      <c r="AC180" s="378"/>
      <c r="AD180" s="378"/>
      <c r="AE180" s="378"/>
      <c r="AF180" s="378"/>
      <c r="AG180" s="378"/>
    </row>
    <row r="181">
      <c r="A181" s="378"/>
      <c r="B181" s="464"/>
      <c r="C181" s="455"/>
      <c r="D181" s="435"/>
      <c r="E181" s="419"/>
      <c r="F181" s="468" t="s">
        <v>842</v>
      </c>
      <c r="G181" s="466">
        <f>H169+C174-C186</f>
        <v>4029.89</v>
      </c>
      <c r="H181" s="211"/>
      <c r="I181" s="376"/>
      <c r="J181" s="467"/>
      <c r="K181" s="455"/>
      <c r="L181" s="435"/>
      <c r="M181" s="419"/>
      <c r="N181" s="468" t="s">
        <v>842</v>
      </c>
      <c r="O181" s="539">
        <f>P169+K174-K186</f>
        <v>2291.9</v>
      </c>
      <c r="P181" s="211"/>
      <c r="Q181" s="378"/>
      <c r="R181" s="378"/>
      <c r="S181" s="378"/>
      <c r="T181" s="378"/>
      <c r="U181" s="378"/>
      <c r="V181" s="378"/>
      <c r="W181" s="378"/>
      <c r="X181" s="378"/>
      <c r="Y181" s="378"/>
      <c r="Z181" s="378"/>
      <c r="AA181" s="378"/>
      <c r="AB181" s="378"/>
      <c r="AC181" s="378"/>
      <c r="AD181" s="378"/>
      <c r="AE181" s="378"/>
      <c r="AF181" s="378"/>
      <c r="AG181" s="378"/>
    </row>
    <row r="182">
      <c r="A182" s="378"/>
      <c r="B182" s="464"/>
      <c r="C182" s="455"/>
      <c r="D182" s="435"/>
      <c r="E182" s="419"/>
      <c r="F182" s="469" t="s">
        <v>843</v>
      </c>
      <c r="G182" s="278"/>
      <c r="H182" s="56"/>
      <c r="I182" s="376"/>
      <c r="J182" s="467"/>
      <c r="K182" s="455"/>
      <c r="L182" s="435"/>
      <c r="M182" s="419"/>
      <c r="N182" s="469" t="s">
        <v>854</v>
      </c>
      <c r="O182" s="278"/>
      <c r="P182" s="56"/>
      <c r="Q182" s="378"/>
      <c r="R182" s="378"/>
      <c r="S182" s="378"/>
      <c r="T182" s="378"/>
      <c r="U182" s="378"/>
      <c r="V182" s="378"/>
      <c r="W182" s="378"/>
      <c r="X182" s="378"/>
      <c r="Y182" s="378"/>
      <c r="Z182" s="378"/>
      <c r="AA182" s="378"/>
      <c r="AB182" s="378"/>
      <c r="AC182" s="378"/>
      <c r="AD182" s="378"/>
      <c r="AE182" s="378"/>
      <c r="AF182" s="378"/>
      <c r="AG182" s="378"/>
    </row>
    <row r="183">
      <c r="A183" s="378"/>
      <c r="B183" s="464"/>
      <c r="C183" s="455"/>
      <c r="D183" s="435"/>
      <c r="E183" s="419"/>
      <c r="F183" s="470"/>
      <c r="G183" s="215"/>
      <c r="H183" s="64"/>
      <c r="I183" s="376"/>
      <c r="J183" s="467"/>
      <c r="K183" s="455"/>
      <c r="L183" s="435"/>
      <c r="M183" s="419"/>
      <c r="N183" s="470"/>
      <c r="O183" s="215"/>
      <c r="P183" s="64"/>
      <c r="Q183" s="378"/>
      <c r="R183" s="378"/>
      <c r="S183" s="378"/>
      <c r="T183" s="378"/>
      <c r="U183" s="378"/>
      <c r="V183" s="378"/>
      <c r="W183" s="378"/>
      <c r="X183" s="378"/>
      <c r="Y183" s="378"/>
      <c r="Z183" s="378"/>
      <c r="AA183" s="378"/>
      <c r="AB183" s="378"/>
      <c r="AC183" s="378"/>
      <c r="AD183" s="378"/>
      <c r="AE183" s="378"/>
      <c r="AF183" s="378"/>
      <c r="AG183" s="378"/>
    </row>
    <row r="184">
      <c r="A184" s="378"/>
      <c r="B184" s="464"/>
      <c r="C184" s="455"/>
      <c r="D184" s="435"/>
      <c r="E184" s="419"/>
      <c r="F184" s="419"/>
      <c r="G184" s="419"/>
      <c r="H184" s="429"/>
      <c r="I184" s="376"/>
      <c r="J184" s="467"/>
      <c r="K184" s="455"/>
      <c r="L184" s="435"/>
      <c r="M184" s="419"/>
      <c r="N184" s="431"/>
      <c r="O184" s="432"/>
      <c r="P184" s="429"/>
      <c r="Q184" s="378"/>
      <c r="R184" s="378"/>
      <c r="S184" s="378"/>
      <c r="T184" s="378"/>
      <c r="U184" s="378"/>
      <c r="V184" s="378"/>
      <c r="W184" s="378"/>
      <c r="X184" s="378"/>
      <c r="Y184" s="378"/>
      <c r="Z184" s="378"/>
      <c r="AA184" s="378"/>
      <c r="AB184" s="378"/>
      <c r="AC184" s="378"/>
      <c r="AD184" s="378"/>
      <c r="AE184" s="378"/>
      <c r="AF184" s="378"/>
      <c r="AG184" s="378"/>
    </row>
    <row r="185">
      <c r="A185" s="378"/>
      <c r="B185" s="464"/>
      <c r="C185" s="455"/>
      <c r="D185" s="435"/>
      <c r="E185" s="419"/>
      <c r="F185" s="419"/>
      <c r="G185" s="419"/>
      <c r="H185" s="429"/>
      <c r="I185" s="376"/>
      <c r="J185" s="467"/>
      <c r="K185" s="455"/>
      <c r="L185" s="435"/>
      <c r="M185" s="419"/>
      <c r="N185" s="431"/>
      <c r="O185" s="432"/>
      <c r="P185" s="429"/>
      <c r="Q185" s="378"/>
      <c r="R185" s="378"/>
      <c r="S185" s="378"/>
      <c r="T185" s="378"/>
      <c r="U185" s="378"/>
      <c r="V185" s="378"/>
      <c r="W185" s="378"/>
      <c r="X185" s="378"/>
      <c r="Y185" s="378"/>
      <c r="Z185" s="378"/>
      <c r="AA185" s="378"/>
      <c r="AB185" s="378"/>
      <c r="AC185" s="378"/>
      <c r="AD185" s="378"/>
      <c r="AE185" s="378"/>
      <c r="AF185" s="378"/>
      <c r="AG185" s="378"/>
    </row>
    <row r="186">
      <c r="A186" s="378"/>
      <c r="B186" s="454" t="s">
        <v>721</v>
      </c>
      <c r="C186" s="460">
        <f>SUM(C177:C185)</f>
        <v>2035.95</v>
      </c>
      <c r="D186" s="440"/>
      <c r="E186" s="419"/>
      <c r="F186" s="419"/>
      <c r="G186" s="419"/>
      <c r="H186" s="429"/>
      <c r="I186" s="376"/>
      <c r="J186" s="458" t="s">
        <v>721</v>
      </c>
      <c r="K186" s="460">
        <f>SUM(K177:K185)</f>
        <v>0</v>
      </c>
      <c r="L186" s="440"/>
      <c r="M186" s="419"/>
      <c r="N186" s="431"/>
      <c r="O186" s="432"/>
      <c r="P186" s="429"/>
      <c r="Q186" s="378"/>
      <c r="R186" s="378"/>
      <c r="S186" s="378"/>
      <c r="T186" s="378"/>
      <c r="U186" s="378"/>
      <c r="V186" s="378"/>
      <c r="W186" s="378"/>
      <c r="X186" s="378"/>
      <c r="Y186" s="378"/>
      <c r="Z186" s="378"/>
      <c r="AA186" s="378"/>
      <c r="AB186" s="378"/>
      <c r="AC186" s="378"/>
      <c r="AD186" s="378"/>
      <c r="AE186" s="378"/>
      <c r="AF186" s="378"/>
      <c r="AG186" s="378"/>
    </row>
    <row r="187">
      <c r="A187" s="378"/>
      <c r="B187" s="471"/>
      <c r="C187" s="472"/>
      <c r="D187" s="472"/>
      <c r="E187" s="472"/>
      <c r="F187" s="472"/>
      <c r="G187" s="472"/>
      <c r="H187" s="473"/>
      <c r="I187" s="376"/>
      <c r="J187" s="474"/>
      <c r="K187" s="472"/>
      <c r="L187" s="472"/>
      <c r="M187" s="472"/>
      <c r="N187" s="475"/>
      <c r="O187" s="476"/>
      <c r="P187" s="473"/>
      <c r="Q187" s="378"/>
      <c r="R187" s="378"/>
      <c r="S187" s="378"/>
      <c r="T187" s="378"/>
      <c r="U187" s="378"/>
      <c r="V187" s="378"/>
      <c r="W187" s="378"/>
      <c r="X187" s="378"/>
      <c r="Y187" s="378"/>
      <c r="Z187" s="378"/>
      <c r="AA187" s="378"/>
      <c r="AB187" s="378"/>
      <c r="AC187" s="378"/>
      <c r="AD187" s="378"/>
      <c r="AE187" s="378"/>
      <c r="AF187" s="378"/>
      <c r="AG187" s="378"/>
    </row>
    <row r="188">
      <c r="A188" s="378"/>
      <c r="B188" s="550"/>
      <c r="C188" s="463"/>
      <c r="D188" s="463"/>
      <c r="E188" s="463"/>
      <c r="F188" s="463"/>
      <c r="G188" s="463"/>
      <c r="H188" s="463"/>
      <c r="I188" s="376"/>
      <c r="J188" s="377"/>
      <c r="K188" s="378"/>
      <c r="L188" s="378"/>
      <c r="M188" s="378"/>
      <c r="N188" s="379"/>
      <c r="O188" s="380"/>
      <c r="P188" s="378"/>
      <c r="Q188" s="378"/>
      <c r="R188" s="378"/>
      <c r="S188" s="378"/>
      <c r="T188" s="378"/>
      <c r="U188" s="378"/>
      <c r="V188" s="378"/>
      <c r="W188" s="378"/>
      <c r="X188" s="378"/>
      <c r="Y188" s="378"/>
      <c r="Z188" s="378"/>
      <c r="AA188" s="378"/>
      <c r="AB188" s="378"/>
      <c r="AC188" s="378"/>
      <c r="AD188" s="378"/>
      <c r="AE188" s="378"/>
      <c r="AF188" s="378"/>
      <c r="AG188" s="378"/>
    </row>
    <row r="189">
      <c r="A189" s="378"/>
      <c r="B189" s="550"/>
      <c r="C189" s="463"/>
      <c r="D189" s="463"/>
      <c r="E189" s="463"/>
      <c r="F189" s="463"/>
      <c r="G189" s="463"/>
      <c r="H189" s="463"/>
      <c r="I189" s="376"/>
      <c r="J189" s="377"/>
      <c r="K189" s="378"/>
      <c r="L189" s="378"/>
      <c r="M189" s="378"/>
      <c r="N189" s="379"/>
      <c r="O189" s="380"/>
      <c r="P189" s="378"/>
      <c r="Q189" s="378"/>
      <c r="R189" s="378"/>
      <c r="S189" s="378"/>
      <c r="T189" s="378"/>
      <c r="U189" s="378"/>
      <c r="V189" s="378"/>
      <c r="W189" s="378"/>
      <c r="X189" s="378"/>
      <c r="Y189" s="378"/>
      <c r="Z189" s="378"/>
      <c r="AA189" s="378"/>
      <c r="AB189" s="378"/>
      <c r="AC189" s="378"/>
      <c r="AD189" s="378"/>
      <c r="AE189" s="378"/>
      <c r="AF189" s="378"/>
      <c r="AG189" s="378"/>
    </row>
    <row r="190">
      <c r="A190" s="378"/>
      <c r="B190" s="382"/>
      <c r="C190" s="388"/>
      <c r="D190" s="384"/>
      <c r="E190" s="385" t="s">
        <v>700</v>
      </c>
      <c r="F190" s="385" t="str">
        <f>Board!A2</f>
        <v>11.17.25-11.23.25</v>
      </c>
      <c r="G190" s="213"/>
      <c r="H190" s="211"/>
      <c r="I190" s="386">
        <v>7.0</v>
      </c>
      <c r="J190" s="387"/>
      <c r="K190" s="388"/>
      <c r="L190" s="384"/>
      <c r="M190" s="385" t="s">
        <v>700</v>
      </c>
      <c r="N190" s="385" t="str">
        <f>Board!A2</f>
        <v>11.17.25-11.23.25</v>
      </c>
      <c r="O190" s="213"/>
      <c r="P190" s="211"/>
      <c r="Q190" s="378"/>
      <c r="R190" s="389" t="s">
        <v>831</v>
      </c>
      <c r="S190" s="389" t="s">
        <v>652</v>
      </c>
      <c r="T190" s="390" t="s">
        <v>832</v>
      </c>
      <c r="U190" s="391" t="s">
        <v>833</v>
      </c>
      <c r="V190" s="389" t="s">
        <v>655</v>
      </c>
      <c r="W190" s="389" t="s">
        <v>8</v>
      </c>
      <c r="X190" s="389" t="s">
        <v>656</v>
      </c>
      <c r="Y190" s="390" t="s">
        <v>834</v>
      </c>
      <c r="Z190" s="392" t="s">
        <v>835</v>
      </c>
      <c r="AA190" s="390" t="s">
        <v>836</v>
      </c>
      <c r="AB190" s="390" t="s">
        <v>837</v>
      </c>
      <c r="AC190" s="393" t="s">
        <v>716</v>
      </c>
      <c r="AD190" s="393" t="s">
        <v>717</v>
      </c>
      <c r="AE190" s="393" t="s">
        <v>718</v>
      </c>
      <c r="AF190" s="394" t="s">
        <v>838</v>
      </c>
      <c r="AG190" s="394"/>
    </row>
    <row r="191">
      <c r="A191" s="378"/>
      <c r="B191" s="395"/>
      <c r="C191" s="372"/>
      <c r="D191" s="396"/>
      <c r="E191" s="385" t="s">
        <v>702</v>
      </c>
      <c r="F191" s="385" t="s">
        <v>676</v>
      </c>
      <c r="G191" s="213"/>
      <c r="H191" s="211"/>
      <c r="I191" s="376"/>
      <c r="J191" s="397"/>
      <c r="K191" s="372"/>
      <c r="L191" s="396"/>
      <c r="M191" s="385" t="s">
        <v>351</v>
      </c>
      <c r="N191" s="385" t="str">
        <f t="array" ref="N191">XLOOKUP(N192,Board!K:K,Board!J:J)</f>
        <v>WILLIAMSON MONCHERY</v>
      </c>
      <c r="O191" s="213"/>
      <c r="P191" s="211"/>
      <c r="Q191" s="378"/>
      <c r="R191" s="398">
        <f>I190</f>
        <v>7</v>
      </c>
      <c r="S191" s="398">
        <f>F192</f>
        <v>2316</v>
      </c>
      <c r="T191" s="399">
        <f>G212</f>
        <v>3394.24</v>
      </c>
      <c r="U191" s="378" t="str">
        <f>N191</f>
        <v>WILLIAMSON MONCHERY</v>
      </c>
      <c r="V191" s="380">
        <f>O212</f>
        <v>2366.65</v>
      </c>
      <c r="W191" s="399">
        <f>P200</f>
        <v>2366.65</v>
      </c>
      <c r="X191" s="399">
        <f>C211</f>
        <v>1828.32</v>
      </c>
      <c r="Y191" s="400">
        <f>N200</f>
        <v>3641</v>
      </c>
      <c r="Z191" s="399">
        <f>V192-V191</f>
        <v>1027.59</v>
      </c>
      <c r="AA191" s="378"/>
      <c r="AB191" s="378"/>
      <c r="AC191" s="401">
        <f>C208</f>
        <v>150</v>
      </c>
      <c r="AD191" s="401">
        <f>C209</f>
        <v>400</v>
      </c>
      <c r="AE191" s="401">
        <f>C210</f>
        <v>200</v>
      </c>
      <c r="AF191" s="398">
        <f>C212+C213+C214+C215+C216</f>
        <v>0</v>
      </c>
      <c r="AG191" s="398"/>
    </row>
    <row r="192">
      <c r="A192" s="378"/>
      <c r="B192" s="395"/>
      <c r="C192" s="372"/>
      <c r="D192" s="402"/>
      <c r="E192" s="385" t="s">
        <v>703</v>
      </c>
      <c r="F192" s="385">
        <v>2316.0</v>
      </c>
      <c r="G192" s="213"/>
      <c r="H192" s="211"/>
      <c r="I192" s="376"/>
      <c r="J192" s="397"/>
      <c r="K192" s="372"/>
      <c r="L192" s="402"/>
      <c r="M192" s="385" t="s">
        <v>703</v>
      </c>
      <c r="N192" s="385">
        <f>F192</f>
        <v>2316</v>
      </c>
      <c r="O192" s="213"/>
      <c r="P192" s="211"/>
      <c r="Q192" s="378"/>
      <c r="R192" s="378"/>
      <c r="S192" s="378"/>
      <c r="T192" s="378"/>
      <c r="U192" s="378" t="str">
        <f>F191</f>
        <v>Skyhill LLC</v>
      </c>
      <c r="V192" s="399">
        <f>G212</f>
        <v>3394.24</v>
      </c>
      <c r="W192" s="399">
        <f>H200</f>
        <v>5972.56</v>
      </c>
      <c r="X192" s="378"/>
      <c r="Y192" s="378"/>
      <c r="Z192" s="378"/>
      <c r="AA192" s="378"/>
      <c r="AB192" s="378"/>
      <c r="AC192" s="378"/>
      <c r="AD192" s="378"/>
      <c r="AE192" s="378"/>
      <c r="AF192" s="378"/>
      <c r="AG192" s="378"/>
    </row>
    <row r="193">
      <c r="A193" s="378"/>
      <c r="B193" s="403" t="s">
        <v>704</v>
      </c>
      <c r="C193" s="404" t="s">
        <v>5</v>
      </c>
      <c r="D193" s="405" t="s">
        <v>6</v>
      </c>
      <c r="E193" s="406" t="s">
        <v>7</v>
      </c>
      <c r="F193" s="404" t="s">
        <v>8</v>
      </c>
      <c r="G193" s="404" t="s">
        <v>706</v>
      </c>
      <c r="H193" s="404" t="s">
        <v>707</v>
      </c>
      <c r="I193" s="376"/>
      <c r="J193" s="407" t="s">
        <v>704</v>
      </c>
      <c r="K193" s="404" t="s">
        <v>5</v>
      </c>
      <c r="L193" s="405" t="s">
        <v>6</v>
      </c>
      <c r="M193" s="406" t="s">
        <v>7</v>
      </c>
      <c r="N193" s="404" t="s">
        <v>591</v>
      </c>
      <c r="O193" s="408" t="s">
        <v>839</v>
      </c>
      <c r="P193" s="404" t="s">
        <v>707</v>
      </c>
      <c r="Q193" s="378"/>
      <c r="R193" s="378"/>
      <c r="S193" s="378"/>
      <c r="T193" s="378"/>
      <c r="U193" s="378"/>
      <c r="V193" s="378"/>
      <c r="W193" s="378"/>
      <c r="X193" s="378"/>
      <c r="Y193" s="378"/>
      <c r="Z193" s="378"/>
      <c r="AA193" s="378"/>
      <c r="AB193" s="378"/>
      <c r="AC193" s="378"/>
      <c r="AD193" s="378"/>
      <c r="AE193" s="378"/>
      <c r="AF193" s="378"/>
      <c r="AG193" s="378"/>
    </row>
    <row r="194">
      <c r="A194" s="378"/>
      <c r="B194" s="555">
        <f>IFERROR(__xludf.DUMMYFUNCTION("FILTER(Board!C:G,Board!K:K=F192)"),45979.0)</f>
        <v>45979</v>
      </c>
      <c r="C194" s="404">
        <f>IFERROR(__xludf.DUMMYFUNCTION("""COMPUTED_VALUE"""),1.1619708E7)</f>
        <v>11619708</v>
      </c>
      <c r="D194" s="405" t="str">
        <f>IFERROR(__xludf.DUMMYFUNCTION("""COMPUTED_VALUE"""),"Jacksonville, FL, 32226")</f>
        <v>Jacksonville, FL, 32226</v>
      </c>
      <c r="E194" s="406" t="str">
        <f>IFERROR(__xludf.DUMMYFUNCTION("""COMPUTED_VALUE"""),"Macon, GA, 31216")</f>
        <v>Macon, GA, 31216</v>
      </c>
      <c r="F194" s="414">
        <f>IFERROR(__xludf.DUMMYFUNCTION("""COMPUTED_VALUE"""),500.0)</f>
        <v>500</v>
      </c>
      <c r="G194" s="413">
        <v>0.88</v>
      </c>
      <c r="H194" s="414">
        <f t="shared" ref="H194:H197" si="12">F194*G194</f>
        <v>440</v>
      </c>
      <c r="I194" s="376"/>
      <c r="J194" s="415">
        <f>IFERROR(__xludf.DUMMYFUNCTION("FILTER(Board!C:F,Board!K:K=N192)"),45979.0)</f>
        <v>45979</v>
      </c>
      <c r="K194" s="411">
        <f>IFERROR(__xludf.DUMMYFUNCTION("""COMPUTED_VALUE"""),1.1619708E7)</f>
        <v>11619708</v>
      </c>
      <c r="L194" s="411" t="str">
        <f>IFERROR(__xludf.DUMMYFUNCTION("""COMPUTED_VALUE"""),"Jacksonville, FL, 32226")</f>
        <v>Jacksonville, FL, 32226</v>
      </c>
      <c r="M194" s="411" t="str">
        <f>IFERROR(__xludf.DUMMYFUNCTION("""COMPUTED_VALUE"""),"Macon, GA, 31216")</f>
        <v>Macon, GA, 31216</v>
      </c>
      <c r="N194" s="416">
        <f>IFERROR(__xludf.DUMMYFUNCTION("FILTER(Board!H:H,Board!K:K=N192)"),427.0)</f>
        <v>427</v>
      </c>
      <c r="O194" s="408">
        <v>0.65</v>
      </c>
      <c r="P194" s="414">
        <f t="shared" ref="P194:P197" si="13">N194*O194</f>
        <v>277.55</v>
      </c>
      <c r="Q194" s="378"/>
      <c r="R194" s="378"/>
      <c r="S194" s="378"/>
      <c r="T194" s="378"/>
      <c r="U194" s="378"/>
      <c r="V194" s="378"/>
      <c r="W194" s="378"/>
      <c r="X194" s="378"/>
      <c r="Y194" s="378"/>
      <c r="Z194" s="378"/>
      <c r="AA194" s="378"/>
      <c r="AB194" s="378"/>
      <c r="AC194" s="378"/>
      <c r="AD194" s="378"/>
      <c r="AE194" s="378"/>
      <c r="AF194" s="378"/>
      <c r="AG194" s="378"/>
    </row>
    <row r="195">
      <c r="A195" s="378"/>
      <c r="B195" s="555">
        <f>IFERROR(__xludf.DUMMYFUNCTION("""COMPUTED_VALUE"""),45980.0)</f>
        <v>45980</v>
      </c>
      <c r="C195" s="404">
        <f>IFERROR(__xludf.DUMMYFUNCTION("""COMPUTED_VALUE"""),1534459.0)</f>
        <v>1534459</v>
      </c>
      <c r="D195" s="405" t="str">
        <f>IFERROR(__xludf.DUMMYFUNCTION("""COMPUTED_VALUE"""),"Milledgeville, GA, 31061")</f>
        <v>Milledgeville, GA, 31061</v>
      </c>
      <c r="E195" s="406" t="str">
        <f>IFERROR(__xludf.DUMMYFUNCTION("""COMPUTED_VALUE"""),"Pass Christian, MS, 39571")</f>
        <v>Pass Christian, MS, 39571</v>
      </c>
      <c r="F195" s="414">
        <f>IFERROR(__xludf.DUMMYFUNCTION("""COMPUTED_VALUE"""),1000.0)</f>
        <v>1000</v>
      </c>
      <c r="G195" s="413">
        <v>0.88</v>
      </c>
      <c r="H195" s="414">
        <f t="shared" si="12"/>
        <v>880</v>
      </c>
      <c r="I195" s="376"/>
      <c r="J195" s="418">
        <f>IFERROR(__xludf.DUMMYFUNCTION("""COMPUTED_VALUE"""),45980.0)</f>
        <v>45980</v>
      </c>
      <c r="K195" s="411">
        <f>IFERROR(__xludf.DUMMYFUNCTION("""COMPUTED_VALUE"""),1534459.0)</f>
        <v>1534459</v>
      </c>
      <c r="L195" s="411" t="str">
        <f>IFERROR(__xludf.DUMMYFUNCTION("""COMPUTED_VALUE"""),"Milledgeville, GA, 31061")</f>
        <v>Milledgeville, GA, 31061</v>
      </c>
      <c r="M195" s="411" t="str">
        <f>IFERROR(__xludf.DUMMYFUNCTION("""COMPUTED_VALUE"""),"Pass Christian, MS, 39571")</f>
        <v>Pass Christian, MS, 39571</v>
      </c>
      <c r="N195" s="416">
        <f>IFERROR(__xludf.DUMMYFUNCTION("""COMPUTED_VALUE"""),500.0)</f>
        <v>500</v>
      </c>
      <c r="O195" s="408">
        <v>0.65</v>
      </c>
      <c r="P195" s="414">
        <f t="shared" si="13"/>
        <v>325</v>
      </c>
      <c r="Q195" s="378"/>
      <c r="R195" s="378"/>
      <c r="S195" s="378"/>
      <c r="T195" s="378"/>
      <c r="U195" s="378"/>
      <c r="V195" s="378"/>
      <c r="W195" s="378"/>
      <c r="X195" s="378"/>
      <c r="Y195" s="378"/>
      <c r="Z195" s="378"/>
      <c r="AA195" s="378"/>
      <c r="AB195" s="378"/>
      <c r="AC195" s="378"/>
      <c r="AD195" s="378"/>
      <c r="AE195" s="378"/>
      <c r="AF195" s="378"/>
      <c r="AG195" s="378"/>
    </row>
    <row r="196">
      <c r="A196" s="378"/>
      <c r="B196" s="499">
        <f>IFERROR(__xludf.DUMMYFUNCTION("""COMPUTED_VALUE"""),45981.0)</f>
        <v>45981</v>
      </c>
      <c r="C196" s="421">
        <f>IFERROR(__xludf.DUMMYFUNCTION("""COMPUTED_VALUE"""),2.0659778E7)</f>
        <v>20659778</v>
      </c>
      <c r="D196" s="422" t="str">
        <f>IFERROR(__xludf.DUMMYFUNCTION("""COMPUTED_VALUE"""),"Plaquemine, LA, 70764")</f>
        <v>Plaquemine, LA, 70764</v>
      </c>
      <c r="E196" s="423" t="str">
        <f>IFERROR(__xludf.DUMMYFUNCTION("""COMPUTED_VALUE"""),"Odessa, TX, 79766")</f>
        <v>Odessa, TX, 79766</v>
      </c>
      <c r="F196" s="500">
        <f>IFERROR(__xludf.DUMMYFUNCTION("""COMPUTED_VALUE"""),1887.0)</f>
        <v>1887</v>
      </c>
      <c r="G196" s="413">
        <v>0.88</v>
      </c>
      <c r="H196" s="414">
        <f t="shared" si="12"/>
        <v>1660.56</v>
      </c>
      <c r="I196" s="376"/>
      <c r="J196" s="545">
        <f>IFERROR(__xludf.DUMMYFUNCTION("""COMPUTED_VALUE"""),45981.0)</f>
        <v>45981</v>
      </c>
      <c r="K196" s="421">
        <f>IFERROR(__xludf.DUMMYFUNCTION("""COMPUTED_VALUE"""),2.0659778E7)</f>
        <v>20659778</v>
      </c>
      <c r="L196" s="422" t="str">
        <f>IFERROR(__xludf.DUMMYFUNCTION("""COMPUTED_VALUE"""),"Plaquemine, LA, 70764")</f>
        <v>Plaquemine, LA, 70764</v>
      </c>
      <c r="M196" s="423" t="str">
        <f>IFERROR(__xludf.DUMMYFUNCTION("""COMPUTED_VALUE"""),"Odessa, TX, 79766")</f>
        <v>Odessa, TX, 79766</v>
      </c>
      <c r="N196" s="546">
        <f>IFERROR(__xludf.DUMMYFUNCTION("""COMPUTED_VALUE"""),915.0)</f>
        <v>915</v>
      </c>
      <c r="O196" s="408">
        <v>0.65</v>
      </c>
      <c r="P196" s="414">
        <f t="shared" si="13"/>
        <v>594.75</v>
      </c>
      <c r="Q196" s="378"/>
      <c r="R196" s="378"/>
      <c r="S196" s="378"/>
      <c r="T196" s="378"/>
      <c r="U196" s="378"/>
      <c r="V196" s="378"/>
      <c r="W196" s="378"/>
      <c r="X196" s="378"/>
      <c r="Y196" s="378"/>
      <c r="Z196" s="378"/>
      <c r="AA196" s="378"/>
      <c r="AB196" s="378"/>
      <c r="AC196" s="378"/>
      <c r="AD196" s="378"/>
      <c r="AE196" s="378"/>
      <c r="AF196" s="378"/>
      <c r="AG196" s="378"/>
    </row>
    <row r="197">
      <c r="A197" s="378"/>
      <c r="B197" s="499">
        <f>IFERROR(__xludf.DUMMYFUNCTION("""COMPUTED_VALUE"""),45982.0)</f>
        <v>45982</v>
      </c>
      <c r="C197" s="421">
        <f>IFERROR(__xludf.DUMMYFUNCTION("""COMPUTED_VALUE"""),754981.0)</f>
        <v>754981</v>
      </c>
      <c r="D197" s="422" t="str">
        <f>IFERROR(__xludf.DUMMYFUNCTION("""COMPUTED_VALUE"""),"Muleshoe, TX, 79347")</f>
        <v>Muleshoe, TX, 79347</v>
      </c>
      <c r="E197" s="423" t="str">
        <f>IFERROR(__xludf.DUMMYFUNCTION("""COMPUTED_VALUE"""),"Portland, OR, 97203")</f>
        <v>Portland, OR, 97203</v>
      </c>
      <c r="F197" s="500">
        <f>IFERROR(__xludf.DUMMYFUNCTION("""COMPUTED_VALUE"""),3400.0)</f>
        <v>3400</v>
      </c>
      <c r="G197" s="413">
        <v>0.88</v>
      </c>
      <c r="H197" s="414">
        <f t="shared" si="12"/>
        <v>2992</v>
      </c>
      <c r="I197" s="376"/>
      <c r="J197" s="545">
        <f>IFERROR(__xludf.DUMMYFUNCTION("""COMPUTED_VALUE"""),45982.0)</f>
        <v>45982</v>
      </c>
      <c r="K197" s="421">
        <f>IFERROR(__xludf.DUMMYFUNCTION("""COMPUTED_VALUE"""),754981.0)</f>
        <v>754981</v>
      </c>
      <c r="L197" s="422" t="str">
        <f>IFERROR(__xludf.DUMMYFUNCTION("""COMPUTED_VALUE"""),"Muleshoe, TX, 79347")</f>
        <v>Muleshoe, TX, 79347</v>
      </c>
      <c r="M197" s="423" t="str">
        <f>IFERROR(__xludf.DUMMYFUNCTION("""COMPUTED_VALUE"""),"Portland, OR, 97203")</f>
        <v>Portland, OR, 97203</v>
      </c>
      <c r="N197" s="546">
        <f>IFERROR(__xludf.DUMMYFUNCTION("""COMPUTED_VALUE"""),1799.0)</f>
        <v>1799</v>
      </c>
      <c r="O197" s="408">
        <v>0.65</v>
      </c>
      <c r="P197" s="414">
        <f t="shared" si="13"/>
        <v>1169.35</v>
      </c>
      <c r="Q197" s="378"/>
      <c r="R197" s="378"/>
      <c r="S197" s="378"/>
      <c r="T197" s="378"/>
      <c r="U197" s="378"/>
      <c r="V197" s="378"/>
      <c r="W197" s="378"/>
      <c r="X197" s="378"/>
      <c r="Y197" s="378"/>
      <c r="Z197" s="378"/>
      <c r="AA197" s="378"/>
      <c r="AB197" s="378"/>
      <c r="AC197" s="378"/>
      <c r="AD197" s="378"/>
      <c r="AE197" s="378"/>
      <c r="AF197" s="378"/>
      <c r="AG197" s="378"/>
    </row>
    <row r="198">
      <c r="A198" s="378"/>
      <c r="B198" s="420"/>
      <c r="C198" s="421"/>
      <c r="D198" s="422"/>
      <c r="E198" s="423"/>
      <c r="F198" s="421"/>
      <c r="G198" s="413"/>
      <c r="H198" s="414"/>
      <c r="I198" s="376"/>
      <c r="J198" s="424"/>
      <c r="K198" s="421"/>
      <c r="L198" s="422"/>
      <c r="M198" s="423"/>
      <c r="N198" s="425"/>
      <c r="O198" s="408"/>
      <c r="P198" s="414"/>
      <c r="Q198" s="378"/>
      <c r="R198" s="378"/>
      <c r="S198" s="378"/>
      <c r="T198" s="378"/>
      <c r="U198" s="378"/>
      <c r="V198" s="378"/>
      <c r="W198" s="378"/>
      <c r="X198" s="378"/>
      <c r="Y198" s="378"/>
      <c r="Z198" s="378"/>
      <c r="AA198" s="378"/>
      <c r="AB198" s="378"/>
      <c r="AC198" s="378"/>
      <c r="AD198" s="378"/>
      <c r="AE198" s="378"/>
      <c r="AF198" s="378"/>
      <c r="AG198" s="378"/>
    </row>
    <row r="199">
      <c r="A199" s="378"/>
      <c r="B199" s="420"/>
      <c r="C199" s="421"/>
      <c r="D199" s="422"/>
      <c r="E199" s="423"/>
      <c r="F199" s="421"/>
      <c r="G199" s="413"/>
      <c r="H199" s="414"/>
      <c r="I199" s="376"/>
      <c r="J199" s="424"/>
      <c r="K199" s="421"/>
      <c r="L199" s="422"/>
      <c r="M199" s="423"/>
      <c r="N199" s="425"/>
      <c r="O199" s="408"/>
      <c r="P199" s="414"/>
      <c r="Q199" s="378"/>
      <c r="R199" s="378"/>
      <c r="S199" s="378"/>
      <c r="T199" s="378"/>
      <c r="U199" s="378"/>
      <c r="V199" s="378"/>
      <c r="W199" s="378"/>
      <c r="X199" s="378"/>
      <c r="Y199" s="378"/>
      <c r="Z199" s="378"/>
      <c r="AA199" s="378"/>
      <c r="AB199" s="378"/>
      <c r="AC199" s="378"/>
      <c r="AD199" s="378"/>
      <c r="AE199" s="378"/>
      <c r="AF199" s="378"/>
      <c r="AG199" s="378"/>
    </row>
    <row r="200">
      <c r="A200" s="378"/>
      <c r="B200" s="403" t="s">
        <v>711</v>
      </c>
      <c r="C200" s="224"/>
      <c r="D200" s="224"/>
      <c r="E200" s="222"/>
      <c r="F200" s="414">
        <f>SUM(F194:F199)</f>
        <v>6787</v>
      </c>
      <c r="G200" s="421"/>
      <c r="H200" s="414">
        <f>SUM(H194:H199)</f>
        <v>5972.56</v>
      </c>
      <c r="I200" s="376"/>
      <c r="J200" s="407" t="s">
        <v>711</v>
      </c>
      <c r="K200" s="224"/>
      <c r="L200" s="224"/>
      <c r="M200" s="222"/>
      <c r="N200" s="426">
        <f>SUM(N194:N199)</f>
        <v>3641</v>
      </c>
      <c r="O200" s="427"/>
      <c r="P200" s="414">
        <f>SUM(P194:P199)</f>
        <v>2366.65</v>
      </c>
      <c r="Q200" s="378"/>
      <c r="R200" s="378"/>
      <c r="S200" s="378"/>
      <c r="T200" s="378"/>
      <c r="U200" s="378"/>
      <c r="V200" s="378"/>
      <c r="W200" s="378"/>
      <c r="X200" s="378"/>
      <c r="Y200" s="378"/>
      <c r="Z200" s="378"/>
      <c r="AA200" s="378"/>
      <c r="AB200" s="378"/>
      <c r="AC200" s="378"/>
      <c r="AD200" s="378"/>
      <c r="AE200" s="378"/>
      <c r="AF200" s="378"/>
      <c r="AG200" s="378"/>
    </row>
    <row r="201">
      <c r="A201" s="378"/>
      <c r="B201" s="428"/>
      <c r="C201" s="419"/>
      <c r="D201" s="419"/>
      <c r="E201" s="419"/>
      <c r="F201" s="419"/>
      <c r="G201" s="419"/>
      <c r="H201" s="429"/>
      <c r="I201" s="376"/>
      <c r="J201" s="430"/>
      <c r="K201" s="419"/>
      <c r="L201" s="419"/>
      <c r="M201" s="419"/>
      <c r="N201" s="431"/>
      <c r="O201" s="432"/>
      <c r="P201" s="429"/>
      <c r="Q201" s="378"/>
      <c r="R201" s="378"/>
      <c r="S201" s="378"/>
      <c r="T201" s="378"/>
      <c r="U201" s="378"/>
      <c r="V201" s="378"/>
      <c r="W201" s="378"/>
      <c r="X201" s="378"/>
      <c r="Y201" s="378"/>
      <c r="Z201" s="378"/>
      <c r="AA201" s="378"/>
      <c r="AB201" s="378"/>
      <c r="AC201" s="378"/>
      <c r="AD201" s="378"/>
      <c r="AE201" s="378"/>
      <c r="AF201" s="378"/>
      <c r="AG201" s="378"/>
    </row>
    <row r="202">
      <c r="A202" s="378"/>
      <c r="B202" s="433" t="s">
        <v>712</v>
      </c>
      <c r="C202" s="434"/>
      <c r="D202" s="435"/>
      <c r="E202" s="419"/>
      <c r="F202" s="419"/>
      <c r="G202" s="419"/>
      <c r="H202" s="429"/>
      <c r="I202" s="376"/>
      <c r="J202" s="437" t="s">
        <v>712</v>
      </c>
      <c r="K202" s="434"/>
      <c r="L202" s="435"/>
      <c r="M202" s="419"/>
      <c r="N202" s="431"/>
      <c r="O202" s="432"/>
      <c r="P202" s="429"/>
      <c r="Q202" s="378"/>
      <c r="R202" s="378"/>
      <c r="S202" s="378"/>
      <c r="T202" s="378"/>
      <c r="U202" s="378"/>
      <c r="V202" s="378"/>
      <c r="W202" s="378"/>
      <c r="X202" s="378"/>
      <c r="Y202" s="378"/>
      <c r="Z202" s="378"/>
      <c r="AA202" s="378"/>
      <c r="AB202" s="378"/>
      <c r="AC202" s="378"/>
      <c r="AD202" s="378"/>
      <c r="AE202" s="378"/>
      <c r="AF202" s="378"/>
      <c r="AG202" s="378"/>
    </row>
    <row r="203">
      <c r="A203" s="378"/>
      <c r="B203" s="438"/>
      <c r="C203" s="439"/>
      <c r="D203" s="440"/>
      <c r="E203" s="419"/>
      <c r="F203" s="419"/>
      <c r="G203" s="419"/>
      <c r="H203" s="429"/>
      <c r="I203" s="376"/>
      <c r="J203" s="443" t="s">
        <v>713</v>
      </c>
      <c r="K203" s="439"/>
      <c r="L203" s="440"/>
      <c r="M203" s="419"/>
      <c r="N203" s="431"/>
      <c r="O203" s="432"/>
      <c r="P203" s="429"/>
      <c r="Q203" s="378"/>
      <c r="R203" s="378"/>
      <c r="S203" s="378"/>
      <c r="T203" s="378"/>
      <c r="U203" s="378"/>
      <c r="V203" s="378"/>
      <c r="W203" s="378"/>
      <c r="X203" s="378"/>
      <c r="Y203" s="378"/>
      <c r="Z203" s="378"/>
      <c r="AA203" s="378"/>
      <c r="AB203" s="378"/>
      <c r="AC203" s="378"/>
      <c r="AD203" s="378"/>
      <c r="AE203" s="378"/>
      <c r="AF203" s="378"/>
      <c r="AG203" s="378"/>
    </row>
    <row r="204">
      <c r="A204" s="378"/>
      <c r="B204" s="444"/>
      <c r="C204" s="434"/>
      <c r="D204" s="435"/>
      <c r="E204" s="419"/>
      <c r="F204" s="463"/>
      <c r="G204" s="463"/>
      <c r="H204" s="448"/>
      <c r="I204" s="376"/>
      <c r="J204" s="445"/>
      <c r="K204" s="434"/>
      <c r="L204" s="435"/>
      <c r="M204" s="419"/>
      <c r="N204" s="446"/>
      <c r="O204" s="447"/>
      <c r="P204" s="448"/>
      <c r="Q204" s="378"/>
      <c r="R204" s="378"/>
      <c r="S204" s="378"/>
      <c r="T204" s="378"/>
      <c r="U204" s="378"/>
      <c r="V204" s="378"/>
      <c r="W204" s="378"/>
      <c r="X204" s="378"/>
      <c r="Y204" s="378"/>
      <c r="Z204" s="378"/>
      <c r="AA204" s="378"/>
      <c r="AB204" s="378"/>
      <c r="AC204" s="378"/>
      <c r="AD204" s="378"/>
      <c r="AE204" s="378"/>
      <c r="AF204" s="378"/>
      <c r="AG204" s="378"/>
    </row>
    <row r="205">
      <c r="A205" s="378"/>
      <c r="B205" s="438" t="s">
        <v>714</v>
      </c>
      <c r="C205" s="439">
        <f>SUM(C203:C204)</f>
        <v>0</v>
      </c>
      <c r="D205" s="440"/>
      <c r="E205" s="419"/>
      <c r="F205" s="463"/>
      <c r="G205" s="463"/>
      <c r="H205" s="448"/>
      <c r="I205" s="376"/>
      <c r="J205" s="443" t="s">
        <v>714</v>
      </c>
      <c r="K205" s="439">
        <f>SUM(K203:K204)</f>
        <v>0</v>
      </c>
      <c r="L205" s="440"/>
      <c r="M205" s="419"/>
      <c r="N205" s="446"/>
      <c r="O205" s="447"/>
      <c r="P205" s="448"/>
      <c r="Q205" s="378"/>
      <c r="R205" s="378"/>
      <c r="S205" s="378"/>
      <c r="T205" s="378"/>
      <c r="U205" s="378"/>
      <c r="V205" s="378"/>
      <c r="W205" s="378"/>
      <c r="X205" s="378"/>
      <c r="Y205" s="378"/>
      <c r="Z205" s="378"/>
      <c r="AA205" s="378"/>
      <c r="AB205" s="378"/>
      <c r="AC205" s="378"/>
      <c r="AD205" s="378"/>
      <c r="AE205" s="378"/>
      <c r="AF205" s="378"/>
      <c r="AG205" s="378"/>
    </row>
    <row r="206">
      <c r="A206" s="378"/>
      <c r="B206" s="450"/>
      <c r="C206" s="451"/>
      <c r="D206" s="419"/>
      <c r="E206" s="419"/>
      <c r="F206" s="463"/>
      <c r="G206" s="463"/>
      <c r="H206" s="448"/>
      <c r="I206" s="376"/>
      <c r="J206" s="535"/>
      <c r="K206" s="451"/>
      <c r="L206" s="419"/>
      <c r="M206" s="419"/>
      <c r="N206" s="446"/>
      <c r="O206" s="447"/>
      <c r="P206" s="448"/>
      <c r="Q206" s="378"/>
      <c r="R206" s="378"/>
      <c r="S206" s="378"/>
      <c r="T206" s="378"/>
      <c r="U206" s="378"/>
      <c r="V206" s="378"/>
      <c r="W206" s="378"/>
      <c r="X206" s="378"/>
      <c r="Y206" s="378"/>
      <c r="Z206" s="378"/>
      <c r="AA206" s="378"/>
      <c r="AB206" s="378"/>
      <c r="AC206" s="378"/>
      <c r="AD206" s="378"/>
      <c r="AE206" s="378"/>
      <c r="AF206" s="378"/>
      <c r="AG206" s="378"/>
    </row>
    <row r="207">
      <c r="A207" s="378"/>
      <c r="B207" s="454" t="s">
        <v>715</v>
      </c>
      <c r="C207" s="455"/>
      <c r="D207" s="435"/>
      <c r="E207" s="419"/>
      <c r="F207" s="463"/>
      <c r="G207" s="463"/>
      <c r="H207" s="448"/>
      <c r="I207" s="376"/>
      <c r="J207" s="458" t="s">
        <v>715</v>
      </c>
      <c r="K207" s="455"/>
      <c r="L207" s="435"/>
      <c r="M207" s="419"/>
      <c r="N207" s="446"/>
      <c r="O207" s="447"/>
      <c r="P207" s="448"/>
      <c r="Q207" s="378"/>
      <c r="R207" s="378"/>
      <c r="S207" s="378"/>
      <c r="T207" s="378"/>
      <c r="U207" s="378"/>
      <c r="V207" s="378"/>
      <c r="W207" s="378"/>
      <c r="X207" s="378"/>
      <c r="Y207" s="378"/>
      <c r="Z207" s="378"/>
      <c r="AA207" s="378"/>
      <c r="AB207" s="378"/>
      <c r="AC207" s="378"/>
      <c r="AD207" s="378"/>
      <c r="AE207" s="378"/>
      <c r="AF207" s="378"/>
      <c r="AG207" s="378"/>
    </row>
    <row r="208">
      <c r="A208" s="378"/>
      <c r="B208" s="459" t="s">
        <v>716</v>
      </c>
      <c r="C208" s="460">
        <v>150.0</v>
      </c>
      <c r="D208" s="440"/>
      <c r="E208" s="419"/>
      <c r="F208" s="463"/>
      <c r="G208" s="463"/>
      <c r="H208" s="448"/>
      <c r="I208" s="376"/>
      <c r="J208" s="462" t="s">
        <v>716</v>
      </c>
      <c r="K208" s="460"/>
      <c r="L208" s="440"/>
      <c r="M208" s="419"/>
      <c r="N208" s="446"/>
      <c r="O208" s="447"/>
      <c r="P208" s="448"/>
      <c r="Q208" s="378"/>
      <c r="R208" s="378"/>
      <c r="S208" s="378"/>
      <c r="T208" s="378"/>
      <c r="U208" s="378"/>
      <c r="V208" s="378"/>
      <c r="W208" s="378"/>
      <c r="X208" s="378"/>
      <c r="Y208" s="378"/>
      <c r="Z208" s="378"/>
      <c r="AA208" s="378"/>
      <c r="AB208" s="378"/>
      <c r="AC208" s="378"/>
      <c r="AD208" s="378"/>
      <c r="AE208" s="378"/>
      <c r="AF208" s="378"/>
      <c r="AG208" s="378"/>
    </row>
    <row r="209">
      <c r="A209" s="378"/>
      <c r="B209" s="459" t="s">
        <v>717</v>
      </c>
      <c r="C209" s="460">
        <v>400.0</v>
      </c>
      <c r="D209" s="440"/>
      <c r="E209" s="419"/>
      <c r="F209" s="463"/>
      <c r="G209" s="463"/>
      <c r="H209" s="448"/>
      <c r="I209" s="376"/>
      <c r="J209" s="462" t="s">
        <v>717</v>
      </c>
      <c r="K209" s="460"/>
      <c r="L209" s="440"/>
      <c r="M209" s="419"/>
      <c r="N209" s="446"/>
      <c r="O209" s="447"/>
      <c r="P209" s="448"/>
      <c r="Q209" s="378"/>
      <c r="R209" s="378"/>
      <c r="S209" s="378"/>
      <c r="T209" s="378"/>
      <c r="U209" s="378"/>
      <c r="V209" s="378"/>
      <c r="W209" s="378"/>
      <c r="X209" s="378"/>
      <c r="Y209" s="378"/>
      <c r="Z209" s="378"/>
      <c r="AA209" s="378"/>
      <c r="AB209" s="378"/>
      <c r="AC209" s="378"/>
      <c r="AD209" s="378"/>
      <c r="AE209" s="378"/>
      <c r="AF209" s="378"/>
      <c r="AG209" s="378"/>
    </row>
    <row r="210">
      <c r="A210" s="378"/>
      <c r="B210" s="459" t="s">
        <v>718</v>
      </c>
      <c r="C210" s="460">
        <v>200.0</v>
      </c>
      <c r="D210" s="440"/>
      <c r="E210" s="419"/>
      <c r="F210" s="463"/>
      <c r="G210" s="463"/>
      <c r="H210" s="448"/>
      <c r="I210" s="376"/>
      <c r="J210" s="462" t="s">
        <v>718</v>
      </c>
      <c r="K210" s="460"/>
      <c r="L210" s="440"/>
      <c r="M210" s="419"/>
      <c r="N210" s="446"/>
      <c r="O210" s="447"/>
      <c r="P210" s="448"/>
      <c r="Q210" s="378"/>
      <c r="R210" s="378"/>
      <c r="S210" s="378"/>
      <c r="T210" s="378"/>
      <c r="U210" s="378"/>
      <c r="V210" s="378"/>
      <c r="W210" s="378"/>
      <c r="X210" s="378"/>
      <c r="Y210" s="378"/>
      <c r="Z210" s="378"/>
      <c r="AA210" s="378"/>
      <c r="AB210" s="378"/>
      <c r="AC210" s="378"/>
      <c r="AD210" s="378"/>
      <c r="AE210" s="378"/>
      <c r="AF210" s="378"/>
      <c r="AG210" s="378"/>
    </row>
    <row r="211">
      <c r="A211" s="378"/>
      <c r="B211" s="459" t="s">
        <v>656</v>
      </c>
      <c r="C211" s="460">
        <f>IFERROR(__xludf.DUMMYFUNCTION("FILTER(D967:D995,C967:C995=F192)"),1828.32)</f>
        <v>1828.32</v>
      </c>
      <c r="D211" s="440"/>
      <c r="E211" s="419"/>
      <c r="F211" s="463"/>
      <c r="G211" s="463"/>
      <c r="H211" s="448"/>
      <c r="I211" s="376"/>
      <c r="J211" s="462" t="s">
        <v>656</v>
      </c>
      <c r="K211" s="460"/>
      <c r="L211" s="440"/>
      <c r="M211" s="419"/>
      <c r="N211" s="446"/>
      <c r="O211" s="447"/>
      <c r="P211" s="448"/>
      <c r="Q211" s="378"/>
      <c r="R211" s="378"/>
      <c r="S211" s="378"/>
      <c r="T211" s="378"/>
      <c r="U211" s="378"/>
      <c r="V211" s="378"/>
      <c r="W211" s="378"/>
      <c r="X211" s="378"/>
      <c r="Y211" s="378"/>
      <c r="Z211" s="378"/>
      <c r="AA211" s="378"/>
      <c r="AB211" s="378"/>
      <c r="AC211" s="378"/>
      <c r="AD211" s="378"/>
      <c r="AE211" s="378"/>
      <c r="AF211" s="378"/>
      <c r="AG211" s="378"/>
    </row>
    <row r="212">
      <c r="A212" s="378"/>
      <c r="B212" s="464"/>
      <c r="C212" s="455"/>
      <c r="D212" s="435"/>
      <c r="E212" s="419"/>
      <c r="F212" s="468" t="s">
        <v>842</v>
      </c>
      <c r="G212" s="466">
        <f>H200+C205-C217</f>
        <v>3394.24</v>
      </c>
      <c r="H212" s="211"/>
      <c r="I212" s="376"/>
      <c r="J212" s="467"/>
      <c r="K212" s="455"/>
      <c r="L212" s="435"/>
      <c r="M212" s="419"/>
      <c r="N212" s="468" t="s">
        <v>842</v>
      </c>
      <c r="O212" s="539">
        <f>P200+K205-K217</f>
        <v>2366.65</v>
      </c>
      <c r="P212" s="211"/>
      <c r="Q212" s="378"/>
      <c r="R212" s="378"/>
      <c r="S212" s="378"/>
      <c r="T212" s="378"/>
      <c r="U212" s="378"/>
      <c r="V212" s="378"/>
      <c r="W212" s="378"/>
      <c r="X212" s="378"/>
      <c r="Y212" s="378"/>
      <c r="Z212" s="378"/>
      <c r="AA212" s="378"/>
      <c r="AB212" s="378"/>
      <c r="AC212" s="378"/>
      <c r="AD212" s="378"/>
      <c r="AE212" s="378"/>
      <c r="AF212" s="378"/>
      <c r="AG212" s="378"/>
    </row>
    <row r="213">
      <c r="A213" s="378"/>
      <c r="B213" s="464"/>
      <c r="C213" s="455"/>
      <c r="D213" s="435"/>
      <c r="E213" s="419"/>
      <c r="F213" s="469" t="s">
        <v>843</v>
      </c>
      <c r="G213" s="278"/>
      <c r="H213" s="56"/>
      <c r="I213" s="376"/>
      <c r="J213" s="467"/>
      <c r="K213" s="455"/>
      <c r="L213" s="435"/>
      <c r="M213" s="419"/>
      <c r="N213" s="469" t="s">
        <v>854</v>
      </c>
      <c r="O213" s="278"/>
      <c r="P213" s="56"/>
      <c r="Q213" s="378"/>
      <c r="R213" s="378"/>
      <c r="S213" s="378"/>
      <c r="T213" s="378"/>
      <c r="U213" s="378"/>
      <c r="V213" s="378"/>
      <c r="W213" s="378"/>
      <c r="X213" s="378"/>
      <c r="Y213" s="378"/>
      <c r="Z213" s="378"/>
      <c r="AA213" s="378"/>
      <c r="AB213" s="378"/>
      <c r="AC213" s="378"/>
      <c r="AD213" s="378"/>
      <c r="AE213" s="378"/>
      <c r="AF213" s="378"/>
      <c r="AG213" s="378"/>
    </row>
    <row r="214">
      <c r="A214" s="378"/>
      <c r="B214" s="464"/>
      <c r="C214" s="455"/>
      <c r="D214" s="435"/>
      <c r="E214" s="419"/>
      <c r="F214" s="470"/>
      <c r="G214" s="215"/>
      <c r="H214" s="64"/>
      <c r="I214" s="376"/>
      <c r="J214" s="467"/>
      <c r="K214" s="455"/>
      <c r="L214" s="435"/>
      <c r="M214" s="419"/>
      <c r="N214" s="470"/>
      <c r="O214" s="215"/>
      <c r="P214" s="64"/>
      <c r="Q214" s="378"/>
      <c r="R214" s="378"/>
      <c r="S214" s="378"/>
      <c r="T214" s="378"/>
      <c r="U214" s="378"/>
      <c r="V214" s="378"/>
      <c r="W214" s="378"/>
      <c r="X214" s="378"/>
      <c r="Y214" s="378"/>
      <c r="Z214" s="378"/>
      <c r="AA214" s="378"/>
      <c r="AB214" s="378"/>
      <c r="AC214" s="378"/>
      <c r="AD214" s="378"/>
      <c r="AE214" s="378"/>
      <c r="AF214" s="378"/>
      <c r="AG214" s="378"/>
    </row>
    <row r="215">
      <c r="A215" s="378"/>
      <c r="B215" s="464"/>
      <c r="C215" s="455"/>
      <c r="D215" s="435"/>
      <c r="E215" s="419"/>
      <c r="F215" s="419"/>
      <c r="G215" s="419"/>
      <c r="H215" s="429"/>
      <c r="I215" s="376"/>
      <c r="J215" s="467"/>
      <c r="K215" s="455"/>
      <c r="L215" s="435"/>
      <c r="M215" s="419"/>
      <c r="N215" s="431"/>
      <c r="O215" s="432"/>
      <c r="P215" s="429"/>
      <c r="Q215" s="378"/>
      <c r="R215" s="378"/>
      <c r="S215" s="378"/>
      <c r="T215" s="378"/>
      <c r="U215" s="378"/>
      <c r="V215" s="378"/>
      <c r="W215" s="378"/>
      <c r="X215" s="378"/>
      <c r="Y215" s="378"/>
      <c r="Z215" s="378"/>
      <c r="AA215" s="378"/>
      <c r="AB215" s="378"/>
      <c r="AC215" s="378"/>
      <c r="AD215" s="378"/>
      <c r="AE215" s="378"/>
      <c r="AF215" s="378"/>
      <c r="AG215" s="378"/>
    </row>
    <row r="216">
      <c r="A216" s="378"/>
      <c r="B216" s="464"/>
      <c r="C216" s="455"/>
      <c r="D216" s="435"/>
      <c r="E216" s="419"/>
      <c r="F216" s="419"/>
      <c r="G216" s="419"/>
      <c r="H216" s="429"/>
      <c r="I216" s="376"/>
      <c r="J216" s="467"/>
      <c r="K216" s="455"/>
      <c r="L216" s="435"/>
      <c r="M216" s="419"/>
      <c r="N216" s="431"/>
      <c r="O216" s="432"/>
      <c r="P216" s="429"/>
      <c r="Q216" s="378"/>
      <c r="R216" s="378"/>
      <c r="S216" s="378"/>
      <c r="T216" s="378"/>
      <c r="U216" s="378"/>
      <c r="V216" s="378"/>
      <c r="W216" s="378"/>
      <c r="X216" s="378"/>
      <c r="Y216" s="378"/>
      <c r="Z216" s="378"/>
      <c r="AA216" s="378"/>
      <c r="AB216" s="378"/>
      <c r="AC216" s="378"/>
      <c r="AD216" s="378"/>
      <c r="AE216" s="378"/>
      <c r="AF216" s="378"/>
      <c r="AG216" s="378"/>
    </row>
    <row r="217">
      <c r="A217" s="378"/>
      <c r="B217" s="454" t="s">
        <v>721</v>
      </c>
      <c r="C217" s="460">
        <f>SUM(C208:C216)</f>
        <v>2578.32</v>
      </c>
      <c r="D217" s="440"/>
      <c r="E217" s="419"/>
      <c r="F217" s="419"/>
      <c r="G217" s="419"/>
      <c r="H217" s="429"/>
      <c r="I217" s="376"/>
      <c r="J217" s="458" t="s">
        <v>721</v>
      </c>
      <c r="K217" s="460">
        <f>SUM(K208:K216)</f>
        <v>0</v>
      </c>
      <c r="L217" s="440"/>
      <c r="M217" s="419"/>
      <c r="N217" s="431"/>
      <c r="O217" s="432"/>
      <c r="P217" s="429"/>
      <c r="Q217" s="378"/>
      <c r="R217" s="378"/>
      <c r="S217" s="378"/>
      <c r="T217" s="378"/>
      <c r="U217" s="378"/>
      <c r="V217" s="378"/>
      <c r="W217" s="378"/>
      <c r="X217" s="378"/>
      <c r="Y217" s="378"/>
      <c r="Z217" s="378"/>
      <c r="AA217" s="378"/>
      <c r="AB217" s="378"/>
      <c r="AC217" s="378"/>
      <c r="AD217" s="378"/>
      <c r="AE217" s="378"/>
      <c r="AF217" s="378"/>
      <c r="AG217" s="378"/>
    </row>
    <row r="218">
      <c r="A218" s="378"/>
      <c r="B218" s="471"/>
      <c r="C218" s="472"/>
      <c r="D218" s="472"/>
      <c r="E218" s="472"/>
      <c r="F218" s="472"/>
      <c r="G218" s="472"/>
      <c r="H218" s="473"/>
      <c r="I218" s="376"/>
      <c r="J218" s="474"/>
      <c r="K218" s="472"/>
      <c r="L218" s="472"/>
      <c r="M218" s="472"/>
      <c r="N218" s="475"/>
      <c r="O218" s="476"/>
      <c r="P218" s="473"/>
      <c r="Q218" s="378"/>
      <c r="R218" s="378"/>
      <c r="S218" s="378"/>
      <c r="T218" s="378"/>
      <c r="U218" s="378"/>
      <c r="V218" s="378"/>
      <c r="W218" s="378"/>
      <c r="X218" s="378"/>
      <c r="Y218" s="378"/>
      <c r="Z218" s="378"/>
      <c r="AA218" s="378"/>
      <c r="AB218" s="378"/>
      <c r="AC218" s="378"/>
      <c r="AD218" s="378"/>
      <c r="AE218" s="378"/>
      <c r="AF218" s="378"/>
      <c r="AG218" s="378"/>
    </row>
    <row r="219">
      <c r="A219" s="378"/>
      <c r="B219" s="550"/>
      <c r="C219" s="463"/>
      <c r="D219" s="463"/>
      <c r="E219" s="463"/>
      <c r="F219" s="463"/>
      <c r="G219" s="463"/>
      <c r="H219" s="463"/>
      <c r="I219" s="376"/>
      <c r="J219" s="377"/>
      <c r="K219" s="378"/>
      <c r="L219" s="378"/>
      <c r="M219" s="378"/>
      <c r="N219" s="379"/>
      <c r="O219" s="380"/>
      <c r="P219" s="378"/>
      <c r="Q219" s="378"/>
      <c r="R219" s="378"/>
      <c r="S219" s="378"/>
      <c r="T219" s="378"/>
      <c r="U219" s="378"/>
      <c r="V219" s="378"/>
      <c r="W219" s="378"/>
      <c r="X219" s="378"/>
      <c r="Y219" s="378"/>
      <c r="Z219" s="378"/>
      <c r="AA219" s="378"/>
      <c r="AB219" s="378"/>
      <c r="AC219" s="378"/>
      <c r="AD219" s="378"/>
      <c r="AE219" s="378"/>
      <c r="AF219" s="378"/>
      <c r="AG219" s="378"/>
    </row>
    <row r="220">
      <c r="A220" s="378"/>
      <c r="B220" s="550"/>
      <c r="C220" s="463"/>
      <c r="D220" s="463"/>
      <c r="E220" s="463"/>
      <c r="F220" s="463"/>
      <c r="G220" s="463"/>
      <c r="H220" s="463"/>
      <c r="I220" s="376"/>
      <c r="J220" s="377"/>
      <c r="K220" s="378"/>
      <c r="L220" s="378"/>
      <c r="M220" s="378"/>
      <c r="N220" s="379"/>
      <c r="O220" s="380"/>
      <c r="P220" s="378"/>
      <c r="Q220" s="378"/>
      <c r="R220" s="378"/>
      <c r="S220" s="378"/>
      <c r="T220" s="378"/>
      <c r="U220" s="378"/>
      <c r="V220" s="378"/>
      <c r="W220" s="378"/>
      <c r="X220" s="378"/>
      <c r="Y220" s="378"/>
      <c r="Z220" s="378"/>
      <c r="AA220" s="378"/>
      <c r="AB220" s="378"/>
      <c r="AC220" s="378"/>
      <c r="AD220" s="378"/>
      <c r="AE220" s="378"/>
      <c r="AF220" s="378"/>
      <c r="AG220" s="378"/>
    </row>
    <row r="221">
      <c r="A221" s="378"/>
      <c r="B221" s="382"/>
      <c r="C221" s="388"/>
      <c r="D221" s="384"/>
      <c r="E221" s="385" t="s">
        <v>700</v>
      </c>
      <c r="F221" s="385" t="str">
        <f>Board!A2</f>
        <v>11.17.25-11.23.25</v>
      </c>
      <c r="G221" s="213"/>
      <c r="H221" s="211"/>
      <c r="I221" s="386">
        <v>8.0</v>
      </c>
      <c r="J221" s="387"/>
      <c r="K221" s="388"/>
      <c r="L221" s="384"/>
      <c r="M221" s="385" t="s">
        <v>700</v>
      </c>
      <c r="N221" s="385" t="str">
        <f>Board!A2</f>
        <v>11.17.25-11.23.25</v>
      </c>
      <c r="O221" s="213"/>
      <c r="P221" s="211"/>
      <c r="Q221" s="378"/>
      <c r="R221" s="389" t="s">
        <v>831</v>
      </c>
      <c r="S221" s="389" t="s">
        <v>652</v>
      </c>
      <c r="T221" s="390" t="s">
        <v>832</v>
      </c>
      <c r="U221" s="391" t="s">
        <v>833</v>
      </c>
      <c r="V221" s="389" t="s">
        <v>655</v>
      </c>
      <c r="W221" s="389" t="s">
        <v>8</v>
      </c>
      <c r="X221" s="389" t="s">
        <v>656</v>
      </c>
      <c r="Y221" s="390" t="s">
        <v>834</v>
      </c>
      <c r="Z221" s="392" t="s">
        <v>835</v>
      </c>
      <c r="AA221" s="390" t="s">
        <v>836</v>
      </c>
      <c r="AB221" s="390" t="s">
        <v>837</v>
      </c>
      <c r="AC221" s="393" t="s">
        <v>716</v>
      </c>
      <c r="AD221" s="393" t="s">
        <v>717</v>
      </c>
      <c r="AE221" s="393" t="s">
        <v>718</v>
      </c>
      <c r="AF221" s="394" t="s">
        <v>838</v>
      </c>
      <c r="AG221" s="394"/>
    </row>
    <row r="222">
      <c r="A222" s="378"/>
      <c r="B222" s="395"/>
      <c r="C222" s="372"/>
      <c r="D222" s="396"/>
      <c r="E222" s="385" t="s">
        <v>702</v>
      </c>
      <c r="F222" s="385" t="s">
        <v>861</v>
      </c>
      <c r="G222" s="213"/>
      <c r="H222" s="211"/>
      <c r="I222" s="376"/>
      <c r="J222" s="397"/>
      <c r="K222" s="372"/>
      <c r="L222" s="396"/>
      <c r="M222" s="385" t="s">
        <v>351</v>
      </c>
      <c r="N222" s="385" t="str">
        <f t="array" ref="N222">XLOOKUP(N223,Board!K:K,Board!J:J)</f>
        <v>RICHARD FLORESTAL</v>
      </c>
      <c r="O222" s="213"/>
      <c r="P222" s="211"/>
      <c r="Q222" s="378"/>
      <c r="R222" s="398">
        <f>I221</f>
        <v>8</v>
      </c>
      <c r="S222" s="398">
        <f>F223</f>
        <v>2516</v>
      </c>
      <c r="T222" s="399">
        <f>G243</f>
        <v>1144.79</v>
      </c>
      <c r="U222" s="378" t="str">
        <f>N222</f>
        <v>RICHARD FLORESTAL</v>
      </c>
      <c r="V222" s="380">
        <f>O243</f>
        <v>2239.9</v>
      </c>
      <c r="W222" s="399">
        <f>P231</f>
        <v>2077.4</v>
      </c>
      <c r="X222" s="399">
        <f>C242</f>
        <v>2083.65</v>
      </c>
      <c r="Y222" s="400">
        <f>N231</f>
        <v>3196</v>
      </c>
      <c r="Z222" s="399">
        <f>V223-V222</f>
        <v>-1095.11</v>
      </c>
      <c r="AA222" s="378"/>
      <c r="AB222" s="378"/>
      <c r="AC222" s="401">
        <f>C239</f>
        <v>150</v>
      </c>
      <c r="AD222" s="401">
        <f>C240</f>
        <v>400</v>
      </c>
      <c r="AE222" s="401">
        <f>C241</f>
        <v>200</v>
      </c>
      <c r="AF222" s="530">
        <f>C243+C244+C245+C246+C247</f>
        <v>1477.56</v>
      </c>
      <c r="AG222" s="398"/>
    </row>
    <row r="223">
      <c r="A223" s="378"/>
      <c r="B223" s="395"/>
      <c r="C223" s="372"/>
      <c r="D223" s="402"/>
      <c r="E223" s="385" t="s">
        <v>703</v>
      </c>
      <c r="F223" s="385">
        <v>2516.0</v>
      </c>
      <c r="G223" s="213"/>
      <c r="H223" s="211"/>
      <c r="I223" s="376"/>
      <c r="J223" s="397"/>
      <c r="K223" s="372"/>
      <c r="L223" s="402"/>
      <c r="M223" s="385" t="s">
        <v>703</v>
      </c>
      <c r="N223" s="385">
        <f>F223</f>
        <v>2516</v>
      </c>
      <c r="O223" s="213"/>
      <c r="P223" s="211"/>
      <c r="Q223" s="378"/>
      <c r="R223" s="378"/>
      <c r="S223" s="378"/>
      <c r="T223" s="378"/>
      <c r="U223" s="378" t="str">
        <f>F222</f>
        <v>Careway Logistics LLC</v>
      </c>
      <c r="V223" s="399">
        <f>G243</f>
        <v>1144.79</v>
      </c>
      <c r="W223" s="399">
        <f>H231</f>
        <v>5456</v>
      </c>
      <c r="X223" s="378"/>
      <c r="Y223" s="378"/>
      <c r="Z223" s="378"/>
      <c r="AA223" s="378"/>
      <c r="AB223" s="378"/>
      <c r="AC223" s="378"/>
      <c r="AD223" s="378"/>
      <c r="AE223" s="378"/>
      <c r="AF223" s="378"/>
      <c r="AG223" s="378"/>
    </row>
    <row r="224">
      <c r="A224" s="378"/>
      <c r="B224" s="403" t="s">
        <v>704</v>
      </c>
      <c r="C224" s="404" t="s">
        <v>5</v>
      </c>
      <c r="D224" s="405" t="s">
        <v>6</v>
      </c>
      <c r="E224" s="406" t="s">
        <v>7</v>
      </c>
      <c r="F224" s="404" t="s">
        <v>8</v>
      </c>
      <c r="G224" s="404" t="s">
        <v>706</v>
      </c>
      <c r="H224" s="404" t="s">
        <v>707</v>
      </c>
      <c r="I224" s="376"/>
      <c r="J224" s="407" t="s">
        <v>704</v>
      </c>
      <c r="K224" s="404" t="s">
        <v>5</v>
      </c>
      <c r="L224" s="405" t="s">
        <v>6</v>
      </c>
      <c r="M224" s="406" t="s">
        <v>7</v>
      </c>
      <c r="N224" s="404" t="s">
        <v>591</v>
      </c>
      <c r="O224" s="408" t="s">
        <v>839</v>
      </c>
      <c r="P224" s="404" t="s">
        <v>707</v>
      </c>
      <c r="Q224" s="378"/>
      <c r="R224" s="378"/>
      <c r="S224" s="378"/>
      <c r="T224" s="378"/>
      <c r="U224" s="378"/>
      <c r="V224" s="378"/>
      <c r="W224" s="378"/>
      <c r="X224" s="378"/>
      <c r="Y224" s="378"/>
      <c r="Z224" s="378"/>
      <c r="AA224" s="378"/>
      <c r="AB224" s="378"/>
      <c r="AC224" s="378"/>
      <c r="AD224" s="378"/>
      <c r="AE224" s="378"/>
      <c r="AF224" s="378"/>
      <c r="AG224" s="378"/>
    </row>
    <row r="225">
      <c r="A225" s="378"/>
      <c r="B225" s="555">
        <f>IFERROR(__xludf.DUMMYFUNCTION("FILTER(Board!C:G,Board!K:K=F223)"),45979.0)</f>
        <v>45979</v>
      </c>
      <c r="C225" s="404">
        <f>IFERROR(__xludf.DUMMYFUNCTION("""COMPUTED_VALUE"""),628546.0)</f>
        <v>628546</v>
      </c>
      <c r="D225" s="405" t="str">
        <f>IFERROR(__xludf.DUMMYFUNCTION("""COMPUTED_VALUE"""),"Coppell, TX, 75019")</f>
        <v>Coppell, TX, 75019</v>
      </c>
      <c r="E225" s="406" t="str">
        <f>IFERROR(__xludf.DUMMYFUNCTION("""COMPUTED_VALUE"""),"Glenwood Springs, CO, 81601")</f>
        <v>Glenwood Springs, CO, 81601</v>
      </c>
      <c r="F225" s="414">
        <f>IFERROR(__xludf.DUMMYFUNCTION("""COMPUTED_VALUE"""),2300.0)</f>
        <v>2300</v>
      </c>
      <c r="G225" s="413">
        <v>0.88</v>
      </c>
      <c r="H225" s="414">
        <f t="shared" ref="H225:H226" si="14">F225*G225</f>
        <v>2024</v>
      </c>
      <c r="I225" s="376"/>
      <c r="J225" s="415">
        <f>IFERROR(__xludf.DUMMYFUNCTION("FILTER(Board!C:F,Board!K:K=N223)"),45979.0)</f>
        <v>45979</v>
      </c>
      <c r="K225" s="411">
        <f>IFERROR(__xludf.DUMMYFUNCTION("""COMPUTED_VALUE"""),628546.0)</f>
        <v>628546</v>
      </c>
      <c r="L225" s="411" t="str">
        <f>IFERROR(__xludf.DUMMYFUNCTION("""COMPUTED_VALUE"""),"Coppell, TX, 75019")</f>
        <v>Coppell, TX, 75019</v>
      </c>
      <c r="M225" s="411" t="str">
        <f>IFERROR(__xludf.DUMMYFUNCTION("""COMPUTED_VALUE"""),"Glenwood Springs, CO, 81601")</f>
        <v>Glenwood Springs, CO, 81601</v>
      </c>
      <c r="N225" s="416">
        <f>IFERROR(__xludf.DUMMYFUNCTION("FILTER(Board!H:H,Board!K:K=N223)"),937.0)</f>
        <v>937</v>
      </c>
      <c r="O225" s="408">
        <v>0.65</v>
      </c>
      <c r="P225" s="414">
        <f t="shared" ref="P225:P228" si="15">N225*O225</f>
        <v>609.05</v>
      </c>
      <c r="Q225" s="378"/>
      <c r="R225" s="378"/>
      <c r="S225" s="378"/>
      <c r="T225" s="378"/>
      <c r="U225" s="378"/>
      <c r="V225" s="378"/>
      <c r="W225" s="378"/>
      <c r="X225" s="378"/>
      <c r="Y225" s="378"/>
      <c r="Z225" s="378"/>
      <c r="AA225" s="378"/>
      <c r="AB225" s="378"/>
      <c r="AC225" s="378"/>
      <c r="AD225" s="378"/>
      <c r="AE225" s="378"/>
      <c r="AF225" s="378"/>
      <c r="AG225" s="378"/>
    </row>
    <row r="226">
      <c r="A226" s="378"/>
      <c r="B226" s="555">
        <f>IFERROR(__xludf.DUMMYFUNCTION("""COMPUTED_VALUE"""),45982.0)</f>
        <v>45982</v>
      </c>
      <c r="C226" s="404">
        <f>IFERROR(__xludf.DUMMYFUNCTION("""COMPUTED_VALUE"""),1240875.0)</f>
        <v>1240875</v>
      </c>
      <c r="D226" s="405" t="str">
        <f>IFERROR(__xludf.DUMMYFUNCTION("""COMPUTED_VALUE"""),"Salt Lake City, UT, 84116")</f>
        <v>Salt Lake City, UT, 84116</v>
      </c>
      <c r="E226" s="406" t="str">
        <f>IFERROR(__xludf.DUMMYFUNCTION("""COMPUTED_VALUE"""),"Batavia, NY, 14020")</f>
        <v>Batavia, NY, 14020</v>
      </c>
      <c r="F226" s="414">
        <f>IFERROR(__xludf.DUMMYFUNCTION("""COMPUTED_VALUE"""),3900.0)</f>
        <v>3900</v>
      </c>
      <c r="G226" s="413">
        <v>0.88</v>
      </c>
      <c r="H226" s="414">
        <f t="shared" si="14"/>
        <v>3432</v>
      </c>
      <c r="I226" s="376"/>
      <c r="J226" s="418">
        <f>IFERROR(__xludf.DUMMYFUNCTION("""COMPUTED_VALUE"""),45982.0)</f>
        <v>45982</v>
      </c>
      <c r="K226" s="411">
        <f>IFERROR(__xludf.DUMMYFUNCTION("""COMPUTED_VALUE"""),1240875.0)</f>
        <v>1240875</v>
      </c>
      <c r="L226" s="411" t="str">
        <f>IFERROR(__xludf.DUMMYFUNCTION("""COMPUTED_VALUE"""),"Salt Lake City, UT, 84116")</f>
        <v>Salt Lake City, UT, 84116</v>
      </c>
      <c r="M226" s="411" t="str">
        <f>IFERROR(__xludf.DUMMYFUNCTION("""COMPUTED_VALUE"""),"Batavia, NY, 14020")</f>
        <v>Batavia, NY, 14020</v>
      </c>
      <c r="N226" s="416">
        <f>IFERROR(__xludf.DUMMYFUNCTION("""COMPUTED_VALUE"""),2259.0)</f>
        <v>2259</v>
      </c>
      <c r="O226" s="408">
        <v>0.65</v>
      </c>
      <c r="P226" s="414">
        <f t="shared" si="15"/>
        <v>1468.35</v>
      </c>
      <c r="Q226" s="378"/>
      <c r="R226" s="378"/>
      <c r="S226" s="378"/>
      <c r="T226" s="378"/>
      <c r="U226" s="378"/>
      <c r="V226" s="378"/>
      <c r="W226" s="378"/>
      <c r="X226" s="378"/>
      <c r="Y226" s="378"/>
      <c r="Z226" s="378"/>
      <c r="AA226" s="378"/>
      <c r="AB226" s="378"/>
      <c r="AC226" s="378"/>
      <c r="AD226" s="378"/>
      <c r="AE226" s="378"/>
      <c r="AF226" s="378"/>
      <c r="AG226" s="378"/>
    </row>
    <row r="227">
      <c r="A227" s="378"/>
      <c r="B227" s="420"/>
      <c r="C227" s="421"/>
      <c r="D227" s="422"/>
      <c r="E227" s="423"/>
      <c r="F227" s="421"/>
      <c r="G227" s="413"/>
      <c r="H227" s="414"/>
      <c r="I227" s="376"/>
      <c r="J227" s="424"/>
      <c r="K227" s="421"/>
      <c r="L227" s="422"/>
      <c r="M227" s="423"/>
      <c r="N227" s="425"/>
      <c r="O227" s="408">
        <v>0.65</v>
      </c>
      <c r="P227" s="414">
        <f t="shared" si="15"/>
        <v>0</v>
      </c>
      <c r="Q227" s="378"/>
      <c r="R227" s="378"/>
      <c r="S227" s="378"/>
      <c r="T227" s="378"/>
      <c r="U227" s="378"/>
      <c r="V227" s="378"/>
      <c r="W227" s="378"/>
      <c r="X227" s="378"/>
      <c r="Y227" s="378"/>
      <c r="Z227" s="378"/>
      <c r="AA227" s="378"/>
      <c r="AB227" s="378"/>
      <c r="AC227" s="378"/>
      <c r="AD227" s="378"/>
      <c r="AE227" s="378"/>
      <c r="AF227" s="378"/>
      <c r="AG227" s="378"/>
    </row>
    <row r="228">
      <c r="A228" s="378"/>
      <c r="B228" s="420"/>
      <c r="C228" s="421"/>
      <c r="D228" s="422"/>
      <c r="E228" s="423"/>
      <c r="F228" s="421"/>
      <c r="G228" s="413"/>
      <c r="H228" s="414"/>
      <c r="I228" s="376"/>
      <c r="J228" s="424"/>
      <c r="K228" s="421"/>
      <c r="L228" s="422"/>
      <c r="M228" s="423"/>
      <c r="N228" s="425"/>
      <c r="O228" s="408">
        <v>0.65</v>
      </c>
      <c r="P228" s="414">
        <f t="shared" si="15"/>
        <v>0</v>
      </c>
      <c r="Q228" s="378"/>
      <c r="R228" s="378"/>
      <c r="S228" s="378"/>
      <c r="T228" s="378"/>
      <c r="U228" s="378"/>
      <c r="V228" s="378"/>
      <c r="W228" s="378"/>
      <c r="X228" s="378"/>
      <c r="Y228" s="378"/>
      <c r="Z228" s="378"/>
      <c r="AA228" s="378"/>
      <c r="AB228" s="378"/>
      <c r="AC228" s="378"/>
      <c r="AD228" s="378"/>
      <c r="AE228" s="378"/>
      <c r="AF228" s="378"/>
      <c r="AG228" s="378"/>
    </row>
    <row r="229">
      <c r="A229" s="378"/>
      <c r="B229" s="420"/>
      <c r="C229" s="421"/>
      <c r="D229" s="422"/>
      <c r="E229" s="423"/>
      <c r="F229" s="421"/>
      <c r="G229" s="413"/>
      <c r="H229" s="414"/>
      <c r="I229" s="376"/>
      <c r="J229" s="424"/>
      <c r="K229" s="421"/>
      <c r="L229" s="422"/>
      <c r="M229" s="423"/>
      <c r="N229" s="425"/>
      <c r="O229" s="408"/>
      <c r="P229" s="414"/>
      <c r="Q229" s="378"/>
      <c r="R229" s="378"/>
      <c r="S229" s="378"/>
      <c r="T229" s="378"/>
      <c r="U229" s="378"/>
      <c r="V229" s="378"/>
      <c r="W229" s="378"/>
      <c r="X229" s="378"/>
      <c r="Y229" s="378"/>
      <c r="Z229" s="378"/>
      <c r="AA229" s="378"/>
      <c r="AB229" s="378"/>
      <c r="AC229" s="378"/>
      <c r="AD229" s="378"/>
      <c r="AE229" s="378"/>
      <c r="AF229" s="378"/>
      <c r="AG229" s="378"/>
    </row>
    <row r="230">
      <c r="A230" s="378"/>
      <c r="B230" s="420"/>
      <c r="C230" s="421"/>
      <c r="D230" s="422"/>
      <c r="E230" s="423"/>
      <c r="F230" s="421"/>
      <c r="G230" s="413"/>
      <c r="H230" s="414"/>
      <c r="I230" s="376"/>
      <c r="J230" s="424"/>
      <c r="K230" s="421"/>
      <c r="L230" s="422"/>
      <c r="M230" s="423"/>
      <c r="N230" s="425"/>
      <c r="O230" s="408"/>
      <c r="P230" s="414"/>
      <c r="Q230" s="378"/>
      <c r="R230" s="378"/>
      <c r="S230" s="378"/>
      <c r="T230" s="378"/>
      <c r="U230" s="378"/>
      <c r="V230" s="378"/>
      <c r="W230" s="378"/>
      <c r="X230" s="378"/>
      <c r="Y230" s="378"/>
      <c r="Z230" s="378"/>
      <c r="AA230" s="378"/>
      <c r="AB230" s="378"/>
      <c r="AC230" s="378"/>
      <c r="AD230" s="378"/>
      <c r="AE230" s="378"/>
      <c r="AF230" s="378"/>
      <c r="AG230" s="378"/>
    </row>
    <row r="231">
      <c r="A231" s="378"/>
      <c r="B231" s="403" t="s">
        <v>711</v>
      </c>
      <c r="C231" s="224"/>
      <c r="D231" s="224"/>
      <c r="E231" s="222"/>
      <c r="F231" s="414">
        <f>SUM(F225:F230)</f>
        <v>6200</v>
      </c>
      <c r="G231" s="421"/>
      <c r="H231" s="414">
        <f>SUM(H225:H230)</f>
        <v>5456</v>
      </c>
      <c r="I231" s="376"/>
      <c r="J231" s="407" t="s">
        <v>711</v>
      </c>
      <c r="K231" s="224"/>
      <c r="L231" s="224"/>
      <c r="M231" s="222"/>
      <c r="N231" s="426">
        <f>SUM(N225:N230)</f>
        <v>3196</v>
      </c>
      <c r="O231" s="427"/>
      <c r="P231" s="414">
        <f>SUM(P225:P230)</f>
        <v>2077.4</v>
      </c>
      <c r="Q231" s="378"/>
      <c r="R231" s="378"/>
      <c r="S231" s="378"/>
      <c r="T231" s="378"/>
      <c r="U231" s="378"/>
      <c r="V231" s="378"/>
      <c r="W231" s="378"/>
      <c r="X231" s="378"/>
      <c r="Y231" s="378"/>
      <c r="Z231" s="378"/>
      <c r="AA231" s="378"/>
      <c r="AB231" s="378"/>
      <c r="AC231" s="378"/>
      <c r="AD231" s="378"/>
      <c r="AE231" s="378"/>
      <c r="AF231" s="378"/>
      <c r="AG231" s="378"/>
    </row>
    <row r="232">
      <c r="A232" s="378"/>
      <c r="B232" s="428"/>
      <c r="C232" s="419"/>
      <c r="D232" s="419"/>
      <c r="E232" s="419"/>
      <c r="F232" s="419"/>
      <c r="G232" s="419"/>
      <c r="H232" s="429"/>
      <c r="I232" s="376"/>
      <c r="J232" s="430"/>
      <c r="K232" s="419"/>
      <c r="L232" s="419"/>
      <c r="M232" s="419"/>
      <c r="N232" s="431"/>
      <c r="O232" s="432"/>
      <c r="P232" s="429"/>
      <c r="Q232" s="378"/>
      <c r="R232" s="378"/>
      <c r="S232" s="378"/>
      <c r="T232" s="378"/>
      <c r="U232" s="378"/>
      <c r="V232" s="378"/>
      <c r="W232" s="378"/>
      <c r="X232" s="378"/>
      <c r="Y232" s="378"/>
      <c r="Z232" s="378"/>
      <c r="AA232" s="378"/>
      <c r="AB232" s="378"/>
      <c r="AC232" s="378"/>
      <c r="AD232" s="378"/>
      <c r="AE232" s="378"/>
      <c r="AF232" s="378"/>
      <c r="AG232" s="378"/>
    </row>
    <row r="233">
      <c r="A233" s="378"/>
      <c r="B233" s="433" t="s">
        <v>712</v>
      </c>
      <c r="C233" s="434"/>
      <c r="D233" s="435"/>
      <c r="E233" s="419"/>
      <c r="F233" s="419"/>
      <c r="G233" s="419"/>
      <c r="H233" s="429"/>
      <c r="I233" s="376"/>
      <c r="J233" s="437" t="s">
        <v>712</v>
      </c>
      <c r="K233" s="434"/>
      <c r="L233" s="435"/>
      <c r="M233" s="419"/>
      <c r="N233" s="431"/>
      <c r="O233" s="432"/>
      <c r="P233" s="429"/>
      <c r="Q233" s="378"/>
      <c r="R233" s="378"/>
      <c r="S233" s="378"/>
      <c r="T233" s="378"/>
      <c r="U233" s="378"/>
      <c r="V233" s="378"/>
      <c r="W233" s="378"/>
      <c r="X233" s="378"/>
      <c r="Y233" s="378"/>
      <c r="Z233" s="378"/>
      <c r="AA233" s="378"/>
      <c r="AB233" s="378"/>
      <c r="AC233" s="378"/>
      <c r="AD233" s="378"/>
      <c r="AE233" s="378"/>
      <c r="AF233" s="378"/>
      <c r="AG233" s="378"/>
    </row>
    <row r="234">
      <c r="A234" s="378"/>
      <c r="B234" s="438" t="s">
        <v>713</v>
      </c>
      <c r="C234" s="439"/>
      <c r="D234" s="440"/>
      <c r="E234" s="419"/>
      <c r="F234" s="419"/>
      <c r="G234" s="419"/>
      <c r="H234" s="429"/>
      <c r="I234" s="376"/>
      <c r="J234" s="443" t="s">
        <v>866</v>
      </c>
      <c r="K234" s="439">
        <f>250*0.65</f>
        <v>162.5</v>
      </c>
      <c r="L234" s="440"/>
      <c r="M234" s="419"/>
      <c r="N234" s="431"/>
      <c r="O234" s="432"/>
      <c r="P234" s="429"/>
      <c r="Q234" s="378"/>
      <c r="R234" s="378"/>
      <c r="S234" s="378"/>
      <c r="T234" s="378"/>
      <c r="U234" s="378"/>
      <c r="V234" s="378"/>
      <c r="W234" s="378"/>
      <c r="X234" s="378"/>
      <c r="Y234" s="378"/>
      <c r="Z234" s="378"/>
      <c r="AA234" s="378"/>
      <c r="AB234" s="378"/>
      <c r="AC234" s="378"/>
      <c r="AD234" s="378"/>
      <c r="AE234" s="378"/>
      <c r="AF234" s="378"/>
      <c r="AG234" s="378"/>
    </row>
    <row r="235">
      <c r="A235" s="378"/>
      <c r="B235" s="444"/>
      <c r="C235" s="434"/>
      <c r="D235" s="435"/>
      <c r="E235" s="419"/>
      <c r="F235" s="463"/>
      <c r="G235" s="463"/>
      <c r="H235" s="448"/>
      <c r="I235" s="376"/>
      <c r="J235" s="445"/>
      <c r="K235" s="434"/>
      <c r="L235" s="435"/>
      <c r="M235" s="419"/>
      <c r="N235" s="446"/>
      <c r="O235" s="447"/>
      <c r="P235" s="448"/>
      <c r="Q235" s="378"/>
      <c r="R235" s="378"/>
      <c r="S235" s="378"/>
      <c r="T235" s="378"/>
      <c r="U235" s="378"/>
      <c r="V235" s="378"/>
      <c r="W235" s="378"/>
      <c r="X235" s="378"/>
      <c r="Y235" s="378"/>
      <c r="Z235" s="378"/>
      <c r="AA235" s="378"/>
      <c r="AB235" s="378"/>
      <c r="AC235" s="378"/>
      <c r="AD235" s="378"/>
      <c r="AE235" s="378"/>
      <c r="AF235" s="378"/>
      <c r="AG235" s="378"/>
    </row>
    <row r="236">
      <c r="A236" s="378"/>
      <c r="B236" s="438" t="s">
        <v>714</v>
      </c>
      <c r="C236" s="439">
        <f>SUM(C234:C235)</f>
        <v>0</v>
      </c>
      <c r="D236" s="440"/>
      <c r="E236" s="419"/>
      <c r="F236" s="463"/>
      <c r="G236" s="463"/>
      <c r="H236" s="448"/>
      <c r="I236" s="376"/>
      <c r="J236" s="443" t="s">
        <v>714</v>
      </c>
      <c r="K236" s="439">
        <f>SUM(K234:K235)</f>
        <v>162.5</v>
      </c>
      <c r="L236" s="440"/>
      <c r="M236" s="419"/>
      <c r="N236" s="446"/>
      <c r="O236" s="447"/>
      <c r="P236" s="448"/>
      <c r="Q236" s="378"/>
      <c r="R236" s="378"/>
      <c r="S236" s="378"/>
      <c r="T236" s="378"/>
      <c r="U236" s="378"/>
      <c r="V236" s="378"/>
      <c r="W236" s="378"/>
      <c r="X236" s="378"/>
      <c r="Y236" s="378"/>
      <c r="Z236" s="378"/>
      <c r="AA236" s="378"/>
      <c r="AB236" s="378"/>
      <c r="AC236" s="378"/>
      <c r="AD236" s="378"/>
      <c r="AE236" s="378"/>
      <c r="AF236" s="378"/>
      <c r="AG236" s="378"/>
    </row>
    <row r="237">
      <c r="A237" s="378"/>
      <c r="B237" s="450"/>
      <c r="C237" s="451"/>
      <c r="D237" s="419"/>
      <c r="E237" s="419"/>
      <c r="F237" s="463"/>
      <c r="G237" s="463"/>
      <c r="H237" s="448"/>
      <c r="I237" s="376"/>
      <c r="J237" s="535"/>
      <c r="K237" s="451"/>
      <c r="L237" s="419"/>
      <c r="M237" s="419"/>
      <c r="N237" s="446"/>
      <c r="O237" s="447"/>
      <c r="P237" s="448"/>
      <c r="Q237" s="378"/>
      <c r="R237" s="378"/>
      <c r="S237" s="378"/>
      <c r="T237" s="378"/>
      <c r="U237" s="378"/>
      <c r="V237" s="378"/>
      <c r="W237" s="378"/>
      <c r="X237" s="378"/>
      <c r="Y237" s="378"/>
      <c r="Z237" s="378"/>
      <c r="AA237" s="378"/>
      <c r="AB237" s="378"/>
      <c r="AC237" s="378"/>
      <c r="AD237" s="378"/>
      <c r="AE237" s="378"/>
      <c r="AF237" s="378"/>
      <c r="AG237" s="378"/>
    </row>
    <row r="238">
      <c r="A238" s="378"/>
      <c r="B238" s="454" t="s">
        <v>715</v>
      </c>
      <c r="C238" s="455"/>
      <c r="D238" s="435"/>
      <c r="E238" s="419"/>
      <c r="F238" s="463"/>
      <c r="G238" s="463"/>
      <c r="H238" s="448"/>
      <c r="I238" s="376"/>
      <c r="J238" s="458" t="s">
        <v>715</v>
      </c>
      <c r="K238" s="455"/>
      <c r="L238" s="435"/>
      <c r="M238" s="419"/>
      <c r="N238" s="446"/>
      <c r="O238" s="447"/>
      <c r="P238" s="448"/>
      <c r="Q238" s="378"/>
      <c r="R238" s="378"/>
      <c r="S238" s="378"/>
      <c r="T238" s="378"/>
      <c r="U238" s="378"/>
      <c r="V238" s="378"/>
      <c r="W238" s="378"/>
      <c r="X238" s="378"/>
      <c r="Y238" s="378"/>
      <c r="Z238" s="378"/>
      <c r="AA238" s="378"/>
      <c r="AB238" s="378"/>
      <c r="AC238" s="378"/>
      <c r="AD238" s="378"/>
      <c r="AE238" s="378"/>
      <c r="AF238" s="378"/>
      <c r="AG238" s="378"/>
    </row>
    <row r="239">
      <c r="A239" s="378"/>
      <c r="B239" s="459" t="s">
        <v>716</v>
      </c>
      <c r="C239" s="460">
        <v>150.0</v>
      </c>
      <c r="D239" s="440"/>
      <c r="E239" s="419"/>
      <c r="F239" s="463"/>
      <c r="G239" s="463"/>
      <c r="H239" s="448"/>
      <c r="I239" s="376"/>
      <c r="J239" s="462" t="s">
        <v>716</v>
      </c>
      <c r="K239" s="460"/>
      <c r="L239" s="440"/>
      <c r="M239" s="419"/>
      <c r="N239" s="446"/>
      <c r="O239" s="447"/>
      <c r="P239" s="448"/>
      <c r="Q239" s="378"/>
      <c r="R239" s="378"/>
      <c r="S239" s="378"/>
      <c r="T239" s="378"/>
      <c r="U239" s="378"/>
      <c r="V239" s="378"/>
      <c r="W239" s="378"/>
      <c r="X239" s="378"/>
      <c r="Y239" s="378"/>
      <c r="Z239" s="378"/>
      <c r="AA239" s="378"/>
      <c r="AB239" s="378"/>
      <c r="AC239" s="378"/>
      <c r="AD239" s="378"/>
      <c r="AE239" s="378"/>
      <c r="AF239" s="378"/>
      <c r="AG239" s="378"/>
    </row>
    <row r="240">
      <c r="A240" s="378"/>
      <c r="B240" s="459" t="s">
        <v>717</v>
      </c>
      <c r="C240" s="460">
        <v>400.0</v>
      </c>
      <c r="D240" s="440"/>
      <c r="E240" s="419"/>
      <c r="F240" s="463"/>
      <c r="G240" s="463"/>
      <c r="H240" s="448"/>
      <c r="I240" s="376"/>
      <c r="J240" s="462" t="s">
        <v>717</v>
      </c>
      <c r="K240" s="460"/>
      <c r="L240" s="440"/>
      <c r="M240" s="419"/>
      <c r="N240" s="446"/>
      <c r="O240" s="447"/>
      <c r="P240" s="448"/>
      <c r="Q240" s="378"/>
      <c r="R240" s="378"/>
      <c r="S240" s="378"/>
      <c r="T240" s="378"/>
      <c r="U240" s="378"/>
      <c r="V240" s="378"/>
      <c r="W240" s="378"/>
      <c r="X240" s="378"/>
      <c r="Y240" s="378"/>
      <c r="Z240" s="378"/>
      <c r="AA240" s="378"/>
      <c r="AB240" s="378"/>
      <c r="AC240" s="378"/>
      <c r="AD240" s="378"/>
      <c r="AE240" s="378"/>
      <c r="AF240" s="378"/>
      <c r="AG240" s="378"/>
    </row>
    <row r="241">
      <c r="A241" s="378"/>
      <c r="B241" s="459" t="s">
        <v>718</v>
      </c>
      <c r="C241" s="460">
        <v>200.0</v>
      </c>
      <c r="D241" s="440"/>
      <c r="E241" s="419"/>
      <c r="F241" s="463"/>
      <c r="G241" s="463"/>
      <c r="H241" s="448"/>
      <c r="I241" s="376"/>
      <c r="J241" s="462" t="s">
        <v>718</v>
      </c>
      <c r="K241" s="460"/>
      <c r="L241" s="440"/>
      <c r="M241" s="419"/>
      <c r="N241" s="446"/>
      <c r="O241" s="447"/>
      <c r="P241" s="448"/>
      <c r="Q241" s="378"/>
      <c r="R241" s="378"/>
      <c r="S241" s="378"/>
      <c r="T241" s="378"/>
      <c r="U241" s="378"/>
      <c r="V241" s="378"/>
      <c r="W241" s="378"/>
      <c r="X241" s="378"/>
      <c r="Y241" s="378"/>
      <c r="Z241" s="378"/>
      <c r="AA241" s="378"/>
      <c r="AB241" s="378"/>
      <c r="AC241" s="378"/>
      <c r="AD241" s="378"/>
      <c r="AE241" s="378"/>
      <c r="AF241" s="378"/>
      <c r="AG241" s="378"/>
    </row>
    <row r="242">
      <c r="A242" s="378"/>
      <c r="B242" s="459" t="s">
        <v>656</v>
      </c>
      <c r="C242" s="460">
        <f>IFERROR(__xludf.DUMMYFUNCTION("FILTER(D967:D995,C967:C995=F223)"),2083.65)</f>
        <v>2083.65</v>
      </c>
      <c r="D242" s="440"/>
      <c r="E242" s="419"/>
      <c r="F242" s="463"/>
      <c r="G242" s="463"/>
      <c r="H242" s="448"/>
      <c r="I242" s="376"/>
      <c r="J242" s="462" t="s">
        <v>656</v>
      </c>
      <c r="K242" s="460"/>
      <c r="L242" s="440"/>
      <c r="M242" s="419"/>
      <c r="N242" s="446"/>
      <c r="O242" s="447"/>
      <c r="P242" s="448"/>
      <c r="Q242" s="378"/>
      <c r="R242" s="378"/>
      <c r="S242" s="378"/>
      <c r="T242" s="378"/>
      <c r="U242" s="378"/>
      <c r="V242" s="378"/>
      <c r="W242" s="378"/>
      <c r="X242" s="378"/>
      <c r="Y242" s="378"/>
      <c r="Z242" s="378"/>
      <c r="AA242" s="378"/>
      <c r="AB242" s="378"/>
      <c r="AC242" s="378"/>
      <c r="AD242" s="378"/>
      <c r="AE242" s="378"/>
      <c r="AF242" s="378"/>
      <c r="AG242" s="378"/>
    </row>
    <row r="243">
      <c r="A243" s="378"/>
      <c r="B243" s="454" t="s">
        <v>867</v>
      </c>
      <c r="C243" s="537">
        <v>1039.2</v>
      </c>
      <c r="D243" s="435"/>
      <c r="E243" s="419"/>
      <c r="F243" s="468" t="s">
        <v>842</v>
      </c>
      <c r="G243" s="466">
        <f>H231+C236-C248</f>
        <v>1144.79</v>
      </c>
      <c r="H243" s="211"/>
      <c r="I243" s="376"/>
      <c r="J243" s="467"/>
      <c r="K243" s="455"/>
      <c r="L243" s="435"/>
      <c r="M243" s="419"/>
      <c r="N243" s="468" t="s">
        <v>842</v>
      </c>
      <c r="O243" s="539">
        <f>P231+K236-K248</f>
        <v>2239.9</v>
      </c>
      <c r="P243" s="211"/>
      <c r="Q243" s="378"/>
      <c r="R243" s="378"/>
      <c r="S243" s="378"/>
      <c r="T243" s="378"/>
      <c r="U243" s="378"/>
      <c r="V243" s="378"/>
      <c r="W243" s="378"/>
      <c r="X243" s="378"/>
      <c r="Y243" s="378"/>
      <c r="Z243" s="378"/>
      <c r="AA243" s="378"/>
      <c r="AB243" s="378"/>
      <c r="AC243" s="378"/>
      <c r="AD243" s="378"/>
      <c r="AE243" s="378"/>
      <c r="AF243" s="378"/>
      <c r="AG243" s="378"/>
    </row>
    <row r="244">
      <c r="A244" s="378"/>
      <c r="B244" s="454" t="s">
        <v>868</v>
      </c>
      <c r="C244" s="537">
        <v>438.36</v>
      </c>
      <c r="D244" s="435"/>
      <c r="E244" s="419"/>
      <c r="F244" s="469" t="s">
        <v>843</v>
      </c>
      <c r="G244" s="278"/>
      <c r="H244" s="56"/>
      <c r="I244" s="376"/>
      <c r="J244" s="467"/>
      <c r="K244" s="455"/>
      <c r="L244" s="435"/>
      <c r="M244" s="419"/>
      <c r="N244" s="469" t="s">
        <v>854</v>
      </c>
      <c r="O244" s="278"/>
      <c r="P244" s="56"/>
      <c r="Q244" s="378"/>
      <c r="R244" s="378"/>
      <c r="S244" s="378"/>
      <c r="T244" s="378"/>
      <c r="U244" s="378"/>
      <c r="V244" s="378"/>
      <c r="W244" s="378"/>
      <c r="X244" s="378"/>
      <c r="Y244" s="378"/>
      <c r="Z244" s="378"/>
      <c r="AA244" s="378"/>
      <c r="AB244" s="378"/>
      <c r="AC244" s="378"/>
      <c r="AD244" s="378"/>
      <c r="AE244" s="378"/>
      <c r="AF244" s="378"/>
      <c r="AG244" s="378"/>
    </row>
    <row r="245">
      <c r="A245" s="378"/>
      <c r="B245" s="464"/>
      <c r="C245" s="543"/>
      <c r="D245" s="435"/>
      <c r="E245" s="419"/>
      <c r="F245" s="470"/>
      <c r="G245" s="215"/>
      <c r="H245" s="64"/>
      <c r="I245" s="376"/>
      <c r="J245" s="467"/>
      <c r="K245" s="455"/>
      <c r="L245" s="435"/>
      <c r="M245" s="419"/>
      <c r="N245" s="470"/>
      <c r="O245" s="215"/>
      <c r="P245" s="64"/>
      <c r="Q245" s="378"/>
      <c r="R245" s="378"/>
      <c r="S245" s="378"/>
      <c r="T245" s="378"/>
      <c r="U245" s="378"/>
      <c r="V245" s="378"/>
      <c r="W245" s="378"/>
      <c r="X245" s="378"/>
      <c r="Y245" s="378"/>
      <c r="Z245" s="378"/>
      <c r="AA245" s="378"/>
      <c r="AB245" s="378"/>
      <c r="AC245" s="378"/>
      <c r="AD245" s="378"/>
      <c r="AE245" s="378"/>
      <c r="AF245" s="378"/>
      <c r="AG245" s="378"/>
    </row>
    <row r="246">
      <c r="A246" s="378"/>
      <c r="B246" s="464"/>
      <c r="C246" s="543"/>
      <c r="D246" s="435"/>
      <c r="E246" s="419"/>
      <c r="F246" s="419"/>
      <c r="G246" s="419"/>
      <c r="H246" s="429"/>
      <c r="I246" s="376"/>
      <c r="J246" s="467"/>
      <c r="K246" s="455"/>
      <c r="L246" s="435"/>
      <c r="M246" s="419"/>
      <c r="N246" s="431"/>
      <c r="O246" s="432"/>
      <c r="P246" s="429"/>
      <c r="Q246" s="378"/>
      <c r="R246" s="378"/>
      <c r="S246" s="378"/>
      <c r="T246" s="378"/>
      <c r="U246" s="378"/>
      <c r="V246" s="378"/>
      <c r="W246" s="378"/>
      <c r="X246" s="378"/>
      <c r="Y246" s="378"/>
      <c r="Z246" s="378"/>
      <c r="AA246" s="378"/>
      <c r="AB246" s="378"/>
      <c r="AC246" s="378"/>
      <c r="AD246" s="378"/>
      <c r="AE246" s="378"/>
      <c r="AF246" s="378"/>
      <c r="AG246" s="378"/>
    </row>
    <row r="247">
      <c r="A247" s="378"/>
      <c r="B247" s="464"/>
      <c r="C247" s="543"/>
      <c r="D247" s="435"/>
      <c r="E247" s="419"/>
      <c r="F247" s="419"/>
      <c r="G247" s="419"/>
      <c r="H247" s="429"/>
      <c r="I247" s="376"/>
      <c r="J247" s="467"/>
      <c r="K247" s="455"/>
      <c r="L247" s="435"/>
      <c r="M247" s="419"/>
      <c r="N247" s="431"/>
      <c r="O247" s="432"/>
      <c r="P247" s="429"/>
      <c r="Q247" s="378"/>
      <c r="R247" s="378"/>
      <c r="S247" s="378"/>
      <c r="T247" s="378"/>
      <c r="U247" s="378"/>
      <c r="V247" s="378"/>
      <c r="W247" s="378"/>
      <c r="X247" s="378"/>
      <c r="Y247" s="378"/>
      <c r="Z247" s="378"/>
      <c r="AA247" s="378"/>
      <c r="AB247" s="378"/>
      <c r="AC247" s="378"/>
      <c r="AD247" s="378"/>
      <c r="AE247" s="378"/>
      <c r="AF247" s="378"/>
      <c r="AG247" s="378"/>
    </row>
    <row r="248">
      <c r="A248" s="378"/>
      <c r="B248" s="454" t="s">
        <v>721</v>
      </c>
      <c r="C248" s="460">
        <f>SUM(C239:C247)</f>
        <v>4311.21</v>
      </c>
      <c r="D248" s="440"/>
      <c r="E248" s="419"/>
      <c r="F248" s="419"/>
      <c r="G248" s="419"/>
      <c r="H248" s="429"/>
      <c r="I248" s="376"/>
      <c r="J248" s="458" t="s">
        <v>721</v>
      </c>
      <c r="K248" s="460">
        <f>SUM(K239:K247)</f>
        <v>0</v>
      </c>
      <c r="L248" s="440"/>
      <c r="M248" s="419"/>
      <c r="N248" s="431"/>
      <c r="O248" s="432"/>
      <c r="P248" s="429"/>
      <c r="Q248" s="378"/>
      <c r="R248" s="378"/>
      <c r="S248" s="378"/>
      <c r="T248" s="378"/>
      <c r="U248" s="378"/>
      <c r="V248" s="378"/>
      <c r="W248" s="378"/>
      <c r="X248" s="378"/>
      <c r="Y248" s="378"/>
      <c r="Z248" s="378"/>
      <c r="AA248" s="378"/>
      <c r="AB248" s="378"/>
      <c r="AC248" s="378"/>
      <c r="AD248" s="378"/>
      <c r="AE248" s="378"/>
      <c r="AF248" s="378"/>
      <c r="AG248" s="378"/>
    </row>
    <row r="249">
      <c r="A249" s="378"/>
      <c r="B249" s="471"/>
      <c r="C249" s="472"/>
      <c r="D249" s="472"/>
      <c r="E249" s="472"/>
      <c r="F249" s="472"/>
      <c r="G249" s="472"/>
      <c r="H249" s="473"/>
      <c r="I249" s="376"/>
      <c r="J249" s="474"/>
      <c r="K249" s="472"/>
      <c r="L249" s="472"/>
      <c r="M249" s="472"/>
      <c r="N249" s="475"/>
      <c r="O249" s="476"/>
      <c r="P249" s="473"/>
      <c r="Q249" s="378"/>
      <c r="R249" s="378"/>
      <c r="S249" s="378"/>
      <c r="T249" s="378"/>
      <c r="U249" s="378"/>
      <c r="V249" s="378"/>
      <c r="W249" s="378"/>
      <c r="X249" s="378"/>
      <c r="Y249" s="378"/>
      <c r="Z249" s="378"/>
      <c r="AA249" s="378"/>
      <c r="AB249" s="378"/>
      <c r="AC249" s="378"/>
      <c r="AD249" s="378"/>
      <c r="AE249" s="378"/>
      <c r="AF249" s="378"/>
      <c r="AG249" s="378"/>
    </row>
    <row r="250">
      <c r="A250" s="378"/>
      <c r="B250" s="550"/>
      <c r="C250" s="463"/>
      <c r="D250" s="463"/>
      <c r="E250" s="463"/>
      <c r="F250" s="463"/>
      <c r="G250" s="463"/>
      <c r="H250" s="463"/>
      <c r="I250" s="376"/>
      <c r="J250" s="377"/>
      <c r="K250" s="378"/>
      <c r="L250" s="378"/>
      <c r="M250" s="378"/>
      <c r="N250" s="379"/>
      <c r="O250" s="380"/>
      <c r="P250" s="378"/>
      <c r="Q250" s="378"/>
      <c r="R250" s="378"/>
      <c r="S250" s="378"/>
      <c r="T250" s="378"/>
      <c r="U250" s="378"/>
      <c r="V250" s="378"/>
      <c r="W250" s="378"/>
      <c r="X250" s="378"/>
      <c r="Y250" s="378"/>
      <c r="Z250" s="378"/>
      <c r="AA250" s="378"/>
      <c r="AB250" s="378"/>
      <c r="AC250" s="378"/>
      <c r="AD250" s="378"/>
      <c r="AE250" s="378"/>
      <c r="AF250" s="378"/>
      <c r="AG250" s="378"/>
    </row>
    <row r="251">
      <c r="A251" s="378"/>
      <c r="B251" s="550"/>
      <c r="C251" s="463"/>
      <c r="D251" s="463"/>
      <c r="E251" s="463"/>
      <c r="F251" s="463"/>
      <c r="G251" s="463"/>
      <c r="H251" s="463"/>
      <c r="I251" s="376"/>
      <c r="J251" s="377"/>
      <c r="K251" s="378"/>
      <c r="L251" s="378"/>
      <c r="M251" s="378"/>
      <c r="N251" s="379"/>
      <c r="O251" s="380"/>
      <c r="P251" s="378"/>
      <c r="Q251" s="378"/>
      <c r="R251" s="378"/>
      <c r="S251" s="378"/>
      <c r="T251" s="378"/>
      <c r="U251" s="378"/>
      <c r="V251" s="378"/>
      <c r="W251" s="378"/>
      <c r="X251" s="378"/>
      <c r="Y251" s="378"/>
      <c r="Z251" s="378"/>
      <c r="AA251" s="378"/>
      <c r="AB251" s="378"/>
      <c r="AC251" s="378"/>
      <c r="AD251" s="378"/>
      <c r="AE251" s="378"/>
      <c r="AF251" s="378"/>
      <c r="AG251" s="378"/>
    </row>
    <row r="252">
      <c r="A252" s="378"/>
      <c r="B252" s="382"/>
      <c r="C252" s="388"/>
      <c r="D252" s="384"/>
      <c r="E252" s="385" t="s">
        <v>700</v>
      </c>
      <c r="F252" s="385" t="str">
        <f>Board!A2</f>
        <v>11.17.25-11.23.25</v>
      </c>
      <c r="G252" s="213"/>
      <c r="H252" s="211"/>
      <c r="I252" s="386">
        <v>9.0</v>
      </c>
      <c r="J252" s="387"/>
      <c r="K252" s="388"/>
      <c r="L252" s="384"/>
      <c r="M252" s="385" t="s">
        <v>700</v>
      </c>
      <c r="N252" s="385" t="str">
        <f>Board!A2</f>
        <v>11.17.25-11.23.25</v>
      </c>
      <c r="O252" s="213"/>
      <c r="P252" s="211"/>
      <c r="Q252" s="378"/>
      <c r="R252" s="389" t="s">
        <v>831</v>
      </c>
      <c r="S252" s="389" t="s">
        <v>652</v>
      </c>
      <c r="T252" s="390" t="s">
        <v>832</v>
      </c>
      <c r="U252" s="391" t="s">
        <v>833</v>
      </c>
      <c r="V252" s="389" t="s">
        <v>655</v>
      </c>
      <c r="W252" s="389" t="s">
        <v>8</v>
      </c>
      <c r="X252" s="389" t="s">
        <v>656</v>
      </c>
      <c r="Y252" s="390" t="s">
        <v>834</v>
      </c>
      <c r="Z252" s="392" t="s">
        <v>835</v>
      </c>
      <c r="AA252" s="390" t="s">
        <v>836</v>
      </c>
      <c r="AB252" s="390" t="s">
        <v>837</v>
      </c>
      <c r="AC252" s="393" t="s">
        <v>716</v>
      </c>
      <c r="AD252" s="393" t="s">
        <v>717</v>
      </c>
      <c r="AE252" s="393" t="s">
        <v>718</v>
      </c>
      <c r="AF252" s="394" t="s">
        <v>838</v>
      </c>
      <c r="AG252" s="394"/>
    </row>
    <row r="253">
      <c r="A253" s="378"/>
      <c r="B253" s="395"/>
      <c r="C253" s="372"/>
      <c r="D253" s="396"/>
      <c r="E253" s="385" t="s">
        <v>702</v>
      </c>
      <c r="F253" s="385" t="s">
        <v>869</v>
      </c>
      <c r="G253" s="213"/>
      <c r="H253" s="211"/>
      <c r="I253" s="376"/>
      <c r="J253" s="397"/>
      <c r="K253" s="372"/>
      <c r="L253" s="396"/>
      <c r="M253" s="385" t="s">
        <v>351</v>
      </c>
      <c r="N253" s="385" t="str">
        <f t="array" ref="N253">XLOOKUP(N254,Board!K:K,Board!J:J)</f>
        <v>WILLIE HAMPTON ANDERSON</v>
      </c>
      <c r="O253" s="213"/>
      <c r="P253" s="211"/>
      <c r="Q253" s="378"/>
      <c r="R253" s="398">
        <f>I252</f>
        <v>9</v>
      </c>
      <c r="S253" s="398">
        <f>F254</f>
        <v>2675</v>
      </c>
      <c r="T253" s="399">
        <f>G274</f>
        <v>4837.6</v>
      </c>
      <c r="U253" s="378" t="str">
        <f>N253</f>
        <v>WILLIE HAMPTON ANDERSON</v>
      </c>
      <c r="V253" s="380">
        <f>O274</f>
        <v>3199.35</v>
      </c>
      <c r="W253" s="399">
        <f>P262</f>
        <v>3249.35</v>
      </c>
      <c r="X253" s="399">
        <f>C273</f>
        <v>3454.4</v>
      </c>
      <c r="Y253" s="400">
        <f>N262</f>
        <v>4999</v>
      </c>
      <c r="Z253" s="399">
        <f>V254-V253</f>
        <v>1638.25</v>
      </c>
      <c r="AA253" s="378"/>
      <c r="AB253" s="378"/>
      <c r="AC253" s="401">
        <f>C270</f>
        <v>100</v>
      </c>
      <c r="AD253" s="401">
        <f>C271</f>
        <v>400</v>
      </c>
      <c r="AE253" s="401">
        <f>C272</f>
        <v>200</v>
      </c>
      <c r="AF253" s="530">
        <f>C274+C275+C276+C277+C278</f>
        <v>300</v>
      </c>
      <c r="AG253" s="398"/>
    </row>
    <row r="254">
      <c r="A254" s="378"/>
      <c r="B254" s="395"/>
      <c r="C254" s="372"/>
      <c r="D254" s="402"/>
      <c r="E254" s="385" t="s">
        <v>703</v>
      </c>
      <c r="F254" s="385">
        <v>2675.0</v>
      </c>
      <c r="G254" s="213"/>
      <c r="H254" s="211"/>
      <c r="I254" s="376"/>
      <c r="J254" s="397"/>
      <c r="K254" s="372"/>
      <c r="L254" s="402"/>
      <c r="M254" s="385" t="s">
        <v>703</v>
      </c>
      <c r="N254" s="385">
        <f>F254</f>
        <v>2675</v>
      </c>
      <c r="O254" s="213"/>
      <c r="P254" s="211"/>
      <c r="Q254" s="378"/>
      <c r="R254" s="378"/>
      <c r="S254" s="378"/>
      <c r="T254" s="378"/>
      <c r="U254" s="378" t="str">
        <f>F253</f>
        <v>Besa Transport LLC</v>
      </c>
      <c r="V254" s="399">
        <f>G274</f>
        <v>4837.6</v>
      </c>
      <c r="W254" s="399">
        <f>H262</f>
        <v>9042</v>
      </c>
      <c r="X254" s="378"/>
      <c r="Y254" s="378"/>
      <c r="Z254" s="378"/>
      <c r="AA254" s="378"/>
      <c r="AB254" s="378"/>
      <c r="AC254" s="378"/>
      <c r="AD254" s="378"/>
      <c r="AE254" s="378"/>
      <c r="AF254" s="378"/>
      <c r="AG254" s="378"/>
    </row>
    <row r="255">
      <c r="A255" s="378"/>
      <c r="B255" s="403" t="s">
        <v>704</v>
      </c>
      <c r="C255" s="404" t="s">
        <v>5</v>
      </c>
      <c r="D255" s="405" t="s">
        <v>6</v>
      </c>
      <c r="E255" s="406" t="s">
        <v>7</v>
      </c>
      <c r="F255" s="404" t="s">
        <v>8</v>
      </c>
      <c r="G255" s="404" t="s">
        <v>706</v>
      </c>
      <c r="H255" s="404" t="s">
        <v>707</v>
      </c>
      <c r="I255" s="376"/>
      <c r="J255" s="407" t="s">
        <v>704</v>
      </c>
      <c r="K255" s="404" t="s">
        <v>5</v>
      </c>
      <c r="L255" s="405" t="s">
        <v>6</v>
      </c>
      <c r="M255" s="406" t="s">
        <v>7</v>
      </c>
      <c r="N255" s="404" t="s">
        <v>591</v>
      </c>
      <c r="O255" s="408" t="s">
        <v>839</v>
      </c>
      <c r="P255" s="404" t="s">
        <v>707</v>
      </c>
      <c r="Q255" s="378"/>
      <c r="R255" s="378"/>
      <c r="S255" s="378"/>
      <c r="T255" s="378"/>
      <c r="U255" s="378"/>
      <c r="V255" s="378"/>
      <c r="W255" s="378"/>
      <c r="X255" s="378"/>
      <c r="Y255" s="378"/>
      <c r="Z255" s="378"/>
      <c r="AA255" s="378"/>
      <c r="AB255" s="378"/>
      <c r="AC255" s="378"/>
      <c r="AD255" s="378"/>
      <c r="AE255" s="378"/>
      <c r="AF255" s="378"/>
      <c r="AG255" s="378"/>
    </row>
    <row r="256">
      <c r="A256" s="378"/>
      <c r="B256" s="555">
        <f>IFERROR(__xludf.DUMMYFUNCTION("FILTER(Board!C:G,Board!K:K=F254)"),45978.0)</f>
        <v>45978</v>
      </c>
      <c r="C256" s="404">
        <f>IFERROR(__xludf.DUMMYFUNCTION("""COMPUTED_VALUE"""),2870321.0)</f>
        <v>2870321</v>
      </c>
      <c r="D256" s="405" t="str">
        <f>IFERROR(__xludf.DUMMYFUNCTION("""COMPUTED_VALUE"""),"Quincy, IL, 62305")</f>
        <v>Quincy, IL, 62305</v>
      </c>
      <c r="E256" s="406" t="str">
        <f>IFERROR(__xludf.DUMMYFUNCTION("""COMPUTED_VALUE"""),"North Sioux City, SD, 57049")</f>
        <v>North Sioux City, SD, 57049</v>
      </c>
      <c r="F256" s="414">
        <f>IFERROR(__xludf.DUMMYFUNCTION("""COMPUTED_VALUE"""),1200.0)</f>
        <v>1200</v>
      </c>
      <c r="G256" s="413">
        <v>0.88</v>
      </c>
      <c r="H256" s="414">
        <f t="shared" ref="H256:H258" si="16">F256*G256</f>
        <v>1056</v>
      </c>
      <c r="I256" s="376"/>
      <c r="J256" s="415">
        <f>IFERROR(__xludf.DUMMYFUNCTION("FILTER(Board!C:F,Board!K:K=N254)"),45978.0)</f>
        <v>45978</v>
      </c>
      <c r="K256" s="411">
        <f>IFERROR(__xludf.DUMMYFUNCTION("""COMPUTED_VALUE"""),2870321.0)</f>
        <v>2870321</v>
      </c>
      <c r="L256" s="411" t="str">
        <f>IFERROR(__xludf.DUMMYFUNCTION("""COMPUTED_VALUE"""),"Quincy, IL, 62305")</f>
        <v>Quincy, IL, 62305</v>
      </c>
      <c r="M256" s="411" t="str">
        <f>IFERROR(__xludf.DUMMYFUNCTION("""COMPUTED_VALUE"""),"North Sioux City, SD, 57049")</f>
        <v>North Sioux City, SD, 57049</v>
      </c>
      <c r="N256" s="416">
        <f>IFERROR(__xludf.DUMMYFUNCTION("FILTER(Board!H:H,Board!K:K=N254)"),534.0)</f>
        <v>534</v>
      </c>
      <c r="O256" s="408">
        <v>0.65</v>
      </c>
      <c r="P256" s="414">
        <f t="shared" ref="P256:P258" si="17">N256*O256</f>
        <v>347.1</v>
      </c>
      <c r="Q256" s="378"/>
      <c r="R256" s="378"/>
      <c r="S256" s="378"/>
      <c r="T256" s="378"/>
      <c r="U256" s="378"/>
      <c r="V256" s="378"/>
      <c r="W256" s="378"/>
      <c r="X256" s="378"/>
      <c r="Y256" s="378"/>
      <c r="Z256" s="378"/>
      <c r="AA256" s="378"/>
      <c r="AB256" s="378"/>
      <c r="AC256" s="378"/>
      <c r="AD256" s="378"/>
      <c r="AE256" s="378"/>
      <c r="AF256" s="378"/>
      <c r="AG256" s="378"/>
    </row>
    <row r="257">
      <c r="A257" s="378"/>
      <c r="B257" s="555">
        <f>IFERROR(__xludf.DUMMYFUNCTION("""COMPUTED_VALUE"""),45979.0)</f>
        <v>45979</v>
      </c>
      <c r="C257" s="404">
        <f>IFERROR(__xludf.DUMMYFUNCTION("""COMPUTED_VALUE"""),5.35189665E8)</f>
        <v>535189665</v>
      </c>
      <c r="D257" s="405" t="str">
        <f>IFERROR(__xludf.DUMMYFUNCTION("""COMPUTED_VALUE"""),"North Sioux City, SD, 57049")</f>
        <v>North Sioux City, SD, 57049</v>
      </c>
      <c r="E257" s="406" t="str">
        <f>IFERROR(__xludf.DUMMYFUNCTION("""COMPUTED_VALUE"""),"San Diego, CA, 92121")</f>
        <v>San Diego, CA, 92121</v>
      </c>
      <c r="F257" s="414">
        <f>IFERROR(__xludf.DUMMYFUNCTION("""COMPUTED_VALUE"""),2775.0)</f>
        <v>2775</v>
      </c>
      <c r="G257" s="413">
        <v>0.88</v>
      </c>
      <c r="H257" s="414">
        <f t="shared" si="16"/>
        <v>2442</v>
      </c>
      <c r="I257" s="376"/>
      <c r="J257" s="418">
        <f>IFERROR(__xludf.DUMMYFUNCTION("""COMPUTED_VALUE"""),45979.0)</f>
        <v>45979</v>
      </c>
      <c r="K257" s="411">
        <f>IFERROR(__xludf.DUMMYFUNCTION("""COMPUTED_VALUE"""),5.35189665E8)</f>
        <v>535189665</v>
      </c>
      <c r="L257" s="411" t="str">
        <f>IFERROR(__xludf.DUMMYFUNCTION("""COMPUTED_VALUE"""),"North Sioux City, SD, 57049")</f>
        <v>North Sioux City, SD, 57049</v>
      </c>
      <c r="M257" s="411" t="str">
        <f>IFERROR(__xludf.DUMMYFUNCTION("""COMPUTED_VALUE"""),"San Diego, CA, 92121")</f>
        <v>San Diego, CA, 92121</v>
      </c>
      <c r="N257" s="416">
        <f>IFERROR(__xludf.DUMMYFUNCTION("""COMPUTED_VALUE"""),1636.0)</f>
        <v>1636</v>
      </c>
      <c r="O257" s="408">
        <v>0.65</v>
      </c>
      <c r="P257" s="414">
        <f t="shared" si="17"/>
        <v>1063.4</v>
      </c>
      <c r="Q257" s="378"/>
      <c r="R257" s="378"/>
      <c r="S257" s="378"/>
      <c r="T257" s="378"/>
      <c r="U257" s="378"/>
      <c r="V257" s="378"/>
      <c r="W257" s="378"/>
      <c r="X257" s="378"/>
      <c r="Y257" s="378"/>
      <c r="Z257" s="378"/>
      <c r="AA257" s="378"/>
      <c r="AB257" s="378"/>
      <c r="AC257" s="378"/>
      <c r="AD257" s="378"/>
      <c r="AE257" s="378"/>
      <c r="AF257" s="378"/>
      <c r="AG257" s="378"/>
    </row>
    <row r="258">
      <c r="A258" s="378"/>
      <c r="B258" s="499">
        <f>IFERROR(__xludf.DUMMYFUNCTION("""COMPUTED_VALUE"""),45982.0)</f>
        <v>45982</v>
      </c>
      <c r="C258" s="421">
        <f>IFERROR(__xludf.DUMMYFUNCTION("""COMPUTED_VALUE"""),5.35391448E8)</f>
        <v>535391448</v>
      </c>
      <c r="D258" s="422" t="str">
        <f>IFERROR(__xludf.DUMMYFUNCTION("""COMPUTED_VALUE"""),", CA, 91746")</f>
        <v>, CA, 91746</v>
      </c>
      <c r="E258" s="557" t="str">
        <f>IFERROR(__xludf.DUMMYFUNCTION("""COMPUTED_VALUE"""),"Wilmington, DE, 19801")</f>
        <v>Wilmington, DE, 19801</v>
      </c>
      <c r="F258" s="500">
        <f>IFERROR(__xludf.DUMMYFUNCTION("""COMPUTED_VALUE"""),6300.0)</f>
        <v>6300</v>
      </c>
      <c r="G258" s="413">
        <v>0.88</v>
      </c>
      <c r="H258" s="414">
        <f t="shared" si="16"/>
        <v>5544</v>
      </c>
      <c r="I258" s="376"/>
      <c r="J258" s="545">
        <f>IFERROR(__xludf.DUMMYFUNCTION("""COMPUTED_VALUE"""),45982.0)</f>
        <v>45982</v>
      </c>
      <c r="K258" s="421">
        <f>IFERROR(__xludf.DUMMYFUNCTION("""COMPUTED_VALUE"""),5.35391448E8)</f>
        <v>535391448</v>
      </c>
      <c r="L258" s="422" t="str">
        <f>IFERROR(__xludf.DUMMYFUNCTION("""COMPUTED_VALUE"""),", CA, 91746")</f>
        <v>, CA, 91746</v>
      </c>
      <c r="M258" s="557" t="str">
        <f>IFERROR(__xludf.DUMMYFUNCTION("""COMPUTED_VALUE"""),"Wilmington, DE, 19801")</f>
        <v>Wilmington, DE, 19801</v>
      </c>
      <c r="N258" s="546">
        <f>IFERROR(__xludf.DUMMYFUNCTION("""COMPUTED_VALUE"""),2829.0)</f>
        <v>2829</v>
      </c>
      <c r="O258" s="408">
        <v>0.65</v>
      </c>
      <c r="P258" s="414">
        <f t="shared" si="17"/>
        <v>1838.85</v>
      </c>
      <c r="Q258" s="378"/>
      <c r="R258" s="378"/>
      <c r="S258" s="378"/>
      <c r="T258" s="378"/>
      <c r="U258" s="378"/>
      <c r="V258" s="378"/>
      <c r="W258" s="378"/>
      <c r="X258" s="378"/>
      <c r="Y258" s="378"/>
      <c r="Z258" s="378"/>
      <c r="AA258" s="378"/>
      <c r="AB258" s="378"/>
      <c r="AC258" s="378"/>
      <c r="AD258" s="378"/>
      <c r="AE258" s="378"/>
      <c r="AF258" s="378"/>
      <c r="AG258" s="378"/>
    </row>
    <row r="259">
      <c r="A259" s="378"/>
      <c r="B259" s="420"/>
      <c r="C259" s="421"/>
      <c r="D259" s="422"/>
      <c r="E259" s="423"/>
      <c r="F259" s="421"/>
      <c r="G259" s="413"/>
      <c r="H259" s="414"/>
      <c r="I259" s="376"/>
      <c r="J259" s="424"/>
      <c r="K259" s="421"/>
      <c r="L259" s="422"/>
      <c r="M259" s="423"/>
      <c r="N259" s="425"/>
      <c r="O259" s="408"/>
      <c r="P259" s="414"/>
      <c r="Q259" s="378"/>
      <c r="R259" s="378"/>
      <c r="S259" s="378"/>
      <c r="T259" s="378"/>
      <c r="U259" s="378"/>
      <c r="V259" s="378"/>
      <c r="W259" s="378"/>
      <c r="X259" s="378"/>
      <c r="Y259" s="378"/>
      <c r="Z259" s="378"/>
      <c r="AA259" s="378"/>
      <c r="AB259" s="378"/>
      <c r="AC259" s="378"/>
      <c r="AD259" s="378"/>
      <c r="AE259" s="378"/>
      <c r="AF259" s="378"/>
      <c r="AG259" s="378"/>
    </row>
    <row r="260">
      <c r="A260" s="378"/>
      <c r="B260" s="420"/>
      <c r="C260" s="421"/>
      <c r="D260" s="422"/>
      <c r="E260" s="423"/>
      <c r="F260" s="421"/>
      <c r="G260" s="413"/>
      <c r="H260" s="414"/>
      <c r="I260" s="376"/>
      <c r="J260" s="424"/>
      <c r="K260" s="421"/>
      <c r="L260" s="422"/>
      <c r="M260" s="423"/>
      <c r="N260" s="425"/>
      <c r="O260" s="408"/>
      <c r="P260" s="414"/>
      <c r="Q260" s="378"/>
      <c r="R260" s="378"/>
      <c r="S260" s="378"/>
      <c r="T260" s="378"/>
      <c r="U260" s="378"/>
      <c r="V260" s="378"/>
      <c r="W260" s="378"/>
      <c r="X260" s="378"/>
      <c r="Y260" s="378"/>
      <c r="Z260" s="378"/>
      <c r="AA260" s="378"/>
      <c r="AB260" s="378"/>
      <c r="AC260" s="378"/>
      <c r="AD260" s="378"/>
      <c r="AE260" s="378"/>
      <c r="AF260" s="378"/>
      <c r="AG260" s="378"/>
    </row>
    <row r="261">
      <c r="A261" s="378"/>
      <c r="B261" s="420"/>
      <c r="C261" s="421"/>
      <c r="D261" s="422"/>
      <c r="E261" s="423"/>
      <c r="F261" s="421"/>
      <c r="G261" s="413"/>
      <c r="H261" s="414"/>
      <c r="I261" s="376"/>
      <c r="J261" s="424"/>
      <c r="K261" s="421"/>
      <c r="L261" s="422"/>
      <c r="M261" s="423"/>
      <c r="N261" s="425"/>
      <c r="O261" s="408"/>
      <c r="P261" s="414"/>
      <c r="Q261" s="378"/>
      <c r="R261" s="378"/>
      <c r="S261" s="378"/>
      <c r="T261" s="378"/>
      <c r="U261" s="378"/>
      <c r="V261" s="378"/>
      <c r="W261" s="378"/>
      <c r="X261" s="378"/>
      <c r="Y261" s="378"/>
      <c r="Z261" s="378"/>
      <c r="AA261" s="378"/>
      <c r="AB261" s="378"/>
      <c r="AC261" s="378"/>
      <c r="AD261" s="378"/>
      <c r="AE261" s="378"/>
      <c r="AF261" s="378"/>
      <c r="AG261" s="378"/>
    </row>
    <row r="262">
      <c r="A262" s="378"/>
      <c r="B262" s="403" t="s">
        <v>711</v>
      </c>
      <c r="C262" s="224"/>
      <c r="D262" s="224"/>
      <c r="E262" s="222"/>
      <c r="F262" s="414">
        <f>SUM(F256:F261)</f>
        <v>10275</v>
      </c>
      <c r="G262" s="421"/>
      <c r="H262" s="414">
        <f>SUM(H256:H261)</f>
        <v>9042</v>
      </c>
      <c r="I262" s="376"/>
      <c r="J262" s="407" t="s">
        <v>711</v>
      </c>
      <c r="K262" s="224"/>
      <c r="L262" s="224"/>
      <c r="M262" s="222"/>
      <c r="N262" s="426">
        <f>SUM(N256:N261)</f>
        <v>4999</v>
      </c>
      <c r="O262" s="427"/>
      <c r="P262" s="414">
        <f>SUM(P256:P261)</f>
        <v>3249.35</v>
      </c>
      <c r="Q262" s="378"/>
      <c r="R262" s="378"/>
      <c r="S262" s="378"/>
      <c r="T262" s="378"/>
      <c r="U262" s="378"/>
      <c r="V262" s="378"/>
      <c r="W262" s="378"/>
      <c r="X262" s="378"/>
      <c r="Y262" s="378"/>
      <c r="Z262" s="378"/>
      <c r="AA262" s="378"/>
      <c r="AB262" s="378"/>
      <c r="AC262" s="378"/>
      <c r="AD262" s="378"/>
      <c r="AE262" s="378"/>
      <c r="AF262" s="378"/>
      <c r="AG262" s="378"/>
    </row>
    <row r="263">
      <c r="A263" s="378"/>
      <c r="B263" s="428"/>
      <c r="C263" s="419"/>
      <c r="D263" s="419"/>
      <c r="E263" s="419"/>
      <c r="F263" s="419"/>
      <c r="G263" s="419"/>
      <c r="H263" s="429"/>
      <c r="I263" s="376"/>
      <c r="J263" s="430"/>
      <c r="K263" s="419"/>
      <c r="L263" s="419"/>
      <c r="M263" s="419"/>
      <c r="N263" s="431"/>
      <c r="O263" s="432"/>
      <c r="P263" s="429"/>
      <c r="Q263" s="378"/>
      <c r="R263" s="378"/>
      <c r="S263" s="378"/>
      <c r="T263" s="378"/>
      <c r="U263" s="378"/>
      <c r="V263" s="378"/>
      <c r="W263" s="378"/>
      <c r="X263" s="378"/>
      <c r="Y263" s="378"/>
      <c r="Z263" s="378"/>
      <c r="AA263" s="378"/>
      <c r="AB263" s="378"/>
      <c r="AC263" s="378"/>
      <c r="AD263" s="378"/>
      <c r="AE263" s="378"/>
      <c r="AF263" s="378"/>
      <c r="AG263" s="378"/>
    </row>
    <row r="264">
      <c r="A264" s="378"/>
      <c r="B264" s="433" t="s">
        <v>712</v>
      </c>
      <c r="C264" s="434"/>
      <c r="D264" s="435"/>
      <c r="E264" s="419"/>
      <c r="F264" s="419"/>
      <c r="G264" s="419"/>
      <c r="H264" s="429"/>
      <c r="I264" s="376"/>
      <c r="J264" s="437" t="s">
        <v>712</v>
      </c>
      <c r="K264" s="434"/>
      <c r="L264" s="435"/>
      <c r="M264" s="419"/>
      <c r="N264" s="431"/>
      <c r="O264" s="432"/>
      <c r="P264" s="429"/>
      <c r="Q264" s="378"/>
      <c r="R264" s="378"/>
      <c r="S264" s="378"/>
      <c r="T264" s="378"/>
      <c r="U264" s="378"/>
      <c r="V264" s="378"/>
      <c r="W264" s="378"/>
      <c r="X264" s="378"/>
      <c r="Y264" s="378"/>
      <c r="Z264" s="378"/>
      <c r="AA264" s="378"/>
      <c r="AB264" s="378"/>
      <c r="AC264" s="378"/>
      <c r="AD264" s="378"/>
      <c r="AE264" s="378"/>
      <c r="AF264" s="378"/>
      <c r="AG264" s="378"/>
    </row>
    <row r="265">
      <c r="A265" s="378"/>
      <c r="B265" s="443" t="s">
        <v>746</v>
      </c>
      <c r="C265" s="439">
        <v>250.0</v>
      </c>
      <c r="D265" s="440"/>
      <c r="E265" s="419"/>
      <c r="F265" s="419"/>
      <c r="G265" s="419"/>
      <c r="H265" s="429"/>
      <c r="I265" s="376"/>
      <c r="J265" s="443" t="s">
        <v>746</v>
      </c>
      <c r="K265" s="439">
        <v>250.0</v>
      </c>
      <c r="L265" s="440"/>
      <c r="M265" s="419"/>
      <c r="N265" s="431"/>
      <c r="O265" s="432"/>
      <c r="P265" s="429"/>
      <c r="Q265" s="378"/>
      <c r="R265" s="378"/>
      <c r="S265" s="378"/>
      <c r="T265" s="378"/>
      <c r="U265" s="378"/>
      <c r="V265" s="378"/>
      <c r="W265" s="378"/>
      <c r="X265" s="378"/>
      <c r="Y265" s="378"/>
      <c r="Z265" s="378"/>
      <c r="AA265" s="378"/>
      <c r="AB265" s="378"/>
      <c r="AC265" s="378"/>
      <c r="AD265" s="378"/>
      <c r="AE265" s="378"/>
      <c r="AF265" s="378"/>
      <c r="AG265" s="378"/>
    </row>
    <row r="266">
      <c r="A266" s="378"/>
      <c r="B266" s="444"/>
      <c r="C266" s="434"/>
      <c r="D266" s="435"/>
      <c r="E266" s="419"/>
      <c r="F266" s="463"/>
      <c r="G266" s="463"/>
      <c r="H266" s="448"/>
      <c r="I266" s="376"/>
      <c r="J266" s="445"/>
      <c r="K266" s="434"/>
      <c r="L266" s="435"/>
      <c r="M266" s="419"/>
      <c r="N266" s="446"/>
      <c r="O266" s="447"/>
      <c r="P266" s="448"/>
      <c r="Q266" s="378"/>
      <c r="R266" s="378"/>
      <c r="S266" s="378"/>
      <c r="T266" s="378"/>
      <c r="U266" s="378"/>
      <c r="V266" s="378"/>
      <c r="W266" s="378"/>
      <c r="X266" s="378"/>
      <c r="Y266" s="378"/>
      <c r="Z266" s="378"/>
      <c r="AA266" s="378"/>
      <c r="AB266" s="378"/>
      <c r="AC266" s="378"/>
      <c r="AD266" s="378"/>
      <c r="AE266" s="378"/>
      <c r="AF266" s="378"/>
      <c r="AG266" s="378"/>
    </row>
    <row r="267">
      <c r="A267" s="378"/>
      <c r="B267" s="438" t="s">
        <v>714</v>
      </c>
      <c r="C267" s="439">
        <f>SUM(C265:C266)</f>
        <v>250</v>
      </c>
      <c r="D267" s="440"/>
      <c r="E267" s="419"/>
      <c r="F267" s="463"/>
      <c r="G267" s="463"/>
      <c r="H267" s="448"/>
      <c r="I267" s="376"/>
      <c r="J267" s="443" t="s">
        <v>714</v>
      </c>
      <c r="K267" s="439">
        <f>SUM(K265:K266)</f>
        <v>250</v>
      </c>
      <c r="L267" s="440"/>
      <c r="M267" s="419"/>
      <c r="N267" s="446"/>
      <c r="O267" s="447"/>
      <c r="P267" s="448"/>
      <c r="Q267" s="378"/>
      <c r="R267" s="378"/>
      <c r="S267" s="378"/>
      <c r="T267" s="378"/>
      <c r="U267" s="378"/>
      <c r="V267" s="378"/>
      <c r="W267" s="378"/>
      <c r="X267" s="378"/>
      <c r="Y267" s="378"/>
      <c r="Z267" s="378"/>
      <c r="AA267" s="378"/>
      <c r="AB267" s="378"/>
      <c r="AC267" s="378"/>
      <c r="AD267" s="378"/>
      <c r="AE267" s="378"/>
      <c r="AF267" s="378"/>
      <c r="AG267" s="378"/>
    </row>
    <row r="268">
      <c r="A268" s="378"/>
      <c r="B268" s="450"/>
      <c r="C268" s="451"/>
      <c r="D268" s="419"/>
      <c r="E268" s="419"/>
      <c r="F268" s="463"/>
      <c r="G268" s="463"/>
      <c r="H268" s="448"/>
      <c r="I268" s="376"/>
      <c r="J268" s="535"/>
      <c r="K268" s="451"/>
      <c r="L268" s="419"/>
      <c r="M268" s="419"/>
      <c r="N268" s="446"/>
      <c r="O268" s="447"/>
      <c r="P268" s="448"/>
      <c r="Q268" s="378"/>
      <c r="R268" s="378"/>
      <c r="S268" s="378"/>
      <c r="T268" s="378"/>
      <c r="U268" s="378"/>
      <c r="V268" s="378"/>
      <c r="W268" s="378"/>
      <c r="X268" s="378"/>
      <c r="Y268" s="378"/>
      <c r="Z268" s="378"/>
      <c r="AA268" s="378"/>
      <c r="AB268" s="378"/>
      <c r="AC268" s="378"/>
      <c r="AD268" s="378"/>
      <c r="AE268" s="378"/>
      <c r="AF268" s="378"/>
      <c r="AG268" s="378"/>
    </row>
    <row r="269">
      <c r="A269" s="378"/>
      <c r="B269" s="454" t="s">
        <v>715</v>
      </c>
      <c r="C269" s="455"/>
      <c r="D269" s="435"/>
      <c r="E269" s="419"/>
      <c r="F269" s="463"/>
      <c r="G269" s="463"/>
      <c r="H269" s="448"/>
      <c r="I269" s="376"/>
      <c r="J269" s="458" t="s">
        <v>715</v>
      </c>
      <c r="K269" s="455"/>
      <c r="L269" s="435"/>
      <c r="M269" s="419"/>
      <c r="N269" s="446"/>
      <c r="O269" s="447"/>
      <c r="P269" s="448"/>
      <c r="Q269" s="378"/>
      <c r="R269" s="378"/>
      <c r="S269" s="378"/>
      <c r="T269" s="378"/>
      <c r="U269" s="378"/>
      <c r="V269" s="378"/>
      <c r="W269" s="378"/>
      <c r="X269" s="378"/>
      <c r="Y269" s="378"/>
      <c r="Z269" s="378"/>
      <c r="AA269" s="378"/>
      <c r="AB269" s="378"/>
      <c r="AC269" s="378"/>
      <c r="AD269" s="378"/>
      <c r="AE269" s="378"/>
      <c r="AF269" s="378"/>
      <c r="AG269" s="378"/>
    </row>
    <row r="270">
      <c r="A270" s="378"/>
      <c r="B270" s="558" t="s">
        <v>716</v>
      </c>
      <c r="C270" s="559">
        <v>100.0</v>
      </c>
      <c r="D270" s="440" t="s">
        <v>860</v>
      </c>
      <c r="E270" s="375" t="s">
        <v>870</v>
      </c>
      <c r="F270" s="463"/>
      <c r="G270" s="463"/>
      <c r="H270" s="448"/>
      <c r="I270" s="376"/>
      <c r="J270" s="458" t="s">
        <v>871</v>
      </c>
      <c r="K270" s="460">
        <v>300.0</v>
      </c>
      <c r="L270" s="440"/>
      <c r="M270" s="419"/>
      <c r="N270" s="446"/>
      <c r="O270" s="447"/>
      <c r="P270" s="448"/>
      <c r="Q270" s="378"/>
      <c r="R270" s="378"/>
      <c r="S270" s="378"/>
      <c r="T270" s="378"/>
      <c r="U270" s="378"/>
      <c r="V270" s="378"/>
      <c r="W270" s="378"/>
      <c r="X270" s="378"/>
      <c r="Y270" s="378"/>
      <c r="Z270" s="378"/>
      <c r="AA270" s="378"/>
      <c r="AB270" s="378"/>
      <c r="AC270" s="378"/>
      <c r="AD270" s="378"/>
      <c r="AE270" s="378"/>
      <c r="AF270" s="378"/>
      <c r="AG270" s="378"/>
    </row>
    <row r="271">
      <c r="A271" s="378"/>
      <c r="B271" s="459" t="s">
        <v>717</v>
      </c>
      <c r="C271" s="460">
        <v>400.0</v>
      </c>
      <c r="D271" s="440"/>
      <c r="E271" s="419"/>
      <c r="F271" s="463"/>
      <c r="G271" s="463"/>
      <c r="H271" s="448"/>
      <c r="I271" s="376"/>
      <c r="J271" s="462"/>
      <c r="K271" s="460"/>
      <c r="L271" s="440"/>
      <c r="M271" s="419"/>
      <c r="N271" s="446"/>
      <c r="O271" s="447"/>
      <c r="P271" s="448"/>
      <c r="Q271" s="378"/>
      <c r="R271" s="378"/>
      <c r="S271" s="378"/>
      <c r="T271" s="378"/>
      <c r="U271" s="378"/>
      <c r="V271" s="378"/>
      <c r="W271" s="378"/>
      <c r="X271" s="378"/>
      <c r="Y271" s="378"/>
      <c r="Z271" s="378"/>
      <c r="AA271" s="378"/>
      <c r="AB271" s="378"/>
      <c r="AC271" s="378"/>
      <c r="AD271" s="378"/>
      <c r="AE271" s="378"/>
      <c r="AF271" s="378"/>
      <c r="AG271" s="378"/>
    </row>
    <row r="272">
      <c r="A272" s="378"/>
      <c r="B272" s="459" t="s">
        <v>718</v>
      </c>
      <c r="C272" s="460">
        <v>200.0</v>
      </c>
      <c r="D272" s="440"/>
      <c r="E272" s="419"/>
      <c r="F272" s="463"/>
      <c r="G272" s="463"/>
      <c r="H272" s="448"/>
      <c r="I272" s="376"/>
      <c r="J272" s="462"/>
      <c r="K272" s="460"/>
      <c r="L272" s="440"/>
      <c r="M272" s="419"/>
      <c r="N272" s="446"/>
      <c r="O272" s="447"/>
      <c r="P272" s="448"/>
      <c r="Q272" s="378"/>
      <c r="R272" s="378"/>
      <c r="S272" s="378"/>
      <c r="T272" s="378"/>
      <c r="U272" s="378"/>
      <c r="V272" s="378"/>
      <c r="W272" s="378"/>
      <c r="X272" s="378"/>
      <c r="Y272" s="378"/>
      <c r="Z272" s="378"/>
      <c r="AA272" s="378"/>
      <c r="AB272" s="378"/>
      <c r="AC272" s="378"/>
      <c r="AD272" s="378"/>
      <c r="AE272" s="378"/>
      <c r="AF272" s="378"/>
      <c r="AG272" s="378"/>
    </row>
    <row r="273">
      <c r="A273" s="378"/>
      <c r="B273" s="459" t="s">
        <v>656</v>
      </c>
      <c r="C273" s="460">
        <f>IFERROR(__xludf.DUMMYFUNCTION("FILTER(D967:D995,C967:C995=F254)"),3454.4)</f>
        <v>3454.4</v>
      </c>
      <c r="D273" s="440"/>
      <c r="E273" s="419"/>
      <c r="F273" s="463"/>
      <c r="G273" s="463"/>
      <c r="H273" s="448"/>
      <c r="I273" s="376"/>
      <c r="J273" s="462"/>
      <c r="K273" s="460"/>
      <c r="L273" s="440"/>
      <c r="M273" s="419"/>
      <c r="N273" s="446"/>
      <c r="O273" s="447"/>
      <c r="P273" s="448"/>
      <c r="Q273" s="378"/>
      <c r="R273" s="378"/>
      <c r="S273" s="378"/>
      <c r="T273" s="378"/>
      <c r="U273" s="378"/>
      <c r="V273" s="378"/>
      <c r="W273" s="378"/>
      <c r="X273" s="378"/>
      <c r="Y273" s="378"/>
      <c r="Z273" s="378"/>
      <c r="AA273" s="378"/>
      <c r="AB273" s="378"/>
      <c r="AC273" s="378"/>
      <c r="AD273" s="378"/>
      <c r="AE273" s="378"/>
      <c r="AF273" s="378"/>
      <c r="AG273" s="378"/>
    </row>
    <row r="274">
      <c r="A274" s="378"/>
      <c r="B274" s="454" t="s">
        <v>871</v>
      </c>
      <c r="C274" s="537">
        <v>300.0</v>
      </c>
      <c r="D274" s="435"/>
      <c r="E274" s="419"/>
      <c r="F274" s="468" t="s">
        <v>842</v>
      </c>
      <c r="G274" s="466">
        <f>H262+C267-C279</f>
        <v>4837.6</v>
      </c>
      <c r="H274" s="211"/>
      <c r="I274" s="376"/>
      <c r="J274" s="467"/>
      <c r="K274" s="455"/>
      <c r="L274" s="435"/>
      <c r="M274" s="419"/>
      <c r="N274" s="468" t="s">
        <v>842</v>
      </c>
      <c r="O274" s="539">
        <f>P262+K267-K279</f>
        <v>3199.35</v>
      </c>
      <c r="P274" s="211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378"/>
      <c r="AB274" s="378"/>
      <c r="AC274" s="378"/>
      <c r="AD274" s="378"/>
      <c r="AE274" s="378"/>
      <c r="AF274" s="378"/>
      <c r="AG274" s="378"/>
    </row>
    <row r="275">
      <c r="A275" s="378"/>
      <c r="B275" s="464"/>
      <c r="C275" s="455"/>
      <c r="D275" s="435"/>
      <c r="E275" s="419"/>
      <c r="F275" s="469" t="s">
        <v>843</v>
      </c>
      <c r="G275" s="278"/>
      <c r="H275" s="56"/>
      <c r="I275" s="376"/>
      <c r="J275" s="467"/>
      <c r="K275" s="455"/>
      <c r="L275" s="435"/>
      <c r="M275" s="419"/>
      <c r="N275" s="469" t="s">
        <v>854</v>
      </c>
      <c r="O275" s="278"/>
      <c r="P275" s="56"/>
      <c r="Q275" s="378"/>
      <c r="R275" s="378"/>
      <c r="S275" s="378"/>
      <c r="T275" s="378"/>
      <c r="U275" s="378"/>
      <c r="V275" s="378"/>
      <c r="W275" s="378"/>
      <c r="X275" s="378"/>
      <c r="Y275" s="378"/>
      <c r="Z275" s="378"/>
      <c r="AA275" s="378"/>
      <c r="AB275" s="378"/>
      <c r="AC275" s="378"/>
      <c r="AD275" s="378"/>
      <c r="AE275" s="378"/>
      <c r="AF275" s="378"/>
      <c r="AG275" s="378"/>
    </row>
    <row r="276">
      <c r="A276" s="378"/>
      <c r="B276" s="464"/>
      <c r="C276" s="455"/>
      <c r="D276" s="435"/>
      <c r="E276" s="419"/>
      <c r="F276" s="470"/>
      <c r="G276" s="215"/>
      <c r="H276" s="64"/>
      <c r="I276" s="376"/>
      <c r="J276" s="467"/>
      <c r="K276" s="455"/>
      <c r="L276" s="435"/>
      <c r="M276" s="419"/>
      <c r="N276" s="470"/>
      <c r="O276" s="215"/>
      <c r="P276" s="64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378"/>
      <c r="AB276" s="378"/>
      <c r="AC276" s="378"/>
      <c r="AD276" s="378"/>
      <c r="AE276" s="378"/>
      <c r="AF276" s="378"/>
      <c r="AG276" s="378"/>
    </row>
    <row r="277">
      <c r="A277" s="378"/>
      <c r="B277" s="464"/>
      <c r="C277" s="455"/>
      <c r="D277" s="435"/>
      <c r="E277" s="419"/>
      <c r="F277" s="419"/>
      <c r="G277" s="419"/>
      <c r="H277" s="429"/>
      <c r="I277" s="376"/>
      <c r="J277" s="467"/>
      <c r="K277" s="455"/>
      <c r="L277" s="435"/>
      <c r="M277" s="419"/>
      <c r="N277" s="431"/>
      <c r="O277" s="432"/>
      <c r="P277" s="429"/>
      <c r="Q277" s="378"/>
      <c r="R277" s="378"/>
      <c r="S277" s="378"/>
      <c r="T277" s="378"/>
      <c r="U277" s="378"/>
      <c r="V277" s="378"/>
      <c r="W277" s="378"/>
      <c r="X277" s="378"/>
      <c r="Y277" s="378"/>
      <c r="Z277" s="378"/>
      <c r="AA277" s="378"/>
      <c r="AB277" s="378"/>
      <c r="AC277" s="378"/>
      <c r="AD277" s="378"/>
      <c r="AE277" s="378"/>
      <c r="AF277" s="378"/>
      <c r="AG277" s="378"/>
    </row>
    <row r="278">
      <c r="A278" s="378"/>
      <c r="B278" s="464"/>
      <c r="C278" s="455"/>
      <c r="D278" s="435"/>
      <c r="E278" s="419"/>
      <c r="F278" s="419"/>
      <c r="G278" s="419"/>
      <c r="H278" s="429"/>
      <c r="I278" s="376"/>
      <c r="J278" s="467"/>
      <c r="K278" s="455"/>
      <c r="L278" s="435"/>
      <c r="M278" s="419"/>
      <c r="N278" s="431"/>
      <c r="O278" s="432"/>
      <c r="P278" s="429"/>
      <c r="Q278" s="378"/>
      <c r="R278" s="378"/>
      <c r="S278" s="378"/>
      <c r="T278" s="378"/>
      <c r="U278" s="378"/>
      <c r="V278" s="378"/>
      <c r="W278" s="378"/>
      <c r="X278" s="378"/>
      <c r="Y278" s="378"/>
      <c r="Z278" s="378"/>
      <c r="AA278" s="378"/>
      <c r="AB278" s="378"/>
      <c r="AC278" s="378"/>
      <c r="AD278" s="378"/>
      <c r="AE278" s="378"/>
      <c r="AF278" s="378"/>
      <c r="AG278" s="378"/>
    </row>
    <row r="279">
      <c r="A279" s="378"/>
      <c r="B279" s="454" t="s">
        <v>721</v>
      </c>
      <c r="C279" s="460">
        <f>SUM(C270:C278)</f>
        <v>4454.4</v>
      </c>
      <c r="D279" s="440"/>
      <c r="E279" s="419"/>
      <c r="F279" s="419"/>
      <c r="G279" s="419"/>
      <c r="H279" s="429"/>
      <c r="I279" s="376"/>
      <c r="J279" s="458" t="s">
        <v>721</v>
      </c>
      <c r="K279" s="460">
        <f>SUM(K270:K278)</f>
        <v>300</v>
      </c>
      <c r="L279" s="440"/>
      <c r="M279" s="419"/>
      <c r="N279" s="431"/>
      <c r="O279" s="432"/>
      <c r="P279" s="429"/>
      <c r="Q279" s="378"/>
      <c r="R279" s="378"/>
      <c r="S279" s="378"/>
      <c r="T279" s="378"/>
      <c r="U279" s="378"/>
      <c r="V279" s="378"/>
      <c r="W279" s="378"/>
      <c r="X279" s="378"/>
      <c r="Y279" s="378"/>
      <c r="Z279" s="378"/>
      <c r="AA279" s="378"/>
      <c r="AB279" s="378"/>
      <c r="AC279" s="378"/>
      <c r="AD279" s="378"/>
      <c r="AE279" s="378"/>
      <c r="AF279" s="378"/>
      <c r="AG279" s="378"/>
    </row>
    <row r="280">
      <c r="A280" s="378"/>
      <c r="B280" s="471"/>
      <c r="C280" s="472"/>
      <c r="D280" s="472"/>
      <c r="E280" s="472"/>
      <c r="F280" s="472"/>
      <c r="G280" s="472"/>
      <c r="H280" s="473"/>
      <c r="I280" s="376"/>
      <c r="J280" s="474"/>
      <c r="K280" s="472"/>
      <c r="L280" s="472"/>
      <c r="M280" s="472"/>
      <c r="N280" s="475"/>
      <c r="O280" s="476"/>
      <c r="P280" s="473"/>
      <c r="Q280" s="378"/>
      <c r="R280" s="378"/>
      <c r="S280" s="378"/>
      <c r="T280" s="378"/>
      <c r="U280" s="378"/>
      <c r="V280" s="378"/>
      <c r="W280" s="378"/>
      <c r="X280" s="378"/>
      <c r="Y280" s="378"/>
      <c r="Z280" s="378"/>
      <c r="AA280" s="378"/>
      <c r="AB280" s="378"/>
      <c r="AC280" s="378"/>
      <c r="AD280" s="378"/>
      <c r="AE280" s="378"/>
      <c r="AF280" s="378"/>
      <c r="AG280" s="378"/>
    </row>
    <row r="281">
      <c r="A281" s="378"/>
      <c r="B281" s="550"/>
      <c r="C281" s="463"/>
      <c r="D281" s="463"/>
      <c r="E281" s="463"/>
      <c r="F281" s="463"/>
      <c r="G281" s="463"/>
      <c r="H281" s="463"/>
      <c r="I281" s="376"/>
      <c r="J281" s="377"/>
      <c r="K281" s="378"/>
      <c r="L281" s="378"/>
      <c r="M281" s="378"/>
      <c r="N281" s="379"/>
      <c r="O281" s="380"/>
      <c r="P281" s="378"/>
      <c r="Q281" s="378"/>
      <c r="R281" s="378"/>
      <c r="S281" s="378"/>
      <c r="T281" s="378"/>
      <c r="U281" s="378"/>
      <c r="V281" s="378"/>
      <c r="W281" s="378"/>
      <c r="X281" s="378"/>
      <c r="Y281" s="378"/>
      <c r="Z281" s="378"/>
      <c r="AA281" s="378"/>
      <c r="AB281" s="378"/>
      <c r="AC281" s="378"/>
      <c r="AD281" s="378"/>
      <c r="AE281" s="378"/>
      <c r="AF281" s="378"/>
      <c r="AG281" s="378"/>
    </row>
    <row r="282">
      <c r="A282" s="378"/>
      <c r="B282" s="477"/>
      <c r="C282" s="378"/>
      <c r="D282" s="378"/>
      <c r="E282" s="378"/>
      <c r="F282" s="378"/>
      <c r="G282" s="378"/>
      <c r="H282" s="378"/>
      <c r="I282" s="376"/>
      <c r="J282" s="377"/>
      <c r="K282" s="378"/>
      <c r="L282" s="378"/>
      <c r="M282" s="378"/>
      <c r="N282" s="379"/>
      <c r="O282" s="380"/>
      <c r="P282" s="378"/>
      <c r="Q282" s="378"/>
      <c r="R282" s="378"/>
      <c r="S282" s="378"/>
      <c r="T282" s="378"/>
      <c r="U282" s="378"/>
      <c r="V282" s="378"/>
      <c r="W282" s="378"/>
      <c r="X282" s="378"/>
      <c r="Y282" s="378"/>
      <c r="Z282" s="378"/>
      <c r="AA282" s="378"/>
      <c r="AB282" s="378"/>
      <c r="AC282" s="378"/>
      <c r="AD282" s="378"/>
      <c r="AE282" s="378"/>
      <c r="AF282" s="378"/>
      <c r="AG282" s="378"/>
    </row>
    <row r="283">
      <c r="A283" s="378"/>
      <c r="B283" s="382"/>
      <c r="C283" s="388"/>
      <c r="D283" s="384"/>
      <c r="E283" s="385" t="s">
        <v>700</v>
      </c>
      <c r="F283" s="385" t="str">
        <f>Board!A2</f>
        <v>11.17.25-11.23.25</v>
      </c>
      <c r="G283" s="213"/>
      <c r="H283" s="211"/>
      <c r="I283" s="386">
        <v>10.0</v>
      </c>
      <c r="J283" s="387"/>
      <c r="K283" s="388"/>
      <c r="L283" s="384"/>
      <c r="M283" s="385" t="s">
        <v>700</v>
      </c>
      <c r="N283" s="385" t="str">
        <f>Board!A2</f>
        <v>11.17.25-11.23.25</v>
      </c>
      <c r="O283" s="213"/>
      <c r="P283" s="211"/>
      <c r="Q283" s="378"/>
      <c r="R283" s="389" t="s">
        <v>831</v>
      </c>
      <c r="S283" s="389" t="s">
        <v>652</v>
      </c>
      <c r="T283" s="390" t="s">
        <v>832</v>
      </c>
      <c r="U283" s="391" t="s">
        <v>833</v>
      </c>
      <c r="V283" s="389" t="s">
        <v>655</v>
      </c>
      <c r="W283" s="389" t="s">
        <v>8</v>
      </c>
      <c r="X283" s="389" t="s">
        <v>656</v>
      </c>
      <c r="Y283" s="390" t="s">
        <v>834</v>
      </c>
      <c r="Z283" s="392" t="s">
        <v>835</v>
      </c>
      <c r="AA283" s="390" t="s">
        <v>836</v>
      </c>
      <c r="AB283" s="390" t="s">
        <v>837</v>
      </c>
      <c r="AC283" s="393" t="s">
        <v>716</v>
      </c>
      <c r="AD283" s="393" t="s">
        <v>717</v>
      </c>
      <c r="AE283" s="393" t="s">
        <v>718</v>
      </c>
      <c r="AF283" s="394" t="s">
        <v>838</v>
      </c>
      <c r="AG283" s="394"/>
    </row>
    <row r="284">
      <c r="A284" s="378"/>
      <c r="B284" s="395"/>
      <c r="C284" s="372"/>
      <c r="D284" s="396"/>
      <c r="E284" s="385" t="s">
        <v>702</v>
      </c>
      <c r="F284" s="385" t="s">
        <v>872</v>
      </c>
      <c r="G284" s="213"/>
      <c r="H284" s="211"/>
      <c r="I284" s="376"/>
      <c r="J284" s="397"/>
      <c r="K284" s="372"/>
      <c r="L284" s="396"/>
      <c r="M284" s="385" t="s">
        <v>351</v>
      </c>
      <c r="N284" s="385" t="str">
        <f t="array" ref="N284">XLOOKUP(N285,Board!K:K,Board!J:J)</f>
        <v>JOSEPH JOSEPH HYVENS</v>
      </c>
      <c r="O284" s="213"/>
      <c r="P284" s="211"/>
      <c r="Q284" s="378"/>
      <c r="R284" s="398">
        <f>I283</f>
        <v>10</v>
      </c>
      <c r="S284" s="398">
        <f>F285</f>
        <v>2693</v>
      </c>
      <c r="T284" s="399">
        <f>G305</f>
        <v>2247.46</v>
      </c>
      <c r="U284" s="378" t="str">
        <f>N284</f>
        <v>JOSEPH JOSEPH HYVENS</v>
      </c>
      <c r="V284" s="380">
        <f>O305</f>
        <v>2114.75</v>
      </c>
      <c r="W284" s="399">
        <f>P293</f>
        <v>1764.75</v>
      </c>
      <c r="X284" s="399">
        <f>C304</f>
        <v>2595.56</v>
      </c>
      <c r="Y284" s="400">
        <f>N293</f>
        <v>2715</v>
      </c>
      <c r="Z284" s="399">
        <f>V285-V284</f>
        <v>132.71</v>
      </c>
      <c r="AA284" s="378"/>
      <c r="AB284" s="378"/>
      <c r="AC284" s="401">
        <f>C301</f>
        <v>150</v>
      </c>
      <c r="AD284" s="401">
        <f>C302</f>
        <v>400</v>
      </c>
      <c r="AE284" s="401">
        <f>C303</f>
        <v>200</v>
      </c>
      <c r="AF284" s="530">
        <f>C305+C306+C307+C308+C309</f>
        <v>612.98</v>
      </c>
      <c r="AG284" s="398"/>
    </row>
    <row r="285">
      <c r="A285" s="378"/>
      <c r="B285" s="395"/>
      <c r="C285" s="372"/>
      <c r="D285" s="402"/>
      <c r="E285" s="385" t="s">
        <v>703</v>
      </c>
      <c r="F285" s="385">
        <v>2693.0</v>
      </c>
      <c r="G285" s="213"/>
      <c r="H285" s="211"/>
      <c r="I285" s="376"/>
      <c r="J285" s="397"/>
      <c r="K285" s="372"/>
      <c r="L285" s="402"/>
      <c r="M285" s="385" t="s">
        <v>703</v>
      </c>
      <c r="N285" s="385">
        <f>F285</f>
        <v>2693</v>
      </c>
      <c r="O285" s="213"/>
      <c r="P285" s="211"/>
      <c r="Q285" s="378"/>
      <c r="R285" s="378"/>
      <c r="S285" s="378"/>
      <c r="T285" s="378"/>
      <c r="U285" s="378" t="str">
        <f>F284</f>
        <v>US Ela Logistics LLC</v>
      </c>
      <c r="V285" s="399">
        <f>G305</f>
        <v>2247.46</v>
      </c>
      <c r="W285" s="399">
        <f>H293</f>
        <v>5456</v>
      </c>
      <c r="X285" s="378"/>
      <c r="Y285" s="378"/>
      <c r="Z285" s="378"/>
      <c r="AA285" s="378"/>
      <c r="AB285" s="378"/>
      <c r="AC285" s="378"/>
      <c r="AD285" s="378"/>
      <c r="AE285" s="378"/>
      <c r="AF285" s="378"/>
      <c r="AG285" s="378"/>
    </row>
    <row r="286">
      <c r="A286" s="378"/>
      <c r="B286" s="403" t="s">
        <v>704</v>
      </c>
      <c r="C286" s="404" t="s">
        <v>5</v>
      </c>
      <c r="D286" s="405" t="s">
        <v>6</v>
      </c>
      <c r="E286" s="406" t="s">
        <v>7</v>
      </c>
      <c r="F286" s="404" t="s">
        <v>8</v>
      </c>
      <c r="G286" s="404" t="s">
        <v>706</v>
      </c>
      <c r="H286" s="404" t="s">
        <v>707</v>
      </c>
      <c r="I286" s="376"/>
      <c r="J286" s="407" t="s">
        <v>704</v>
      </c>
      <c r="K286" s="404" t="s">
        <v>5</v>
      </c>
      <c r="L286" s="405" t="s">
        <v>6</v>
      </c>
      <c r="M286" s="406" t="s">
        <v>7</v>
      </c>
      <c r="N286" s="404" t="s">
        <v>591</v>
      </c>
      <c r="O286" s="408" t="s">
        <v>839</v>
      </c>
      <c r="P286" s="404" t="s">
        <v>707</v>
      </c>
      <c r="Q286" s="378"/>
      <c r="R286" s="378"/>
      <c r="S286" s="378"/>
      <c r="T286" s="378"/>
      <c r="U286" s="378"/>
      <c r="V286" s="378"/>
      <c r="W286" s="378"/>
      <c r="X286" s="378"/>
      <c r="Y286" s="378"/>
      <c r="Z286" s="378"/>
      <c r="AA286" s="378"/>
      <c r="AB286" s="378"/>
      <c r="AC286" s="378"/>
      <c r="AD286" s="378"/>
      <c r="AE286" s="378"/>
      <c r="AF286" s="378"/>
      <c r="AG286" s="378"/>
    </row>
    <row r="287">
      <c r="A287" s="378"/>
      <c r="B287" s="555">
        <f>IFERROR(__xludf.DUMMYFUNCTION("FILTER(Board!C:G,Board!K:K=F285)"),45982.0)</f>
        <v>45982</v>
      </c>
      <c r="C287" s="404" t="str">
        <f>IFERROR(__xludf.DUMMYFUNCTION("""COMPUTED_VALUE"""),"BG1046317725")</f>
        <v>BG1046317725</v>
      </c>
      <c r="D287" s="405" t="str">
        <f>IFERROR(__xludf.DUMMYFUNCTION("""COMPUTED_VALUE"""),"Indio, CA, 92201")</f>
        <v>Indio, CA, 92201</v>
      </c>
      <c r="E287" s="406" t="str">
        <f>IFERROR(__xludf.DUMMYFUNCTION("""COMPUTED_VALUE"""),"Manchester Township, PA, 17406")</f>
        <v>Manchester Township, PA, 17406</v>
      </c>
      <c r="F287" s="414">
        <f>IFERROR(__xludf.DUMMYFUNCTION("""COMPUTED_VALUE"""),6200.0)</f>
        <v>6200</v>
      </c>
      <c r="G287" s="413">
        <v>0.88</v>
      </c>
      <c r="H287" s="414">
        <f>F287*G287</f>
        <v>5456</v>
      </c>
      <c r="I287" s="376"/>
      <c r="J287" s="415">
        <f>IFERROR(__xludf.DUMMYFUNCTION("FILTER(Board!C:F,Board!K:K=N285)"),45982.0)</f>
        <v>45982</v>
      </c>
      <c r="K287" s="411" t="str">
        <f>IFERROR(__xludf.DUMMYFUNCTION("""COMPUTED_VALUE"""),"BG1046317725")</f>
        <v>BG1046317725</v>
      </c>
      <c r="L287" s="411" t="str">
        <f>IFERROR(__xludf.DUMMYFUNCTION("""COMPUTED_VALUE"""),"Indio, CA, 92201")</f>
        <v>Indio, CA, 92201</v>
      </c>
      <c r="M287" s="411" t="str">
        <f>IFERROR(__xludf.DUMMYFUNCTION("""COMPUTED_VALUE"""),"Manchester Township, PA, 17406")</f>
        <v>Manchester Township, PA, 17406</v>
      </c>
      <c r="N287" s="416">
        <f>IFERROR(__xludf.DUMMYFUNCTION("FILTER(Board!H:H,Board!K:K=N285)"),2715.0)</f>
        <v>2715</v>
      </c>
      <c r="O287" s="408">
        <v>0.65</v>
      </c>
      <c r="P287" s="414">
        <f>N287*O287</f>
        <v>1764.75</v>
      </c>
      <c r="Q287" s="378"/>
      <c r="R287" s="378"/>
      <c r="S287" s="378"/>
      <c r="T287" s="378"/>
      <c r="U287" s="378"/>
      <c r="V287" s="378"/>
      <c r="W287" s="378"/>
      <c r="X287" s="378"/>
      <c r="Y287" s="378"/>
      <c r="Z287" s="378"/>
      <c r="AA287" s="378"/>
      <c r="AB287" s="378"/>
      <c r="AC287" s="378"/>
      <c r="AD287" s="378"/>
      <c r="AE287" s="378"/>
      <c r="AF287" s="378"/>
      <c r="AG287" s="378"/>
    </row>
    <row r="288">
      <c r="A288" s="378"/>
      <c r="B288" s="555"/>
      <c r="C288" s="404"/>
      <c r="D288" s="405"/>
      <c r="E288" s="406"/>
      <c r="F288" s="414"/>
      <c r="G288" s="413"/>
      <c r="H288" s="414"/>
      <c r="I288" s="376"/>
      <c r="J288" s="418"/>
      <c r="K288" s="411"/>
      <c r="L288" s="411"/>
      <c r="M288" s="411"/>
      <c r="N288" s="411"/>
      <c r="O288" s="408"/>
      <c r="P288" s="414"/>
      <c r="Q288" s="378"/>
      <c r="R288" s="378"/>
      <c r="S288" s="378"/>
      <c r="T288" s="378"/>
      <c r="U288" s="378"/>
      <c r="V288" s="378"/>
      <c r="W288" s="378"/>
      <c r="X288" s="378"/>
      <c r="Y288" s="378"/>
      <c r="Z288" s="378"/>
      <c r="AA288" s="378"/>
      <c r="AB288" s="378"/>
      <c r="AC288" s="378"/>
      <c r="AD288" s="378"/>
      <c r="AE288" s="378"/>
      <c r="AF288" s="378"/>
      <c r="AG288" s="378"/>
    </row>
    <row r="289">
      <c r="A289" s="378"/>
      <c r="B289" s="420"/>
      <c r="C289" s="421"/>
      <c r="D289" s="422"/>
      <c r="E289" s="423"/>
      <c r="F289" s="421"/>
      <c r="G289" s="413"/>
      <c r="H289" s="414"/>
      <c r="I289" s="376"/>
      <c r="J289" s="424"/>
      <c r="K289" s="421"/>
      <c r="L289" s="422"/>
      <c r="M289" s="423"/>
      <c r="N289" s="425"/>
      <c r="O289" s="408"/>
      <c r="P289" s="414"/>
      <c r="Q289" s="378"/>
      <c r="R289" s="378"/>
      <c r="S289" s="378"/>
      <c r="T289" s="378"/>
      <c r="U289" s="378"/>
      <c r="V289" s="378"/>
      <c r="W289" s="378"/>
      <c r="X289" s="378"/>
      <c r="Y289" s="378"/>
      <c r="Z289" s="378"/>
      <c r="AA289" s="378"/>
      <c r="AB289" s="378"/>
      <c r="AC289" s="378"/>
      <c r="AD289" s="378"/>
      <c r="AE289" s="378"/>
      <c r="AF289" s="378"/>
      <c r="AG289" s="378"/>
    </row>
    <row r="290">
      <c r="A290" s="378"/>
      <c r="B290" s="420"/>
      <c r="C290" s="421"/>
      <c r="D290" s="422"/>
      <c r="E290" s="423"/>
      <c r="F290" s="421"/>
      <c r="G290" s="413"/>
      <c r="H290" s="414"/>
      <c r="I290" s="376"/>
      <c r="J290" s="424"/>
      <c r="K290" s="421"/>
      <c r="L290" s="422"/>
      <c r="M290" s="423"/>
      <c r="N290" s="425"/>
      <c r="O290" s="408"/>
      <c r="P290" s="414"/>
      <c r="Q290" s="378"/>
      <c r="R290" s="378"/>
      <c r="S290" s="378"/>
      <c r="T290" s="378"/>
      <c r="U290" s="378"/>
      <c r="V290" s="378"/>
      <c r="W290" s="378"/>
      <c r="X290" s="378"/>
      <c r="Y290" s="378"/>
      <c r="Z290" s="378"/>
      <c r="AA290" s="378"/>
      <c r="AB290" s="378"/>
      <c r="AC290" s="378"/>
      <c r="AD290" s="378"/>
      <c r="AE290" s="378"/>
      <c r="AF290" s="378"/>
      <c r="AG290" s="378"/>
    </row>
    <row r="291">
      <c r="A291" s="378"/>
      <c r="B291" s="420"/>
      <c r="C291" s="421"/>
      <c r="D291" s="422"/>
      <c r="E291" s="423"/>
      <c r="F291" s="421"/>
      <c r="G291" s="413"/>
      <c r="H291" s="414"/>
      <c r="I291" s="376"/>
      <c r="J291" s="424"/>
      <c r="K291" s="421"/>
      <c r="L291" s="422"/>
      <c r="M291" s="423"/>
      <c r="N291" s="425"/>
      <c r="O291" s="408"/>
      <c r="P291" s="414"/>
      <c r="Q291" s="378"/>
      <c r="R291" s="378"/>
      <c r="S291" s="378"/>
      <c r="T291" s="378"/>
      <c r="U291" s="378"/>
      <c r="V291" s="378"/>
      <c r="W291" s="378"/>
      <c r="X291" s="378"/>
      <c r="Y291" s="378"/>
      <c r="Z291" s="378"/>
      <c r="AA291" s="378"/>
      <c r="AB291" s="378"/>
      <c r="AC291" s="378"/>
      <c r="AD291" s="378"/>
      <c r="AE291" s="378"/>
      <c r="AF291" s="378"/>
      <c r="AG291" s="378"/>
    </row>
    <row r="292">
      <c r="A292" s="378"/>
      <c r="B292" s="420"/>
      <c r="C292" s="421"/>
      <c r="D292" s="422"/>
      <c r="E292" s="423"/>
      <c r="F292" s="421"/>
      <c r="G292" s="413"/>
      <c r="H292" s="414"/>
      <c r="I292" s="376"/>
      <c r="J292" s="424"/>
      <c r="K292" s="421"/>
      <c r="L292" s="422"/>
      <c r="M292" s="423"/>
      <c r="N292" s="425"/>
      <c r="O292" s="408"/>
      <c r="P292" s="414"/>
      <c r="Q292" s="378"/>
      <c r="R292" s="378"/>
      <c r="S292" s="378"/>
      <c r="T292" s="378"/>
      <c r="U292" s="378"/>
      <c r="V292" s="378"/>
      <c r="W292" s="378"/>
      <c r="X292" s="378"/>
      <c r="Y292" s="378"/>
      <c r="Z292" s="378"/>
      <c r="AA292" s="378"/>
      <c r="AB292" s="378"/>
      <c r="AC292" s="378"/>
      <c r="AD292" s="378"/>
      <c r="AE292" s="378"/>
      <c r="AF292" s="378"/>
      <c r="AG292" s="378"/>
    </row>
    <row r="293">
      <c r="A293" s="378"/>
      <c r="B293" s="403" t="s">
        <v>711</v>
      </c>
      <c r="C293" s="224"/>
      <c r="D293" s="224"/>
      <c r="E293" s="222"/>
      <c r="F293" s="414">
        <f>SUM(F287:F292)</f>
        <v>6200</v>
      </c>
      <c r="G293" s="421"/>
      <c r="H293" s="414">
        <f>SUM(H287:H292)</f>
        <v>5456</v>
      </c>
      <c r="I293" s="376"/>
      <c r="J293" s="407" t="s">
        <v>711</v>
      </c>
      <c r="K293" s="224"/>
      <c r="L293" s="224"/>
      <c r="M293" s="222"/>
      <c r="N293" s="426">
        <f>SUM(N287:N292)</f>
        <v>2715</v>
      </c>
      <c r="O293" s="427"/>
      <c r="P293" s="414">
        <f>SUM(P287:P292)</f>
        <v>1764.75</v>
      </c>
      <c r="Q293" s="378"/>
      <c r="R293" s="378"/>
      <c r="S293" s="378"/>
      <c r="T293" s="378"/>
      <c r="U293" s="378"/>
      <c r="V293" s="378"/>
      <c r="W293" s="378"/>
      <c r="X293" s="378"/>
      <c r="Y293" s="378"/>
      <c r="Z293" s="378"/>
      <c r="AA293" s="378"/>
      <c r="AB293" s="378"/>
      <c r="AC293" s="378"/>
      <c r="AD293" s="378"/>
      <c r="AE293" s="378"/>
      <c r="AF293" s="378"/>
      <c r="AG293" s="378"/>
    </row>
    <row r="294">
      <c r="A294" s="378"/>
      <c r="B294" s="428"/>
      <c r="C294" s="419"/>
      <c r="D294" s="419"/>
      <c r="E294" s="419"/>
      <c r="F294" s="419"/>
      <c r="G294" s="419"/>
      <c r="H294" s="429"/>
      <c r="I294" s="376"/>
      <c r="J294" s="430"/>
      <c r="K294" s="419"/>
      <c r="L294" s="419"/>
      <c r="M294" s="419"/>
      <c r="N294" s="431"/>
      <c r="O294" s="432"/>
      <c r="P294" s="429"/>
      <c r="Q294" s="378"/>
      <c r="R294" s="378"/>
      <c r="S294" s="378"/>
      <c r="T294" s="378"/>
      <c r="U294" s="378"/>
      <c r="V294" s="378"/>
      <c r="W294" s="378"/>
      <c r="X294" s="378"/>
      <c r="Y294" s="378"/>
      <c r="Z294" s="378"/>
      <c r="AA294" s="378"/>
      <c r="AB294" s="378"/>
      <c r="AC294" s="378"/>
      <c r="AD294" s="378"/>
      <c r="AE294" s="378"/>
      <c r="AF294" s="378"/>
      <c r="AG294" s="378"/>
    </row>
    <row r="295">
      <c r="A295" s="378"/>
      <c r="B295" s="433" t="s">
        <v>712</v>
      </c>
      <c r="C295" s="434"/>
      <c r="D295" s="435"/>
      <c r="E295" s="419"/>
      <c r="F295" s="419"/>
      <c r="G295" s="419"/>
      <c r="H295" s="429"/>
      <c r="I295" s="376"/>
      <c r="J295" s="437" t="s">
        <v>712</v>
      </c>
      <c r="K295" s="434"/>
      <c r="L295" s="435"/>
      <c r="M295" s="419"/>
      <c r="N295" s="431"/>
      <c r="O295" s="432"/>
      <c r="P295" s="429"/>
      <c r="Q295" s="378"/>
      <c r="R295" s="378"/>
      <c r="S295" s="378"/>
      <c r="T295" s="378"/>
      <c r="U295" s="378"/>
      <c r="V295" s="378"/>
      <c r="W295" s="378"/>
      <c r="X295" s="378"/>
      <c r="Y295" s="378"/>
      <c r="Z295" s="378"/>
      <c r="AA295" s="378"/>
      <c r="AB295" s="378"/>
      <c r="AC295" s="378"/>
      <c r="AD295" s="378"/>
      <c r="AE295" s="378"/>
      <c r="AF295" s="378"/>
      <c r="AG295" s="378"/>
    </row>
    <row r="296">
      <c r="A296" s="378"/>
      <c r="B296" s="438" t="s">
        <v>873</v>
      </c>
      <c r="C296" s="439">
        <v>750.0</v>
      </c>
      <c r="D296" s="440"/>
      <c r="E296" s="419"/>
      <c r="F296" s="419"/>
      <c r="G296" s="419"/>
      <c r="H296" s="429"/>
      <c r="I296" s="376"/>
      <c r="J296" s="443" t="s">
        <v>874</v>
      </c>
      <c r="K296" s="439">
        <v>350.0</v>
      </c>
      <c r="L296" s="440"/>
      <c r="M296" s="419"/>
      <c r="N296" s="431"/>
      <c r="O296" s="432"/>
      <c r="P296" s="429"/>
      <c r="Q296" s="378"/>
      <c r="R296" s="378"/>
      <c r="S296" s="378"/>
      <c r="T296" s="378"/>
      <c r="U296" s="378"/>
      <c r="V296" s="378"/>
      <c r="W296" s="378"/>
      <c r="X296" s="378"/>
      <c r="Y296" s="378"/>
      <c r="Z296" s="378"/>
      <c r="AA296" s="378"/>
      <c r="AB296" s="378"/>
      <c r="AC296" s="378"/>
      <c r="AD296" s="378"/>
      <c r="AE296" s="378"/>
      <c r="AF296" s="378"/>
      <c r="AG296" s="378"/>
    </row>
    <row r="297">
      <c r="A297" s="378"/>
      <c r="B297" s="444"/>
      <c r="C297" s="434"/>
      <c r="D297" s="435"/>
      <c r="E297" s="419"/>
      <c r="F297" s="463"/>
      <c r="G297" s="463"/>
      <c r="H297" s="448"/>
      <c r="I297" s="376"/>
      <c r="J297" s="445"/>
      <c r="K297" s="434"/>
      <c r="L297" s="435"/>
      <c r="M297" s="419"/>
      <c r="N297" s="446"/>
      <c r="O297" s="447"/>
      <c r="P297" s="448"/>
      <c r="Q297" s="378"/>
      <c r="R297" s="378"/>
      <c r="S297" s="378"/>
      <c r="T297" s="378"/>
      <c r="U297" s="378"/>
      <c r="V297" s="378"/>
      <c r="W297" s="378"/>
      <c r="X297" s="378"/>
      <c r="Y297" s="378"/>
      <c r="Z297" s="378"/>
      <c r="AA297" s="378"/>
      <c r="AB297" s="378"/>
      <c r="AC297" s="378"/>
      <c r="AD297" s="378"/>
      <c r="AE297" s="378"/>
      <c r="AF297" s="378"/>
      <c r="AG297" s="378"/>
    </row>
    <row r="298">
      <c r="A298" s="378"/>
      <c r="B298" s="438" t="s">
        <v>714</v>
      </c>
      <c r="C298" s="439">
        <f>SUM(C296:C297)</f>
        <v>750</v>
      </c>
      <c r="D298" s="440"/>
      <c r="E298" s="419"/>
      <c r="F298" s="463"/>
      <c r="G298" s="463"/>
      <c r="H298" s="448"/>
      <c r="I298" s="376"/>
      <c r="J298" s="443" t="s">
        <v>714</v>
      </c>
      <c r="K298" s="439">
        <f>SUM(K296:K297)</f>
        <v>350</v>
      </c>
      <c r="L298" s="440"/>
      <c r="M298" s="419"/>
      <c r="N298" s="446"/>
      <c r="O298" s="447"/>
      <c r="P298" s="448"/>
      <c r="Q298" s="378"/>
      <c r="R298" s="378"/>
      <c r="S298" s="378"/>
      <c r="T298" s="378"/>
      <c r="U298" s="378"/>
      <c r="V298" s="378"/>
      <c r="W298" s="378"/>
      <c r="X298" s="378"/>
      <c r="Y298" s="378"/>
      <c r="Z298" s="378"/>
      <c r="AA298" s="378"/>
      <c r="AB298" s="378"/>
      <c r="AC298" s="378"/>
      <c r="AD298" s="378"/>
      <c r="AE298" s="378"/>
      <c r="AF298" s="378"/>
      <c r="AG298" s="378"/>
    </row>
    <row r="299">
      <c r="A299" s="378"/>
      <c r="B299" s="450"/>
      <c r="C299" s="451"/>
      <c r="D299" s="419"/>
      <c r="E299" s="419"/>
      <c r="F299" s="463"/>
      <c r="G299" s="463"/>
      <c r="H299" s="448"/>
      <c r="I299" s="376"/>
      <c r="J299" s="535"/>
      <c r="K299" s="451"/>
      <c r="L299" s="419"/>
      <c r="M299" s="419"/>
      <c r="N299" s="446"/>
      <c r="O299" s="447"/>
      <c r="P299" s="448"/>
      <c r="Q299" s="378"/>
      <c r="R299" s="378"/>
      <c r="S299" s="378"/>
      <c r="T299" s="378"/>
      <c r="U299" s="378"/>
      <c r="V299" s="378"/>
      <c r="W299" s="378"/>
      <c r="X299" s="378"/>
      <c r="Y299" s="378"/>
      <c r="Z299" s="378"/>
      <c r="AA299" s="378"/>
      <c r="AB299" s="378"/>
      <c r="AC299" s="378"/>
      <c r="AD299" s="378"/>
      <c r="AE299" s="378"/>
      <c r="AF299" s="378"/>
      <c r="AG299" s="378"/>
    </row>
    <row r="300">
      <c r="A300" s="378"/>
      <c r="B300" s="454" t="s">
        <v>715</v>
      </c>
      <c r="C300" s="455"/>
      <c r="D300" s="435"/>
      <c r="E300" s="419"/>
      <c r="F300" s="463"/>
      <c r="G300" s="463"/>
      <c r="H300" s="448"/>
      <c r="I300" s="376"/>
      <c r="J300" s="458" t="s">
        <v>715</v>
      </c>
      <c r="K300" s="455"/>
      <c r="L300" s="435"/>
      <c r="M300" s="419"/>
      <c r="N300" s="446"/>
      <c r="O300" s="447"/>
      <c r="P300" s="448"/>
      <c r="Q300" s="378"/>
      <c r="R300" s="378"/>
      <c r="S300" s="378"/>
      <c r="T300" s="378"/>
      <c r="U300" s="378"/>
      <c r="V300" s="378"/>
      <c r="W300" s="378"/>
      <c r="X300" s="378"/>
      <c r="Y300" s="378"/>
      <c r="Z300" s="378"/>
      <c r="AA300" s="378"/>
      <c r="AB300" s="378"/>
      <c r="AC300" s="378"/>
      <c r="AD300" s="378"/>
      <c r="AE300" s="378"/>
      <c r="AF300" s="378"/>
      <c r="AG300" s="378"/>
    </row>
    <row r="301">
      <c r="A301" s="378"/>
      <c r="B301" s="459" t="s">
        <v>716</v>
      </c>
      <c r="C301" s="460">
        <v>150.0</v>
      </c>
      <c r="D301" s="440"/>
      <c r="E301" s="419"/>
      <c r="F301" s="463"/>
      <c r="G301" s="463"/>
      <c r="H301" s="448"/>
      <c r="I301" s="376"/>
      <c r="J301" s="462"/>
      <c r="K301" s="460"/>
      <c r="L301" s="440"/>
      <c r="M301" s="419"/>
      <c r="N301" s="446"/>
      <c r="O301" s="447"/>
      <c r="P301" s="448"/>
      <c r="Q301" s="378"/>
      <c r="R301" s="378"/>
      <c r="S301" s="378"/>
      <c r="T301" s="378"/>
      <c r="U301" s="378"/>
      <c r="V301" s="378"/>
      <c r="W301" s="378"/>
      <c r="X301" s="378"/>
      <c r="Y301" s="378"/>
      <c r="Z301" s="378"/>
      <c r="AA301" s="378"/>
      <c r="AB301" s="378"/>
      <c r="AC301" s="378"/>
      <c r="AD301" s="378"/>
      <c r="AE301" s="378"/>
      <c r="AF301" s="378"/>
      <c r="AG301" s="378"/>
    </row>
    <row r="302">
      <c r="A302" s="378"/>
      <c r="B302" s="459" t="s">
        <v>717</v>
      </c>
      <c r="C302" s="460">
        <v>400.0</v>
      </c>
      <c r="D302" s="440"/>
      <c r="E302" s="419"/>
      <c r="F302" s="463"/>
      <c r="G302" s="463"/>
      <c r="H302" s="448"/>
      <c r="I302" s="376"/>
      <c r="J302" s="462"/>
      <c r="K302" s="460"/>
      <c r="L302" s="440"/>
      <c r="M302" s="419"/>
      <c r="N302" s="446"/>
      <c r="O302" s="447"/>
      <c r="P302" s="448"/>
      <c r="Q302" s="378"/>
      <c r="R302" s="378"/>
      <c r="S302" s="378"/>
      <c r="T302" s="378"/>
      <c r="U302" s="378"/>
      <c r="V302" s="378"/>
      <c r="W302" s="378"/>
      <c r="X302" s="378"/>
      <c r="Y302" s="378"/>
      <c r="Z302" s="378"/>
      <c r="AA302" s="378"/>
      <c r="AB302" s="378"/>
      <c r="AC302" s="378"/>
      <c r="AD302" s="378"/>
      <c r="AE302" s="378"/>
      <c r="AF302" s="378"/>
      <c r="AG302" s="378"/>
    </row>
    <row r="303">
      <c r="A303" s="378"/>
      <c r="B303" s="459" t="s">
        <v>718</v>
      </c>
      <c r="C303" s="460">
        <v>200.0</v>
      </c>
      <c r="D303" s="440"/>
      <c r="E303" s="419"/>
      <c r="F303" s="463"/>
      <c r="G303" s="463"/>
      <c r="H303" s="448"/>
      <c r="I303" s="376"/>
      <c r="J303" s="462"/>
      <c r="K303" s="460"/>
      <c r="L303" s="440"/>
      <c r="M303" s="419"/>
      <c r="N303" s="446"/>
      <c r="O303" s="447"/>
      <c r="P303" s="448"/>
      <c r="Q303" s="378"/>
      <c r="R303" s="378"/>
      <c r="S303" s="378"/>
      <c r="T303" s="378"/>
      <c r="U303" s="378"/>
      <c r="V303" s="378"/>
      <c r="W303" s="378"/>
      <c r="X303" s="378"/>
      <c r="Y303" s="378"/>
      <c r="Z303" s="378"/>
      <c r="AA303" s="378"/>
      <c r="AB303" s="378"/>
      <c r="AC303" s="378"/>
      <c r="AD303" s="378"/>
      <c r="AE303" s="378"/>
      <c r="AF303" s="378"/>
      <c r="AG303" s="378"/>
    </row>
    <row r="304">
      <c r="A304" s="378"/>
      <c r="B304" s="459" t="s">
        <v>656</v>
      </c>
      <c r="C304" s="460">
        <f>IFERROR(__xludf.DUMMYFUNCTION("FILTER(D967:D995,C967:C995=F285)"),2595.56)</f>
        <v>2595.56</v>
      </c>
      <c r="D304" s="440"/>
      <c r="E304" s="419"/>
      <c r="F304" s="463"/>
      <c r="G304" s="463"/>
      <c r="H304" s="448"/>
      <c r="I304" s="376"/>
      <c r="J304" s="462"/>
      <c r="K304" s="460"/>
      <c r="L304" s="440"/>
      <c r="M304" s="419"/>
      <c r="N304" s="446"/>
      <c r="O304" s="447"/>
      <c r="P304" s="448"/>
      <c r="Q304" s="378"/>
      <c r="R304" s="378"/>
      <c r="S304" s="378"/>
      <c r="T304" s="378"/>
      <c r="U304" s="378"/>
      <c r="V304" s="378"/>
      <c r="W304" s="378"/>
      <c r="X304" s="378"/>
      <c r="Y304" s="378"/>
      <c r="Z304" s="378"/>
      <c r="AA304" s="378"/>
      <c r="AB304" s="378"/>
      <c r="AC304" s="378"/>
      <c r="AD304" s="378"/>
      <c r="AE304" s="378"/>
      <c r="AF304" s="378"/>
      <c r="AG304" s="378"/>
    </row>
    <row r="305">
      <c r="A305" s="378"/>
      <c r="B305" s="454" t="s">
        <v>875</v>
      </c>
      <c r="C305" s="537">
        <v>612.98</v>
      </c>
      <c r="D305" s="435"/>
      <c r="E305" s="419"/>
      <c r="F305" s="468" t="s">
        <v>842</v>
      </c>
      <c r="G305" s="466">
        <f>H293+C298-C310</f>
        <v>2247.46</v>
      </c>
      <c r="H305" s="211"/>
      <c r="I305" s="376"/>
      <c r="J305" s="467"/>
      <c r="K305" s="455"/>
      <c r="L305" s="435"/>
      <c r="M305" s="419"/>
      <c r="N305" s="468" t="s">
        <v>842</v>
      </c>
      <c r="O305" s="539">
        <f>P293+K298-K310</f>
        <v>2114.75</v>
      </c>
      <c r="P305" s="211"/>
      <c r="Q305" s="378"/>
      <c r="R305" s="378"/>
      <c r="S305" s="378"/>
      <c r="T305" s="378"/>
      <c r="U305" s="378"/>
      <c r="V305" s="378"/>
      <c r="W305" s="378"/>
      <c r="X305" s="378"/>
      <c r="Y305" s="378"/>
      <c r="Z305" s="378"/>
      <c r="AA305" s="378"/>
      <c r="AB305" s="378"/>
      <c r="AC305" s="378"/>
      <c r="AD305" s="378"/>
      <c r="AE305" s="378"/>
      <c r="AF305" s="378"/>
      <c r="AG305" s="378"/>
    </row>
    <row r="306">
      <c r="A306" s="378"/>
      <c r="B306" s="464"/>
      <c r="C306" s="455"/>
      <c r="D306" s="435"/>
      <c r="E306" s="419"/>
      <c r="F306" s="469" t="s">
        <v>843</v>
      </c>
      <c r="G306" s="278"/>
      <c r="H306" s="56"/>
      <c r="I306" s="376"/>
      <c r="J306" s="467"/>
      <c r="K306" s="455"/>
      <c r="L306" s="435"/>
      <c r="M306" s="419"/>
      <c r="N306" s="469" t="s">
        <v>854</v>
      </c>
      <c r="O306" s="278"/>
      <c r="P306" s="56"/>
      <c r="Q306" s="378"/>
      <c r="R306" s="378"/>
      <c r="S306" s="378"/>
      <c r="T306" s="378"/>
      <c r="U306" s="378"/>
      <c r="V306" s="378"/>
      <c r="W306" s="378"/>
      <c r="X306" s="378"/>
      <c r="Y306" s="378"/>
      <c r="Z306" s="378"/>
      <c r="AA306" s="378"/>
      <c r="AB306" s="378"/>
      <c r="AC306" s="378"/>
      <c r="AD306" s="378"/>
      <c r="AE306" s="378"/>
      <c r="AF306" s="378"/>
      <c r="AG306" s="378"/>
    </row>
    <row r="307">
      <c r="A307" s="378"/>
      <c r="B307" s="464"/>
      <c r="C307" s="455"/>
      <c r="D307" s="435"/>
      <c r="E307" s="419"/>
      <c r="F307" s="470"/>
      <c r="G307" s="215"/>
      <c r="H307" s="64"/>
      <c r="I307" s="376"/>
      <c r="J307" s="467"/>
      <c r="K307" s="455"/>
      <c r="L307" s="435"/>
      <c r="M307" s="419"/>
      <c r="N307" s="470"/>
      <c r="O307" s="215"/>
      <c r="P307" s="64"/>
      <c r="Q307" s="378"/>
      <c r="R307" s="378"/>
      <c r="S307" s="378"/>
      <c r="T307" s="378"/>
      <c r="U307" s="378"/>
      <c r="V307" s="378"/>
      <c r="W307" s="378"/>
      <c r="X307" s="378"/>
      <c r="Y307" s="378"/>
      <c r="Z307" s="378"/>
      <c r="AA307" s="378"/>
      <c r="AB307" s="378"/>
      <c r="AC307" s="378"/>
      <c r="AD307" s="378"/>
      <c r="AE307" s="378"/>
      <c r="AF307" s="378"/>
      <c r="AG307" s="378"/>
    </row>
    <row r="308">
      <c r="A308" s="378"/>
      <c r="B308" s="464"/>
      <c r="C308" s="455"/>
      <c r="D308" s="435"/>
      <c r="E308" s="419"/>
      <c r="F308" s="419"/>
      <c r="G308" s="419"/>
      <c r="H308" s="429"/>
      <c r="I308" s="376"/>
      <c r="J308" s="467"/>
      <c r="K308" s="455"/>
      <c r="L308" s="435"/>
      <c r="M308" s="419"/>
      <c r="N308" s="431"/>
      <c r="O308" s="432"/>
      <c r="P308" s="429"/>
      <c r="Q308" s="378"/>
      <c r="R308" s="378"/>
      <c r="S308" s="378"/>
      <c r="T308" s="378"/>
      <c r="U308" s="378"/>
      <c r="V308" s="378"/>
      <c r="W308" s="378"/>
      <c r="X308" s="378"/>
      <c r="Y308" s="378"/>
      <c r="Z308" s="378"/>
      <c r="AA308" s="378"/>
      <c r="AB308" s="378"/>
      <c r="AC308" s="378"/>
      <c r="AD308" s="378"/>
      <c r="AE308" s="378"/>
      <c r="AF308" s="378"/>
      <c r="AG308" s="378"/>
    </row>
    <row r="309">
      <c r="A309" s="378"/>
      <c r="B309" s="464"/>
      <c r="C309" s="455"/>
      <c r="D309" s="435"/>
      <c r="E309" s="419"/>
      <c r="F309" s="419"/>
      <c r="G309" s="419"/>
      <c r="H309" s="429"/>
      <c r="I309" s="376"/>
      <c r="J309" s="467"/>
      <c r="K309" s="455"/>
      <c r="L309" s="435"/>
      <c r="M309" s="419"/>
      <c r="N309" s="431"/>
      <c r="O309" s="432"/>
      <c r="P309" s="429"/>
      <c r="Q309" s="378"/>
      <c r="R309" s="378"/>
      <c r="S309" s="378"/>
      <c r="T309" s="378"/>
      <c r="U309" s="378"/>
      <c r="V309" s="378"/>
      <c r="W309" s="378"/>
      <c r="X309" s="378"/>
      <c r="Y309" s="378"/>
      <c r="Z309" s="378"/>
      <c r="AA309" s="378"/>
      <c r="AB309" s="378"/>
      <c r="AC309" s="378"/>
      <c r="AD309" s="378"/>
      <c r="AE309" s="378"/>
      <c r="AF309" s="378"/>
      <c r="AG309" s="378"/>
    </row>
    <row r="310">
      <c r="A310" s="378"/>
      <c r="B310" s="454" t="s">
        <v>721</v>
      </c>
      <c r="C310" s="460">
        <f>SUM(C301:C309)</f>
        <v>3958.54</v>
      </c>
      <c r="D310" s="440"/>
      <c r="E310" s="419"/>
      <c r="F310" s="419"/>
      <c r="G310" s="419"/>
      <c r="H310" s="429"/>
      <c r="I310" s="376"/>
      <c r="J310" s="458" t="s">
        <v>721</v>
      </c>
      <c r="K310" s="460">
        <f>SUM(K301:K309)</f>
        <v>0</v>
      </c>
      <c r="L310" s="440"/>
      <c r="M310" s="419"/>
      <c r="N310" s="431"/>
      <c r="O310" s="432"/>
      <c r="P310" s="429"/>
      <c r="Q310" s="378"/>
      <c r="R310" s="378"/>
      <c r="S310" s="378"/>
      <c r="T310" s="378"/>
      <c r="U310" s="378"/>
      <c r="V310" s="378"/>
      <c r="W310" s="378"/>
      <c r="X310" s="378"/>
      <c r="Y310" s="378"/>
      <c r="Z310" s="378"/>
      <c r="AA310" s="378"/>
      <c r="AB310" s="378"/>
      <c r="AC310" s="378"/>
      <c r="AD310" s="378"/>
      <c r="AE310" s="378"/>
      <c r="AF310" s="378"/>
      <c r="AG310" s="378"/>
    </row>
    <row r="311">
      <c r="A311" s="378"/>
      <c r="B311" s="471"/>
      <c r="C311" s="472"/>
      <c r="D311" s="472"/>
      <c r="E311" s="472"/>
      <c r="F311" s="472"/>
      <c r="G311" s="472"/>
      <c r="H311" s="473"/>
      <c r="I311" s="376"/>
      <c r="J311" s="474"/>
      <c r="K311" s="472"/>
      <c r="L311" s="472"/>
      <c r="M311" s="472"/>
      <c r="N311" s="475"/>
      <c r="O311" s="476"/>
      <c r="P311" s="473"/>
      <c r="Q311" s="378"/>
      <c r="R311" s="378"/>
      <c r="S311" s="378"/>
      <c r="T311" s="378"/>
      <c r="U311" s="378"/>
      <c r="V311" s="378"/>
      <c r="W311" s="378"/>
      <c r="X311" s="378"/>
      <c r="Y311" s="378"/>
      <c r="Z311" s="378"/>
      <c r="AA311" s="378"/>
      <c r="AB311" s="378"/>
      <c r="AC311" s="378"/>
      <c r="AD311" s="378"/>
      <c r="AE311" s="378"/>
      <c r="AF311" s="378"/>
      <c r="AG311" s="378"/>
    </row>
    <row r="312">
      <c r="A312" s="378"/>
      <c r="B312" s="550"/>
      <c r="C312" s="463"/>
      <c r="D312" s="463"/>
      <c r="E312" s="463"/>
      <c r="F312" s="463"/>
      <c r="G312" s="463"/>
      <c r="H312" s="463"/>
      <c r="I312" s="376"/>
      <c r="J312" s="377"/>
      <c r="K312" s="378"/>
      <c r="L312" s="378"/>
      <c r="M312" s="378"/>
      <c r="N312" s="379"/>
      <c r="O312" s="380"/>
      <c r="P312" s="378"/>
      <c r="Q312" s="378"/>
      <c r="R312" s="378"/>
      <c r="S312" s="378"/>
      <c r="T312" s="378"/>
      <c r="U312" s="378"/>
      <c r="V312" s="378"/>
      <c r="W312" s="378"/>
      <c r="X312" s="378"/>
      <c r="Y312" s="378"/>
      <c r="Z312" s="378"/>
      <c r="AA312" s="378"/>
      <c r="AB312" s="378"/>
      <c r="AC312" s="378"/>
      <c r="AD312" s="378"/>
      <c r="AE312" s="378"/>
      <c r="AF312" s="378"/>
      <c r="AG312" s="378"/>
    </row>
    <row r="313">
      <c r="A313" s="378"/>
      <c r="B313" s="477"/>
      <c r="C313" s="378"/>
      <c r="D313" s="378"/>
      <c r="E313" s="378"/>
      <c r="F313" s="378"/>
      <c r="G313" s="378"/>
      <c r="H313" s="378"/>
      <c r="I313" s="376"/>
      <c r="J313" s="377"/>
      <c r="K313" s="378"/>
      <c r="L313" s="378"/>
      <c r="M313" s="378"/>
      <c r="N313" s="379"/>
      <c r="O313" s="380"/>
      <c r="P313" s="378"/>
      <c r="Q313" s="378"/>
      <c r="R313" s="378"/>
      <c r="S313" s="378"/>
      <c r="T313" s="378"/>
      <c r="U313" s="378"/>
      <c r="V313" s="378"/>
      <c r="W313" s="378"/>
      <c r="X313" s="378"/>
      <c r="Y313" s="378"/>
      <c r="Z313" s="378"/>
      <c r="AA313" s="378"/>
      <c r="AB313" s="378"/>
      <c r="AC313" s="378"/>
      <c r="AD313" s="378"/>
      <c r="AE313" s="378"/>
      <c r="AF313" s="378"/>
      <c r="AG313" s="378"/>
    </row>
    <row r="314">
      <c r="A314" s="378"/>
      <c r="B314" s="382"/>
      <c r="C314" s="388"/>
      <c r="D314" s="384"/>
      <c r="E314" s="385" t="s">
        <v>700</v>
      </c>
      <c r="F314" s="385" t="str">
        <f>Board!A2</f>
        <v>11.17.25-11.23.25</v>
      </c>
      <c r="G314" s="213"/>
      <c r="H314" s="211"/>
      <c r="I314" s="386">
        <v>11.0</v>
      </c>
      <c r="J314" s="387"/>
      <c r="K314" s="388"/>
      <c r="L314" s="384"/>
      <c r="M314" s="385" t="s">
        <v>700</v>
      </c>
      <c r="N314" s="385" t="str">
        <f>Board!A2</f>
        <v>11.17.25-11.23.25</v>
      </c>
      <c r="O314" s="213"/>
      <c r="P314" s="211"/>
      <c r="Q314" s="378"/>
      <c r="R314" s="389" t="s">
        <v>831</v>
      </c>
      <c r="S314" s="389" t="s">
        <v>652</v>
      </c>
      <c r="T314" s="390" t="s">
        <v>832</v>
      </c>
      <c r="U314" s="391" t="s">
        <v>833</v>
      </c>
      <c r="V314" s="389" t="s">
        <v>655</v>
      </c>
      <c r="W314" s="389" t="s">
        <v>8</v>
      </c>
      <c r="X314" s="389" t="s">
        <v>656</v>
      </c>
      <c r="Y314" s="390" t="s">
        <v>834</v>
      </c>
      <c r="Z314" s="392" t="s">
        <v>835</v>
      </c>
      <c r="AA314" s="390" t="s">
        <v>836</v>
      </c>
      <c r="AB314" s="390" t="s">
        <v>837</v>
      </c>
      <c r="AC314" s="393" t="s">
        <v>716</v>
      </c>
      <c r="AD314" s="393" t="s">
        <v>717</v>
      </c>
      <c r="AE314" s="393" t="s">
        <v>718</v>
      </c>
      <c r="AF314" s="394" t="s">
        <v>838</v>
      </c>
      <c r="AG314" s="394"/>
    </row>
    <row r="315">
      <c r="A315" s="378"/>
      <c r="B315" s="395"/>
      <c r="C315" s="372"/>
      <c r="D315" s="396"/>
      <c r="E315" s="385" t="s">
        <v>702</v>
      </c>
      <c r="F315" s="385" t="s">
        <v>680</v>
      </c>
      <c r="G315" s="213"/>
      <c r="H315" s="211"/>
      <c r="I315" s="376"/>
      <c r="J315" s="397"/>
      <c r="K315" s="372"/>
      <c r="L315" s="396"/>
      <c r="M315" s="385" t="s">
        <v>351</v>
      </c>
      <c r="N315" s="385" t="str">
        <f t="array" ref="N315">XLOOKUP(N316,Board!K:K,Board!J:J)</f>
        <v>Christopher Elliot Nunez</v>
      </c>
      <c r="O315" s="213"/>
      <c r="P315" s="211"/>
      <c r="Q315" s="378"/>
      <c r="R315" s="398">
        <f>I314</f>
        <v>11</v>
      </c>
      <c r="S315" s="398">
        <f>F316</f>
        <v>2774</v>
      </c>
      <c r="T315" s="399">
        <f>G336</f>
        <v>1267.78</v>
      </c>
      <c r="U315" s="378" t="str">
        <f>N315</f>
        <v>Christopher Elliot Nunez</v>
      </c>
      <c r="V315" s="380">
        <f>O336</f>
        <v>1882.4</v>
      </c>
      <c r="W315" s="399">
        <f>P324</f>
        <v>1882.4</v>
      </c>
      <c r="X315" s="399">
        <f>C335</f>
        <v>1993.92</v>
      </c>
      <c r="Y315" s="400">
        <f>N324</f>
        <v>2896</v>
      </c>
      <c r="Z315" s="399">
        <f>V316-V315</f>
        <v>-614.62</v>
      </c>
      <c r="AA315" s="378"/>
      <c r="AB315" s="378"/>
      <c r="AC315" s="401">
        <f>C332</f>
        <v>150</v>
      </c>
      <c r="AD315" s="401">
        <f>C333</f>
        <v>400</v>
      </c>
      <c r="AE315" s="401">
        <f>C334</f>
        <v>200</v>
      </c>
      <c r="AF315" s="530">
        <f>C336+C337+C338+C339+C340</f>
        <v>564.3</v>
      </c>
      <c r="AG315" s="398"/>
    </row>
    <row r="316">
      <c r="A316" s="378"/>
      <c r="B316" s="395"/>
      <c r="C316" s="372"/>
      <c r="D316" s="402"/>
      <c r="E316" s="385" t="s">
        <v>703</v>
      </c>
      <c r="F316" s="385">
        <v>2774.0</v>
      </c>
      <c r="G316" s="213"/>
      <c r="H316" s="211"/>
      <c r="I316" s="376"/>
      <c r="J316" s="397"/>
      <c r="K316" s="372"/>
      <c r="L316" s="402"/>
      <c r="M316" s="385" t="s">
        <v>703</v>
      </c>
      <c r="N316" s="385">
        <f>F316</f>
        <v>2774</v>
      </c>
      <c r="O316" s="213"/>
      <c r="P316" s="211"/>
      <c r="Q316" s="378"/>
      <c r="R316" s="378"/>
      <c r="S316" s="378"/>
      <c r="T316" s="378"/>
      <c r="U316" s="378" t="str">
        <f>F315</f>
        <v>EDT Logistics LLC</v>
      </c>
      <c r="V316" s="399">
        <f>G336</f>
        <v>1267.78</v>
      </c>
      <c r="W316" s="399">
        <f>H324</f>
        <v>4576</v>
      </c>
      <c r="X316" s="378"/>
      <c r="Y316" s="378"/>
      <c r="Z316" s="378"/>
      <c r="AA316" s="378"/>
      <c r="AB316" s="378"/>
      <c r="AC316" s="378"/>
      <c r="AD316" s="378"/>
      <c r="AE316" s="378"/>
      <c r="AF316" s="378"/>
      <c r="AG316" s="378"/>
    </row>
    <row r="317">
      <c r="A317" s="378"/>
      <c r="B317" s="403" t="s">
        <v>704</v>
      </c>
      <c r="C317" s="404" t="s">
        <v>5</v>
      </c>
      <c r="D317" s="405" t="s">
        <v>6</v>
      </c>
      <c r="E317" s="406" t="s">
        <v>7</v>
      </c>
      <c r="F317" s="404" t="s">
        <v>8</v>
      </c>
      <c r="G317" s="404" t="s">
        <v>706</v>
      </c>
      <c r="H317" s="404" t="s">
        <v>707</v>
      </c>
      <c r="I317" s="376"/>
      <c r="J317" s="407" t="s">
        <v>704</v>
      </c>
      <c r="K317" s="404" t="s">
        <v>5</v>
      </c>
      <c r="L317" s="405" t="s">
        <v>6</v>
      </c>
      <c r="M317" s="406" t="s">
        <v>7</v>
      </c>
      <c r="N317" s="404" t="s">
        <v>591</v>
      </c>
      <c r="O317" s="408" t="s">
        <v>839</v>
      </c>
      <c r="P317" s="404" t="s">
        <v>707</v>
      </c>
      <c r="Q317" s="378"/>
      <c r="R317" s="378"/>
      <c r="S317" s="378"/>
      <c r="T317" s="378"/>
      <c r="U317" s="378"/>
      <c r="V317" s="378"/>
      <c r="W317" s="378"/>
      <c r="X317" s="378"/>
      <c r="Y317" s="378"/>
      <c r="Z317" s="378"/>
      <c r="AA317" s="378"/>
      <c r="AB317" s="378"/>
      <c r="AC317" s="378"/>
      <c r="AD317" s="378"/>
      <c r="AE317" s="378"/>
      <c r="AF317" s="378"/>
      <c r="AG317" s="378"/>
    </row>
    <row r="318">
      <c r="A318" s="378"/>
      <c r="B318" s="555">
        <f>IFERROR(__xludf.DUMMYFUNCTION("FILTER(Board!C:G,Board!K:K=F316)"),45978.0)</f>
        <v>45978</v>
      </c>
      <c r="C318" s="404">
        <f>IFERROR(__xludf.DUMMYFUNCTION("""COMPUTED_VALUE"""),2.0589363E7)</f>
        <v>20589363</v>
      </c>
      <c r="D318" s="405" t="str">
        <f>IFERROR(__xludf.DUMMYFUNCTION("""COMPUTED_VALUE"""),"Greenville, TX, 75402")</f>
        <v>Greenville, TX, 75402</v>
      </c>
      <c r="E318" s="406" t="str">
        <f>IFERROR(__xludf.DUMMYFUNCTION("""COMPUTED_VALUE"""),"Selma, TX, 78154")</f>
        <v>Selma, TX, 78154</v>
      </c>
      <c r="F318" s="414">
        <f>IFERROR(__xludf.DUMMYFUNCTION("""COMPUTED_VALUE"""),800.0)</f>
        <v>800</v>
      </c>
      <c r="G318" s="413">
        <v>0.88</v>
      </c>
      <c r="H318" s="414">
        <f t="shared" ref="H318:H320" si="18">F318*G318</f>
        <v>704</v>
      </c>
      <c r="I318" s="376"/>
      <c r="J318" s="415">
        <f>IFERROR(__xludf.DUMMYFUNCTION("FILTER(Board!C:F,Board!K:K=N316)"),45978.0)</f>
        <v>45978</v>
      </c>
      <c r="K318" s="411">
        <f>IFERROR(__xludf.DUMMYFUNCTION("""COMPUTED_VALUE"""),2.0589363E7)</f>
        <v>20589363</v>
      </c>
      <c r="L318" s="411" t="str">
        <f>IFERROR(__xludf.DUMMYFUNCTION("""COMPUTED_VALUE"""),"Greenville, TX, 75402")</f>
        <v>Greenville, TX, 75402</v>
      </c>
      <c r="M318" s="411" t="str">
        <f>IFERROR(__xludf.DUMMYFUNCTION("""COMPUTED_VALUE"""),"Selma, TX, 78154")</f>
        <v>Selma, TX, 78154</v>
      </c>
      <c r="N318" s="416">
        <f>IFERROR(__xludf.DUMMYFUNCTION("FILTER(Board!H:H,Board!K:K=N316)"),400.0)</f>
        <v>400</v>
      </c>
      <c r="O318" s="408">
        <v>0.65</v>
      </c>
      <c r="P318" s="414">
        <f t="shared" ref="P318:P321" si="19">N318*O318</f>
        <v>260</v>
      </c>
      <c r="Q318" s="378"/>
      <c r="R318" s="378"/>
      <c r="S318" s="378"/>
      <c r="T318" s="378"/>
      <c r="U318" s="378"/>
      <c r="V318" s="378"/>
      <c r="W318" s="378"/>
      <c r="X318" s="378"/>
      <c r="Y318" s="378"/>
      <c r="Z318" s="378"/>
      <c r="AA318" s="378"/>
      <c r="AB318" s="378"/>
      <c r="AC318" s="378"/>
      <c r="AD318" s="378"/>
      <c r="AE318" s="378"/>
      <c r="AF318" s="378"/>
      <c r="AG318" s="378"/>
    </row>
    <row r="319">
      <c r="A319" s="378"/>
      <c r="B319" s="555">
        <f>IFERROR(__xludf.DUMMYFUNCTION("""COMPUTED_VALUE"""),45979.0)</f>
        <v>45979</v>
      </c>
      <c r="C319" s="404">
        <f>IFERROR(__xludf.DUMMYFUNCTION("""COMPUTED_VALUE"""),51417.0)</f>
        <v>51417</v>
      </c>
      <c r="D319" s="405" t="str">
        <f>IFERROR(__xludf.DUMMYFUNCTION("""COMPUTED_VALUE"""),"Fredericksburg, TX, 78624")</f>
        <v>Fredericksburg, TX, 78624</v>
      </c>
      <c r="E319" s="406" t="str">
        <f>IFERROR(__xludf.DUMMYFUNCTION("""COMPUTED_VALUE"""),"New Cumberland, PA, 17070")</f>
        <v>New Cumberland, PA, 17070</v>
      </c>
      <c r="F319" s="414">
        <f>IFERROR(__xludf.DUMMYFUNCTION("""COMPUTED_VALUE"""),2900.0)</f>
        <v>2900</v>
      </c>
      <c r="G319" s="413">
        <v>0.88</v>
      </c>
      <c r="H319" s="414">
        <f t="shared" si="18"/>
        <v>2552</v>
      </c>
      <c r="I319" s="376"/>
      <c r="J319" s="418">
        <f>IFERROR(__xludf.DUMMYFUNCTION("""COMPUTED_VALUE"""),45979.0)</f>
        <v>45979</v>
      </c>
      <c r="K319" s="411">
        <f>IFERROR(__xludf.DUMMYFUNCTION("""COMPUTED_VALUE"""),51417.0)</f>
        <v>51417</v>
      </c>
      <c r="L319" s="411" t="str">
        <f>IFERROR(__xludf.DUMMYFUNCTION("""COMPUTED_VALUE"""),"Fredericksburg, TX, 78624")</f>
        <v>Fredericksburg, TX, 78624</v>
      </c>
      <c r="M319" s="411" t="str">
        <f>IFERROR(__xludf.DUMMYFUNCTION("""COMPUTED_VALUE"""),"New Cumberland, PA, 17070")</f>
        <v>New Cumberland, PA, 17070</v>
      </c>
      <c r="N319" s="416">
        <f>IFERROR(__xludf.DUMMYFUNCTION("""COMPUTED_VALUE"""),1721.0)</f>
        <v>1721</v>
      </c>
      <c r="O319" s="408">
        <v>0.65</v>
      </c>
      <c r="P319" s="414">
        <f t="shared" si="19"/>
        <v>1118.65</v>
      </c>
      <c r="Q319" s="378"/>
      <c r="R319" s="378"/>
      <c r="S319" s="378"/>
      <c r="T319" s="378"/>
      <c r="U319" s="378"/>
      <c r="V319" s="378"/>
      <c r="W319" s="378"/>
      <c r="X319" s="378"/>
      <c r="Y319" s="378"/>
      <c r="Z319" s="378"/>
      <c r="AA319" s="378"/>
      <c r="AB319" s="378"/>
      <c r="AC319" s="378"/>
      <c r="AD319" s="378"/>
      <c r="AE319" s="378"/>
      <c r="AF319" s="378"/>
      <c r="AG319" s="378"/>
    </row>
    <row r="320">
      <c r="A320" s="378"/>
      <c r="B320" s="499">
        <f>IFERROR(__xludf.DUMMYFUNCTION("""COMPUTED_VALUE"""),45984.0)</f>
        <v>45984</v>
      </c>
      <c r="C320" s="421">
        <f>IFERROR(__xludf.DUMMYFUNCTION("""COMPUTED_VALUE"""),286330.0)</f>
        <v>286330</v>
      </c>
      <c r="D320" s="422" t="str">
        <f>IFERROR(__xludf.DUMMYFUNCTION("""COMPUTED_VALUE"""),"Hanover, PA, 17331")</f>
        <v>Hanover, PA, 17331</v>
      </c>
      <c r="E320" s="423" t="str">
        <f>IFERROR(__xludf.DUMMYFUNCTION("""COMPUTED_VALUE"""),"Hanover, PA, 17331")</f>
        <v>Hanover, PA, 17331</v>
      </c>
      <c r="F320" s="427">
        <f>IFERROR(__xludf.DUMMYFUNCTION("""COMPUTED_VALUE"""),1500.0)</f>
        <v>1500</v>
      </c>
      <c r="G320" s="413">
        <v>0.88</v>
      </c>
      <c r="H320" s="414">
        <f t="shared" si="18"/>
        <v>1320</v>
      </c>
      <c r="I320" s="376"/>
      <c r="J320" s="545">
        <f>IFERROR(__xludf.DUMMYFUNCTION("""COMPUTED_VALUE"""),45984.0)</f>
        <v>45984</v>
      </c>
      <c r="K320" s="421">
        <f>IFERROR(__xludf.DUMMYFUNCTION("""COMPUTED_VALUE"""),286330.0)</f>
        <v>286330</v>
      </c>
      <c r="L320" s="422" t="str">
        <f>IFERROR(__xludf.DUMMYFUNCTION("""COMPUTED_VALUE"""),"Hanover, PA, 17331")</f>
        <v>Hanover, PA, 17331</v>
      </c>
      <c r="M320" s="423" t="str">
        <f>IFERROR(__xludf.DUMMYFUNCTION("""COMPUTED_VALUE"""),"Hanover, PA, 17331")</f>
        <v>Hanover, PA, 17331</v>
      </c>
      <c r="N320" s="546">
        <f>IFERROR(__xludf.DUMMYFUNCTION("""COMPUTED_VALUE"""),775.0)</f>
        <v>775</v>
      </c>
      <c r="O320" s="408">
        <v>0.65</v>
      </c>
      <c r="P320" s="414">
        <f t="shared" si="19"/>
        <v>503.75</v>
      </c>
      <c r="Q320" s="378"/>
      <c r="R320" s="378"/>
      <c r="S320" s="378"/>
      <c r="T320" s="378"/>
      <c r="U320" s="378"/>
      <c r="V320" s="378"/>
      <c r="W320" s="378"/>
      <c r="X320" s="378"/>
      <c r="Y320" s="378"/>
      <c r="Z320" s="378"/>
      <c r="AA320" s="378"/>
      <c r="AB320" s="378"/>
      <c r="AC320" s="378"/>
      <c r="AD320" s="378"/>
      <c r="AE320" s="378"/>
      <c r="AF320" s="378"/>
      <c r="AG320" s="378"/>
    </row>
    <row r="321">
      <c r="A321" s="378"/>
      <c r="B321" s="420"/>
      <c r="C321" s="421"/>
      <c r="D321" s="422"/>
      <c r="E321" s="423"/>
      <c r="F321" s="421"/>
      <c r="G321" s="413"/>
      <c r="H321" s="414"/>
      <c r="I321" s="376"/>
      <c r="J321" s="424"/>
      <c r="K321" s="421"/>
      <c r="L321" s="422"/>
      <c r="M321" s="423"/>
      <c r="N321" s="425"/>
      <c r="O321" s="408">
        <v>0.65</v>
      </c>
      <c r="P321" s="414">
        <f t="shared" si="19"/>
        <v>0</v>
      </c>
      <c r="Q321" s="378"/>
      <c r="R321" s="378"/>
      <c r="S321" s="378"/>
      <c r="T321" s="378"/>
      <c r="U321" s="378"/>
      <c r="V321" s="378"/>
      <c r="W321" s="378"/>
      <c r="X321" s="378"/>
      <c r="Y321" s="378"/>
      <c r="Z321" s="378"/>
      <c r="AA321" s="378"/>
      <c r="AB321" s="378"/>
      <c r="AC321" s="378"/>
      <c r="AD321" s="378"/>
      <c r="AE321" s="378"/>
      <c r="AF321" s="378"/>
      <c r="AG321" s="378"/>
    </row>
    <row r="322">
      <c r="A322" s="378"/>
      <c r="B322" s="420"/>
      <c r="C322" s="421"/>
      <c r="D322" s="422"/>
      <c r="E322" s="423"/>
      <c r="F322" s="421"/>
      <c r="G322" s="413"/>
      <c r="H322" s="414"/>
      <c r="I322" s="376"/>
      <c r="J322" s="424"/>
      <c r="K322" s="421"/>
      <c r="L322" s="422"/>
      <c r="M322" s="423"/>
      <c r="N322" s="425"/>
      <c r="O322" s="408"/>
      <c r="P322" s="414"/>
      <c r="Q322" s="378"/>
      <c r="R322" s="378"/>
      <c r="S322" s="378"/>
      <c r="T322" s="378"/>
      <c r="U322" s="378"/>
      <c r="V322" s="378"/>
      <c r="W322" s="378"/>
      <c r="X322" s="378"/>
      <c r="Y322" s="378"/>
      <c r="Z322" s="378"/>
      <c r="AA322" s="378"/>
      <c r="AB322" s="378"/>
      <c r="AC322" s="378"/>
      <c r="AD322" s="378"/>
      <c r="AE322" s="378"/>
      <c r="AF322" s="378"/>
      <c r="AG322" s="378"/>
    </row>
    <row r="323">
      <c r="A323" s="378"/>
      <c r="B323" s="420"/>
      <c r="C323" s="421"/>
      <c r="D323" s="422"/>
      <c r="E323" s="423"/>
      <c r="F323" s="421"/>
      <c r="G323" s="413"/>
      <c r="H323" s="414"/>
      <c r="I323" s="376"/>
      <c r="J323" s="424"/>
      <c r="K323" s="421"/>
      <c r="L323" s="422"/>
      <c r="M323" s="423"/>
      <c r="N323" s="425"/>
      <c r="O323" s="408"/>
      <c r="P323" s="414"/>
      <c r="Q323" s="378"/>
      <c r="R323" s="378"/>
      <c r="S323" s="378"/>
      <c r="T323" s="378"/>
      <c r="U323" s="378"/>
      <c r="V323" s="378"/>
      <c r="W323" s="378"/>
      <c r="X323" s="378"/>
      <c r="Y323" s="378"/>
      <c r="Z323" s="378"/>
      <c r="AA323" s="378"/>
      <c r="AB323" s="378"/>
      <c r="AC323" s="378"/>
      <c r="AD323" s="378"/>
      <c r="AE323" s="378"/>
      <c r="AF323" s="378"/>
      <c r="AG323" s="378"/>
    </row>
    <row r="324">
      <c r="A324" s="378"/>
      <c r="B324" s="403" t="s">
        <v>711</v>
      </c>
      <c r="C324" s="224"/>
      <c r="D324" s="224"/>
      <c r="E324" s="222"/>
      <c r="F324" s="414">
        <f>SUM(F318:F323)</f>
        <v>5200</v>
      </c>
      <c r="G324" s="421"/>
      <c r="H324" s="414">
        <f>SUM(H318:H323)</f>
        <v>4576</v>
      </c>
      <c r="I324" s="376"/>
      <c r="J324" s="407" t="s">
        <v>711</v>
      </c>
      <c r="K324" s="224"/>
      <c r="L324" s="224"/>
      <c r="M324" s="222"/>
      <c r="N324" s="426">
        <f>SUM(N318:N323)</f>
        <v>2896</v>
      </c>
      <c r="O324" s="427"/>
      <c r="P324" s="414">
        <f>SUM(P318:P323)</f>
        <v>1882.4</v>
      </c>
      <c r="Q324" s="378"/>
      <c r="R324" s="378"/>
      <c r="S324" s="378"/>
      <c r="T324" s="378"/>
      <c r="U324" s="378"/>
      <c r="V324" s="378"/>
      <c r="W324" s="378"/>
      <c r="X324" s="378"/>
      <c r="Y324" s="378"/>
      <c r="Z324" s="378"/>
      <c r="AA324" s="378"/>
      <c r="AB324" s="378"/>
      <c r="AC324" s="378"/>
      <c r="AD324" s="378"/>
      <c r="AE324" s="378"/>
      <c r="AF324" s="378"/>
      <c r="AG324" s="378"/>
    </row>
    <row r="325">
      <c r="A325" s="378"/>
      <c r="B325" s="428"/>
      <c r="C325" s="419"/>
      <c r="D325" s="419"/>
      <c r="E325" s="419"/>
      <c r="F325" s="419"/>
      <c r="G325" s="419"/>
      <c r="H325" s="429"/>
      <c r="I325" s="376"/>
      <c r="J325" s="430"/>
      <c r="K325" s="419"/>
      <c r="L325" s="419"/>
      <c r="M325" s="419"/>
      <c r="N325" s="431"/>
      <c r="O325" s="432"/>
      <c r="P325" s="429"/>
      <c r="Q325" s="378"/>
      <c r="R325" s="378"/>
      <c r="S325" s="378"/>
      <c r="T325" s="378"/>
      <c r="U325" s="378"/>
      <c r="V325" s="378"/>
      <c r="W325" s="378"/>
      <c r="X325" s="378"/>
      <c r="Y325" s="378"/>
      <c r="Z325" s="378"/>
      <c r="AA325" s="378"/>
      <c r="AB325" s="378"/>
      <c r="AC325" s="378"/>
      <c r="AD325" s="378"/>
      <c r="AE325" s="378"/>
      <c r="AF325" s="378"/>
      <c r="AG325" s="378"/>
    </row>
    <row r="326">
      <c r="A326" s="378"/>
      <c r="B326" s="433" t="s">
        <v>712</v>
      </c>
      <c r="C326" s="434"/>
      <c r="D326" s="435"/>
      <c r="E326" s="419"/>
      <c r="F326" s="419"/>
      <c r="G326" s="419"/>
      <c r="H326" s="429"/>
      <c r="I326" s="376"/>
      <c r="J326" s="437" t="s">
        <v>712</v>
      </c>
      <c r="K326" s="434"/>
      <c r="L326" s="435"/>
      <c r="M326" s="419"/>
      <c r="N326" s="431"/>
      <c r="O326" s="432"/>
      <c r="P326" s="429"/>
      <c r="Q326" s="378"/>
      <c r="R326" s="378"/>
      <c r="S326" s="378"/>
      <c r="T326" s="378"/>
      <c r="U326" s="378"/>
      <c r="V326" s="378"/>
      <c r="W326" s="378"/>
      <c r="X326" s="378"/>
      <c r="Y326" s="378"/>
      <c r="Z326" s="378"/>
      <c r="AA326" s="378"/>
      <c r="AB326" s="378"/>
      <c r="AC326" s="378"/>
      <c r="AD326" s="378"/>
      <c r="AE326" s="378"/>
      <c r="AF326" s="378"/>
      <c r="AG326" s="378"/>
    </row>
    <row r="327">
      <c r="A327" s="378"/>
      <c r="B327" s="438" t="s">
        <v>713</v>
      </c>
      <c r="C327" s="439"/>
      <c r="D327" s="440"/>
      <c r="E327" s="419"/>
      <c r="F327" s="419"/>
      <c r="G327" s="419"/>
      <c r="H327" s="429"/>
      <c r="I327" s="376"/>
      <c r="J327" s="443" t="s">
        <v>713</v>
      </c>
      <c r="K327" s="439"/>
      <c r="L327" s="440"/>
      <c r="M327" s="419"/>
      <c r="N327" s="431"/>
      <c r="O327" s="432"/>
      <c r="P327" s="429"/>
      <c r="Q327" s="378"/>
      <c r="R327" s="378"/>
      <c r="S327" s="378"/>
      <c r="T327" s="378"/>
      <c r="U327" s="378"/>
      <c r="V327" s="378"/>
      <c r="W327" s="378"/>
      <c r="X327" s="378"/>
      <c r="Y327" s="378"/>
      <c r="Z327" s="378"/>
      <c r="AA327" s="378"/>
      <c r="AB327" s="378"/>
      <c r="AC327" s="378"/>
      <c r="AD327" s="378"/>
      <c r="AE327" s="378"/>
      <c r="AF327" s="378"/>
      <c r="AG327" s="378"/>
    </row>
    <row r="328">
      <c r="A328" s="378"/>
      <c r="B328" s="444"/>
      <c r="C328" s="434"/>
      <c r="D328" s="435"/>
      <c r="E328" s="419"/>
      <c r="F328" s="463"/>
      <c r="G328" s="463"/>
      <c r="H328" s="448"/>
      <c r="I328" s="376"/>
      <c r="J328" s="445"/>
      <c r="K328" s="434"/>
      <c r="L328" s="435"/>
      <c r="M328" s="419"/>
      <c r="N328" s="446"/>
      <c r="O328" s="447"/>
      <c r="P328" s="448"/>
      <c r="Q328" s="378"/>
      <c r="R328" s="378"/>
      <c r="S328" s="378"/>
      <c r="T328" s="378"/>
      <c r="U328" s="378"/>
      <c r="V328" s="378"/>
      <c r="W328" s="378"/>
      <c r="X328" s="378"/>
      <c r="Y328" s="378"/>
      <c r="Z328" s="378"/>
      <c r="AA328" s="378"/>
      <c r="AB328" s="378"/>
      <c r="AC328" s="378"/>
      <c r="AD328" s="378"/>
      <c r="AE328" s="378"/>
      <c r="AF328" s="378"/>
      <c r="AG328" s="378"/>
    </row>
    <row r="329">
      <c r="A329" s="378"/>
      <c r="B329" s="438" t="s">
        <v>714</v>
      </c>
      <c r="C329" s="439">
        <f>SUM(C327:C328)</f>
        <v>0</v>
      </c>
      <c r="D329" s="440"/>
      <c r="E329" s="419"/>
      <c r="F329" s="463"/>
      <c r="G329" s="463"/>
      <c r="H329" s="448"/>
      <c r="I329" s="376"/>
      <c r="J329" s="443" t="s">
        <v>714</v>
      </c>
      <c r="K329" s="439">
        <f>SUM(K327:K328)</f>
        <v>0</v>
      </c>
      <c r="L329" s="440"/>
      <c r="M329" s="419"/>
      <c r="N329" s="446"/>
      <c r="O329" s="447"/>
      <c r="P329" s="448"/>
      <c r="Q329" s="378"/>
      <c r="R329" s="378"/>
      <c r="S329" s="378"/>
      <c r="T329" s="378"/>
      <c r="U329" s="378"/>
      <c r="V329" s="378"/>
      <c r="W329" s="378"/>
      <c r="X329" s="378"/>
      <c r="Y329" s="378"/>
      <c r="Z329" s="378"/>
      <c r="AA329" s="378"/>
      <c r="AB329" s="378"/>
      <c r="AC329" s="378"/>
      <c r="AD329" s="378"/>
      <c r="AE329" s="378"/>
      <c r="AF329" s="378"/>
      <c r="AG329" s="378"/>
    </row>
    <row r="330">
      <c r="A330" s="378"/>
      <c r="B330" s="450"/>
      <c r="C330" s="451"/>
      <c r="D330" s="419"/>
      <c r="E330" s="419"/>
      <c r="F330" s="463"/>
      <c r="G330" s="463"/>
      <c r="H330" s="448"/>
      <c r="I330" s="376"/>
      <c r="J330" s="535"/>
      <c r="K330" s="451"/>
      <c r="L330" s="419"/>
      <c r="M330" s="419"/>
      <c r="N330" s="446"/>
      <c r="O330" s="447"/>
      <c r="P330" s="448"/>
      <c r="Q330" s="378"/>
      <c r="R330" s="378"/>
      <c r="S330" s="378"/>
      <c r="T330" s="378"/>
      <c r="U330" s="378"/>
      <c r="V330" s="378"/>
      <c r="W330" s="378"/>
      <c r="X330" s="378"/>
      <c r="Y330" s="378"/>
      <c r="Z330" s="378"/>
      <c r="AA330" s="378"/>
      <c r="AB330" s="378"/>
      <c r="AC330" s="378"/>
      <c r="AD330" s="378"/>
      <c r="AE330" s="378"/>
      <c r="AF330" s="378"/>
      <c r="AG330" s="378"/>
    </row>
    <row r="331">
      <c r="A331" s="378"/>
      <c r="B331" s="454" t="s">
        <v>715</v>
      </c>
      <c r="C331" s="455"/>
      <c r="D331" s="435"/>
      <c r="E331" s="419"/>
      <c r="F331" s="463"/>
      <c r="G331" s="463"/>
      <c r="H331" s="448"/>
      <c r="I331" s="376"/>
      <c r="J331" s="458" t="s">
        <v>715</v>
      </c>
      <c r="K331" s="455"/>
      <c r="L331" s="435"/>
      <c r="M331" s="419"/>
      <c r="N331" s="446"/>
      <c r="O331" s="447"/>
      <c r="P331" s="448"/>
      <c r="Q331" s="378"/>
      <c r="R331" s="378"/>
      <c r="S331" s="378"/>
      <c r="T331" s="378"/>
      <c r="U331" s="378"/>
      <c r="V331" s="378"/>
      <c r="W331" s="378"/>
      <c r="X331" s="378"/>
      <c r="Y331" s="378"/>
      <c r="Z331" s="378"/>
      <c r="AA331" s="378"/>
      <c r="AB331" s="378"/>
      <c r="AC331" s="378"/>
      <c r="AD331" s="378"/>
      <c r="AE331" s="378"/>
      <c r="AF331" s="378"/>
      <c r="AG331" s="378"/>
    </row>
    <row r="332">
      <c r="A332" s="378"/>
      <c r="B332" s="459" t="s">
        <v>716</v>
      </c>
      <c r="C332" s="460">
        <v>150.0</v>
      </c>
      <c r="D332" s="440"/>
      <c r="E332" s="419"/>
      <c r="F332" s="463"/>
      <c r="G332" s="463"/>
      <c r="H332" s="448"/>
      <c r="I332" s="376"/>
      <c r="J332" s="462"/>
      <c r="K332" s="460"/>
      <c r="L332" s="440"/>
      <c r="M332" s="419"/>
      <c r="N332" s="446"/>
      <c r="O332" s="447"/>
      <c r="P332" s="448"/>
      <c r="Q332" s="378"/>
      <c r="R332" s="378"/>
      <c r="S332" s="378"/>
      <c r="T332" s="378"/>
      <c r="U332" s="378"/>
      <c r="V332" s="378"/>
      <c r="W332" s="378"/>
      <c r="X332" s="378"/>
      <c r="Y332" s="378"/>
      <c r="Z332" s="378"/>
      <c r="AA332" s="378"/>
      <c r="AB332" s="378"/>
      <c r="AC332" s="378"/>
      <c r="AD332" s="378"/>
      <c r="AE332" s="378"/>
      <c r="AF332" s="378"/>
      <c r="AG332" s="378"/>
    </row>
    <row r="333">
      <c r="A333" s="378"/>
      <c r="B333" s="459" t="s">
        <v>717</v>
      </c>
      <c r="C333" s="460">
        <v>400.0</v>
      </c>
      <c r="D333" s="440"/>
      <c r="E333" s="419"/>
      <c r="F333" s="463"/>
      <c r="G333" s="463"/>
      <c r="H333" s="448"/>
      <c r="I333" s="376"/>
      <c r="J333" s="462"/>
      <c r="K333" s="460"/>
      <c r="L333" s="440"/>
      <c r="M333" s="419"/>
      <c r="N333" s="446"/>
      <c r="O333" s="447"/>
      <c r="P333" s="448"/>
      <c r="Q333" s="378"/>
      <c r="R333" s="378"/>
      <c r="S333" s="378"/>
      <c r="T333" s="378"/>
      <c r="U333" s="378"/>
      <c r="V333" s="378"/>
      <c r="W333" s="378"/>
      <c r="X333" s="378"/>
      <c r="Y333" s="378"/>
      <c r="Z333" s="378"/>
      <c r="AA333" s="378"/>
      <c r="AB333" s="378"/>
      <c r="AC333" s="378"/>
      <c r="AD333" s="378"/>
      <c r="AE333" s="378"/>
      <c r="AF333" s="378"/>
      <c r="AG333" s="378"/>
    </row>
    <row r="334">
      <c r="A334" s="378"/>
      <c r="B334" s="459" t="s">
        <v>718</v>
      </c>
      <c r="C334" s="460">
        <v>200.0</v>
      </c>
      <c r="D334" s="440"/>
      <c r="E334" s="419"/>
      <c r="F334" s="463"/>
      <c r="G334" s="463"/>
      <c r="H334" s="448"/>
      <c r="I334" s="376"/>
      <c r="J334" s="462"/>
      <c r="K334" s="460"/>
      <c r="L334" s="440"/>
      <c r="M334" s="419"/>
      <c r="N334" s="446"/>
      <c r="O334" s="447"/>
      <c r="P334" s="448"/>
      <c r="Q334" s="378"/>
      <c r="R334" s="378"/>
      <c r="S334" s="378"/>
      <c r="T334" s="378"/>
      <c r="U334" s="378"/>
      <c r="V334" s="378"/>
      <c r="W334" s="378"/>
      <c r="X334" s="378"/>
      <c r="Y334" s="378"/>
      <c r="Z334" s="378"/>
      <c r="AA334" s="378"/>
      <c r="AB334" s="378"/>
      <c r="AC334" s="378"/>
      <c r="AD334" s="378"/>
      <c r="AE334" s="378"/>
      <c r="AF334" s="378"/>
      <c r="AG334" s="378"/>
    </row>
    <row r="335">
      <c r="A335" s="378"/>
      <c r="B335" s="459" t="s">
        <v>656</v>
      </c>
      <c r="C335" s="460">
        <f>IFERROR(__xludf.DUMMYFUNCTION("FILTER(D967:D995,C967:C995=F316)"),1993.92)</f>
        <v>1993.92</v>
      </c>
      <c r="D335" s="440"/>
      <c r="E335" s="419"/>
      <c r="F335" s="463"/>
      <c r="G335" s="463"/>
      <c r="H335" s="448"/>
      <c r="I335" s="376"/>
      <c r="J335" s="462"/>
      <c r="K335" s="460"/>
      <c r="L335" s="440"/>
      <c r="M335" s="419"/>
      <c r="N335" s="446"/>
      <c r="O335" s="447"/>
      <c r="P335" s="448"/>
      <c r="Q335" s="378"/>
      <c r="R335" s="378"/>
      <c r="S335" s="378"/>
      <c r="T335" s="378"/>
      <c r="U335" s="378"/>
      <c r="V335" s="378"/>
      <c r="W335" s="378"/>
      <c r="X335" s="378"/>
      <c r="Y335" s="378"/>
      <c r="Z335" s="378"/>
      <c r="AA335" s="378"/>
      <c r="AB335" s="378"/>
      <c r="AC335" s="378"/>
      <c r="AD335" s="378"/>
      <c r="AE335" s="378"/>
      <c r="AF335" s="378"/>
      <c r="AG335" s="378"/>
    </row>
    <row r="336">
      <c r="A336" s="378"/>
      <c r="B336" s="454" t="s">
        <v>876</v>
      </c>
      <c r="C336" s="537">
        <v>564.3</v>
      </c>
      <c r="D336" s="435"/>
      <c r="E336" s="419"/>
      <c r="F336" s="468" t="s">
        <v>842</v>
      </c>
      <c r="G336" s="466">
        <f>H324+C329-C341</f>
        <v>1267.78</v>
      </c>
      <c r="H336" s="211"/>
      <c r="I336" s="376"/>
      <c r="J336" s="467"/>
      <c r="K336" s="455"/>
      <c r="L336" s="435"/>
      <c r="M336" s="419"/>
      <c r="N336" s="468" t="s">
        <v>842</v>
      </c>
      <c r="O336" s="539">
        <f>P324+K329-K341</f>
        <v>1882.4</v>
      </c>
      <c r="P336" s="211"/>
      <c r="Q336" s="378"/>
      <c r="R336" s="378"/>
      <c r="S336" s="378"/>
      <c r="T336" s="378"/>
      <c r="U336" s="378"/>
      <c r="V336" s="378"/>
      <c r="W336" s="378"/>
      <c r="X336" s="378"/>
      <c r="Y336" s="378"/>
      <c r="Z336" s="378"/>
      <c r="AA336" s="378"/>
      <c r="AB336" s="378"/>
      <c r="AC336" s="378"/>
      <c r="AD336" s="378"/>
      <c r="AE336" s="378"/>
      <c r="AF336" s="378"/>
      <c r="AG336" s="378"/>
    </row>
    <row r="337">
      <c r="A337" s="378"/>
      <c r="B337" s="464"/>
      <c r="C337" s="455"/>
      <c r="D337" s="435"/>
      <c r="E337" s="419"/>
      <c r="F337" s="469" t="s">
        <v>843</v>
      </c>
      <c r="G337" s="278"/>
      <c r="H337" s="56"/>
      <c r="I337" s="376"/>
      <c r="J337" s="467"/>
      <c r="K337" s="455"/>
      <c r="L337" s="435"/>
      <c r="M337" s="419"/>
      <c r="N337" s="469" t="s">
        <v>854</v>
      </c>
      <c r="O337" s="278"/>
      <c r="P337" s="56"/>
      <c r="Q337" s="378"/>
      <c r="R337" s="378"/>
      <c r="S337" s="378"/>
      <c r="T337" s="378"/>
      <c r="U337" s="378"/>
      <c r="V337" s="378"/>
      <c r="W337" s="378"/>
      <c r="X337" s="378"/>
      <c r="Y337" s="378"/>
      <c r="Z337" s="378"/>
      <c r="AA337" s="378"/>
      <c r="AB337" s="378"/>
      <c r="AC337" s="378"/>
      <c r="AD337" s="378"/>
      <c r="AE337" s="378"/>
      <c r="AF337" s="378"/>
      <c r="AG337" s="378"/>
    </row>
    <row r="338">
      <c r="A338" s="378"/>
      <c r="B338" s="464"/>
      <c r="C338" s="455"/>
      <c r="D338" s="435"/>
      <c r="E338" s="419"/>
      <c r="F338" s="470"/>
      <c r="G338" s="215"/>
      <c r="H338" s="64"/>
      <c r="I338" s="376"/>
      <c r="J338" s="467"/>
      <c r="K338" s="455"/>
      <c r="L338" s="435"/>
      <c r="M338" s="419"/>
      <c r="N338" s="470"/>
      <c r="O338" s="215"/>
      <c r="P338" s="64"/>
      <c r="Q338" s="378"/>
      <c r="R338" s="378"/>
      <c r="S338" s="378"/>
      <c r="T338" s="378"/>
      <c r="U338" s="378"/>
      <c r="V338" s="378"/>
      <c r="W338" s="378"/>
      <c r="X338" s="378"/>
      <c r="Y338" s="378"/>
      <c r="Z338" s="378"/>
      <c r="AA338" s="378"/>
      <c r="AB338" s="378"/>
      <c r="AC338" s="378"/>
      <c r="AD338" s="378"/>
      <c r="AE338" s="378"/>
      <c r="AF338" s="378"/>
      <c r="AG338" s="378"/>
    </row>
    <row r="339">
      <c r="A339" s="378"/>
      <c r="B339" s="464"/>
      <c r="C339" s="455"/>
      <c r="D339" s="435"/>
      <c r="E339" s="419"/>
      <c r="F339" s="419"/>
      <c r="G339" s="419"/>
      <c r="H339" s="429"/>
      <c r="I339" s="376"/>
      <c r="J339" s="467"/>
      <c r="K339" s="455"/>
      <c r="L339" s="435"/>
      <c r="M339" s="419"/>
      <c r="N339" s="431"/>
      <c r="O339" s="432"/>
      <c r="P339" s="429"/>
      <c r="Q339" s="378"/>
      <c r="R339" s="378"/>
      <c r="S339" s="378"/>
      <c r="T339" s="378"/>
      <c r="U339" s="378"/>
      <c r="V339" s="378"/>
      <c r="W339" s="378"/>
      <c r="X339" s="378"/>
      <c r="Y339" s="378"/>
      <c r="Z339" s="378"/>
      <c r="AA339" s="378"/>
      <c r="AB339" s="378"/>
      <c r="AC339" s="378"/>
      <c r="AD339" s="378"/>
      <c r="AE339" s="378"/>
      <c r="AF339" s="378"/>
      <c r="AG339" s="378"/>
    </row>
    <row r="340">
      <c r="A340" s="378"/>
      <c r="B340" s="464"/>
      <c r="C340" s="455"/>
      <c r="D340" s="435"/>
      <c r="E340" s="419"/>
      <c r="F340" s="419"/>
      <c r="G340" s="419"/>
      <c r="H340" s="429"/>
      <c r="I340" s="376"/>
      <c r="J340" s="467"/>
      <c r="K340" s="455"/>
      <c r="L340" s="435"/>
      <c r="M340" s="419"/>
      <c r="N340" s="431"/>
      <c r="O340" s="432"/>
      <c r="P340" s="429"/>
      <c r="Q340" s="378"/>
      <c r="R340" s="378"/>
      <c r="S340" s="378"/>
      <c r="T340" s="378"/>
      <c r="U340" s="378"/>
      <c r="V340" s="378"/>
      <c r="W340" s="378"/>
      <c r="X340" s="378"/>
      <c r="Y340" s="378"/>
      <c r="Z340" s="378"/>
      <c r="AA340" s="378"/>
      <c r="AB340" s="378"/>
      <c r="AC340" s="378"/>
      <c r="AD340" s="378"/>
      <c r="AE340" s="378"/>
      <c r="AF340" s="378"/>
      <c r="AG340" s="378"/>
    </row>
    <row r="341">
      <c r="A341" s="378"/>
      <c r="B341" s="454" t="s">
        <v>721</v>
      </c>
      <c r="C341" s="460">
        <f>SUM(C332:C340)</f>
        <v>3308.22</v>
      </c>
      <c r="D341" s="440"/>
      <c r="E341" s="419"/>
      <c r="F341" s="419"/>
      <c r="G341" s="419"/>
      <c r="H341" s="429"/>
      <c r="I341" s="376"/>
      <c r="J341" s="458" t="s">
        <v>721</v>
      </c>
      <c r="K341" s="460">
        <f>SUM(K332:K340)</f>
        <v>0</v>
      </c>
      <c r="L341" s="440"/>
      <c r="M341" s="419"/>
      <c r="N341" s="431"/>
      <c r="O341" s="432"/>
      <c r="P341" s="429"/>
      <c r="Q341" s="378"/>
      <c r="R341" s="378"/>
      <c r="S341" s="378"/>
      <c r="T341" s="378"/>
      <c r="U341" s="378"/>
      <c r="V341" s="378"/>
      <c r="W341" s="378"/>
      <c r="X341" s="378"/>
      <c r="Y341" s="378"/>
      <c r="Z341" s="378"/>
      <c r="AA341" s="378"/>
      <c r="AB341" s="378"/>
      <c r="AC341" s="378"/>
      <c r="AD341" s="378"/>
      <c r="AE341" s="378"/>
      <c r="AF341" s="378"/>
      <c r="AG341" s="378"/>
    </row>
    <row r="342">
      <c r="A342" s="378"/>
      <c r="B342" s="471"/>
      <c r="C342" s="472"/>
      <c r="D342" s="472"/>
      <c r="E342" s="472"/>
      <c r="F342" s="472"/>
      <c r="G342" s="472"/>
      <c r="H342" s="473"/>
      <c r="I342" s="376"/>
      <c r="J342" s="474"/>
      <c r="K342" s="472"/>
      <c r="L342" s="472"/>
      <c r="M342" s="472"/>
      <c r="N342" s="475"/>
      <c r="O342" s="476"/>
      <c r="P342" s="473"/>
      <c r="Q342" s="378"/>
      <c r="R342" s="378"/>
      <c r="S342" s="378"/>
      <c r="T342" s="378"/>
      <c r="U342" s="378"/>
      <c r="V342" s="378"/>
      <c r="W342" s="378"/>
      <c r="X342" s="378"/>
      <c r="Y342" s="378"/>
      <c r="Z342" s="378"/>
      <c r="AA342" s="378"/>
      <c r="AB342" s="378"/>
      <c r="AC342" s="378"/>
      <c r="AD342" s="378"/>
      <c r="AE342" s="378"/>
      <c r="AF342" s="378"/>
      <c r="AG342" s="378"/>
    </row>
    <row r="343">
      <c r="A343" s="378"/>
      <c r="B343" s="550"/>
      <c r="C343" s="463"/>
      <c r="D343" s="463"/>
      <c r="E343" s="463"/>
      <c r="F343" s="463"/>
      <c r="G343" s="463"/>
      <c r="H343" s="463"/>
      <c r="I343" s="376"/>
      <c r="J343" s="377"/>
      <c r="K343" s="378"/>
      <c r="L343" s="378"/>
      <c r="M343" s="378"/>
      <c r="N343" s="379"/>
      <c r="O343" s="380"/>
      <c r="P343" s="378"/>
      <c r="Q343" s="378"/>
      <c r="R343" s="378"/>
      <c r="S343" s="378"/>
      <c r="T343" s="378"/>
      <c r="U343" s="378"/>
      <c r="V343" s="378"/>
      <c r="W343" s="378"/>
      <c r="X343" s="378"/>
      <c r="Y343" s="378"/>
      <c r="Z343" s="378"/>
      <c r="AA343" s="378"/>
      <c r="AB343" s="378"/>
      <c r="AC343" s="378"/>
      <c r="AD343" s="378"/>
      <c r="AE343" s="378"/>
      <c r="AF343" s="378"/>
      <c r="AG343" s="378"/>
    </row>
    <row r="344">
      <c r="A344" s="378"/>
      <c r="B344" s="550"/>
      <c r="C344" s="463"/>
      <c r="D344" s="463"/>
      <c r="E344" s="463"/>
      <c r="F344" s="463"/>
      <c r="G344" s="463"/>
      <c r="H344" s="463"/>
      <c r="I344" s="376"/>
      <c r="J344" s="377"/>
      <c r="K344" s="378"/>
      <c r="L344" s="378"/>
      <c r="M344" s="378"/>
      <c r="N344" s="379"/>
      <c r="O344" s="380"/>
      <c r="P344" s="378"/>
      <c r="Q344" s="378"/>
      <c r="R344" s="378"/>
      <c r="S344" s="378"/>
      <c r="T344" s="378"/>
      <c r="U344" s="378"/>
      <c r="V344" s="378"/>
      <c r="W344" s="378"/>
      <c r="X344" s="378"/>
      <c r="Y344" s="378"/>
      <c r="Z344" s="378"/>
      <c r="AA344" s="378"/>
      <c r="AB344" s="378"/>
      <c r="AC344" s="378"/>
      <c r="AD344" s="378"/>
      <c r="AE344" s="378"/>
      <c r="AF344" s="378"/>
      <c r="AG344" s="378"/>
    </row>
    <row r="345">
      <c r="A345" s="378"/>
      <c r="B345" s="382"/>
      <c r="C345" s="388"/>
      <c r="D345" s="384"/>
      <c r="E345" s="385" t="s">
        <v>700</v>
      </c>
      <c r="F345" s="385" t="str">
        <f>Board!A2</f>
        <v>11.17.25-11.23.25</v>
      </c>
      <c r="G345" s="213"/>
      <c r="H345" s="211"/>
      <c r="I345" s="386">
        <v>12.0</v>
      </c>
      <c r="J345" s="387"/>
      <c r="K345" s="388"/>
      <c r="L345" s="384"/>
      <c r="M345" s="385" t="s">
        <v>700</v>
      </c>
      <c r="N345" s="385" t="str">
        <f>Board!A2</f>
        <v>11.17.25-11.23.25</v>
      </c>
      <c r="O345" s="213"/>
      <c r="P345" s="211"/>
      <c r="Q345" s="378"/>
      <c r="R345" s="389" t="s">
        <v>831</v>
      </c>
      <c r="S345" s="389" t="s">
        <v>652</v>
      </c>
      <c r="T345" s="390" t="s">
        <v>832</v>
      </c>
      <c r="U345" s="391" t="s">
        <v>833</v>
      </c>
      <c r="V345" s="389" t="s">
        <v>655</v>
      </c>
      <c r="W345" s="389" t="s">
        <v>8</v>
      </c>
      <c r="X345" s="389" t="s">
        <v>656</v>
      </c>
      <c r="Y345" s="390" t="s">
        <v>834</v>
      </c>
      <c r="Z345" s="392" t="s">
        <v>835</v>
      </c>
      <c r="AA345" s="390" t="s">
        <v>836</v>
      </c>
      <c r="AB345" s="390" t="s">
        <v>837</v>
      </c>
      <c r="AC345" s="393" t="s">
        <v>716</v>
      </c>
      <c r="AD345" s="393" t="s">
        <v>717</v>
      </c>
      <c r="AE345" s="393" t="s">
        <v>718</v>
      </c>
      <c r="AF345" s="394" t="s">
        <v>838</v>
      </c>
      <c r="AG345" s="394"/>
    </row>
    <row r="346">
      <c r="A346" s="378"/>
      <c r="B346" s="395"/>
      <c r="C346" s="372"/>
      <c r="D346" s="396"/>
      <c r="E346" s="385" t="s">
        <v>702</v>
      </c>
      <c r="F346" s="385" t="s">
        <v>676</v>
      </c>
      <c r="G346" s="213"/>
      <c r="H346" s="211"/>
      <c r="I346" s="376"/>
      <c r="J346" s="397"/>
      <c r="K346" s="372"/>
      <c r="L346" s="396"/>
      <c r="M346" s="385" t="s">
        <v>351</v>
      </c>
      <c r="N346" s="385" t="str">
        <f t="array" ref="N346">XLOOKUP(N347,Board!K:K,Board!J:J)</f>
        <v>KESNY METELUS</v>
      </c>
      <c r="O346" s="213"/>
      <c r="P346" s="211"/>
      <c r="Q346" s="378"/>
      <c r="R346" s="398">
        <f>I345</f>
        <v>12</v>
      </c>
      <c r="S346" s="398">
        <f>F347</f>
        <v>2890</v>
      </c>
      <c r="T346" s="399">
        <f>G367</f>
        <v>4793.16</v>
      </c>
      <c r="U346" s="378" t="str">
        <f>N346</f>
        <v>KESNY METELUS</v>
      </c>
      <c r="V346" s="380">
        <f>O367</f>
        <v>2996.5</v>
      </c>
      <c r="W346" s="399">
        <f>P355</f>
        <v>2996.5</v>
      </c>
      <c r="X346" s="399">
        <f>C366</f>
        <v>2816.84</v>
      </c>
      <c r="Y346" s="400">
        <f>N355</f>
        <v>4610</v>
      </c>
      <c r="Z346" s="399">
        <f>V347-V346</f>
        <v>1796.66</v>
      </c>
      <c r="AA346" s="378"/>
      <c r="AB346" s="378"/>
      <c r="AC346" s="401">
        <f>C363</f>
        <v>150</v>
      </c>
      <c r="AD346" s="401">
        <f>C364</f>
        <v>400</v>
      </c>
      <c r="AE346" s="401">
        <f>C365</f>
        <v>200</v>
      </c>
      <c r="AF346" s="398">
        <f>C367+C368+C369+C370+C371</f>
        <v>0</v>
      </c>
      <c r="AG346" s="398"/>
    </row>
    <row r="347">
      <c r="A347" s="378"/>
      <c r="B347" s="395"/>
      <c r="C347" s="372"/>
      <c r="D347" s="402"/>
      <c r="E347" s="385" t="s">
        <v>703</v>
      </c>
      <c r="F347" s="385">
        <v>2890.0</v>
      </c>
      <c r="G347" s="213"/>
      <c r="H347" s="211"/>
      <c r="I347" s="376"/>
      <c r="J347" s="397"/>
      <c r="K347" s="372"/>
      <c r="L347" s="402"/>
      <c r="M347" s="385" t="s">
        <v>703</v>
      </c>
      <c r="N347" s="385">
        <f>F347</f>
        <v>2890</v>
      </c>
      <c r="O347" s="213"/>
      <c r="P347" s="211"/>
      <c r="Q347" s="378"/>
      <c r="R347" s="378"/>
      <c r="S347" s="378"/>
      <c r="T347" s="378"/>
      <c r="U347" s="378" t="str">
        <f>F346</f>
        <v>Skyhill LLC</v>
      </c>
      <c r="V347" s="399">
        <f>G367</f>
        <v>4793.16</v>
      </c>
      <c r="W347" s="399">
        <f>H355</f>
        <v>8360</v>
      </c>
      <c r="X347" s="378"/>
      <c r="Y347" s="378"/>
      <c r="Z347" s="378"/>
      <c r="AA347" s="378"/>
      <c r="AB347" s="378"/>
      <c r="AC347" s="378"/>
      <c r="AD347" s="378"/>
      <c r="AE347" s="378"/>
      <c r="AF347" s="378"/>
      <c r="AG347" s="378"/>
    </row>
    <row r="348">
      <c r="A348" s="378"/>
      <c r="B348" s="403" t="s">
        <v>704</v>
      </c>
      <c r="C348" s="404" t="s">
        <v>5</v>
      </c>
      <c r="D348" s="405" t="s">
        <v>6</v>
      </c>
      <c r="E348" s="406" t="s">
        <v>7</v>
      </c>
      <c r="F348" s="404" t="s">
        <v>8</v>
      </c>
      <c r="G348" s="404" t="s">
        <v>706</v>
      </c>
      <c r="H348" s="404" t="s">
        <v>707</v>
      </c>
      <c r="I348" s="376"/>
      <c r="J348" s="407" t="s">
        <v>704</v>
      </c>
      <c r="K348" s="404" t="s">
        <v>5</v>
      </c>
      <c r="L348" s="405" t="s">
        <v>6</v>
      </c>
      <c r="M348" s="406" t="s">
        <v>7</v>
      </c>
      <c r="N348" s="404" t="s">
        <v>591</v>
      </c>
      <c r="O348" s="408" t="s">
        <v>839</v>
      </c>
      <c r="P348" s="404" t="s">
        <v>707</v>
      </c>
      <c r="Q348" s="378"/>
      <c r="R348" s="378"/>
      <c r="S348" s="378"/>
      <c r="T348" s="378"/>
      <c r="U348" s="378"/>
      <c r="V348" s="378"/>
      <c r="W348" s="378"/>
      <c r="X348" s="378"/>
      <c r="Y348" s="378"/>
      <c r="Z348" s="378"/>
      <c r="AA348" s="378"/>
      <c r="AB348" s="378"/>
      <c r="AC348" s="378"/>
      <c r="AD348" s="378"/>
      <c r="AE348" s="378"/>
      <c r="AF348" s="378"/>
      <c r="AG348" s="378"/>
    </row>
    <row r="349">
      <c r="A349" s="378"/>
      <c r="B349" s="555">
        <f>IFERROR(__xludf.DUMMYFUNCTION("FILTER(Board!C:G,Board!K:K=F347)"),45978.0)</f>
        <v>45978</v>
      </c>
      <c r="C349" s="404">
        <f>IFERROR(__xludf.DUMMYFUNCTION("""COMPUTED_VALUE"""),2776823.0)</f>
        <v>2776823</v>
      </c>
      <c r="D349" s="405" t="str">
        <f>IFERROR(__xludf.DUMMYFUNCTION("""COMPUTED_VALUE"""),"Oklahoma City, OK, 73108")</f>
        <v>Oklahoma City, OK, 73108</v>
      </c>
      <c r="E349" s="406" t="str">
        <f>IFERROR(__xludf.DUMMYFUNCTION("""COMPUTED_VALUE"""),"West Valley City, UT, 84128")</f>
        <v>West Valley City, UT, 84128</v>
      </c>
      <c r="F349" s="414">
        <f>IFERROR(__xludf.DUMMYFUNCTION("""COMPUTED_VALUE"""),2200.0)</f>
        <v>2200</v>
      </c>
      <c r="G349" s="413">
        <v>0.88</v>
      </c>
      <c r="H349" s="414">
        <f t="shared" ref="H349:H351" si="20">F349*G349</f>
        <v>1936</v>
      </c>
      <c r="I349" s="376"/>
      <c r="J349" s="415">
        <f>IFERROR(__xludf.DUMMYFUNCTION("FILTER(Board!C:F,Board!K:K=N347)"),45978.0)</f>
        <v>45978</v>
      </c>
      <c r="K349" s="411">
        <f>IFERROR(__xludf.DUMMYFUNCTION("""COMPUTED_VALUE"""),2776823.0)</f>
        <v>2776823</v>
      </c>
      <c r="L349" s="411" t="str">
        <f>IFERROR(__xludf.DUMMYFUNCTION("""COMPUTED_VALUE"""),"Oklahoma City, OK, 73108")</f>
        <v>Oklahoma City, OK, 73108</v>
      </c>
      <c r="M349" s="411" t="str">
        <f>IFERROR(__xludf.DUMMYFUNCTION("""COMPUTED_VALUE"""),"West Valley City, UT, 84128")</f>
        <v>West Valley City, UT, 84128</v>
      </c>
      <c r="N349" s="416">
        <f>IFERROR(__xludf.DUMMYFUNCTION("FILTER(Board!H:H,Board!K:K=N347)"),1139.0)</f>
        <v>1139</v>
      </c>
      <c r="O349" s="408">
        <v>0.65</v>
      </c>
      <c r="P349" s="414">
        <f t="shared" ref="P349:P351" si="21">N349*O349</f>
        <v>740.35</v>
      </c>
      <c r="Q349" s="378"/>
      <c r="R349" s="378"/>
      <c r="S349" s="378"/>
      <c r="T349" s="378"/>
      <c r="U349" s="378"/>
      <c r="V349" s="378"/>
      <c r="W349" s="378"/>
      <c r="X349" s="378"/>
      <c r="Y349" s="378"/>
      <c r="Z349" s="378"/>
      <c r="AA349" s="378"/>
      <c r="AB349" s="378"/>
      <c r="AC349" s="378"/>
      <c r="AD349" s="378"/>
      <c r="AE349" s="378"/>
      <c r="AF349" s="378"/>
      <c r="AG349" s="378"/>
    </row>
    <row r="350">
      <c r="A350" s="378"/>
      <c r="B350" s="555">
        <f>IFERROR(__xludf.DUMMYFUNCTION("""COMPUTED_VALUE"""),45980.0)</f>
        <v>45980</v>
      </c>
      <c r="C350" s="404">
        <f>IFERROR(__xludf.DUMMYFUNCTION("""COMPUTED_VALUE"""),2.0542938E7)</f>
        <v>20542938</v>
      </c>
      <c r="D350" s="405" t="str">
        <f>IFERROR(__xludf.DUMMYFUNCTION("""COMPUTED_VALUE"""),"Grantsville, UT, 84029")</f>
        <v>Grantsville, UT, 84029</v>
      </c>
      <c r="E350" s="406" t="str">
        <f>IFERROR(__xludf.DUMMYFUNCTION("""COMPUTED_VALUE"""),"Moxee, WA, 98936")</f>
        <v>Moxee, WA, 98936</v>
      </c>
      <c r="F350" s="414">
        <f>IFERROR(__xludf.DUMMYFUNCTION("""COMPUTED_VALUE"""),1800.0)</f>
        <v>1800</v>
      </c>
      <c r="G350" s="413">
        <v>0.88</v>
      </c>
      <c r="H350" s="414">
        <f t="shared" si="20"/>
        <v>1584</v>
      </c>
      <c r="I350" s="376"/>
      <c r="J350" s="418">
        <f>IFERROR(__xludf.DUMMYFUNCTION("""COMPUTED_VALUE"""),45980.0)</f>
        <v>45980</v>
      </c>
      <c r="K350" s="411">
        <f>IFERROR(__xludf.DUMMYFUNCTION("""COMPUTED_VALUE"""),2.0542938E7)</f>
        <v>20542938</v>
      </c>
      <c r="L350" s="411" t="str">
        <f>IFERROR(__xludf.DUMMYFUNCTION("""COMPUTED_VALUE"""),"Grantsville, UT, 84029")</f>
        <v>Grantsville, UT, 84029</v>
      </c>
      <c r="M350" s="411" t="str">
        <f>IFERROR(__xludf.DUMMYFUNCTION("""COMPUTED_VALUE"""),"Moxee, WA, 98936")</f>
        <v>Moxee, WA, 98936</v>
      </c>
      <c r="N350" s="416">
        <f>IFERROR(__xludf.DUMMYFUNCTION("""COMPUTED_VALUE"""),783.0)</f>
        <v>783</v>
      </c>
      <c r="O350" s="408">
        <v>0.65</v>
      </c>
      <c r="P350" s="414">
        <f t="shared" si="21"/>
        <v>508.95</v>
      </c>
      <c r="Q350" s="378"/>
      <c r="R350" s="378"/>
      <c r="S350" s="378"/>
      <c r="T350" s="378"/>
      <c r="U350" s="378"/>
      <c r="V350" s="378"/>
      <c r="W350" s="378"/>
      <c r="X350" s="378"/>
      <c r="Y350" s="378"/>
      <c r="Z350" s="378"/>
      <c r="AA350" s="378"/>
      <c r="AB350" s="378"/>
      <c r="AC350" s="378"/>
      <c r="AD350" s="378"/>
      <c r="AE350" s="378"/>
      <c r="AF350" s="378"/>
      <c r="AG350" s="378"/>
    </row>
    <row r="351">
      <c r="A351" s="378"/>
      <c r="B351" s="499">
        <f>IFERROR(__xludf.DUMMYFUNCTION("""COMPUTED_VALUE"""),45981.0)</f>
        <v>45981</v>
      </c>
      <c r="C351" s="421">
        <f>IFERROR(__xludf.DUMMYFUNCTION("""COMPUTED_VALUE"""),288863.0)</f>
        <v>288863</v>
      </c>
      <c r="D351" s="422" t="str">
        <f>IFERROR(__xludf.DUMMYFUNCTION("""COMPUTED_VALUE"""),"Yakima, WA, 98902")</f>
        <v>Yakima, WA, 98902</v>
      </c>
      <c r="E351" s="423" t="str">
        <f>IFERROR(__xludf.DUMMYFUNCTION("""COMPUTED_VALUE"""),"York, PA, 17406")</f>
        <v>York, PA, 17406</v>
      </c>
      <c r="F351" s="500">
        <f>IFERROR(__xludf.DUMMYFUNCTION("""COMPUTED_VALUE"""),5500.0)</f>
        <v>5500</v>
      </c>
      <c r="G351" s="413">
        <v>0.88</v>
      </c>
      <c r="H351" s="414">
        <f t="shared" si="20"/>
        <v>4840</v>
      </c>
      <c r="I351" s="376"/>
      <c r="J351" s="545">
        <f>IFERROR(__xludf.DUMMYFUNCTION("""COMPUTED_VALUE"""),45981.0)</f>
        <v>45981</v>
      </c>
      <c r="K351" s="421">
        <f>IFERROR(__xludf.DUMMYFUNCTION("""COMPUTED_VALUE"""),288863.0)</f>
        <v>288863</v>
      </c>
      <c r="L351" s="422" t="str">
        <f>IFERROR(__xludf.DUMMYFUNCTION("""COMPUTED_VALUE"""),"Yakima, WA, 98902")</f>
        <v>Yakima, WA, 98902</v>
      </c>
      <c r="M351" s="423" t="str">
        <f>IFERROR(__xludf.DUMMYFUNCTION("""COMPUTED_VALUE"""),"York, PA, 17406")</f>
        <v>York, PA, 17406</v>
      </c>
      <c r="N351" s="546">
        <f>IFERROR(__xludf.DUMMYFUNCTION("""COMPUTED_VALUE"""),2688.0)</f>
        <v>2688</v>
      </c>
      <c r="O351" s="408">
        <v>0.65</v>
      </c>
      <c r="P351" s="414">
        <f t="shared" si="21"/>
        <v>1747.2</v>
      </c>
      <c r="Q351" s="378"/>
      <c r="R351" s="378"/>
      <c r="S351" s="378"/>
      <c r="T351" s="378"/>
      <c r="U351" s="378"/>
      <c r="V351" s="378"/>
      <c r="W351" s="378"/>
      <c r="X351" s="378"/>
      <c r="Y351" s="378"/>
      <c r="Z351" s="378"/>
      <c r="AA351" s="378"/>
      <c r="AB351" s="378"/>
      <c r="AC351" s="378"/>
      <c r="AD351" s="378"/>
      <c r="AE351" s="378"/>
      <c r="AF351" s="378"/>
      <c r="AG351" s="378"/>
    </row>
    <row r="352">
      <c r="A352" s="378"/>
      <c r="B352" s="420"/>
      <c r="C352" s="421"/>
      <c r="D352" s="422"/>
      <c r="E352" s="423"/>
      <c r="F352" s="421"/>
      <c r="G352" s="413"/>
      <c r="H352" s="414"/>
      <c r="I352" s="376"/>
      <c r="J352" s="424"/>
      <c r="K352" s="421"/>
      <c r="L352" s="422"/>
      <c r="M352" s="423"/>
      <c r="N352" s="425"/>
      <c r="O352" s="408"/>
      <c r="P352" s="414"/>
      <c r="Q352" s="378"/>
      <c r="R352" s="378"/>
      <c r="S352" s="378"/>
      <c r="T352" s="378"/>
      <c r="U352" s="378"/>
      <c r="V352" s="378"/>
      <c r="W352" s="378"/>
      <c r="X352" s="378"/>
      <c r="Y352" s="378"/>
      <c r="Z352" s="378"/>
      <c r="AA352" s="378"/>
      <c r="AB352" s="378"/>
      <c r="AC352" s="378"/>
      <c r="AD352" s="378"/>
      <c r="AE352" s="378"/>
      <c r="AF352" s="378"/>
      <c r="AG352" s="378"/>
    </row>
    <row r="353">
      <c r="A353" s="378"/>
      <c r="B353" s="420"/>
      <c r="C353" s="421"/>
      <c r="D353" s="422"/>
      <c r="E353" s="423"/>
      <c r="F353" s="421"/>
      <c r="G353" s="413"/>
      <c r="H353" s="414"/>
      <c r="I353" s="376"/>
      <c r="J353" s="424"/>
      <c r="K353" s="421"/>
      <c r="L353" s="422"/>
      <c r="M353" s="423"/>
      <c r="N353" s="425"/>
      <c r="O353" s="408"/>
      <c r="P353" s="414"/>
      <c r="Q353" s="378"/>
      <c r="R353" s="378"/>
      <c r="S353" s="378"/>
      <c r="T353" s="378"/>
      <c r="U353" s="378"/>
      <c r="V353" s="378"/>
      <c r="W353" s="378"/>
      <c r="X353" s="378"/>
      <c r="Y353" s="378"/>
      <c r="Z353" s="378"/>
      <c r="AA353" s="378"/>
      <c r="AB353" s="378"/>
      <c r="AC353" s="378"/>
      <c r="AD353" s="378"/>
      <c r="AE353" s="378"/>
      <c r="AF353" s="378"/>
      <c r="AG353" s="378"/>
    </row>
    <row r="354">
      <c r="A354" s="378"/>
      <c r="B354" s="420"/>
      <c r="C354" s="421"/>
      <c r="D354" s="422"/>
      <c r="E354" s="423"/>
      <c r="F354" s="421"/>
      <c r="G354" s="413"/>
      <c r="H354" s="414"/>
      <c r="I354" s="376"/>
      <c r="J354" s="424"/>
      <c r="K354" s="421"/>
      <c r="L354" s="422"/>
      <c r="M354" s="423"/>
      <c r="N354" s="425"/>
      <c r="O354" s="408"/>
      <c r="P354" s="414"/>
      <c r="Q354" s="378"/>
      <c r="R354" s="378"/>
      <c r="S354" s="378"/>
      <c r="T354" s="378"/>
      <c r="U354" s="378"/>
      <c r="V354" s="378"/>
      <c r="W354" s="378"/>
      <c r="X354" s="378"/>
      <c r="Y354" s="378"/>
      <c r="Z354" s="378"/>
      <c r="AA354" s="378"/>
      <c r="AB354" s="378"/>
      <c r="AC354" s="378"/>
      <c r="AD354" s="378"/>
      <c r="AE354" s="378"/>
      <c r="AF354" s="378"/>
      <c r="AG354" s="378"/>
    </row>
    <row r="355">
      <c r="A355" s="378"/>
      <c r="B355" s="403" t="s">
        <v>711</v>
      </c>
      <c r="C355" s="224"/>
      <c r="D355" s="224"/>
      <c r="E355" s="222"/>
      <c r="F355" s="414">
        <f>SUM(F349:F354)</f>
        <v>9500</v>
      </c>
      <c r="G355" s="421"/>
      <c r="H355" s="414">
        <f>SUM(H349:H354)</f>
        <v>8360</v>
      </c>
      <c r="I355" s="376"/>
      <c r="J355" s="407" t="s">
        <v>711</v>
      </c>
      <c r="K355" s="224"/>
      <c r="L355" s="224"/>
      <c r="M355" s="222"/>
      <c r="N355" s="426">
        <f>SUM(N349:N354)</f>
        <v>4610</v>
      </c>
      <c r="O355" s="427"/>
      <c r="P355" s="414">
        <f>SUM(P349:P354)</f>
        <v>2996.5</v>
      </c>
      <c r="Q355" s="378"/>
      <c r="R355" s="378"/>
      <c r="S355" s="378"/>
      <c r="T355" s="378"/>
      <c r="U355" s="378"/>
      <c r="V355" s="378"/>
      <c r="W355" s="378"/>
      <c r="X355" s="378"/>
      <c r="Y355" s="378"/>
      <c r="Z355" s="378"/>
      <c r="AA355" s="378"/>
      <c r="AB355" s="378"/>
      <c r="AC355" s="378"/>
      <c r="AD355" s="378"/>
      <c r="AE355" s="378"/>
      <c r="AF355" s="378"/>
      <c r="AG355" s="378"/>
    </row>
    <row r="356">
      <c r="A356" s="378"/>
      <c r="B356" s="428"/>
      <c r="C356" s="419"/>
      <c r="D356" s="419"/>
      <c r="E356" s="419"/>
      <c r="F356" s="419"/>
      <c r="G356" s="419"/>
      <c r="H356" s="429"/>
      <c r="I356" s="376"/>
      <c r="J356" s="430"/>
      <c r="K356" s="419"/>
      <c r="L356" s="419"/>
      <c r="M356" s="419"/>
      <c r="N356" s="431"/>
      <c r="O356" s="432"/>
      <c r="P356" s="429"/>
      <c r="Q356" s="378"/>
      <c r="R356" s="378"/>
      <c r="S356" s="378"/>
      <c r="T356" s="378"/>
      <c r="U356" s="378"/>
      <c r="V356" s="378"/>
      <c r="W356" s="378"/>
      <c r="X356" s="378"/>
      <c r="Y356" s="378"/>
      <c r="Z356" s="378"/>
      <c r="AA356" s="378"/>
      <c r="AB356" s="378"/>
      <c r="AC356" s="378"/>
      <c r="AD356" s="378"/>
      <c r="AE356" s="378"/>
      <c r="AF356" s="378"/>
      <c r="AG356" s="378"/>
    </row>
    <row r="357">
      <c r="A357" s="378"/>
      <c r="B357" s="433" t="s">
        <v>712</v>
      </c>
      <c r="C357" s="434"/>
      <c r="D357" s="435"/>
      <c r="E357" s="419"/>
      <c r="F357" s="419"/>
      <c r="G357" s="419"/>
      <c r="H357" s="429"/>
      <c r="I357" s="376"/>
      <c r="J357" s="437" t="s">
        <v>712</v>
      </c>
      <c r="K357" s="434"/>
      <c r="L357" s="435"/>
      <c r="M357" s="419"/>
      <c r="N357" s="431"/>
      <c r="O357" s="432"/>
      <c r="P357" s="429"/>
      <c r="Q357" s="378"/>
      <c r="R357" s="378"/>
      <c r="S357" s="378"/>
      <c r="T357" s="378"/>
      <c r="U357" s="378"/>
      <c r="V357" s="378"/>
      <c r="W357" s="378"/>
      <c r="X357" s="378"/>
      <c r="Y357" s="378"/>
      <c r="Z357" s="378"/>
      <c r="AA357" s="378"/>
      <c r="AB357" s="378"/>
      <c r="AC357" s="378"/>
      <c r="AD357" s="378"/>
      <c r="AE357" s="378"/>
      <c r="AF357" s="378"/>
      <c r="AG357" s="378"/>
    </row>
    <row r="358">
      <c r="A358" s="378"/>
      <c r="B358" s="438" t="s">
        <v>713</v>
      </c>
      <c r="C358" s="439"/>
      <c r="D358" s="440"/>
      <c r="E358" s="419"/>
      <c r="F358" s="419"/>
      <c r="G358" s="419"/>
      <c r="H358" s="429"/>
      <c r="I358" s="376"/>
      <c r="J358" s="443" t="s">
        <v>713</v>
      </c>
      <c r="K358" s="439"/>
      <c r="L358" s="440"/>
      <c r="M358" s="419"/>
      <c r="N358" s="431"/>
      <c r="O358" s="432"/>
      <c r="P358" s="429"/>
      <c r="Q358" s="378"/>
      <c r="R358" s="378"/>
      <c r="S358" s="378"/>
      <c r="T358" s="378"/>
      <c r="U358" s="378"/>
      <c r="V358" s="378"/>
      <c r="W358" s="378"/>
      <c r="X358" s="378"/>
      <c r="Y358" s="378"/>
      <c r="Z358" s="378"/>
      <c r="AA358" s="378"/>
      <c r="AB358" s="378"/>
      <c r="AC358" s="378"/>
      <c r="AD358" s="378"/>
      <c r="AE358" s="378"/>
      <c r="AF358" s="378"/>
      <c r="AG358" s="378"/>
    </row>
    <row r="359">
      <c r="A359" s="378"/>
      <c r="B359" s="444"/>
      <c r="C359" s="434"/>
      <c r="D359" s="435"/>
      <c r="E359" s="419"/>
      <c r="F359" s="463"/>
      <c r="G359" s="463"/>
      <c r="H359" s="448"/>
      <c r="I359" s="376"/>
      <c r="J359" s="445"/>
      <c r="K359" s="434"/>
      <c r="L359" s="435"/>
      <c r="M359" s="419"/>
      <c r="N359" s="446"/>
      <c r="O359" s="447"/>
      <c r="P359" s="448"/>
      <c r="Q359" s="378"/>
      <c r="R359" s="378"/>
      <c r="S359" s="378"/>
      <c r="T359" s="378"/>
      <c r="U359" s="378"/>
      <c r="V359" s="378"/>
      <c r="W359" s="378"/>
      <c r="X359" s="378"/>
      <c r="Y359" s="378"/>
      <c r="Z359" s="378"/>
      <c r="AA359" s="378"/>
      <c r="AB359" s="378"/>
      <c r="AC359" s="378"/>
      <c r="AD359" s="378"/>
      <c r="AE359" s="378"/>
      <c r="AF359" s="378"/>
      <c r="AG359" s="378"/>
    </row>
    <row r="360">
      <c r="A360" s="378"/>
      <c r="B360" s="438" t="s">
        <v>714</v>
      </c>
      <c r="C360" s="439">
        <f>SUM(C358:C359)</f>
        <v>0</v>
      </c>
      <c r="D360" s="440"/>
      <c r="E360" s="419"/>
      <c r="F360" s="463"/>
      <c r="G360" s="463"/>
      <c r="H360" s="448"/>
      <c r="I360" s="376"/>
      <c r="J360" s="443" t="s">
        <v>714</v>
      </c>
      <c r="K360" s="439">
        <f>SUM(K358:K359)</f>
        <v>0</v>
      </c>
      <c r="L360" s="440"/>
      <c r="M360" s="419"/>
      <c r="N360" s="446"/>
      <c r="O360" s="447"/>
      <c r="P360" s="448"/>
      <c r="Q360" s="378"/>
      <c r="R360" s="378"/>
      <c r="S360" s="378"/>
      <c r="T360" s="378"/>
      <c r="U360" s="378"/>
      <c r="V360" s="378"/>
      <c r="W360" s="378"/>
      <c r="X360" s="378"/>
      <c r="Y360" s="378"/>
      <c r="Z360" s="378"/>
      <c r="AA360" s="378"/>
      <c r="AB360" s="378"/>
      <c r="AC360" s="378"/>
      <c r="AD360" s="378"/>
      <c r="AE360" s="378"/>
      <c r="AF360" s="378"/>
      <c r="AG360" s="378"/>
    </row>
    <row r="361">
      <c r="A361" s="378"/>
      <c r="B361" s="450"/>
      <c r="C361" s="451"/>
      <c r="D361" s="419"/>
      <c r="E361" s="419"/>
      <c r="F361" s="463"/>
      <c r="G361" s="463"/>
      <c r="H361" s="448"/>
      <c r="I361" s="376"/>
      <c r="J361" s="535"/>
      <c r="K361" s="451"/>
      <c r="L361" s="419"/>
      <c r="M361" s="419"/>
      <c r="N361" s="446"/>
      <c r="O361" s="447"/>
      <c r="P361" s="448"/>
      <c r="Q361" s="378"/>
      <c r="R361" s="378"/>
      <c r="S361" s="378"/>
      <c r="T361" s="378"/>
      <c r="U361" s="378"/>
      <c r="V361" s="378"/>
      <c r="W361" s="378"/>
      <c r="X361" s="378"/>
      <c r="Y361" s="378"/>
      <c r="Z361" s="378"/>
      <c r="AA361" s="378"/>
      <c r="AB361" s="378"/>
      <c r="AC361" s="378"/>
      <c r="AD361" s="378"/>
      <c r="AE361" s="378"/>
      <c r="AF361" s="378"/>
      <c r="AG361" s="378"/>
    </row>
    <row r="362">
      <c r="A362" s="378"/>
      <c r="B362" s="454" t="s">
        <v>715</v>
      </c>
      <c r="C362" s="455"/>
      <c r="D362" s="435"/>
      <c r="E362" s="419"/>
      <c r="F362" s="463"/>
      <c r="G362" s="463"/>
      <c r="H362" s="448"/>
      <c r="I362" s="376"/>
      <c r="J362" s="458" t="s">
        <v>715</v>
      </c>
      <c r="K362" s="455"/>
      <c r="L362" s="435"/>
      <c r="M362" s="419"/>
      <c r="N362" s="446"/>
      <c r="O362" s="447"/>
      <c r="P362" s="448"/>
      <c r="Q362" s="378"/>
      <c r="R362" s="378"/>
      <c r="S362" s="378"/>
      <c r="T362" s="378"/>
      <c r="U362" s="378"/>
      <c r="V362" s="378"/>
      <c r="W362" s="378"/>
      <c r="X362" s="378"/>
      <c r="Y362" s="378"/>
      <c r="Z362" s="378"/>
      <c r="AA362" s="378"/>
      <c r="AB362" s="378"/>
      <c r="AC362" s="378"/>
      <c r="AD362" s="378"/>
      <c r="AE362" s="378"/>
      <c r="AF362" s="378"/>
      <c r="AG362" s="378"/>
    </row>
    <row r="363">
      <c r="A363" s="378"/>
      <c r="B363" s="459" t="s">
        <v>716</v>
      </c>
      <c r="C363" s="460">
        <v>150.0</v>
      </c>
      <c r="D363" s="440"/>
      <c r="E363" s="419"/>
      <c r="F363" s="463"/>
      <c r="G363" s="463"/>
      <c r="H363" s="448"/>
      <c r="I363" s="376"/>
      <c r="J363" s="462"/>
      <c r="K363" s="460"/>
      <c r="L363" s="440"/>
      <c r="M363" s="419"/>
      <c r="N363" s="446"/>
      <c r="O363" s="447"/>
      <c r="P363" s="448"/>
      <c r="Q363" s="378"/>
      <c r="R363" s="378"/>
      <c r="S363" s="378"/>
      <c r="T363" s="378"/>
      <c r="U363" s="378"/>
      <c r="V363" s="378"/>
      <c r="W363" s="378"/>
      <c r="X363" s="378"/>
      <c r="Y363" s="378"/>
      <c r="Z363" s="378"/>
      <c r="AA363" s="378"/>
      <c r="AB363" s="378"/>
      <c r="AC363" s="378"/>
      <c r="AD363" s="378"/>
      <c r="AE363" s="378"/>
      <c r="AF363" s="378"/>
      <c r="AG363" s="378"/>
    </row>
    <row r="364">
      <c r="A364" s="378"/>
      <c r="B364" s="459" t="s">
        <v>717</v>
      </c>
      <c r="C364" s="460">
        <v>400.0</v>
      </c>
      <c r="D364" s="440"/>
      <c r="E364" s="419"/>
      <c r="F364" s="463"/>
      <c r="G364" s="463"/>
      <c r="H364" s="448"/>
      <c r="I364" s="376"/>
      <c r="J364" s="462"/>
      <c r="K364" s="460"/>
      <c r="L364" s="440"/>
      <c r="M364" s="419"/>
      <c r="N364" s="446"/>
      <c r="O364" s="447"/>
      <c r="P364" s="448"/>
      <c r="Q364" s="378"/>
      <c r="R364" s="378"/>
      <c r="S364" s="378"/>
      <c r="T364" s="378"/>
      <c r="U364" s="378"/>
      <c r="V364" s="378"/>
      <c r="W364" s="378"/>
      <c r="X364" s="378"/>
      <c r="Y364" s="378"/>
      <c r="Z364" s="378"/>
      <c r="AA364" s="378"/>
      <c r="AB364" s="378"/>
      <c r="AC364" s="378"/>
      <c r="AD364" s="378"/>
      <c r="AE364" s="378"/>
      <c r="AF364" s="378"/>
      <c r="AG364" s="378"/>
    </row>
    <row r="365">
      <c r="A365" s="378"/>
      <c r="B365" s="459" t="s">
        <v>718</v>
      </c>
      <c r="C365" s="460">
        <v>200.0</v>
      </c>
      <c r="D365" s="440"/>
      <c r="E365" s="419"/>
      <c r="F365" s="463"/>
      <c r="G365" s="463"/>
      <c r="H365" s="448"/>
      <c r="I365" s="376"/>
      <c r="J365" s="462"/>
      <c r="K365" s="460"/>
      <c r="L365" s="440"/>
      <c r="M365" s="419"/>
      <c r="N365" s="446"/>
      <c r="O365" s="447"/>
      <c r="P365" s="448"/>
      <c r="Q365" s="378"/>
      <c r="R365" s="378"/>
      <c r="S365" s="378"/>
      <c r="T365" s="378"/>
      <c r="U365" s="378"/>
      <c r="V365" s="378"/>
      <c r="W365" s="378"/>
      <c r="X365" s="378"/>
      <c r="Y365" s="378"/>
      <c r="Z365" s="378"/>
      <c r="AA365" s="378"/>
      <c r="AB365" s="378"/>
      <c r="AC365" s="378"/>
      <c r="AD365" s="378"/>
      <c r="AE365" s="378"/>
      <c r="AF365" s="378"/>
      <c r="AG365" s="378"/>
    </row>
    <row r="366">
      <c r="A366" s="378"/>
      <c r="B366" s="459" t="s">
        <v>656</v>
      </c>
      <c r="C366" s="460">
        <f>IFERROR(__xludf.DUMMYFUNCTION("FILTER(D967:D995,C967:C995=F347)"),2816.84)</f>
        <v>2816.84</v>
      </c>
      <c r="D366" s="440"/>
      <c r="E366" s="419"/>
      <c r="F366" s="463"/>
      <c r="G366" s="463"/>
      <c r="H366" s="448"/>
      <c r="I366" s="376"/>
      <c r="J366" s="462"/>
      <c r="K366" s="460"/>
      <c r="L366" s="440"/>
      <c r="M366" s="419"/>
      <c r="N366" s="446"/>
      <c r="O366" s="447"/>
      <c r="P366" s="448"/>
      <c r="Q366" s="378"/>
      <c r="R366" s="378"/>
      <c r="S366" s="378"/>
      <c r="T366" s="378"/>
      <c r="U366" s="378"/>
      <c r="V366" s="378"/>
      <c r="W366" s="378"/>
      <c r="X366" s="378"/>
      <c r="Y366" s="378"/>
      <c r="Z366" s="378"/>
      <c r="AA366" s="378"/>
      <c r="AB366" s="378"/>
      <c r="AC366" s="378"/>
      <c r="AD366" s="378"/>
      <c r="AE366" s="378"/>
      <c r="AF366" s="378"/>
      <c r="AG366" s="378"/>
    </row>
    <row r="367">
      <c r="A367" s="378"/>
      <c r="B367" s="464"/>
      <c r="C367" s="455"/>
      <c r="D367" s="435"/>
      <c r="E367" s="419"/>
      <c r="F367" s="468" t="s">
        <v>842</v>
      </c>
      <c r="G367" s="466">
        <f>H355+C360-C372</f>
        <v>4793.16</v>
      </c>
      <c r="H367" s="211"/>
      <c r="I367" s="376"/>
      <c r="J367" s="467"/>
      <c r="K367" s="455"/>
      <c r="L367" s="435"/>
      <c r="M367" s="419"/>
      <c r="N367" s="468" t="s">
        <v>842</v>
      </c>
      <c r="O367" s="539">
        <f>P355+K360-K372</f>
        <v>2996.5</v>
      </c>
      <c r="P367" s="211"/>
      <c r="Q367" s="378"/>
      <c r="R367" s="378"/>
      <c r="S367" s="378"/>
      <c r="T367" s="378"/>
      <c r="U367" s="378"/>
      <c r="V367" s="378"/>
      <c r="W367" s="378"/>
      <c r="X367" s="378"/>
      <c r="Y367" s="378"/>
      <c r="Z367" s="378"/>
      <c r="AA367" s="378"/>
      <c r="AB367" s="378"/>
      <c r="AC367" s="378"/>
      <c r="AD367" s="378"/>
      <c r="AE367" s="378"/>
      <c r="AF367" s="378"/>
      <c r="AG367" s="378"/>
    </row>
    <row r="368">
      <c r="A368" s="378"/>
      <c r="B368" s="464"/>
      <c r="C368" s="455"/>
      <c r="D368" s="435"/>
      <c r="E368" s="419"/>
      <c r="F368" s="469" t="s">
        <v>843</v>
      </c>
      <c r="G368" s="278"/>
      <c r="H368" s="56"/>
      <c r="I368" s="376"/>
      <c r="J368" s="467"/>
      <c r="K368" s="455"/>
      <c r="L368" s="435"/>
      <c r="M368" s="419"/>
      <c r="N368" s="469" t="s">
        <v>854</v>
      </c>
      <c r="O368" s="278"/>
      <c r="P368" s="56"/>
      <c r="Q368" s="378"/>
      <c r="R368" s="378"/>
      <c r="S368" s="378"/>
      <c r="T368" s="378"/>
      <c r="U368" s="378"/>
      <c r="V368" s="378"/>
      <c r="W368" s="378"/>
      <c r="X368" s="378"/>
      <c r="Y368" s="378"/>
      <c r="Z368" s="378"/>
      <c r="AA368" s="378"/>
      <c r="AB368" s="378"/>
      <c r="AC368" s="378"/>
      <c r="AD368" s="378"/>
      <c r="AE368" s="378"/>
      <c r="AF368" s="378"/>
      <c r="AG368" s="378"/>
    </row>
    <row r="369">
      <c r="A369" s="378"/>
      <c r="B369" s="464"/>
      <c r="C369" s="455"/>
      <c r="D369" s="435"/>
      <c r="E369" s="419"/>
      <c r="F369" s="470"/>
      <c r="G369" s="215"/>
      <c r="H369" s="64"/>
      <c r="I369" s="376"/>
      <c r="J369" s="467"/>
      <c r="K369" s="455"/>
      <c r="L369" s="435"/>
      <c r="M369" s="419"/>
      <c r="N369" s="470"/>
      <c r="O369" s="215"/>
      <c r="P369" s="64"/>
      <c r="Q369" s="378"/>
      <c r="R369" s="378"/>
      <c r="S369" s="378"/>
      <c r="T369" s="378"/>
      <c r="U369" s="378"/>
      <c r="V369" s="378"/>
      <c r="W369" s="378"/>
      <c r="X369" s="378"/>
      <c r="Y369" s="378"/>
      <c r="Z369" s="378"/>
      <c r="AA369" s="378"/>
      <c r="AB369" s="378"/>
      <c r="AC369" s="378"/>
      <c r="AD369" s="378"/>
      <c r="AE369" s="378"/>
      <c r="AF369" s="378"/>
      <c r="AG369" s="378"/>
    </row>
    <row r="370">
      <c r="A370" s="378"/>
      <c r="B370" s="464"/>
      <c r="C370" s="455"/>
      <c r="D370" s="435"/>
      <c r="E370" s="419"/>
      <c r="F370" s="419"/>
      <c r="G370" s="419"/>
      <c r="H370" s="429"/>
      <c r="I370" s="376"/>
      <c r="J370" s="467"/>
      <c r="K370" s="455"/>
      <c r="L370" s="435"/>
      <c r="M370" s="419"/>
      <c r="N370" s="431"/>
      <c r="O370" s="432"/>
      <c r="P370" s="429"/>
      <c r="Q370" s="378"/>
      <c r="R370" s="378"/>
      <c r="S370" s="378"/>
      <c r="T370" s="378"/>
      <c r="U370" s="378"/>
      <c r="V370" s="378"/>
      <c r="W370" s="378"/>
      <c r="X370" s="378"/>
      <c r="Y370" s="378"/>
      <c r="Z370" s="378"/>
      <c r="AA370" s="378"/>
      <c r="AB370" s="378"/>
      <c r="AC370" s="378"/>
      <c r="AD370" s="378"/>
      <c r="AE370" s="378"/>
      <c r="AF370" s="378"/>
      <c r="AG370" s="378"/>
    </row>
    <row r="371">
      <c r="A371" s="378"/>
      <c r="B371" s="464"/>
      <c r="C371" s="455"/>
      <c r="D371" s="435"/>
      <c r="E371" s="419"/>
      <c r="F371" s="419"/>
      <c r="G371" s="419"/>
      <c r="H371" s="429"/>
      <c r="I371" s="376"/>
      <c r="J371" s="467"/>
      <c r="K371" s="455"/>
      <c r="L371" s="435"/>
      <c r="M371" s="419"/>
      <c r="N371" s="431"/>
      <c r="O371" s="432"/>
      <c r="P371" s="429"/>
      <c r="Q371" s="378"/>
      <c r="R371" s="378"/>
      <c r="S371" s="378"/>
      <c r="T371" s="378"/>
      <c r="U371" s="378"/>
      <c r="V371" s="378"/>
      <c r="W371" s="378"/>
      <c r="X371" s="378"/>
      <c r="Y371" s="378"/>
      <c r="Z371" s="378"/>
      <c r="AA371" s="378"/>
      <c r="AB371" s="378"/>
      <c r="AC371" s="378"/>
      <c r="AD371" s="378"/>
      <c r="AE371" s="378"/>
      <c r="AF371" s="378"/>
      <c r="AG371" s="378"/>
    </row>
    <row r="372">
      <c r="A372" s="378"/>
      <c r="B372" s="454" t="s">
        <v>721</v>
      </c>
      <c r="C372" s="460">
        <f>SUM(C363:C371)</f>
        <v>3566.84</v>
      </c>
      <c r="D372" s="440"/>
      <c r="E372" s="419"/>
      <c r="F372" s="419"/>
      <c r="G372" s="419"/>
      <c r="H372" s="429"/>
      <c r="I372" s="376"/>
      <c r="J372" s="458" t="s">
        <v>721</v>
      </c>
      <c r="K372" s="460">
        <f>SUM(K363:K371)</f>
        <v>0</v>
      </c>
      <c r="L372" s="440"/>
      <c r="M372" s="419"/>
      <c r="N372" s="431"/>
      <c r="O372" s="432"/>
      <c r="P372" s="429"/>
      <c r="Q372" s="378"/>
      <c r="R372" s="378"/>
      <c r="S372" s="378"/>
      <c r="T372" s="378"/>
      <c r="U372" s="378"/>
      <c r="V372" s="378"/>
      <c r="W372" s="378"/>
      <c r="X372" s="378"/>
      <c r="Y372" s="378"/>
      <c r="Z372" s="378"/>
      <c r="AA372" s="378"/>
      <c r="AB372" s="378"/>
      <c r="AC372" s="378"/>
      <c r="AD372" s="378"/>
      <c r="AE372" s="378"/>
      <c r="AF372" s="378"/>
      <c r="AG372" s="378"/>
    </row>
    <row r="373">
      <c r="A373" s="378"/>
      <c r="B373" s="471"/>
      <c r="C373" s="472"/>
      <c r="D373" s="472"/>
      <c r="E373" s="472"/>
      <c r="F373" s="472"/>
      <c r="G373" s="472"/>
      <c r="H373" s="473"/>
      <c r="I373" s="376"/>
      <c r="J373" s="474"/>
      <c r="K373" s="472"/>
      <c r="L373" s="472"/>
      <c r="M373" s="472"/>
      <c r="N373" s="475"/>
      <c r="O373" s="476"/>
      <c r="P373" s="473"/>
      <c r="Q373" s="378"/>
      <c r="R373" s="378"/>
      <c r="S373" s="378"/>
      <c r="T373" s="378"/>
      <c r="U373" s="378"/>
      <c r="V373" s="378"/>
      <c r="W373" s="378"/>
      <c r="X373" s="378"/>
      <c r="Y373" s="378"/>
      <c r="Z373" s="378"/>
      <c r="AA373" s="378"/>
      <c r="AB373" s="378"/>
      <c r="AC373" s="378"/>
      <c r="AD373" s="378"/>
      <c r="AE373" s="378"/>
      <c r="AF373" s="378"/>
      <c r="AG373" s="378"/>
    </row>
    <row r="374">
      <c r="A374" s="378"/>
      <c r="B374" s="550"/>
      <c r="C374" s="463"/>
      <c r="D374" s="463"/>
      <c r="E374" s="463"/>
      <c r="F374" s="463"/>
      <c r="G374" s="463"/>
      <c r="H374" s="463"/>
      <c r="I374" s="376"/>
      <c r="J374" s="377"/>
      <c r="K374" s="378"/>
      <c r="L374" s="378"/>
      <c r="M374" s="378"/>
      <c r="N374" s="379"/>
      <c r="O374" s="380"/>
      <c r="P374" s="378"/>
      <c r="Q374" s="378"/>
      <c r="R374" s="378"/>
      <c r="S374" s="378"/>
      <c r="T374" s="378"/>
      <c r="U374" s="378"/>
      <c r="V374" s="378"/>
      <c r="W374" s="378"/>
      <c r="X374" s="378"/>
      <c r="Y374" s="378"/>
      <c r="Z374" s="378"/>
      <c r="AA374" s="378"/>
      <c r="AB374" s="378"/>
      <c r="AC374" s="378"/>
      <c r="AD374" s="378"/>
      <c r="AE374" s="378"/>
      <c r="AF374" s="378"/>
      <c r="AG374" s="378"/>
    </row>
    <row r="375">
      <c r="A375" s="378"/>
      <c r="B375" s="477"/>
      <c r="C375" s="378"/>
      <c r="D375" s="378"/>
      <c r="E375" s="378"/>
      <c r="F375" s="378"/>
      <c r="G375" s="378"/>
      <c r="H375" s="378"/>
      <c r="I375" s="376"/>
      <c r="J375" s="377"/>
      <c r="K375" s="378"/>
      <c r="L375" s="378"/>
      <c r="M375" s="378"/>
      <c r="N375" s="379"/>
      <c r="O375" s="380"/>
      <c r="P375" s="378"/>
      <c r="Q375" s="378"/>
      <c r="R375" s="378"/>
      <c r="S375" s="378"/>
      <c r="T375" s="378"/>
      <c r="U375" s="378"/>
      <c r="V375" s="378"/>
      <c r="W375" s="378"/>
      <c r="X375" s="378"/>
      <c r="Y375" s="378"/>
      <c r="Z375" s="378"/>
      <c r="AA375" s="378"/>
      <c r="AB375" s="378"/>
      <c r="AC375" s="378"/>
      <c r="AD375" s="378"/>
      <c r="AE375" s="378"/>
      <c r="AF375" s="378"/>
      <c r="AG375" s="378"/>
    </row>
    <row r="376">
      <c r="A376" s="378"/>
      <c r="B376" s="382"/>
      <c r="C376" s="388"/>
      <c r="D376" s="384"/>
      <c r="E376" s="385" t="s">
        <v>700</v>
      </c>
      <c r="F376" s="385" t="str">
        <f>Board!A2</f>
        <v>11.17.25-11.23.25</v>
      </c>
      <c r="G376" s="213"/>
      <c r="H376" s="211"/>
      <c r="I376" s="386">
        <v>13.0</v>
      </c>
      <c r="J376" s="387"/>
      <c r="K376" s="388"/>
      <c r="L376" s="384"/>
      <c r="M376" s="385" t="s">
        <v>700</v>
      </c>
      <c r="N376" s="385" t="str">
        <f>Board!A2</f>
        <v>11.17.25-11.23.25</v>
      </c>
      <c r="O376" s="213"/>
      <c r="P376" s="211"/>
      <c r="Q376" s="378"/>
      <c r="R376" s="389" t="s">
        <v>831</v>
      </c>
      <c r="S376" s="389" t="s">
        <v>652</v>
      </c>
      <c r="T376" s="390" t="s">
        <v>832</v>
      </c>
      <c r="U376" s="391" t="s">
        <v>833</v>
      </c>
      <c r="V376" s="389" t="s">
        <v>655</v>
      </c>
      <c r="W376" s="389" t="s">
        <v>8</v>
      </c>
      <c r="X376" s="389" t="s">
        <v>656</v>
      </c>
      <c r="Y376" s="390" t="s">
        <v>834</v>
      </c>
      <c r="Z376" s="392" t="s">
        <v>835</v>
      </c>
      <c r="AA376" s="390" t="s">
        <v>836</v>
      </c>
      <c r="AB376" s="390" t="s">
        <v>837</v>
      </c>
      <c r="AC376" s="393" t="s">
        <v>716</v>
      </c>
      <c r="AD376" s="393" t="s">
        <v>717</v>
      </c>
      <c r="AE376" s="393" t="s">
        <v>718</v>
      </c>
      <c r="AF376" s="394" t="s">
        <v>838</v>
      </c>
      <c r="AG376" s="394"/>
    </row>
    <row r="377">
      <c r="A377" s="378"/>
      <c r="B377" s="395"/>
      <c r="C377" s="372"/>
      <c r="D377" s="396"/>
      <c r="E377" s="385" t="s">
        <v>702</v>
      </c>
      <c r="F377" s="385" t="s">
        <v>680</v>
      </c>
      <c r="G377" s="213"/>
      <c r="H377" s="211"/>
      <c r="I377" s="376"/>
      <c r="J377" s="397"/>
      <c r="K377" s="372"/>
      <c r="L377" s="396"/>
      <c r="M377" s="385" t="s">
        <v>351</v>
      </c>
      <c r="N377" s="385" t="str">
        <f t="array" ref="N377">XLOOKUP(N378,Board!K:K,Board!J:J)</f>
        <v>Ben Bellah Beliscar</v>
      </c>
      <c r="O377" s="213"/>
      <c r="P377" s="211"/>
      <c r="Q377" s="378"/>
      <c r="R377" s="398">
        <f>I376</f>
        <v>13</v>
      </c>
      <c r="S377" s="398">
        <f>F378</f>
        <v>2932</v>
      </c>
      <c r="T377" s="399">
        <f>G398</f>
        <v>3306.32</v>
      </c>
      <c r="U377" s="378" t="str">
        <f>N377</f>
        <v>Ben Bellah Beliscar</v>
      </c>
      <c r="V377" s="380">
        <f>O398</f>
        <v>2839.2</v>
      </c>
      <c r="W377" s="399">
        <f>P386</f>
        <v>2839.2</v>
      </c>
      <c r="X377" s="399">
        <f>C397</f>
        <v>2953.59</v>
      </c>
      <c r="Y377" s="400">
        <f>N386</f>
        <v>4368</v>
      </c>
      <c r="Z377" s="399">
        <f>V378-V377</f>
        <v>467.12</v>
      </c>
      <c r="AA377" s="378"/>
      <c r="AB377" s="378"/>
      <c r="AC377" s="401">
        <f>C394</f>
        <v>150</v>
      </c>
      <c r="AD377" s="401">
        <f>C395</f>
        <v>400</v>
      </c>
      <c r="AE377" s="401">
        <f>C396</f>
        <v>200</v>
      </c>
      <c r="AF377" s="530">
        <f>C398+C399+C400+C401+C402</f>
        <v>1174.09</v>
      </c>
      <c r="AG377" s="398"/>
    </row>
    <row r="378">
      <c r="A378" s="378"/>
      <c r="B378" s="395"/>
      <c r="C378" s="372"/>
      <c r="D378" s="402"/>
      <c r="E378" s="385" t="s">
        <v>703</v>
      </c>
      <c r="F378" s="385">
        <v>2932.0</v>
      </c>
      <c r="G378" s="213"/>
      <c r="H378" s="211"/>
      <c r="I378" s="376"/>
      <c r="J378" s="397"/>
      <c r="K378" s="372"/>
      <c r="L378" s="402"/>
      <c r="M378" s="385" t="s">
        <v>703</v>
      </c>
      <c r="N378" s="385">
        <f>F378</f>
        <v>2932</v>
      </c>
      <c r="O378" s="213"/>
      <c r="P378" s="211"/>
      <c r="Q378" s="378"/>
      <c r="R378" s="378"/>
      <c r="S378" s="378"/>
      <c r="T378" s="378"/>
      <c r="U378" s="378" t="str">
        <f>F377</f>
        <v>EDT Logistics LLC</v>
      </c>
      <c r="V378" s="399">
        <f>G398</f>
        <v>3306.32</v>
      </c>
      <c r="W378" s="399">
        <f>H386</f>
        <v>8184</v>
      </c>
      <c r="X378" s="378"/>
      <c r="Y378" s="378"/>
      <c r="Z378" s="378"/>
      <c r="AA378" s="378"/>
      <c r="AB378" s="378"/>
      <c r="AC378" s="378"/>
      <c r="AD378" s="378"/>
      <c r="AE378" s="378"/>
      <c r="AF378" s="378"/>
      <c r="AG378" s="378"/>
    </row>
    <row r="379">
      <c r="A379" s="378"/>
      <c r="B379" s="403" t="s">
        <v>704</v>
      </c>
      <c r="C379" s="404" t="s">
        <v>5</v>
      </c>
      <c r="D379" s="405" t="s">
        <v>6</v>
      </c>
      <c r="E379" s="406" t="s">
        <v>7</v>
      </c>
      <c r="F379" s="404" t="s">
        <v>8</v>
      </c>
      <c r="G379" s="404" t="s">
        <v>706</v>
      </c>
      <c r="H379" s="404" t="s">
        <v>707</v>
      </c>
      <c r="I379" s="376"/>
      <c r="J379" s="407" t="s">
        <v>704</v>
      </c>
      <c r="K379" s="404" t="s">
        <v>5</v>
      </c>
      <c r="L379" s="405" t="s">
        <v>6</v>
      </c>
      <c r="M379" s="406" t="s">
        <v>7</v>
      </c>
      <c r="N379" s="404" t="s">
        <v>591</v>
      </c>
      <c r="O379" s="408" t="s">
        <v>839</v>
      </c>
      <c r="P379" s="404" t="s">
        <v>707</v>
      </c>
      <c r="Q379" s="378"/>
      <c r="R379" s="378"/>
      <c r="S379" s="378"/>
      <c r="T379" s="378"/>
      <c r="U379" s="378"/>
      <c r="V379" s="378"/>
      <c r="W379" s="378"/>
      <c r="X379" s="378"/>
      <c r="Y379" s="378"/>
      <c r="Z379" s="378"/>
      <c r="AA379" s="378"/>
      <c r="AB379" s="378"/>
      <c r="AC379" s="378"/>
      <c r="AD379" s="378"/>
      <c r="AE379" s="378"/>
      <c r="AF379" s="378"/>
      <c r="AG379" s="378"/>
    </row>
    <row r="380">
      <c r="A380" s="378"/>
      <c r="B380" s="555">
        <f>IFERROR(__xludf.DUMMYFUNCTION("FILTER(Board!C:G,Board!K:K=F378)"),45978.0)</f>
        <v>45978</v>
      </c>
      <c r="C380" s="404">
        <f>IFERROR(__xludf.DUMMYFUNCTION("""COMPUTED_VALUE"""),13975.0)</f>
        <v>13975</v>
      </c>
      <c r="D380" s="405" t="str">
        <f>IFERROR(__xludf.DUMMYFUNCTION("""COMPUTED_VALUE"""),"Columbus, OH, 43229")</f>
        <v>Columbus, OH, 43229</v>
      </c>
      <c r="E380" s="406" t="str">
        <f>IFERROR(__xludf.DUMMYFUNCTION("""COMPUTED_VALUE"""),"Edwardsville, IL, 62025")</f>
        <v>Edwardsville, IL, 62025</v>
      </c>
      <c r="F380" s="414">
        <f>IFERROR(__xludf.DUMMYFUNCTION("""COMPUTED_VALUE"""),1000.0)</f>
        <v>1000</v>
      </c>
      <c r="G380" s="413">
        <v>0.88</v>
      </c>
      <c r="H380" s="414">
        <f t="shared" ref="H380:H382" si="22">F380*G380</f>
        <v>880</v>
      </c>
      <c r="I380" s="376"/>
      <c r="J380" s="415">
        <f>IFERROR(__xludf.DUMMYFUNCTION("FILTER(Board!C:F,Board!K:K=N378)"),45978.0)</f>
        <v>45978</v>
      </c>
      <c r="K380" s="411">
        <f>IFERROR(__xludf.DUMMYFUNCTION("""COMPUTED_VALUE"""),13975.0)</f>
        <v>13975</v>
      </c>
      <c r="L380" s="411" t="str">
        <f>IFERROR(__xludf.DUMMYFUNCTION("""COMPUTED_VALUE"""),"Columbus, OH, 43229")</f>
        <v>Columbus, OH, 43229</v>
      </c>
      <c r="M380" s="411" t="str">
        <f>IFERROR(__xludf.DUMMYFUNCTION("""COMPUTED_VALUE"""),"Edwardsville, IL, 62025")</f>
        <v>Edwardsville, IL, 62025</v>
      </c>
      <c r="N380" s="416">
        <f>IFERROR(__xludf.DUMMYFUNCTION("FILTER(Board!H:H,Board!K:K=N378)"),441.0)</f>
        <v>441</v>
      </c>
      <c r="O380" s="408">
        <v>0.65</v>
      </c>
      <c r="P380" s="414">
        <f t="shared" ref="P380:P383" si="23">N380*O380</f>
        <v>286.65</v>
      </c>
      <c r="Q380" s="378"/>
      <c r="R380" s="378"/>
      <c r="S380" s="378"/>
      <c r="T380" s="378"/>
      <c r="U380" s="378"/>
      <c r="V380" s="378"/>
      <c r="W380" s="378"/>
      <c r="X380" s="378"/>
      <c r="Y380" s="378"/>
      <c r="Z380" s="378"/>
      <c r="AA380" s="378"/>
      <c r="AB380" s="378"/>
      <c r="AC380" s="378"/>
      <c r="AD380" s="378"/>
      <c r="AE380" s="378"/>
      <c r="AF380" s="378"/>
      <c r="AG380" s="378"/>
    </row>
    <row r="381">
      <c r="A381" s="378"/>
      <c r="B381" s="555">
        <f>IFERROR(__xludf.DUMMYFUNCTION("""COMPUTED_VALUE"""),45979.0)</f>
        <v>45979</v>
      </c>
      <c r="C381" s="404">
        <f>IFERROR(__xludf.DUMMYFUNCTION("""COMPUTED_VALUE"""),5544032.0)</f>
        <v>5544032</v>
      </c>
      <c r="D381" s="405" t="str">
        <f>IFERROR(__xludf.DUMMYFUNCTION("""COMPUTED_VALUE"""),", MO, 63045")</f>
        <v>, MO, 63045</v>
      </c>
      <c r="E381" s="406" t="str">
        <f>IFERROR(__xludf.DUMMYFUNCTION("""COMPUTED_VALUE"""),"Glendale, AZ, 85355")</f>
        <v>Glendale, AZ, 85355</v>
      </c>
      <c r="F381" s="414">
        <f>IFERROR(__xludf.DUMMYFUNCTION("""COMPUTED_VALUE"""),3300.0)</f>
        <v>3300</v>
      </c>
      <c r="G381" s="413">
        <v>0.88</v>
      </c>
      <c r="H381" s="414">
        <f t="shared" si="22"/>
        <v>2904</v>
      </c>
      <c r="I381" s="376"/>
      <c r="J381" s="418">
        <f>IFERROR(__xludf.DUMMYFUNCTION("""COMPUTED_VALUE"""),45979.0)</f>
        <v>45979</v>
      </c>
      <c r="K381" s="411">
        <f>IFERROR(__xludf.DUMMYFUNCTION("""COMPUTED_VALUE"""),5544032.0)</f>
        <v>5544032</v>
      </c>
      <c r="L381" s="411" t="str">
        <f>IFERROR(__xludf.DUMMYFUNCTION("""COMPUTED_VALUE"""),", MO, 63045")</f>
        <v>, MO, 63045</v>
      </c>
      <c r="M381" s="411" t="str">
        <f>IFERROR(__xludf.DUMMYFUNCTION("""COMPUTED_VALUE"""),"Glendale, AZ, 85355")</f>
        <v>Glendale, AZ, 85355</v>
      </c>
      <c r="N381" s="416">
        <f>IFERROR(__xludf.DUMMYFUNCTION("""COMPUTED_VALUE"""),1599.0)</f>
        <v>1599</v>
      </c>
      <c r="O381" s="408">
        <v>0.65</v>
      </c>
      <c r="P381" s="414">
        <f t="shared" si="23"/>
        <v>1039.35</v>
      </c>
      <c r="Q381" s="378"/>
      <c r="R381" s="378"/>
      <c r="S381" s="378"/>
      <c r="T381" s="378"/>
      <c r="U381" s="378"/>
      <c r="V381" s="378"/>
      <c r="W381" s="378"/>
      <c r="X381" s="378"/>
      <c r="Y381" s="378"/>
      <c r="Z381" s="378"/>
      <c r="AA381" s="378"/>
      <c r="AB381" s="378"/>
      <c r="AC381" s="378"/>
      <c r="AD381" s="378"/>
      <c r="AE381" s="378"/>
      <c r="AF381" s="378"/>
      <c r="AG381" s="378"/>
    </row>
    <row r="382">
      <c r="A382" s="378"/>
      <c r="B382" s="499">
        <f>IFERROR(__xludf.DUMMYFUNCTION("""COMPUTED_VALUE"""),45981.0)</f>
        <v>45981</v>
      </c>
      <c r="C382" s="421">
        <f>IFERROR(__xludf.DUMMYFUNCTION("""COMPUTED_VALUE"""),7957014.0)</f>
        <v>7957014</v>
      </c>
      <c r="D382" s="422" t="str">
        <f>IFERROR(__xludf.DUMMYFUNCTION("""COMPUTED_VALUE"""),"Tolleson, AZ, 85353")</f>
        <v>Tolleson, AZ, 85353</v>
      </c>
      <c r="E382" s="423" t="str">
        <f>IFERROR(__xludf.DUMMYFUNCTION("""COMPUTED_VALUE"""),"West Palm Beach, FL, 33407")</f>
        <v>West Palm Beach, FL, 33407</v>
      </c>
      <c r="F382" s="500">
        <f>IFERROR(__xludf.DUMMYFUNCTION("""COMPUTED_VALUE"""),5000.0)</f>
        <v>5000</v>
      </c>
      <c r="G382" s="413">
        <v>0.88</v>
      </c>
      <c r="H382" s="414">
        <f t="shared" si="22"/>
        <v>4400</v>
      </c>
      <c r="I382" s="376"/>
      <c r="J382" s="545">
        <f>IFERROR(__xludf.DUMMYFUNCTION("""COMPUTED_VALUE"""),45981.0)</f>
        <v>45981</v>
      </c>
      <c r="K382" s="421">
        <f>IFERROR(__xludf.DUMMYFUNCTION("""COMPUTED_VALUE"""),7957014.0)</f>
        <v>7957014</v>
      </c>
      <c r="L382" s="422" t="str">
        <f>IFERROR(__xludf.DUMMYFUNCTION("""COMPUTED_VALUE"""),"Tolleson, AZ, 85353")</f>
        <v>Tolleson, AZ, 85353</v>
      </c>
      <c r="M382" s="423" t="str">
        <f>IFERROR(__xludf.DUMMYFUNCTION("""COMPUTED_VALUE"""),"West Palm Beach, FL, 33407")</f>
        <v>West Palm Beach, FL, 33407</v>
      </c>
      <c r="N382" s="546">
        <f>IFERROR(__xludf.DUMMYFUNCTION("""COMPUTED_VALUE"""),2328.0)</f>
        <v>2328</v>
      </c>
      <c r="O382" s="408">
        <v>0.65</v>
      </c>
      <c r="P382" s="414">
        <f t="shared" si="23"/>
        <v>1513.2</v>
      </c>
      <c r="Q382" s="378"/>
      <c r="R382" s="378"/>
      <c r="S382" s="378"/>
      <c r="T382" s="378"/>
      <c r="U382" s="378"/>
      <c r="V382" s="378"/>
      <c r="W382" s="378"/>
      <c r="X382" s="378"/>
      <c r="Y382" s="378"/>
      <c r="Z382" s="378"/>
      <c r="AA382" s="378"/>
      <c r="AB382" s="378"/>
      <c r="AC382" s="378"/>
      <c r="AD382" s="378"/>
      <c r="AE382" s="378"/>
      <c r="AF382" s="378"/>
      <c r="AG382" s="378"/>
    </row>
    <row r="383">
      <c r="A383" s="378"/>
      <c r="B383" s="420"/>
      <c r="C383" s="421"/>
      <c r="D383" s="422"/>
      <c r="E383" s="423"/>
      <c r="F383" s="421"/>
      <c r="G383" s="413"/>
      <c r="H383" s="414"/>
      <c r="I383" s="376"/>
      <c r="J383" s="424"/>
      <c r="K383" s="421"/>
      <c r="L383" s="422"/>
      <c r="M383" s="423"/>
      <c r="N383" s="425"/>
      <c r="O383" s="408">
        <v>0.65</v>
      </c>
      <c r="P383" s="414">
        <f t="shared" si="23"/>
        <v>0</v>
      </c>
      <c r="Q383" s="378"/>
      <c r="R383" s="378"/>
      <c r="S383" s="378"/>
      <c r="T383" s="378"/>
      <c r="U383" s="378"/>
      <c r="V383" s="378"/>
      <c r="W383" s="378"/>
      <c r="X383" s="378"/>
      <c r="Y383" s="378"/>
      <c r="Z383" s="378"/>
      <c r="AA383" s="378"/>
      <c r="AB383" s="378"/>
      <c r="AC383" s="378"/>
      <c r="AD383" s="378"/>
      <c r="AE383" s="378"/>
      <c r="AF383" s="378"/>
      <c r="AG383" s="378"/>
    </row>
    <row r="384">
      <c r="A384" s="378"/>
      <c r="B384" s="420"/>
      <c r="C384" s="421"/>
      <c r="D384" s="422"/>
      <c r="E384" s="423"/>
      <c r="F384" s="421"/>
      <c r="G384" s="413"/>
      <c r="H384" s="414"/>
      <c r="I384" s="376"/>
      <c r="J384" s="424"/>
      <c r="K384" s="421"/>
      <c r="L384" s="422"/>
      <c r="M384" s="423"/>
      <c r="N384" s="425"/>
      <c r="O384" s="408"/>
      <c r="P384" s="414"/>
      <c r="Q384" s="378"/>
      <c r="R384" s="378"/>
      <c r="S384" s="378"/>
      <c r="T384" s="378"/>
      <c r="U384" s="378"/>
      <c r="V384" s="378"/>
      <c r="W384" s="378"/>
      <c r="X384" s="378"/>
      <c r="Y384" s="378"/>
      <c r="Z384" s="378"/>
      <c r="AA384" s="378"/>
      <c r="AB384" s="378"/>
      <c r="AC384" s="378"/>
      <c r="AD384" s="378"/>
      <c r="AE384" s="378"/>
      <c r="AF384" s="378"/>
      <c r="AG384" s="378"/>
    </row>
    <row r="385">
      <c r="A385" s="378"/>
      <c r="B385" s="420"/>
      <c r="C385" s="421"/>
      <c r="D385" s="422"/>
      <c r="E385" s="423"/>
      <c r="F385" s="421"/>
      <c r="G385" s="413"/>
      <c r="H385" s="414"/>
      <c r="I385" s="376"/>
      <c r="J385" s="424"/>
      <c r="K385" s="421"/>
      <c r="L385" s="422"/>
      <c r="M385" s="423"/>
      <c r="N385" s="425"/>
      <c r="O385" s="408"/>
      <c r="P385" s="414"/>
      <c r="Q385" s="378"/>
      <c r="R385" s="378"/>
      <c r="S385" s="378"/>
      <c r="T385" s="378"/>
      <c r="U385" s="378"/>
      <c r="V385" s="378"/>
      <c r="W385" s="378"/>
      <c r="X385" s="378"/>
      <c r="Y385" s="378"/>
      <c r="Z385" s="378"/>
      <c r="AA385" s="378"/>
      <c r="AB385" s="378"/>
      <c r="AC385" s="378"/>
      <c r="AD385" s="378"/>
      <c r="AE385" s="378"/>
      <c r="AF385" s="378"/>
      <c r="AG385" s="378"/>
    </row>
    <row r="386">
      <c r="A386" s="378"/>
      <c r="B386" s="403" t="s">
        <v>711</v>
      </c>
      <c r="C386" s="224"/>
      <c r="D386" s="224"/>
      <c r="E386" s="222"/>
      <c r="F386" s="414">
        <f>SUM(F380:F385)</f>
        <v>9300</v>
      </c>
      <c r="G386" s="421"/>
      <c r="H386" s="414">
        <f>SUM(H380:H385)</f>
        <v>8184</v>
      </c>
      <c r="I386" s="376"/>
      <c r="J386" s="407" t="s">
        <v>711</v>
      </c>
      <c r="K386" s="224"/>
      <c r="L386" s="224"/>
      <c r="M386" s="222"/>
      <c r="N386" s="426">
        <f>SUM(N380:N385)</f>
        <v>4368</v>
      </c>
      <c r="O386" s="427"/>
      <c r="P386" s="414">
        <f>SUM(P380:P385)</f>
        <v>2839.2</v>
      </c>
      <c r="Q386" s="378"/>
      <c r="R386" s="378"/>
      <c r="S386" s="378"/>
      <c r="T386" s="378"/>
      <c r="U386" s="378"/>
      <c r="V386" s="378"/>
      <c r="W386" s="378"/>
      <c r="X386" s="378"/>
      <c r="Y386" s="378"/>
      <c r="Z386" s="378"/>
      <c r="AA386" s="378"/>
      <c r="AB386" s="378"/>
      <c r="AC386" s="378"/>
      <c r="AD386" s="378"/>
      <c r="AE386" s="378"/>
      <c r="AF386" s="378"/>
      <c r="AG386" s="378"/>
    </row>
    <row r="387">
      <c r="A387" s="378"/>
      <c r="B387" s="428"/>
      <c r="C387" s="419"/>
      <c r="D387" s="419"/>
      <c r="E387" s="419"/>
      <c r="F387" s="419"/>
      <c r="G387" s="419"/>
      <c r="H387" s="429"/>
      <c r="I387" s="376"/>
      <c r="J387" s="430"/>
      <c r="K387" s="419"/>
      <c r="L387" s="419"/>
      <c r="M387" s="419"/>
      <c r="N387" s="431"/>
      <c r="O387" s="432"/>
      <c r="P387" s="429"/>
      <c r="Q387" s="378"/>
      <c r="R387" s="378"/>
      <c r="S387" s="378"/>
      <c r="T387" s="378"/>
      <c r="U387" s="378"/>
      <c r="V387" s="378"/>
      <c r="W387" s="378"/>
      <c r="X387" s="378"/>
      <c r="Y387" s="378"/>
      <c r="Z387" s="378"/>
      <c r="AA387" s="378"/>
      <c r="AB387" s="378"/>
      <c r="AC387" s="378"/>
      <c r="AD387" s="378"/>
      <c r="AE387" s="378"/>
      <c r="AF387" s="378"/>
      <c r="AG387" s="378"/>
    </row>
    <row r="388">
      <c r="A388" s="378"/>
      <c r="B388" s="433" t="s">
        <v>712</v>
      </c>
      <c r="C388" s="434"/>
      <c r="D388" s="435"/>
      <c r="E388" s="419"/>
      <c r="F388" s="419"/>
      <c r="G388" s="419"/>
      <c r="H388" s="429"/>
      <c r="I388" s="376"/>
      <c r="J388" s="437" t="s">
        <v>712</v>
      </c>
      <c r="K388" s="434"/>
      <c r="L388" s="435"/>
      <c r="M388" s="419"/>
      <c r="N388" s="431"/>
      <c r="O388" s="432"/>
      <c r="P388" s="429"/>
      <c r="Q388" s="378"/>
      <c r="R388" s="378"/>
      <c r="S388" s="378"/>
      <c r="T388" s="378"/>
      <c r="U388" s="378"/>
      <c r="V388" s="378"/>
      <c r="W388" s="378"/>
      <c r="X388" s="378"/>
      <c r="Y388" s="378"/>
      <c r="Z388" s="378"/>
      <c r="AA388" s="378"/>
      <c r="AB388" s="378"/>
      <c r="AC388" s="378"/>
      <c r="AD388" s="378"/>
      <c r="AE388" s="378"/>
      <c r="AF388" s="378"/>
      <c r="AG388" s="378"/>
    </row>
    <row r="389">
      <c r="A389" s="378"/>
      <c r="B389" s="438" t="s">
        <v>713</v>
      </c>
      <c r="C389" s="439"/>
      <c r="D389" s="440"/>
      <c r="E389" s="419"/>
      <c r="F389" s="419"/>
      <c r="G389" s="419"/>
      <c r="H389" s="429"/>
      <c r="I389" s="376"/>
      <c r="J389" s="443" t="s">
        <v>713</v>
      </c>
      <c r="K389" s="439"/>
      <c r="L389" s="440"/>
      <c r="M389" s="419"/>
      <c r="N389" s="431"/>
      <c r="O389" s="432"/>
      <c r="P389" s="429"/>
      <c r="Q389" s="378"/>
      <c r="R389" s="378"/>
      <c r="S389" s="378"/>
      <c r="T389" s="378"/>
      <c r="U389" s="378"/>
      <c r="V389" s="378"/>
      <c r="W389" s="378"/>
      <c r="X389" s="378"/>
      <c r="Y389" s="378"/>
      <c r="Z389" s="378"/>
      <c r="AA389" s="378"/>
      <c r="AB389" s="378"/>
      <c r="AC389" s="378"/>
      <c r="AD389" s="378"/>
      <c r="AE389" s="378"/>
      <c r="AF389" s="378"/>
      <c r="AG389" s="378"/>
    </row>
    <row r="390">
      <c r="A390" s="378"/>
      <c r="B390" s="444"/>
      <c r="C390" s="434"/>
      <c r="D390" s="435"/>
      <c r="E390" s="419"/>
      <c r="F390" s="463"/>
      <c r="G390" s="463"/>
      <c r="H390" s="448"/>
      <c r="I390" s="376"/>
      <c r="J390" s="445"/>
      <c r="K390" s="434"/>
      <c r="L390" s="435"/>
      <c r="M390" s="419"/>
      <c r="N390" s="446"/>
      <c r="O390" s="447"/>
      <c r="P390" s="448"/>
      <c r="Q390" s="378"/>
      <c r="R390" s="378"/>
      <c r="S390" s="378"/>
      <c r="T390" s="378"/>
      <c r="U390" s="378"/>
      <c r="V390" s="378"/>
      <c r="W390" s="378"/>
      <c r="X390" s="378"/>
      <c r="Y390" s="378"/>
      <c r="Z390" s="378"/>
      <c r="AA390" s="378"/>
      <c r="AB390" s="378"/>
      <c r="AC390" s="378"/>
      <c r="AD390" s="378"/>
      <c r="AE390" s="378"/>
      <c r="AF390" s="378"/>
      <c r="AG390" s="378"/>
    </row>
    <row r="391">
      <c r="A391" s="378"/>
      <c r="B391" s="438" t="s">
        <v>714</v>
      </c>
      <c r="C391" s="439">
        <f>SUM(C389:C390)</f>
        <v>0</v>
      </c>
      <c r="D391" s="440"/>
      <c r="E391" s="419"/>
      <c r="F391" s="463"/>
      <c r="G391" s="463"/>
      <c r="H391" s="448"/>
      <c r="I391" s="376"/>
      <c r="J391" s="443" t="s">
        <v>714</v>
      </c>
      <c r="K391" s="439">
        <f>SUM(K389:K390)</f>
        <v>0</v>
      </c>
      <c r="L391" s="440"/>
      <c r="M391" s="419"/>
      <c r="N391" s="446"/>
      <c r="O391" s="447"/>
      <c r="P391" s="448"/>
      <c r="Q391" s="378"/>
      <c r="R391" s="378"/>
      <c r="S391" s="378"/>
      <c r="T391" s="378"/>
      <c r="U391" s="378"/>
      <c r="V391" s="378"/>
      <c r="W391" s="378"/>
      <c r="X391" s="378"/>
      <c r="Y391" s="378"/>
      <c r="Z391" s="378"/>
      <c r="AA391" s="378"/>
      <c r="AB391" s="378"/>
      <c r="AC391" s="378"/>
      <c r="AD391" s="378"/>
      <c r="AE391" s="378"/>
      <c r="AF391" s="378"/>
      <c r="AG391" s="378"/>
    </row>
    <row r="392">
      <c r="A392" s="378"/>
      <c r="B392" s="450"/>
      <c r="C392" s="451"/>
      <c r="D392" s="419"/>
      <c r="E392" s="419"/>
      <c r="F392" s="463"/>
      <c r="G392" s="463"/>
      <c r="H392" s="448"/>
      <c r="I392" s="376"/>
      <c r="J392" s="535"/>
      <c r="K392" s="451"/>
      <c r="L392" s="419"/>
      <c r="M392" s="419"/>
      <c r="N392" s="446"/>
      <c r="O392" s="447"/>
      <c r="P392" s="448"/>
      <c r="Q392" s="378"/>
      <c r="R392" s="378"/>
      <c r="S392" s="378"/>
      <c r="T392" s="378"/>
      <c r="U392" s="378"/>
      <c r="V392" s="378"/>
      <c r="W392" s="378"/>
      <c r="X392" s="378"/>
      <c r="Y392" s="378"/>
      <c r="Z392" s="378"/>
      <c r="AA392" s="378"/>
      <c r="AB392" s="378"/>
      <c r="AC392" s="378"/>
      <c r="AD392" s="378"/>
      <c r="AE392" s="378"/>
      <c r="AF392" s="378"/>
      <c r="AG392" s="378"/>
    </row>
    <row r="393">
      <c r="A393" s="378"/>
      <c r="B393" s="454" t="s">
        <v>715</v>
      </c>
      <c r="C393" s="455"/>
      <c r="D393" s="435"/>
      <c r="E393" s="419"/>
      <c r="F393" s="463"/>
      <c r="G393" s="463"/>
      <c r="H393" s="448"/>
      <c r="I393" s="376"/>
      <c r="J393" s="458" t="s">
        <v>715</v>
      </c>
      <c r="K393" s="455"/>
      <c r="L393" s="435"/>
      <c r="M393" s="419"/>
      <c r="N393" s="446"/>
      <c r="O393" s="447"/>
      <c r="P393" s="448"/>
      <c r="Q393" s="378"/>
      <c r="R393" s="378"/>
      <c r="S393" s="378"/>
      <c r="T393" s="378"/>
      <c r="U393" s="378"/>
      <c r="V393" s="378"/>
      <c r="W393" s="378"/>
      <c r="X393" s="378"/>
      <c r="Y393" s="378"/>
      <c r="Z393" s="378"/>
      <c r="AA393" s="378"/>
      <c r="AB393" s="378"/>
      <c r="AC393" s="378"/>
      <c r="AD393" s="378"/>
      <c r="AE393" s="378"/>
      <c r="AF393" s="378"/>
      <c r="AG393" s="378"/>
    </row>
    <row r="394">
      <c r="A394" s="378"/>
      <c r="B394" s="459" t="s">
        <v>716</v>
      </c>
      <c r="C394" s="460">
        <v>150.0</v>
      </c>
      <c r="D394" s="440"/>
      <c r="E394" s="419"/>
      <c r="F394" s="463"/>
      <c r="G394" s="463"/>
      <c r="H394" s="448"/>
      <c r="I394" s="376"/>
      <c r="J394" s="462"/>
      <c r="K394" s="460"/>
      <c r="L394" s="440"/>
      <c r="M394" s="419"/>
      <c r="N394" s="446"/>
      <c r="O394" s="447"/>
      <c r="P394" s="448"/>
      <c r="Q394" s="378"/>
      <c r="R394" s="378"/>
      <c r="S394" s="378"/>
      <c r="T394" s="378"/>
      <c r="U394" s="378"/>
      <c r="V394" s="378"/>
      <c r="W394" s="378"/>
      <c r="X394" s="378"/>
      <c r="Y394" s="378"/>
      <c r="Z394" s="378"/>
      <c r="AA394" s="378"/>
      <c r="AB394" s="378"/>
      <c r="AC394" s="378"/>
      <c r="AD394" s="378"/>
      <c r="AE394" s="378"/>
      <c r="AF394" s="378"/>
      <c r="AG394" s="378"/>
    </row>
    <row r="395">
      <c r="A395" s="378"/>
      <c r="B395" s="459" t="s">
        <v>717</v>
      </c>
      <c r="C395" s="460">
        <v>400.0</v>
      </c>
      <c r="D395" s="440"/>
      <c r="E395" s="419"/>
      <c r="F395" s="463"/>
      <c r="G395" s="463"/>
      <c r="H395" s="448"/>
      <c r="I395" s="376"/>
      <c r="J395" s="462"/>
      <c r="K395" s="460"/>
      <c r="L395" s="440"/>
      <c r="M395" s="419"/>
      <c r="N395" s="446"/>
      <c r="O395" s="447"/>
      <c r="P395" s="448"/>
      <c r="Q395" s="378"/>
      <c r="R395" s="378"/>
      <c r="S395" s="378"/>
      <c r="T395" s="378"/>
      <c r="U395" s="378"/>
      <c r="V395" s="378"/>
      <c r="W395" s="378"/>
      <c r="X395" s="378"/>
      <c r="Y395" s="378"/>
      <c r="Z395" s="378"/>
      <c r="AA395" s="378"/>
      <c r="AB395" s="378"/>
      <c r="AC395" s="378"/>
      <c r="AD395" s="378"/>
      <c r="AE395" s="378"/>
      <c r="AF395" s="378"/>
      <c r="AG395" s="378"/>
    </row>
    <row r="396">
      <c r="A396" s="378"/>
      <c r="B396" s="459" t="s">
        <v>718</v>
      </c>
      <c r="C396" s="460">
        <v>200.0</v>
      </c>
      <c r="D396" s="440"/>
      <c r="E396" s="419"/>
      <c r="F396" s="463"/>
      <c r="G396" s="463"/>
      <c r="H396" s="448"/>
      <c r="I396" s="376"/>
      <c r="J396" s="462"/>
      <c r="K396" s="460"/>
      <c r="L396" s="440"/>
      <c r="M396" s="419"/>
      <c r="N396" s="446"/>
      <c r="O396" s="447"/>
      <c r="P396" s="448"/>
      <c r="Q396" s="378"/>
      <c r="R396" s="378"/>
      <c r="S396" s="378"/>
      <c r="T396" s="378"/>
      <c r="U396" s="378"/>
      <c r="V396" s="378"/>
      <c r="W396" s="378"/>
      <c r="X396" s="378"/>
      <c r="Y396" s="378"/>
      <c r="Z396" s="378"/>
      <c r="AA396" s="378"/>
      <c r="AB396" s="378"/>
      <c r="AC396" s="378"/>
      <c r="AD396" s="378"/>
      <c r="AE396" s="378"/>
      <c r="AF396" s="378"/>
      <c r="AG396" s="378"/>
    </row>
    <row r="397">
      <c r="A397" s="378"/>
      <c r="B397" s="459" t="s">
        <v>656</v>
      </c>
      <c r="C397" s="460">
        <f>IFERROR(__xludf.DUMMYFUNCTION("FILTER(D967:D995,C967:C995=F378)"),2953.59)</f>
        <v>2953.59</v>
      </c>
      <c r="D397" s="440"/>
      <c r="E397" s="419"/>
      <c r="F397" s="463"/>
      <c r="G397" s="463"/>
      <c r="H397" s="448"/>
      <c r="I397" s="376"/>
      <c r="J397" s="462"/>
      <c r="K397" s="460"/>
      <c r="L397" s="440"/>
      <c r="M397" s="419"/>
      <c r="N397" s="446"/>
      <c r="O397" s="447"/>
      <c r="P397" s="448"/>
      <c r="Q397" s="378"/>
      <c r="R397" s="378"/>
      <c r="S397" s="378"/>
      <c r="T397" s="378"/>
      <c r="U397" s="378"/>
      <c r="V397" s="378"/>
      <c r="W397" s="378"/>
      <c r="X397" s="378"/>
      <c r="Y397" s="378"/>
      <c r="Z397" s="378"/>
      <c r="AA397" s="378"/>
      <c r="AB397" s="378"/>
      <c r="AC397" s="378"/>
      <c r="AD397" s="378"/>
      <c r="AE397" s="378"/>
      <c r="AF397" s="378"/>
      <c r="AG397" s="378"/>
    </row>
    <row r="398">
      <c r="A398" s="378"/>
      <c r="B398" s="454" t="s">
        <v>877</v>
      </c>
      <c r="C398" s="537">
        <v>737.5</v>
      </c>
      <c r="D398" s="435"/>
      <c r="E398" s="419"/>
      <c r="F398" s="468" t="s">
        <v>842</v>
      </c>
      <c r="G398" s="466">
        <f>H386+C391-C403</f>
        <v>3306.32</v>
      </c>
      <c r="H398" s="211"/>
      <c r="I398" s="376"/>
      <c r="J398" s="467"/>
      <c r="K398" s="455"/>
      <c r="L398" s="435"/>
      <c r="M398" s="419"/>
      <c r="N398" s="468" t="s">
        <v>842</v>
      </c>
      <c r="O398" s="539">
        <f>P386+K391-K403</f>
        <v>2839.2</v>
      </c>
      <c r="P398" s="211"/>
      <c r="Q398" s="378"/>
      <c r="R398" s="378"/>
      <c r="S398" s="378"/>
      <c r="T398" s="378"/>
      <c r="U398" s="378"/>
      <c r="V398" s="378"/>
      <c r="W398" s="378"/>
      <c r="X398" s="378"/>
      <c r="Y398" s="378"/>
      <c r="Z398" s="378"/>
      <c r="AA398" s="378"/>
      <c r="AB398" s="378"/>
      <c r="AC398" s="378"/>
      <c r="AD398" s="378"/>
      <c r="AE398" s="378"/>
      <c r="AF398" s="378"/>
      <c r="AG398" s="378"/>
    </row>
    <row r="399">
      <c r="A399" s="378"/>
      <c r="B399" s="454" t="s">
        <v>878</v>
      </c>
      <c r="C399" s="537">
        <v>436.59</v>
      </c>
      <c r="D399" s="435"/>
      <c r="E399" s="419"/>
      <c r="F399" s="469" t="s">
        <v>843</v>
      </c>
      <c r="G399" s="278"/>
      <c r="H399" s="56"/>
      <c r="I399" s="376"/>
      <c r="J399" s="467"/>
      <c r="K399" s="455"/>
      <c r="L399" s="435"/>
      <c r="M399" s="419"/>
      <c r="N399" s="469" t="s">
        <v>854</v>
      </c>
      <c r="O399" s="278"/>
      <c r="P399" s="56"/>
      <c r="Q399" s="378"/>
      <c r="R399" s="378"/>
      <c r="S399" s="378"/>
      <c r="T399" s="378"/>
      <c r="U399" s="378"/>
      <c r="V399" s="378"/>
      <c r="W399" s="378"/>
      <c r="X399" s="378"/>
      <c r="Y399" s="378"/>
      <c r="Z399" s="378"/>
      <c r="AA399" s="378"/>
      <c r="AB399" s="378"/>
      <c r="AC399" s="378"/>
      <c r="AD399" s="378"/>
      <c r="AE399" s="378"/>
      <c r="AF399" s="378"/>
      <c r="AG399" s="378"/>
    </row>
    <row r="400">
      <c r="A400" s="378"/>
      <c r="B400" s="464"/>
      <c r="C400" s="455"/>
      <c r="D400" s="435"/>
      <c r="E400" s="419"/>
      <c r="F400" s="470"/>
      <c r="G400" s="215"/>
      <c r="H400" s="64"/>
      <c r="I400" s="376"/>
      <c r="J400" s="467"/>
      <c r="K400" s="455"/>
      <c r="L400" s="435"/>
      <c r="M400" s="419"/>
      <c r="N400" s="470"/>
      <c r="O400" s="215"/>
      <c r="P400" s="64"/>
      <c r="Q400" s="378"/>
      <c r="R400" s="378"/>
      <c r="S400" s="378"/>
      <c r="T400" s="378"/>
      <c r="U400" s="378"/>
      <c r="V400" s="378"/>
      <c r="W400" s="378"/>
      <c r="X400" s="378"/>
      <c r="Y400" s="378"/>
      <c r="Z400" s="378"/>
      <c r="AA400" s="378"/>
      <c r="AB400" s="378"/>
      <c r="AC400" s="378"/>
      <c r="AD400" s="378"/>
      <c r="AE400" s="378"/>
      <c r="AF400" s="378"/>
      <c r="AG400" s="378"/>
    </row>
    <row r="401">
      <c r="A401" s="378"/>
      <c r="B401" s="464"/>
      <c r="C401" s="455"/>
      <c r="D401" s="435"/>
      <c r="E401" s="419"/>
      <c r="F401" s="419"/>
      <c r="G401" s="419"/>
      <c r="H401" s="429"/>
      <c r="I401" s="376"/>
      <c r="J401" s="467"/>
      <c r="K401" s="455"/>
      <c r="L401" s="435"/>
      <c r="M401" s="419"/>
      <c r="N401" s="431"/>
      <c r="O401" s="432"/>
      <c r="P401" s="429"/>
      <c r="Q401" s="378"/>
      <c r="R401" s="378"/>
      <c r="S401" s="378"/>
      <c r="T401" s="378"/>
      <c r="U401" s="378"/>
      <c r="V401" s="378"/>
      <c r="W401" s="378"/>
      <c r="X401" s="378"/>
      <c r="Y401" s="378"/>
      <c r="Z401" s="378"/>
      <c r="AA401" s="378"/>
      <c r="AB401" s="378"/>
      <c r="AC401" s="378"/>
      <c r="AD401" s="378"/>
      <c r="AE401" s="378"/>
      <c r="AF401" s="378"/>
      <c r="AG401" s="378"/>
    </row>
    <row r="402">
      <c r="A402" s="378"/>
      <c r="B402" s="464"/>
      <c r="C402" s="455"/>
      <c r="D402" s="435"/>
      <c r="E402" s="419"/>
      <c r="F402" s="419"/>
      <c r="G402" s="419"/>
      <c r="H402" s="429"/>
      <c r="I402" s="376"/>
      <c r="J402" s="467"/>
      <c r="K402" s="455"/>
      <c r="L402" s="435"/>
      <c r="M402" s="419"/>
      <c r="N402" s="431"/>
      <c r="O402" s="432"/>
      <c r="P402" s="429"/>
      <c r="Q402" s="378"/>
      <c r="R402" s="378"/>
      <c r="S402" s="378"/>
      <c r="T402" s="378"/>
      <c r="U402" s="378"/>
      <c r="V402" s="378"/>
      <c r="W402" s="378"/>
      <c r="X402" s="378"/>
      <c r="Y402" s="378"/>
      <c r="Z402" s="378"/>
      <c r="AA402" s="378"/>
      <c r="AB402" s="378"/>
      <c r="AC402" s="378"/>
      <c r="AD402" s="378"/>
      <c r="AE402" s="378"/>
      <c r="AF402" s="378"/>
      <c r="AG402" s="378"/>
    </row>
    <row r="403">
      <c r="A403" s="378"/>
      <c r="B403" s="454" t="s">
        <v>721</v>
      </c>
      <c r="C403" s="460">
        <f>SUM(C394:C402)</f>
        <v>4877.68</v>
      </c>
      <c r="D403" s="440"/>
      <c r="E403" s="419"/>
      <c r="F403" s="419"/>
      <c r="G403" s="419"/>
      <c r="H403" s="429"/>
      <c r="I403" s="376"/>
      <c r="J403" s="458" t="s">
        <v>721</v>
      </c>
      <c r="K403" s="460">
        <f>SUM(K394:K402)</f>
        <v>0</v>
      </c>
      <c r="L403" s="440"/>
      <c r="M403" s="419"/>
      <c r="N403" s="431"/>
      <c r="O403" s="432"/>
      <c r="P403" s="429"/>
      <c r="Q403" s="378"/>
      <c r="R403" s="378"/>
      <c r="S403" s="378"/>
      <c r="T403" s="378"/>
      <c r="U403" s="378"/>
      <c r="V403" s="378"/>
      <c r="W403" s="378"/>
      <c r="X403" s="378"/>
      <c r="Y403" s="378"/>
      <c r="Z403" s="378"/>
      <c r="AA403" s="378"/>
      <c r="AB403" s="378"/>
      <c r="AC403" s="378"/>
      <c r="AD403" s="378"/>
      <c r="AE403" s="378"/>
      <c r="AF403" s="378"/>
      <c r="AG403" s="378"/>
    </row>
    <row r="404">
      <c r="A404" s="378"/>
      <c r="B404" s="471"/>
      <c r="C404" s="472"/>
      <c r="D404" s="472"/>
      <c r="E404" s="472"/>
      <c r="F404" s="472"/>
      <c r="G404" s="472"/>
      <c r="H404" s="473"/>
      <c r="I404" s="376"/>
      <c r="J404" s="474"/>
      <c r="K404" s="472"/>
      <c r="L404" s="472"/>
      <c r="M404" s="472"/>
      <c r="N404" s="475"/>
      <c r="O404" s="476"/>
      <c r="P404" s="473"/>
      <c r="Q404" s="378"/>
      <c r="R404" s="378"/>
      <c r="S404" s="378"/>
      <c r="T404" s="378"/>
      <c r="U404" s="378"/>
      <c r="V404" s="378"/>
      <c r="W404" s="378"/>
      <c r="X404" s="378"/>
      <c r="Y404" s="378"/>
      <c r="Z404" s="378"/>
      <c r="AA404" s="378"/>
      <c r="AB404" s="378"/>
      <c r="AC404" s="378"/>
      <c r="AD404" s="378"/>
      <c r="AE404" s="378"/>
      <c r="AF404" s="378"/>
      <c r="AG404" s="378"/>
    </row>
    <row r="405">
      <c r="A405" s="378"/>
      <c r="B405" s="550"/>
      <c r="C405" s="463"/>
      <c r="D405" s="463"/>
      <c r="E405" s="463"/>
      <c r="F405" s="463"/>
      <c r="G405" s="463"/>
      <c r="H405" s="463"/>
      <c r="I405" s="376"/>
      <c r="J405" s="377"/>
      <c r="K405" s="378"/>
      <c r="L405" s="378"/>
      <c r="M405" s="378"/>
      <c r="N405" s="379"/>
      <c r="O405" s="380"/>
      <c r="P405" s="378"/>
      <c r="Q405" s="378"/>
      <c r="R405" s="378"/>
      <c r="S405" s="378"/>
      <c r="T405" s="378"/>
      <c r="U405" s="378"/>
      <c r="V405" s="378"/>
      <c r="W405" s="378"/>
      <c r="X405" s="378"/>
      <c r="Y405" s="378"/>
      <c r="Z405" s="378"/>
      <c r="AA405" s="378"/>
      <c r="AB405" s="378"/>
      <c r="AC405" s="378"/>
      <c r="AD405" s="378"/>
      <c r="AE405" s="378"/>
      <c r="AF405" s="378"/>
      <c r="AG405" s="378"/>
    </row>
    <row r="406">
      <c r="A406" s="378"/>
      <c r="B406" s="477"/>
      <c r="C406" s="378"/>
      <c r="D406" s="378"/>
      <c r="E406" s="378"/>
      <c r="F406" s="378"/>
      <c r="G406" s="378"/>
      <c r="H406" s="378"/>
      <c r="I406" s="376"/>
      <c r="J406" s="377"/>
      <c r="K406" s="378"/>
      <c r="L406" s="378"/>
      <c r="M406" s="378"/>
      <c r="N406" s="379"/>
      <c r="O406" s="380"/>
      <c r="P406" s="378"/>
      <c r="Q406" s="378"/>
      <c r="R406" s="378"/>
      <c r="S406" s="378"/>
      <c r="T406" s="378"/>
      <c r="U406" s="378"/>
      <c r="V406" s="378"/>
      <c r="W406" s="378"/>
      <c r="X406" s="378"/>
      <c r="Y406" s="378"/>
      <c r="Z406" s="378"/>
      <c r="AA406" s="378"/>
      <c r="AB406" s="378"/>
      <c r="AC406" s="378"/>
      <c r="AD406" s="378"/>
      <c r="AE406" s="378"/>
      <c r="AF406" s="378"/>
      <c r="AG406" s="378"/>
    </row>
    <row r="407">
      <c r="A407" s="378"/>
      <c r="B407" s="382"/>
      <c r="C407" s="388"/>
      <c r="D407" s="560" t="s">
        <v>682</v>
      </c>
      <c r="E407" s="385" t="s">
        <v>700</v>
      </c>
      <c r="F407" s="385" t="str">
        <f>Board!A2</f>
        <v>11.17.25-11.23.25</v>
      </c>
      <c r="G407" s="213"/>
      <c r="H407" s="211"/>
      <c r="I407" s="386">
        <v>14.0</v>
      </c>
      <c r="J407" s="387"/>
      <c r="K407" s="388"/>
      <c r="L407" s="384"/>
      <c r="M407" s="385" t="s">
        <v>700</v>
      </c>
      <c r="N407" s="385" t="str">
        <f>Board!A2</f>
        <v>11.17.25-11.23.25</v>
      </c>
      <c r="O407" s="213"/>
      <c r="P407" s="211"/>
      <c r="Q407" s="378"/>
      <c r="R407" s="389" t="s">
        <v>831</v>
      </c>
      <c r="S407" s="389" t="s">
        <v>652</v>
      </c>
      <c r="T407" s="390" t="s">
        <v>832</v>
      </c>
      <c r="U407" s="391" t="s">
        <v>833</v>
      </c>
      <c r="V407" s="389" t="s">
        <v>655</v>
      </c>
      <c r="W407" s="389" t="s">
        <v>8</v>
      </c>
      <c r="X407" s="389" t="s">
        <v>656</v>
      </c>
      <c r="Y407" s="390" t="s">
        <v>834</v>
      </c>
      <c r="Z407" s="392" t="s">
        <v>835</v>
      </c>
      <c r="AA407" s="390" t="s">
        <v>836</v>
      </c>
      <c r="AB407" s="390" t="s">
        <v>837</v>
      </c>
      <c r="AC407" s="393" t="s">
        <v>716</v>
      </c>
      <c r="AD407" s="393" t="s">
        <v>717</v>
      </c>
      <c r="AE407" s="393" t="s">
        <v>718</v>
      </c>
      <c r="AF407" s="394" t="s">
        <v>838</v>
      </c>
      <c r="AG407" s="394"/>
    </row>
    <row r="408">
      <c r="A408" s="378"/>
      <c r="B408" s="395"/>
      <c r="C408" s="372"/>
      <c r="D408" s="396"/>
      <c r="E408" s="385" t="s">
        <v>702</v>
      </c>
      <c r="F408" s="385" t="s">
        <v>682</v>
      </c>
      <c r="G408" s="213"/>
      <c r="H408" s="211"/>
      <c r="I408" s="376"/>
      <c r="J408" s="397"/>
      <c r="K408" s="372"/>
      <c r="L408" s="396"/>
      <c r="M408" s="385" t="s">
        <v>351</v>
      </c>
      <c r="N408" s="385" t="str">
        <f t="array" ref="N408">XLOOKUP(N409,Board!K:K,Board!J:J)</f>
        <v>YVENSO BOSQUET</v>
      </c>
      <c r="O408" s="213"/>
      <c r="P408" s="211"/>
      <c r="Q408" s="378"/>
      <c r="R408" s="398">
        <f>I407</f>
        <v>14</v>
      </c>
      <c r="S408" s="398">
        <f>F409</f>
        <v>3301</v>
      </c>
      <c r="T408" s="399">
        <f>G429</f>
        <v>4671.07</v>
      </c>
      <c r="U408" s="378" t="str">
        <f>N408</f>
        <v>YVENSO BOSQUET</v>
      </c>
      <c r="V408" s="380">
        <f>O429</f>
        <v>2468.72359</v>
      </c>
      <c r="W408" s="399">
        <f>P417</f>
        <v>3274.7</v>
      </c>
      <c r="X408" s="399">
        <f>C428</f>
        <v>2961.27</v>
      </c>
      <c r="Y408" s="400">
        <f>N417</f>
        <v>5038</v>
      </c>
      <c r="Z408" s="399">
        <f>V409-V408</f>
        <v>2202.34641</v>
      </c>
      <c r="AA408" s="378"/>
      <c r="AB408" s="378"/>
      <c r="AC408" s="401">
        <f>C425</f>
        <v>150</v>
      </c>
      <c r="AD408" s="401">
        <f>C426</f>
        <v>400</v>
      </c>
      <c r="AE408" s="401">
        <f>C427</f>
        <v>200</v>
      </c>
      <c r="AF408" s="530">
        <f>C429+C430+C431+C432+C433</f>
        <v>411.5</v>
      </c>
      <c r="AG408" s="398"/>
    </row>
    <row r="409">
      <c r="A409" s="378"/>
      <c r="B409" s="395"/>
      <c r="C409" s="372"/>
      <c r="D409" s="402"/>
      <c r="E409" s="385" t="s">
        <v>703</v>
      </c>
      <c r="F409" s="385">
        <v>3301.0</v>
      </c>
      <c r="G409" s="213"/>
      <c r="H409" s="211"/>
      <c r="I409" s="376"/>
      <c r="J409" s="397"/>
      <c r="K409" s="372"/>
      <c r="L409" s="402"/>
      <c r="M409" s="385" t="s">
        <v>703</v>
      </c>
      <c r="N409" s="385">
        <f>F409</f>
        <v>3301</v>
      </c>
      <c r="O409" s="213"/>
      <c r="P409" s="211"/>
      <c r="Q409" s="378"/>
      <c r="R409" s="378"/>
      <c r="S409" s="378"/>
      <c r="T409" s="378"/>
      <c r="U409" s="378" t="str">
        <f>F408</f>
        <v>Beycan LLC</v>
      </c>
      <c r="V409" s="399">
        <f>G429</f>
        <v>4671.07</v>
      </c>
      <c r="W409" s="399">
        <f>H417</f>
        <v>8793.84</v>
      </c>
      <c r="X409" s="378"/>
      <c r="Y409" s="378"/>
      <c r="Z409" s="378"/>
      <c r="AA409" s="378"/>
      <c r="AB409" s="378"/>
      <c r="AC409" s="378"/>
      <c r="AD409" s="378"/>
      <c r="AE409" s="378"/>
      <c r="AF409" s="378"/>
      <c r="AG409" s="378"/>
    </row>
    <row r="410">
      <c r="A410" s="378"/>
      <c r="B410" s="403" t="s">
        <v>704</v>
      </c>
      <c r="C410" s="404" t="s">
        <v>5</v>
      </c>
      <c r="D410" s="405" t="s">
        <v>6</v>
      </c>
      <c r="E410" s="406" t="s">
        <v>7</v>
      </c>
      <c r="F410" s="404" t="s">
        <v>8</v>
      </c>
      <c r="G410" s="404" t="s">
        <v>706</v>
      </c>
      <c r="H410" s="404" t="s">
        <v>707</v>
      </c>
      <c r="I410" s="376"/>
      <c r="J410" s="407" t="s">
        <v>704</v>
      </c>
      <c r="K410" s="404" t="s">
        <v>5</v>
      </c>
      <c r="L410" s="405" t="s">
        <v>6</v>
      </c>
      <c r="M410" s="406" t="s">
        <v>7</v>
      </c>
      <c r="N410" s="404" t="s">
        <v>591</v>
      </c>
      <c r="O410" s="408" t="s">
        <v>839</v>
      </c>
      <c r="P410" s="404" t="s">
        <v>707</v>
      </c>
      <c r="Q410" s="378"/>
      <c r="R410" s="378"/>
      <c r="S410" s="378"/>
      <c r="T410" s="378"/>
      <c r="U410" s="378"/>
      <c r="V410" s="378"/>
      <c r="W410" s="378"/>
      <c r="X410" s="378"/>
      <c r="Y410" s="378"/>
      <c r="Z410" s="378"/>
      <c r="AA410" s="378"/>
      <c r="AB410" s="378"/>
      <c r="AC410" s="378"/>
      <c r="AD410" s="378"/>
      <c r="AE410" s="378"/>
      <c r="AF410" s="378"/>
      <c r="AG410" s="378"/>
    </row>
    <row r="411">
      <c r="A411" s="378"/>
      <c r="B411" s="555">
        <f>IFERROR(__xludf.DUMMYFUNCTION("FILTER(Board!C:G,Board!K:K=F409)"),45978.0)</f>
        <v>45978</v>
      </c>
      <c r="C411" s="404">
        <f>IFERROR(__xludf.DUMMYFUNCTION("""COMPUTED_VALUE"""),6.0112376461E10)</f>
        <v>60112376461</v>
      </c>
      <c r="D411" s="405" t="str">
        <f>IFERROR(__xludf.DUMMYFUNCTION("""COMPUTED_VALUE"""),"Laramie, WY, 82070")</f>
        <v>Laramie, WY, 82070</v>
      </c>
      <c r="E411" s="406" t="str">
        <f>IFERROR(__xludf.DUMMYFUNCTION("""COMPUTED_VALUE"""),"Portland, OR, 97230")</f>
        <v>Portland, OR, 97230</v>
      </c>
      <c r="F411" s="414">
        <f>IFERROR(__xludf.DUMMYFUNCTION("""COMPUTED_VALUE"""),2200.0)</f>
        <v>2200</v>
      </c>
      <c r="G411" s="413">
        <v>0.88</v>
      </c>
      <c r="H411" s="414">
        <f t="shared" ref="H411:H413" si="24">F411*G411</f>
        <v>1936</v>
      </c>
      <c r="I411" s="376"/>
      <c r="J411" s="415">
        <f>IFERROR(__xludf.DUMMYFUNCTION("FILTER(Board!C:F,Board!K:K=N409)"),45978.0)</f>
        <v>45978</v>
      </c>
      <c r="K411" s="411">
        <f>IFERROR(__xludf.DUMMYFUNCTION("""COMPUTED_VALUE"""),6.0112376461E10)</f>
        <v>60112376461</v>
      </c>
      <c r="L411" s="411" t="str">
        <f>IFERROR(__xludf.DUMMYFUNCTION("""COMPUTED_VALUE"""),"Laramie, WY, 82070")</f>
        <v>Laramie, WY, 82070</v>
      </c>
      <c r="M411" s="411" t="str">
        <f>IFERROR(__xludf.DUMMYFUNCTION("""COMPUTED_VALUE"""),"Portland, OR, 97230")</f>
        <v>Portland, OR, 97230</v>
      </c>
      <c r="N411" s="416">
        <f>IFERROR(__xludf.DUMMYFUNCTION("FILTER(Board!H:H,Board!K:K=N409)"),1150.0)</f>
        <v>1150</v>
      </c>
      <c r="O411" s="408">
        <v>0.65</v>
      </c>
      <c r="P411" s="414">
        <f t="shared" ref="P411:P414" si="25">N411*O411</f>
        <v>747.5</v>
      </c>
      <c r="Q411" s="378"/>
      <c r="R411" s="378"/>
      <c r="S411" s="378"/>
      <c r="T411" s="378"/>
      <c r="U411" s="378"/>
      <c r="V411" s="378"/>
      <c r="W411" s="378"/>
      <c r="X411" s="378"/>
      <c r="Y411" s="378"/>
      <c r="Z411" s="378"/>
      <c r="AA411" s="378"/>
      <c r="AB411" s="378"/>
      <c r="AC411" s="378"/>
      <c r="AD411" s="378"/>
      <c r="AE411" s="378"/>
      <c r="AF411" s="378"/>
      <c r="AG411" s="378"/>
    </row>
    <row r="412">
      <c r="A412" s="378"/>
      <c r="B412" s="555">
        <f>IFERROR(__xludf.DUMMYFUNCTION("""COMPUTED_VALUE"""),45980.0)</f>
        <v>45980</v>
      </c>
      <c r="C412" s="404">
        <f>IFERROR(__xludf.DUMMYFUNCTION("""COMPUTED_VALUE"""),2.0650629E7)</f>
        <v>20650629</v>
      </c>
      <c r="D412" s="405" t="str">
        <f>IFERROR(__xludf.DUMMYFUNCTION("""COMPUTED_VALUE"""),"Boring, OR, 97009")</f>
        <v>Boring, OR, 97009</v>
      </c>
      <c r="E412" s="406" t="str">
        <f>IFERROR(__xludf.DUMMYFUNCTION("""COMPUTED_VALUE"""),"Del Mar, CA, 92014")</f>
        <v>Del Mar, CA, 92014</v>
      </c>
      <c r="F412" s="414">
        <f>IFERROR(__xludf.DUMMYFUNCTION("""COMPUTED_VALUE"""),2000.0)</f>
        <v>2000</v>
      </c>
      <c r="G412" s="413">
        <v>0.88</v>
      </c>
      <c r="H412" s="414">
        <f t="shared" si="24"/>
        <v>1760</v>
      </c>
      <c r="I412" s="376"/>
      <c r="J412" s="418">
        <f>IFERROR(__xludf.DUMMYFUNCTION("""COMPUTED_VALUE"""),45980.0)</f>
        <v>45980</v>
      </c>
      <c r="K412" s="411">
        <f>IFERROR(__xludf.DUMMYFUNCTION("""COMPUTED_VALUE"""),2.0650629E7)</f>
        <v>20650629</v>
      </c>
      <c r="L412" s="411" t="str">
        <f>IFERROR(__xludf.DUMMYFUNCTION("""COMPUTED_VALUE"""),"Boring, OR, 97009")</f>
        <v>Boring, OR, 97009</v>
      </c>
      <c r="M412" s="411" t="str">
        <f>IFERROR(__xludf.DUMMYFUNCTION("""COMPUTED_VALUE"""),"Del Mar, CA, 92014")</f>
        <v>Del Mar, CA, 92014</v>
      </c>
      <c r="N412" s="416">
        <f>IFERROR(__xludf.DUMMYFUNCTION("""COMPUTED_VALUE"""),1081.0)</f>
        <v>1081</v>
      </c>
      <c r="O412" s="408">
        <v>0.65</v>
      </c>
      <c r="P412" s="414">
        <f t="shared" si="25"/>
        <v>702.65</v>
      </c>
      <c r="Q412" s="378"/>
      <c r="R412" s="378"/>
      <c r="S412" s="378"/>
      <c r="T412" s="378"/>
      <c r="U412" s="378"/>
      <c r="V412" s="378"/>
      <c r="W412" s="378"/>
      <c r="X412" s="378"/>
      <c r="Y412" s="378"/>
      <c r="Z412" s="378"/>
      <c r="AA412" s="378"/>
      <c r="AB412" s="378"/>
      <c r="AC412" s="378"/>
      <c r="AD412" s="378"/>
      <c r="AE412" s="378"/>
      <c r="AF412" s="378"/>
      <c r="AG412" s="378"/>
    </row>
    <row r="413">
      <c r="A413" s="378"/>
      <c r="B413" s="499">
        <f>IFERROR(__xludf.DUMMYFUNCTION("""COMPUTED_VALUE"""),45981.0)</f>
        <v>45981</v>
      </c>
      <c r="C413" s="421">
        <f>IFERROR(__xludf.DUMMYFUNCTION("""COMPUTED_VALUE"""),2.0648932E7)</f>
        <v>20648932</v>
      </c>
      <c r="D413" s="422" t="str">
        <f>IFERROR(__xludf.DUMMYFUNCTION("""COMPUTED_VALUE"""),"Verdemont, CA, 92407")</f>
        <v>Verdemont, CA, 92407</v>
      </c>
      <c r="E413" s="423" t="str">
        <f>IFERROR(__xludf.DUMMYFUNCTION("""COMPUTED_VALUE"""),"Mount Holly, NJ, 08060")</f>
        <v>Mount Holly, NJ, 08060</v>
      </c>
      <c r="F413" s="500">
        <f>IFERROR(__xludf.DUMMYFUNCTION("""COMPUTED_VALUE"""),5793.0)</f>
        <v>5793</v>
      </c>
      <c r="G413" s="413">
        <v>0.88</v>
      </c>
      <c r="H413" s="414">
        <f t="shared" si="24"/>
        <v>5097.84</v>
      </c>
      <c r="I413" s="376"/>
      <c r="J413" s="545">
        <f>IFERROR(__xludf.DUMMYFUNCTION("""COMPUTED_VALUE"""),45981.0)</f>
        <v>45981</v>
      </c>
      <c r="K413" s="421">
        <f>IFERROR(__xludf.DUMMYFUNCTION("""COMPUTED_VALUE"""),2.0648932E7)</f>
        <v>20648932</v>
      </c>
      <c r="L413" s="422" t="str">
        <f>IFERROR(__xludf.DUMMYFUNCTION("""COMPUTED_VALUE"""),"Verdemont, CA, 92407")</f>
        <v>Verdemont, CA, 92407</v>
      </c>
      <c r="M413" s="423" t="str">
        <f>IFERROR(__xludf.DUMMYFUNCTION("""COMPUTED_VALUE"""),"Mount Holly, NJ, 08060")</f>
        <v>Mount Holly, NJ, 08060</v>
      </c>
      <c r="N413" s="546">
        <f>IFERROR(__xludf.DUMMYFUNCTION("""COMPUTED_VALUE"""),2807.0)</f>
        <v>2807</v>
      </c>
      <c r="O413" s="408">
        <v>0.65</v>
      </c>
      <c r="P413" s="414">
        <f t="shared" si="25"/>
        <v>1824.55</v>
      </c>
      <c r="Q413" s="378"/>
      <c r="R413" s="378"/>
      <c r="S413" s="378"/>
      <c r="T413" s="378"/>
      <c r="U413" s="378"/>
      <c r="V413" s="378"/>
      <c r="W413" s="378"/>
      <c r="X413" s="378"/>
      <c r="Y413" s="378"/>
      <c r="Z413" s="378"/>
      <c r="AA413" s="378"/>
      <c r="AB413" s="378"/>
      <c r="AC413" s="378"/>
      <c r="AD413" s="378"/>
      <c r="AE413" s="378"/>
      <c r="AF413" s="378"/>
      <c r="AG413" s="378"/>
    </row>
    <row r="414">
      <c r="A414" s="378"/>
      <c r="B414" s="420"/>
      <c r="C414" s="421"/>
      <c r="D414" s="422"/>
      <c r="E414" s="423"/>
      <c r="F414" s="421"/>
      <c r="G414" s="413"/>
      <c r="H414" s="414"/>
      <c r="I414" s="376"/>
      <c r="J414" s="424"/>
      <c r="K414" s="421"/>
      <c r="L414" s="422"/>
      <c r="M414" s="423"/>
      <c r="N414" s="425"/>
      <c r="O414" s="408">
        <v>0.65</v>
      </c>
      <c r="P414" s="414">
        <f t="shared" si="25"/>
        <v>0</v>
      </c>
      <c r="Q414" s="378"/>
      <c r="R414" s="378"/>
      <c r="S414" s="378"/>
      <c r="T414" s="378"/>
      <c r="U414" s="378"/>
      <c r="V414" s="378"/>
      <c r="W414" s="378"/>
      <c r="X414" s="378"/>
      <c r="Y414" s="378"/>
      <c r="Z414" s="378"/>
      <c r="AA414" s="378"/>
      <c r="AB414" s="378"/>
      <c r="AC414" s="378"/>
      <c r="AD414" s="378"/>
      <c r="AE414" s="378"/>
      <c r="AF414" s="378"/>
      <c r="AG414" s="378"/>
    </row>
    <row r="415">
      <c r="A415" s="378"/>
      <c r="B415" s="420"/>
      <c r="C415" s="421"/>
      <c r="D415" s="422"/>
      <c r="E415" s="423"/>
      <c r="F415" s="421"/>
      <c r="G415" s="413"/>
      <c r="H415" s="414"/>
      <c r="I415" s="376"/>
      <c r="J415" s="424"/>
      <c r="K415" s="421"/>
      <c r="L415" s="422"/>
      <c r="M415" s="423"/>
      <c r="N415" s="425"/>
      <c r="O415" s="408"/>
      <c r="P415" s="414"/>
      <c r="Q415" s="378"/>
      <c r="R415" s="378"/>
      <c r="S415" s="378"/>
      <c r="T415" s="378"/>
      <c r="U415" s="378"/>
      <c r="V415" s="378"/>
      <c r="W415" s="378"/>
      <c r="X415" s="378"/>
      <c r="Y415" s="378"/>
      <c r="Z415" s="378"/>
      <c r="AA415" s="378"/>
      <c r="AB415" s="378"/>
      <c r="AC415" s="378"/>
      <c r="AD415" s="378"/>
      <c r="AE415" s="378"/>
      <c r="AF415" s="378"/>
      <c r="AG415" s="378"/>
    </row>
    <row r="416">
      <c r="A416" s="378"/>
      <c r="B416" s="420"/>
      <c r="C416" s="421"/>
      <c r="D416" s="422"/>
      <c r="E416" s="423"/>
      <c r="F416" s="421"/>
      <c r="G416" s="413"/>
      <c r="H416" s="414"/>
      <c r="I416" s="376"/>
      <c r="J416" s="424"/>
      <c r="K416" s="421"/>
      <c r="L416" s="422"/>
      <c r="M416" s="423"/>
      <c r="N416" s="425"/>
      <c r="O416" s="408"/>
      <c r="P416" s="414"/>
      <c r="Q416" s="378"/>
      <c r="R416" s="378"/>
      <c r="S416" s="378"/>
      <c r="T416" s="378"/>
      <c r="U416" s="378"/>
      <c r="V416" s="378"/>
      <c r="W416" s="378"/>
      <c r="X416" s="378"/>
      <c r="Y416" s="378"/>
      <c r="Z416" s="378"/>
      <c r="AA416" s="378"/>
      <c r="AB416" s="378"/>
      <c r="AC416" s="378"/>
      <c r="AD416" s="378"/>
      <c r="AE416" s="378"/>
      <c r="AF416" s="378"/>
      <c r="AG416" s="378"/>
    </row>
    <row r="417">
      <c r="A417" s="378"/>
      <c r="B417" s="403" t="s">
        <v>711</v>
      </c>
      <c r="C417" s="224"/>
      <c r="D417" s="224"/>
      <c r="E417" s="222"/>
      <c r="F417" s="414">
        <f>SUM(F411:F416)</f>
        <v>9993</v>
      </c>
      <c r="G417" s="421"/>
      <c r="H417" s="414">
        <f>SUM(H411:H416)</f>
        <v>8793.84</v>
      </c>
      <c r="I417" s="376"/>
      <c r="J417" s="407" t="s">
        <v>711</v>
      </c>
      <c r="K417" s="224"/>
      <c r="L417" s="224"/>
      <c r="M417" s="222"/>
      <c r="N417" s="426">
        <f>SUM(N411:N416)</f>
        <v>5038</v>
      </c>
      <c r="O417" s="427"/>
      <c r="P417" s="414">
        <f>SUM(P411:P416)</f>
        <v>3274.7</v>
      </c>
      <c r="Q417" s="378"/>
      <c r="R417" s="378"/>
      <c r="S417" s="378"/>
      <c r="T417" s="378"/>
      <c r="U417" s="378"/>
      <c r="V417" s="378"/>
      <c r="W417" s="378"/>
      <c r="X417" s="378"/>
      <c r="Y417" s="378"/>
      <c r="Z417" s="378"/>
      <c r="AA417" s="378"/>
      <c r="AB417" s="378"/>
      <c r="AC417" s="378"/>
      <c r="AD417" s="378"/>
      <c r="AE417" s="378"/>
      <c r="AF417" s="378"/>
      <c r="AG417" s="378"/>
    </row>
    <row r="418">
      <c r="A418" s="378"/>
      <c r="B418" s="428"/>
      <c r="C418" s="419"/>
      <c r="D418" s="419"/>
      <c r="E418" s="419"/>
      <c r="F418" s="419"/>
      <c r="G418" s="419"/>
      <c r="H418" s="429"/>
      <c r="I418" s="376"/>
      <c r="J418" s="430"/>
      <c r="K418" s="419"/>
      <c r="L418" s="419"/>
      <c r="M418" s="419"/>
      <c r="N418" s="431"/>
      <c r="O418" s="432"/>
      <c r="P418" s="429"/>
      <c r="Q418" s="378"/>
      <c r="R418" s="378"/>
      <c r="S418" s="378"/>
      <c r="T418" s="378"/>
      <c r="U418" s="378"/>
      <c r="V418" s="378"/>
      <c r="W418" s="378"/>
      <c r="X418" s="378"/>
      <c r="Y418" s="378"/>
      <c r="Z418" s="378"/>
      <c r="AA418" s="378"/>
      <c r="AB418" s="378"/>
      <c r="AC418" s="378"/>
      <c r="AD418" s="378"/>
      <c r="AE418" s="378"/>
      <c r="AF418" s="378"/>
      <c r="AG418" s="378"/>
    </row>
    <row r="419">
      <c r="A419" s="378"/>
      <c r="B419" s="433" t="s">
        <v>712</v>
      </c>
      <c r="C419" s="434"/>
      <c r="D419" s="435"/>
      <c r="E419" s="419"/>
      <c r="F419" s="419"/>
      <c r="G419" s="419"/>
      <c r="H419" s="429"/>
      <c r="I419" s="376"/>
      <c r="J419" s="437" t="s">
        <v>712</v>
      </c>
      <c r="K419" s="434"/>
      <c r="L419" s="435"/>
      <c r="M419" s="419"/>
      <c r="N419" s="431"/>
      <c r="O419" s="432"/>
      <c r="P419" s="429"/>
      <c r="Q419" s="378"/>
      <c r="R419" s="378"/>
      <c r="S419" s="378"/>
      <c r="T419" s="378"/>
      <c r="U419" s="378"/>
      <c r="V419" s="378"/>
      <c r="W419" s="378"/>
      <c r="X419" s="378"/>
      <c r="Y419" s="378"/>
      <c r="Z419" s="378"/>
      <c r="AA419" s="378"/>
      <c r="AB419" s="378"/>
      <c r="AC419" s="378"/>
      <c r="AD419" s="378"/>
      <c r="AE419" s="378"/>
      <c r="AF419" s="378"/>
      <c r="AG419" s="378"/>
    </row>
    <row r="420">
      <c r="A420" s="378"/>
      <c r="B420" s="438" t="s">
        <v>713</v>
      </c>
      <c r="C420" s="439"/>
      <c r="D420" s="440"/>
      <c r="E420" s="419"/>
      <c r="F420" s="419"/>
      <c r="G420" s="419"/>
      <c r="H420" s="429"/>
      <c r="I420" s="376"/>
      <c r="J420" s="443" t="s">
        <v>713</v>
      </c>
      <c r="K420" s="439"/>
      <c r="L420" s="440"/>
      <c r="M420" s="419"/>
      <c r="N420" s="431"/>
      <c r="O420" s="432"/>
      <c r="P420" s="429"/>
      <c r="Q420" s="378"/>
      <c r="R420" s="378"/>
      <c r="S420" s="378"/>
      <c r="T420" s="378"/>
      <c r="U420" s="378"/>
      <c r="V420" s="378"/>
      <c r="W420" s="378"/>
      <c r="X420" s="378"/>
      <c r="Y420" s="378"/>
      <c r="Z420" s="378"/>
      <c r="AA420" s="378"/>
      <c r="AB420" s="378"/>
      <c r="AC420" s="378"/>
      <c r="AD420" s="378"/>
      <c r="AE420" s="378"/>
      <c r="AF420" s="378"/>
      <c r="AG420" s="378"/>
    </row>
    <row r="421">
      <c r="A421" s="378"/>
      <c r="B421" s="444"/>
      <c r="C421" s="434"/>
      <c r="D421" s="435"/>
      <c r="E421" s="419"/>
      <c r="F421" s="463"/>
      <c r="G421" s="463"/>
      <c r="H421" s="448"/>
      <c r="I421" s="376"/>
      <c r="J421" s="445"/>
      <c r="K421" s="434"/>
      <c r="L421" s="435"/>
      <c r="M421" s="419"/>
      <c r="N421" s="446"/>
      <c r="O421" s="447"/>
      <c r="P421" s="448"/>
      <c r="Q421" s="378"/>
      <c r="R421" s="378"/>
      <c r="S421" s="378"/>
      <c r="T421" s="378"/>
      <c r="U421" s="378"/>
      <c r="V421" s="378"/>
      <c r="W421" s="378"/>
      <c r="X421" s="378"/>
      <c r="Y421" s="378"/>
      <c r="Z421" s="378"/>
      <c r="AA421" s="378"/>
      <c r="AB421" s="378"/>
      <c r="AC421" s="378"/>
      <c r="AD421" s="378"/>
      <c r="AE421" s="378"/>
      <c r="AF421" s="378"/>
      <c r="AG421" s="378"/>
    </row>
    <row r="422">
      <c r="A422" s="378"/>
      <c r="B422" s="438" t="s">
        <v>714</v>
      </c>
      <c r="C422" s="439">
        <f>SUM(C420:C421)</f>
        <v>0</v>
      </c>
      <c r="D422" s="440"/>
      <c r="E422" s="419"/>
      <c r="F422" s="463"/>
      <c r="G422" s="463"/>
      <c r="H422" s="448"/>
      <c r="I422" s="376"/>
      <c r="J422" s="443" t="s">
        <v>714</v>
      </c>
      <c r="K422" s="439">
        <f>SUM(K420:K421)</f>
        <v>0</v>
      </c>
      <c r="L422" s="440"/>
      <c r="M422" s="419"/>
      <c r="N422" s="446"/>
      <c r="O422" s="447"/>
      <c r="P422" s="448"/>
      <c r="Q422" s="378"/>
      <c r="R422" s="378"/>
      <c r="S422" s="378"/>
      <c r="T422" s="378"/>
      <c r="U422" s="378"/>
      <c r="V422" s="378"/>
      <c r="W422" s="378"/>
      <c r="X422" s="378"/>
      <c r="Y422" s="378"/>
      <c r="Z422" s="378"/>
      <c r="AA422" s="378"/>
      <c r="AB422" s="378"/>
      <c r="AC422" s="378"/>
      <c r="AD422" s="378"/>
      <c r="AE422" s="378"/>
      <c r="AF422" s="378"/>
      <c r="AG422" s="378"/>
    </row>
    <row r="423">
      <c r="A423" s="378"/>
      <c r="B423" s="450"/>
      <c r="C423" s="451"/>
      <c r="D423" s="419"/>
      <c r="E423" s="419"/>
      <c r="F423" s="463"/>
      <c r="G423" s="463"/>
      <c r="H423" s="448"/>
      <c r="I423" s="376"/>
      <c r="J423" s="535"/>
      <c r="K423" s="451"/>
      <c r="L423" s="419"/>
      <c r="M423" s="419"/>
      <c r="N423" s="446"/>
      <c r="O423" s="447"/>
      <c r="P423" s="448"/>
      <c r="Q423" s="378"/>
      <c r="R423" s="378"/>
      <c r="S423" s="378"/>
      <c r="T423" s="378"/>
      <c r="U423" s="378"/>
      <c r="V423" s="378"/>
      <c r="W423" s="378"/>
      <c r="X423" s="378"/>
      <c r="Y423" s="378"/>
      <c r="Z423" s="378"/>
      <c r="AA423" s="378"/>
      <c r="AB423" s="378"/>
      <c r="AC423" s="378"/>
      <c r="AD423" s="378"/>
      <c r="AE423" s="378"/>
      <c r="AF423" s="378"/>
      <c r="AG423" s="378"/>
    </row>
    <row r="424">
      <c r="A424" s="378"/>
      <c r="B424" s="454" t="s">
        <v>715</v>
      </c>
      <c r="C424" s="455"/>
      <c r="D424" s="435"/>
      <c r="E424" s="419"/>
      <c r="F424" s="463"/>
      <c r="G424" s="463"/>
      <c r="H424" s="448"/>
      <c r="I424" s="376"/>
      <c r="J424" s="458" t="s">
        <v>715</v>
      </c>
      <c r="K424" s="455"/>
      <c r="L424" s="435"/>
      <c r="M424" s="419"/>
      <c r="N424" s="446"/>
      <c r="O424" s="447"/>
      <c r="P424" s="448"/>
      <c r="Q424" s="378"/>
      <c r="R424" s="378"/>
      <c r="S424" s="378"/>
      <c r="T424" s="378"/>
      <c r="U424" s="378"/>
      <c r="V424" s="378"/>
      <c r="W424" s="378"/>
      <c r="X424" s="378"/>
      <c r="Y424" s="378"/>
      <c r="Z424" s="378"/>
      <c r="AA424" s="378"/>
      <c r="AB424" s="378"/>
      <c r="AC424" s="378"/>
      <c r="AD424" s="378"/>
      <c r="AE424" s="378"/>
      <c r="AF424" s="378"/>
      <c r="AG424" s="378"/>
    </row>
    <row r="425">
      <c r="A425" s="378"/>
      <c r="B425" s="459" t="s">
        <v>716</v>
      </c>
      <c r="C425" s="460">
        <v>150.0</v>
      </c>
      <c r="D425" s="440"/>
      <c r="E425" s="419"/>
      <c r="F425" s="463"/>
      <c r="G425" s="463"/>
      <c r="H425" s="448"/>
      <c r="I425" s="376"/>
      <c r="J425" s="459" t="s">
        <v>879</v>
      </c>
      <c r="K425" s="460">
        <f>3834/13</f>
        <v>294.9230769</v>
      </c>
      <c r="L425" s="440"/>
      <c r="M425" s="419"/>
      <c r="N425" s="446"/>
      <c r="O425" s="447"/>
      <c r="P425" s="448"/>
      <c r="Q425" s="378"/>
      <c r="R425" s="378"/>
      <c r="S425" s="378"/>
      <c r="T425" s="378"/>
      <c r="U425" s="378"/>
      <c r="V425" s="378"/>
      <c r="W425" s="378"/>
      <c r="X425" s="378"/>
      <c r="Y425" s="378"/>
      <c r="Z425" s="378"/>
      <c r="AA425" s="378"/>
      <c r="AB425" s="378"/>
      <c r="AC425" s="378"/>
      <c r="AD425" s="378"/>
      <c r="AE425" s="378"/>
      <c r="AF425" s="378"/>
      <c r="AG425" s="378"/>
    </row>
    <row r="426">
      <c r="A426" s="378"/>
      <c r="B426" s="459" t="s">
        <v>717</v>
      </c>
      <c r="C426" s="460">
        <v>400.0</v>
      </c>
      <c r="D426" s="440"/>
      <c r="E426" s="419"/>
      <c r="F426" s="463"/>
      <c r="G426" s="463"/>
      <c r="H426" s="448"/>
      <c r="I426" s="376"/>
      <c r="J426" s="459" t="s">
        <v>880</v>
      </c>
      <c r="K426" s="460">
        <f>1533.16/3</f>
        <v>511.0533333</v>
      </c>
      <c r="L426" s="440"/>
      <c r="M426" s="419"/>
      <c r="N426" s="446"/>
      <c r="O426" s="447"/>
      <c r="P426" s="448"/>
      <c r="Q426" s="378"/>
      <c r="R426" s="378"/>
      <c r="S426" s="378"/>
      <c r="T426" s="378"/>
      <c r="U426" s="378"/>
      <c r="V426" s="378"/>
      <c r="W426" s="378"/>
      <c r="X426" s="378"/>
      <c r="Y426" s="378"/>
      <c r="Z426" s="378"/>
      <c r="AA426" s="378"/>
      <c r="AB426" s="378"/>
      <c r="AC426" s="378"/>
      <c r="AD426" s="378"/>
      <c r="AE426" s="378"/>
      <c r="AF426" s="378"/>
      <c r="AG426" s="378"/>
    </row>
    <row r="427">
      <c r="A427" s="378"/>
      <c r="B427" s="459" t="s">
        <v>718</v>
      </c>
      <c r="C427" s="460">
        <v>200.0</v>
      </c>
      <c r="D427" s="440"/>
      <c r="E427" s="419"/>
      <c r="F427" s="463"/>
      <c r="G427" s="463"/>
      <c r="H427" s="448"/>
      <c r="I427" s="376"/>
      <c r="J427" s="462"/>
      <c r="K427" s="460"/>
      <c r="L427" s="440"/>
      <c r="M427" s="419"/>
      <c r="N427" s="446"/>
      <c r="O427" s="447"/>
      <c r="P427" s="448"/>
      <c r="Q427" s="378"/>
      <c r="R427" s="378"/>
      <c r="S427" s="378"/>
      <c r="T427" s="378"/>
      <c r="U427" s="378"/>
      <c r="V427" s="378"/>
      <c r="W427" s="378"/>
      <c r="X427" s="378"/>
      <c r="Y427" s="378"/>
      <c r="Z427" s="378"/>
      <c r="AA427" s="378"/>
      <c r="AB427" s="378"/>
      <c r="AC427" s="378"/>
      <c r="AD427" s="378"/>
      <c r="AE427" s="378"/>
      <c r="AF427" s="378"/>
      <c r="AG427" s="378"/>
    </row>
    <row r="428">
      <c r="A428" s="378"/>
      <c r="B428" s="459" t="s">
        <v>656</v>
      </c>
      <c r="C428" s="460">
        <f>IFERROR(__xludf.DUMMYFUNCTION("FILTER(D967:D995,C967:C995=F409)"),2961.27)</f>
        <v>2961.27</v>
      </c>
      <c r="D428" s="440"/>
      <c r="E428" s="419"/>
      <c r="F428" s="463"/>
      <c r="G428" s="463"/>
      <c r="H428" s="448"/>
      <c r="I428" s="376"/>
      <c r="J428" s="462"/>
      <c r="K428" s="460"/>
      <c r="L428" s="440"/>
      <c r="M428" s="419"/>
      <c r="N428" s="446"/>
      <c r="O428" s="447"/>
      <c r="P428" s="448"/>
      <c r="Q428" s="378"/>
      <c r="R428" s="378"/>
      <c r="S428" s="378"/>
      <c r="T428" s="378"/>
      <c r="U428" s="378"/>
      <c r="V428" s="378"/>
      <c r="W428" s="378"/>
      <c r="X428" s="378"/>
      <c r="Y428" s="378"/>
      <c r="Z428" s="378"/>
      <c r="AA428" s="378"/>
      <c r="AB428" s="378"/>
      <c r="AC428" s="378"/>
      <c r="AD428" s="378"/>
      <c r="AE428" s="378"/>
      <c r="AF428" s="378"/>
      <c r="AG428" s="378"/>
    </row>
    <row r="429">
      <c r="A429" s="378"/>
      <c r="B429" s="454" t="s">
        <v>879</v>
      </c>
      <c r="C429" s="537">
        <v>294.92</v>
      </c>
      <c r="D429" s="435"/>
      <c r="E429" s="419"/>
      <c r="F429" s="561" t="s">
        <v>881</v>
      </c>
      <c r="G429" s="466">
        <f>H417+C422-C434</f>
        <v>4671.07</v>
      </c>
      <c r="H429" s="211"/>
      <c r="I429" s="376"/>
      <c r="J429" s="467"/>
      <c r="K429" s="455"/>
      <c r="L429" s="435"/>
      <c r="M429" s="419"/>
      <c r="N429" s="468" t="s">
        <v>842</v>
      </c>
      <c r="O429" s="539">
        <f>P417+K422-K434</f>
        <v>2468.72359</v>
      </c>
      <c r="P429" s="211"/>
      <c r="Q429" s="378"/>
      <c r="R429" s="378"/>
      <c r="S429" s="378"/>
      <c r="T429" s="378"/>
      <c r="U429" s="378"/>
      <c r="V429" s="378"/>
      <c r="W429" s="378"/>
      <c r="X429" s="378"/>
      <c r="Y429" s="378"/>
      <c r="Z429" s="378"/>
      <c r="AA429" s="378"/>
      <c r="AB429" s="378"/>
      <c r="AC429" s="378"/>
      <c r="AD429" s="378"/>
      <c r="AE429" s="378"/>
      <c r="AF429" s="378"/>
      <c r="AG429" s="378"/>
    </row>
    <row r="430">
      <c r="A430" s="378"/>
      <c r="B430" s="454" t="s">
        <v>882</v>
      </c>
      <c r="C430" s="562">
        <v>116.58</v>
      </c>
      <c r="D430" s="435"/>
      <c r="E430" s="419"/>
      <c r="F430" s="55"/>
      <c r="G430" s="278"/>
      <c r="H430" s="56"/>
      <c r="I430" s="376"/>
      <c r="J430" s="467"/>
      <c r="K430" s="455"/>
      <c r="L430" s="435"/>
      <c r="M430" s="419"/>
      <c r="N430" s="469" t="s">
        <v>854</v>
      </c>
      <c r="O430" s="278"/>
      <c r="P430" s="56"/>
      <c r="Q430" s="378"/>
      <c r="R430" s="378"/>
      <c r="S430" s="378"/>
      <c r="T430" s="378"/>
      <c r="U430" s="378"/>
      <c r="V430" s="378"/>
      <c r="W430" s="378"/>
      <c r="X430" s="378"/>
      <c r="Y430" s="378"/>
      <c r="Z430" s="378"/>
      <c r="AA430" s="378"/>
      <c r="AB430" s="378"/>
      <c r="AC430" s="378"/>
      <c r="AD430" s="378"/>
      <c r="AE430" s="378"/>
      <c r="AF430" s="378"/>
      <c r="AG430" s="378"/>
    </row>
    <row r="431">
      <c r="A431" s="378"/>
      <c r="B431" s="464"/>
      <c r="C431" s="455"/>
      <c r="D431" s="435"/>
      <c r="E431" s="419"/>
      <c r="F431" s="60"/>
      <c r="G431" s="215"/>
      <c r="H431" s="64"/>
      <c r="I431" s="376"/>
      <c r="J431" s="467"/>
      <c r="K431" s="455"/>
      <c r="L431" s="435"/>
      <c r="M431" s="419"/>
      <c r="N431" s="470"/>
      <c r="O431" s="215"/>
      <c r="P431" s="64"/>
      <c r="Q431" s="378"/>
      <c r="R431" s="378"/>
      <c r="S431" s="378"/>
      <c r="T431" s="378"/>
      <c r="U431" s="378"/>
      <c r="V431" s="378"/>
      <c r="W431" s="378"/>
      <c r="X431" s="378"/>
      <c r="Y431" s="378"/>
      <c r="Z431" s="378"/>
      <c r="AA431" s="378"/>
      <c r="AB431" s="378"/>
      <c r="AC431" s="378"/>
      <c r="AD431" s="378"/>
      <c r="AE431" s="378"/>
      <c r="AF431" s="378"/>
      <c r="AG431" s="378"/>
    </row>
    <row r="432">
      <c r="A432" s="378"/>
      <c r="B432" s="464"/>
      <c r="C432" s="455"/>
      <c r="D432" s="435"/>
      <c r="E432" s="419"/>
      <c r="F432" s="419"/>
      <c r="G432" s="419"/>
      <c r="H432" s="429"/>
      <c r="I432" s="376"/>
      <c r="J432" s="467"/>
      <c r="K432" s="455"/>
      <c r="L432" s="435"/>
      <c r="M432" s="419"/>
      <c r="N432" s="431"/>
      <c r="O432" s="432"/>
      <c r="P432" s="429"/>
      <c r="Q432" s="378"/>
      <c r="R432" s="378"/>
      <c r="S432" s="378"/>
      <c r="T432" s="378"/>
      <c r="U432" s="378"/>
      <c r="V432" s="378"/>
      <c r="W432" s="378"/>
      <c r="X432" s="378"/>
      <c r="Y432" s="378"/>
      <c r="Z432" s="378"/>
      <c r="AA432" s="378"/>
      <c r="AB432" s="378"/>
      <c r="AC432" s="378"/>
      <c r="AD432" s="378"/>
      <c r="AE432" s="378"/>
      <c r="AF432" s="378"/>
      <c r="AG432" s="378"/>
    </row>
    <row r="433">
      <c r="A433" s="378"/>
      <c r="B433" s="464"/>
      <c r="C433" s="455"/>
      <c r="D433" s="435"/>
      <c r="E433" s="419"/>
      <c r="F433" s="419"/>
      <c r="G433" s="419"/>
      <c r="H433" s="429"/>
      <c r="I433" s="376"/>
      <c r="J433" s="467"/>
      <c r="K433" s="455"/>
      <c r="L433" s="435"/>
      <c r="M433" s="419"/>
      <c r="N433" s="431"/>
      <c r="O433" s="432"/>
      <c r="P433" s="429"/>
      <c r="Q433" s="378"/>
      <c r="R433" s="378"/>
      <c r="S433" s="378"/>
      <c r="T433" s="378"/>
      <c r="U433" s="378"/>
      <c r="V433" s="378"/>
      <c r="W433" s="378"/>
      <c r="X433" s="378"/>
      <c r="Y433" s="378"/>
      <c r="Z433" s="378"/>
      <c r="AA433" s="378"/>
      <c r="AB433" s="378"/>
      <c r="AC433" s="378"/>
      <c r="AD433" s="378"/>
      <c r="AE433" s="378"/>
      <c r="AF433" s="378"/>
      <c r="AG433" s="378"/>
    </row>
    <row r="434">
      <c r="A434" s="378"/>
      <c r="B434" s="454" t="s">
        <v>721</v>
      </c>
      <c r="C434" s="460">
        <f>SUM(C425:C433)</f>
        <v>4122.77</v>
      </c>
      <c r="D434" s="440"/>
      <c r="E434" s="419"/>
      <c r="F434" s="419"/>
      <c r="G434" s="419"/>
      <c r="H434" s="429"/>
      <c r="I434" s="376"/>
      <c r="J434" s="458" t="s">
        <v>721</v>
      </c>
      <c r="K434" s="460">
        <f>SUM(K425:K433)</f>
        <v>805.9764103</v>
      </c>
      <c r="L434" s="440"/>
      <c r="M434" s="419"/>
      <c r="N434" s="431"/>
      <c r="O434" s="432"/>
      <c r="P434" s="429"/>
      <c r="Q434" s="378"/>
      <c r="R434" s="378"/>
      <c r="S434" s="378"/>
      <c r="T434" s="378"/>
      <c r="U434" s="378"/>
      <c r="V434" s="378"/>
      <c r="W434" s="378"/>
      <c r="X434" s="378"/>
      <c r="Y434" s="378"/>
      <c r="Z434" s="378"/>
      <c r="AA434" s="378"/>
      <c r="AB434" s="378"/>
      <c r="AC434" s="378"/>
      <c r="AD434" s="378"/>
      <c r="AE434" s="378"/>
      <c r="AF434" s="378"/>
      <c r="AG434" s="378"/>
    </row>
    <row r="435">
      <c r="A435" s="378"/>
      <c r="B435" s="471"/>
      <c r="C435" s="472"/>
      <c r="D435" s="472"/>
      <c r="E435" s="472"/>
      <c r="F435" s="472"/>
      <c r="G435" s="472"/>
      <c r="H435" s="473"/>
      <c r="I435" s="376"/>
      <c r="J435" s="474"/>
      <c r="K435" s="472"/>
      <c r="L435" s="472"/>
      <c r="M435" s="472"/>
      <c r="N435" s="475"/>
      <c r="O435" s="476"/>
      <c r="P435" s="473"/>
      <c r="Q435" s="378"/>
      <c r="R435" s="378"/>
      <c r="S435" s="378"/>
      <c r="T435" s="378"/>
      <c r="U435" s="378"/>
      <c r="V435" s="378"/>
      <c r="W435" s="378"/>
      <c r="X435" s="378"/>
      <c r="Y435" s="378"/>
      <c r="Z435" s="378"/>
      <c r="AA435" s="378"/>
      <c r="AB435" s="378"/>
      <c r="AC435" s="378"/>
      <c r="AD435" s="378"/>
      <c r="AE435" s="378"/>
      <c r="AF435" s="378"/>
      <c r="AG435" s="378"/>
    </row>
    <row r="436">
      <c r="A436" s="378"/>
      <c r="B436" s="550"/>
      <c r="C436" s="463"/>
      <c r="D436" s="463"/>
      <c r="E436" s="463"/>
      <c r="F436" s="463"/>
      <c r="G436" s="463"/>
      <c r="H436" s="463"/>
      <c r="I436" s="376"/>
      <c r="J436" s="377"/>
      <c r="K436" s="378"/>
      <c r="L436" s="378"/>
      <c r="M436" s="378"/>
      <c r="N436" s="379"/>
      <c r="O436" s="380"/>
      <c r="P436" s="378"/>
      <c r="Q436" s="378"/>
      <c r="R436" s="378"/>
      <c r="S436" s="378"/>
      <c r="T436" s="378"/>
      <c r="U436" s="378"/>
      <c r="V436" s="378"/>
      <c r="W436" s="378"/>
      <c r="X436" s="378"/>
      <c r="Y436" s="378"/>
      <c r="Z436" s="378"/>
      <c r="AA436" s="378"/>
      <c r="AB436" s="378"/>
      <c r="AC436" s="378"/>
      <c r="AD436" s="378"/>
      <c r="AE436" s="378"/>
      <c r="AF436" s="378"/>
      <c r="AG436" s="378"/>
    </row>
    <row r="437">
      <c r="A437" s="378"/>
      <c r="B437" s="550"/>
      <c r="C437" s="463"/>
      <c r="D437" s="463"/>
      <c r="E437" s="463"/>
      <c r="F437" s="463"/>
      <c r="G437" s="463"/>
      <c r="H437" s="463"/>
      <c r="I437" s="376"/>
      <c r="J437" s="377"/>
      <c r="K437" s="378"/>
      <c r="L437" s="378"/>
      <c r="M437" s="378"/>
      <c r="N437" s="379"/>
      <c r="O437" s="380"/>
      <c r="P437" s="378"/>
      <c r="Q437" s="378"/>
      <c r="R437" s="378"/>
      <c r="S437" s="378"/>
      <c r="T437" s="378"/>
      <c r="U437" s="378"/>
      <c r="V437" s="378"/>
      <c r="W437" s="378"/>
      <c r="X437" s="378"/>
      <c r="Y437" s="378"/>
      <c r="Z437" s="378"/>
      <c r="AA437" s="378"/>
      <c r="AB437" s="378"/>
      <c r="AC437" s="378"/>
      <c r="AD437" s="378"/>
      <c r="AE437" s="378"/>
      <c r="AF437" s="378"/>
      <c r="AG437" s="378"/>
    </row>
    <row r="438">
      <c r="A438" s="378"/>
      <c r="B438" s="382"/>
      <c r="C438" s="388"/>
      <c r="D438" s="560" t="s">
        <v>872</v>
      </c>
      <c r="E438" s="385" t="s">
        <v>700</v>
      </c>
      <c r="F438" s="385" t="str">
        <f>Board!A2</f>
        <v>11.17.25-11.23.25</v>
      </c>
      <c r="G438" s="213"/>
      <c r="H438" s="211"/>
      <c r="I438" s="386">
        <v>15.0</v>
      </c>
      <c r="J438" s="387"/>
      <c r="K438" s="388"/>
      <c r="L438" s="384"/>
      <c r="M438" s="385" t="s">
        <v>700</v>
      </c>
      <c r="N438" s="385" t="str">
        <f>Board!A2</f>
        <v>11.17.25-11.23.25</v>
      </c>
      <c r="O438" s="213"/>
      <c r="P438" s="211"/>
      <c r="Q438" s="378"/>
      <c r="R438" s="389" t="s">
        <v>831</v>
      </c>
      <c r="S438" s="389" t="s">
        <v>652</v>
      </c>
      <c r="T438" s="390" t="s">
        <v>832</v>
      </c>
      <c r="U438" s="391" t="s">
        <v>833</v>
      </c>
      <c r="V438" s="389" t="s">
        <v>655</v>
      </c>
      <c r="W438" s="389" t="s">
        <v>8</v>
      </c>
      <c r="X438" s="389" t="s">
        <v>656</v>
      </c>
      <c r="Y438" s="390" t="s">
        <v>834</v>
      </c>
      <c r="Z438" s="392" t="s">
        <v>835</v>
      </c>
      <c r="AA438" s="390" t="s">
        <v>836</v>
      </c>
      <c r="AB438" s="390" t="s">
        <v>837</v>
      </c>
      <c r="AC438" s="393" t="s">
        <v>716</v>
      </c>
      <c r="AD438" s="393" t="s">
        <v>717</v>
      </c>
      <c r="AE438" s="393" t="s">
        <v>718</v>
      </c>
      <c r="AF438" s="394" t="s">
        <v>838</v>
      </c>
      <c r="AG438" s="394"/>
    </row>
    <row r="439">
      <c r="A439" s="378"/>
      <c r="B439" s="395"/>
      <c r="C439" s="372"/>
      <c r="D439" s="396"/>
      <c r="E439" s="385" t="s">
        <v>702</v>
      </c>
      <c r="F439" s="385" t="s">
        <v>872</v>
      </c>
      <c r="G439" s="213"/>
      <c r="H439" s="211"/>
      <c r="I439" s="376"/>
      <c r="J439" s="397"/>
      <c r="K439" s="372"/>
      <c r="L439" s="396"/>
      <c r="M439" s="385" t="s">
        <v>351</v>
      </c>
      <c r="N439" s="385" t="str">
        <f t="array" ref="N439">XLOOKUP(N440,Board!K:K,Board!J:J)</f>
        <v>ANTOINE EMMANUEL</v>
      </c>
      <c r="O439" s="213"/>
      <c r="P439" s="211"/>
      <c r="Q439" s="378"/>
      <c r="R439" s="398">
        <f>I438</f>
        <v>15</v>
      </c>
      <c r="S439" s="398">
        <f>F440</f>
        <v>3403</v>
      </c>
      <c r="T439" s="399">
        <f>G460</f>
        <v>4173.47</v>
      </c>
      <c r="U439" s="378" t="str">
        <f>N439</f>
        <v>ANTOINE EMMANUEL</v>
      </c>
      <c r="V439" s="380">
        <f>O460</f>
        <v>3312</v>
      </c>
      <c r="W439" s="399">
        <f>P448</f>
        <v>3312</v>
      </c>
      <c r="X439" s="399">
        <f>C459</f>
        <v>3063.99</v>
      </c>
      <c r="Y439" s="400">
        <f>N448</f>
        <v>5520</v>
      </c>
      <c r="Z439" s="399">
        <f>V440-V439</f>
        <v>861.47</v>
      </c>
      <c r="AA439" s="378"/>
      <c r="AB439" s="378"/>
      <c r="AC439" s="401">
        <f>C456</f>
        <v>150</v>
      </c>
      <c r="AD439" s="401">
        <f>C457</f>
        <v>400</v>
      </c>
      <c r="AE439" s="401">
        <f>C458</f>
        <v>200</v>
      </c>
      <c r="AF439" s="530">
        <f>C460+C461+C462+C463+C464</f>
        <v>1450.54</v>
      </c>
      <c r="AG439" s="398"/>
    </row>
    <row r="440">
      <c r="A440" s="378"/>
      <c r="B440" s="395"/>
      <c r="C440" s="372"/>
      <c r="D440" s="402"/>
      <c r="E440" s="385" t="s">
        <v>703</v>
      </c>
      <c r="F440" s="385">
        <v>3403.0</v>
      </c>
      <c r="G440" s="213"/>
      <c r="H440" s="211"/>
      <c r="I440" s="376"/>
      <c r="J440" s="397"/>
      <c r="K440" s="372"/>
      <c r="L440" s="402"/>
      <c r="M440" s="385" t="s">
        <v>703</v>
      </c>
      <c r="N440" s="385">
        <f>F440</f>
        <v>3403</v>
      </c>
      <c r="O440" s="213"/>
      <c r="P440" s="211"/>
      <c r="Q440" s="378"/>
      <c r="R440" s="378"/>
      <c r="S440" s="378"/>
      <c r="T440" s="378"/>
      <c r="U440" s="378" t="str">
        <f>F439</f>
        <v>US Ela Logistics LLC</v>
      </c>
      <c r="V440" s="399">
        <f>G460</f>
        <v>4173.47</v>
      </c>
      <c r="W440" s="399">
        <f>H448</f>
        <v>9438</v>
      </c>
      <c r="X440" s="378"/>
      <c r="Y440" s="378"/>
      <c r="Z440" s="378"/>
      <c r="AA440" s="378"/>
      <c r="AB440" s="378"/>
      <c r="AC440" s="378"/>
      <c r="AD440" s="378"/>
      <c r="AE440" s="378"/>
      <c r="AF440" s="378"/>
      <c r="AG440" s="378"/>
    </row>
    <row r="441">
      <c r="A441" s="378"/>
      <c r="B441" s="403" t="s">
        <v>704</v>
      </c>
      <c r="C441" s="404" t="s">
        <v>5</v>
      </c>
      <c r="D441" s="405" t="s">
        <v>6</v>
      </c>
      <c r="E441" s="406" t="s">
        <v>7</v>
      </c>
      <c r="F441" s="404" t="s">
        <v>8</v>
      </c>
      <c r="G441" s="404" t="s">
        <v>706</v>
      </c>
      <c r="H441" s="404" t="s">
        <v>707</v>
      </c>
      <c r="I441" s="376"/>
      <c r="J441" s="407" t="s">
        <v>704</v>
      </c>
      <c r="K441" s="404" t="s">
        <v>5</v>
      </c>
      <c r="L441" s="405" t="s">
        <v>6</v>
      </c>
      <c r="M441" s="406" t="s">
        <v>7</v>
      </c>
      <c r="N441" s="404" t="s">
        <v>591</v>
      </c>
      <c r="O441" s="408" t="s">
        <v>839</v>
      </c>
      <c r="P441" s="404" t="s">
        <v>707</v>
      </c>
      <c r="Q441" s="378"/>
      <c r="R441" s="378"/>
      <c r="S441" s="378"/>
      <c r="T441" s="378"/>
      <c r="U441" s="378"/>
      <c r="V441" s="378"/>
      <c r="W441" s="378"/>
      <c r="X441" s="378"/>
      <c r="Y441" s="378"/>
      <c r="Z441" s="378"/>
      <c r="AA441" s="378"/>
      <c r="AB441" s="378"/>
      <c r="AC441" s="378"/>
      <c r="AD441" s="378"/>
      <c r="AE441" s="378"/>
      <c r="AF441" s="378"/>
      <c r="AG441" s="378"/>
    </row>
    <row r="442">
      <c r="A442" s="378"/>
      <c r="B442" s="555">
        <f>IFERROR(__xludf.DUMMYFUNCTION("FILTER(Board!C:G,Board!K:K=F440)"),45978.0)</f>
        <v>45978</v>
      </c>
      <c r="C442" s="404">
        <f>IFERROR(__xludf.DUMMYFUNCTION("""COMPUTED_VALUE"""),2872750.0)</f>
        <v>2872750</v>
      </c>
      <c r="D442" s="405" t="str">
        <f>IFERROR(__xludf.DUMMYFUNCTION("""COMPUTED_VALUE"""),"Oelwein, IA, 50662")</f>
        <v>Oelwein, IA, 50662</v>
      </c>
      <c r="E442" s="406" t="str">
        <f>IFERROR(__xludf.DUMMYFUNCTION("""COMPUTED_VALUE"""),"Portland, OR, 97230")</f>
        <v>Portland, OR, 97230</v>
      </c>
      <c r="F442" s="414">
        <f>IFERROR(__xludf.DUMMYFUNCTION("""COMPUTED_VALUE"""),3800.0)</f>
        <v>3800</v>
      </c>
      <c r="G442" s="413">
        <v>0.88</v>
      </c>
      <c r="H442" s="414">
        <f t="shared" ref="H442:H444" si="26">F442*G442</f>
        <v>3344</v>
      </c>
      <c r="I442" s="376"/>
      <c r="J442" s="415">
        <f>IFERROR(__xludf.DUMMYFUNCTION("FILTER(Board!C:F,Board!K:K=N440)"),45978.0)</f>
        <v>45978</v>
      </c>
      <c r="K442" s="411">
        <f>IFERROR(__xludf.DUMMYFUNCTION("""COMPUTED_VALUE"""),2872750.0)</f>
        <v>2872750</v>
      </c>
      <c r="L442" s="411" t="str">
        <f>IFERROR(__xludf.DUMMYFUNCTION("""COMPUTED_VALUE"""),"Oelwein, IA, 50662")</f>
        <v>Oelwein, IA, 50662</v>
      </c>
      <c r="M442" s="411" t="str">
        <f>IFERROR(__xludf.DUMMYFUNCTION("""COMPUTED_VALUE"""),"Portland, OR, 97230")</f>
        <v>Portland, OR, 97230</v>
      </c>
      <c r="N442" s="416">
        <f>IFERROR(__xludf.DUMMYFUNCTION("FILTER(Board!H:H,Board!K:K=N440)"),1918.0)</f>
        <v>1918</v>
      </c>
      <c r="O442" s="408">
        <v>0.6</v>
      </c>
      <c r="P442" s="414">
        <f t="shared" ref="P442:P444" si="27">N442*O442</f>
        <v>1150.8</v>
      </c>
      <c r="Q442" s="378"/>
      <c r="R442" s="378"/>
      <c r="S442" s="378"/>
      <c r="T442" s="378"/>
      <c r="U442" s="378"/>
      <c r="V442" s="378"/>
      <c r="W442" s="378"/>
      <c r="X442" s="378"/>
      <c r="Y442" s="378"/>
      <c r="Z442" s="378"/>
      <c r="AA442" s="378"/>
      <c r="AB442" s="378"/>
      <c r="AC442" s="378"/>
      <c r="AD442" s="378"/>
      <c r="AE442" s="378"/>
      <c r="AF442" s="378"/>
      <c r="AG442" s="378"/>
    </row>
    <row r="443">
      <c r="A443" s="378"/>
      <c r="B443" s="555">
        <f>IFERROR(__xludf.DUMMYFUNCTION("""COMPUTED_VALUE"""),45981.0)</f>
        <v>45981</v>
      </c>
      <c r="C443" s="404">
        <f>IFERROR(__xludf.DUMMYFUNCTION("""COMPUTED_VALUE"""),639382.0)</f>
        <v>639382</v>
      </c>
      <c r="D443" s="405" t="str">
        <f>IFERROR(__xludf.DUMMYFUNCTION("""COMPUTED_VALUE"""),"Gold Hill, OR, 97525")</f>
        <v>Gold Hill, OR, 97525</v>
      </c>
      <c r="E443" s="406" t="str">
        <f>IFERROR(__xludf.DUMMYFUNCTION("""COMPUTED_VALUE"""),"Soquel, CA, 95073")</f>
        <v>Soquel, CA, 95073</v>
      </c>
      <c r="F443" s="414">
        <f>IFERROR(__xludf.DUMMYFUNCTION("""COMPUTED_VALUE"""),800.0)</f>
        <v>800</v>
      </c>
      <c r="G443" s="413">
        <v>0.88</v>
      </c>
      <c r="H443" s="414">
        <f t="shared" si="26"/>
        <v>704</v>
      </c>
      <c r="I443" s="376"/>
      <c r="J443" s="418">
        <f>IFERROR(__xludf.DUMMYFUNCTION("""COMPUTED_VALUE"""),45981.0)</f>
        <v>45981</v>
      </c>
      <c r="K443" s="411">
        <f>IFERROR(__xludf.DUMMYFUNCTION("""COMPUTED_VALUE"""),639382.0)</f>
        <v>639382</v>
      </c>
      <c r="L443" s="411" t="str">
        <f>IFERROR(__xludf.DUMMYFUNCTION("""COMPUTED_VALUE"""),"Gold Hill, OR, 97525")</f>
        <v>Gold Hill, OR, 97525</v>
      </c>
      <c r="M443" s="411" t="str">
        <f>IFERROR(__xludf.DUMMYFUNCTION("""COMPUTED_VALUE"""),"Soquel, CA, 95073")</f>
        <v>Soquel, CA, 95073</v>
      </c>
      <c r="N443" s="416">
        <f>IFERROR(__xludf.DUMMYFUNCTION("""COMPUTED_VALUE"""),703.0)</f>
        <v>703</v>
      </c>
      <c r="O443" s="408">
        <v>0.6</v>
      </c>
      <c r="P443" s="414">
        <f t="shared" si="27"/>
        <v>421.8</v>
      </c>
      <c r="Q443" s="378"/>
      <c r="R443" s="378"/>
      <c r="S443" s="378"/>
      <c r="T443" s="378"/>
      <c r="U443" s="378"/>
      <c r="V443" s="378"/>
      <c r="W443" s="378"/>
      <c r="X443" s="378"/>
      <c r="Y443" s="378"/>
      <c r="Z443" s="378"/>
      <c r="AA443" s="378"/>
      <c r="AB443" s="378"/>
      <c r="AC443" s="378"/>
      <c r="AD443" s="378"/>
      <c r="AE443" s="378"/>
      <c r="AF443" s="378"/>
      <c r="AG443" s="378"/>
    </row>
    <row r="444">
      <c r="A444" s="378"/>
      <c r="B444" s="499">
        <f>IFERROR(__xludf.DUMMYFUNCTION("""COMPUTED_VALUE"""),45982.0)</f>
        <v>45982</v>
      </c>
      <c r="C444" s="421">
        <f>IFERROR(__xludf.DUMMYFUNCTION("""COMPUTED_VALUE"""),90215.0)</f>
        <v>90215</v>
      </c>
      <c r="D444" s="422" t="str">
        <f>IFERROR(__xludf.DUMMYFUNCTION("""COMPUTED_VALUE"""),"Stockton, CA, 95206")</f>
        <v>Stockton, CA, 95206</v>
      </c>
      <c r="E444" s="423" t="str">
        <f>IFERROR(__xludf.DUMMYFUNCTION("""COMPUTED_VALUE"""),"Dundee, FL, 33838")</f>
        <v>Dundee, FL, 33838</v>
      </c>
      <c r="F444" s="500">
        <f>IFERROR(__xludf.DUMMYFUNCTION("""COMPUTED_VALUE"""),6125.0)</f>
        <v>6125</v>
      </c>
      <c r="G444" s="413">
        <v>0.88</v>
      </c>
      <c r="H444" s="414">
        <f t="shared" si="26"/>
        <v>5390</v>
      </c>
      <c r="I444" s="376"/>
      <c r="J444" s="545">
        <f>IFERROR(__xludf.DUMMYFUNCTION("""COMPUTED_VALUE"""),45982.0)</f>
        <v>45982</v>
      </c>
      <c r="K444" s="421">
        <f>IFERROR(__xludf.DUMMYFUNCTION("""COMPUTED_VALUE"""),90215.0)</f>
        <v>90215</v>
      </c>
      <c r="L444" s="422" t="str">
        <f>IFERROR(__xludf.DUMMYFUNCTION("""COMPUTED_VALUE"""),"Stockton, CA, 95206")</f>
        <v>Stockton, CA, 95206</v>
      </c>
      <c r="M444" s="423" t="str">
        <f>IFERROR(__xludf.DUMMYFUNCTION("""COMPUTED_VALUE"""),"Dundee, FL, 33838")</f>
        <v>Dundee, FL, 33838</v>
      </c>
      <c r="N444" s="546">
        <f>IFERROR(__xludf.DUMMYFUNCTION("""COMPUTED_VALUE"""),2899.0)</f>
        <v>2899</v>
      </c>
      <c r="O444" s="408">
        <v>0.6</v>
      </c>
      <c r="P444" s="414">
        <f t="shared" si="27"/>
        <v>1739.4</v>
      </c>
      <c r="Q444" s="378"/>
      <c r="R444" s="378"/>
      <c r="S444" s="378"/>
      <c r="T444" s="378"/>
      <c r="U444" s="378"/>
      <c r="V444" s="378"/>
      <c r="W444" s="378"/>
      <c r="X444" s="378"/>
      <c r="Y444" s="378"/>
      <c r="Z444" s="378"/>
      <c r="AA444" s="378"/>
      <c r="AB444" s="378"/>
      <c r="AC444" s="378"/>
      <c r="AD444" s="378"/>
      <c r="AE444" s="378"/>
      <c r="AF444" s="378"/>
      <c r="AG444" s="378"/>
    </row>
    <row r="445">
      <c r="A445" s="378"/>
      <c r="B445" s="420"/>
      <c r="C445" s="421"/>
      <c r="D445" s="422"/>
      <c r="E445" s="423"/>
      <c r="F445" s="421"/>
      <c r="G445" s="413"/>
      <c r="H445" s="414"/>
      <c r="I445" s="376"/>
      <c r="J445" s="424"/>
      <c r="K445" s="421"/>
      <c r="L445" s="422"/>
      <c r="M445" s="423"/>
      <c r="N445" s="425"/>
      <c r="O445" s="408"/>
      <c r="P445" s="414"/>
      <c r="Q445" s="378"/>
      <c r="R445" s="378"/>
      <c r="S445" s="378"/>
      <c r="T445" s="378"/>
      <c r="U445" s="378"/>
      <c r="V445" s="378"/>
      <c r="W445" s="378"/>
      <c r="X445" s="378"/>
      <c r="Y445" s="378"/>
      <c r="Z445" s="378"/>
      <c r="AA445" s="378"/>
      <c r="AB445" s="378"/>
      <c r="AC445" s="378"/>
      <c r="AD445" s="378"/>
      <c r="AE445" s="378"/>
      <c r="AF445" s="378"/>
      <c r="AG445" s="378"/>
    </row>
    <row r="446">
      <c r="A446" s="378"/>
      <c r="B446" s="420"/>
      <c r="C446" s="421"/>
      <c r="D446" s="422"/>
      <c r="E446" s="423"/>
      <c r="F446" s="421"/>
      <c r="G446" s="413"/>
      <c r="H446" s="414"/>
      <c r="I446" s="376"/>
      <c r="J446" s="424"/>
      <c r="K446" s="421"/>
      <c r="L446" s="422"/>
      <c r="M446" s="423"/>
      <c r="N446" s="425"/>
      <c r="O446" s="408"/>
      <c r="P446" s="414"/>
      <c r="Q446" s="378"/>
      <c r="R446" s="378"/>
      <c r="S446" s="378"/>
      <c r="T446" s="378"/>
      <c r="U446" s="378"/>
      <c r="V446" s="378"/>
      <c r="W446" s="378"/>
      <c r="X446" s="378"/>
      <c r="Y446" s="378"/>
      <c r="Z446" s="378"/>
      <c r="AA446" s="378"/>
      <c r="AB446" s="378"/>
      <c r="AC446" s="378"/>
      <c r="AD446" s="378"/>
      <c r="AE446" s="378"/>
      <c r="AF446" s="378"/>
      <c r="AG446" s="378"/>
    </row>
    <row r="447">
      <c r="A447" s="378"/>
      <c r="B447" s="420"/>
      <c r="C447" s="421"/>
      <c r="D447" s="422"/>
      <c r="E447" s="423"/>
      <c r="F447" s="421"/>
      <c r="G447" s="413"/>
      <c r="H447" s="414"/>
      <c r="I447" s="376"/>
      <c r="J447" s="424"/>
      <c r="K447" s="421"/>
      <c r="L447" s="422"/>
      <c r="M447" s="423"/>
      <c r="N447" s="425"/>
      <c r="O447" s="408"/>
      <c r="P447" s="414"/>
      <c r="Q447" s="378"/>
      <c r="R447" s="378"/>
      <c r="S447" s="378"/>
      <c r="T447" s="378"/>
      <c r="U447" s="378"/>
      <c r="V447" s="378"/>
      <c r="W447" s="378"/>
      <c r="X447" s="378"/>
      <c r="Y447" s="378"/>
      <c r="Z447" s="378"/>
      <c r="AA447" s="378"/>
      <c r="AB447" s="378"/>
      <c r="AC447" s="378"/>
      <c r="AD447" s="378"/>
      <c r="AE447" s="378"/>
      <c r="AF447" s="378"/>
      <c r="AG447" s="378"/>
    </row>
    <row r="448">
      <c r="A448" s="378"/>
      <c r="B448" s="403" t="s">
        <v>711</v>
      </c>
      <c r="C448" s="224"/>
      <c r="D448" s="224"/>
      <c r="E448" s="222"/>
      <c r="F448" s="414">
        <f>SUM(F442:F447)</f>
        <v>10725</v>
      </c>
      <c r="G448" s="421"/>
      <c r="H448" s="414">
        <f>SUM(H442:H447)</f>
        <v>9438</v>
      </c>
      <c r="I448" s="376"/>
      <c r="J448" s="407" t="s">
        <v>711</v>
      </c>
      <c r="K448" s="224"/>
      <c r="L448" s="224"/>
      <c r="M448" s="222"/>
      <c r="N448" s="426">
        <f>SUM(N442:N447)</f>
        <v>5520</v>
      </c>
      <c r="O448" s="427"/>
      <c r="P448" s="414">
        <f>SUM(P442:P447)</f>
        <v>3312</v>
      </c>
      <c r="Q448" s="378"/>
      <c r="R448" s="378"/>
      <c r="S448" s="378"/>
      <c r="T448" s="378"/>
      <c r="U448" s="378"/>
      <c r="V448" s="378"/>
      <c r="W448" s="378"/>
      <c r="X448" s="378"/>
      <c r="Y448" s="378"/>
      <c r="Z448" s="378"/>
      <c r="AA448" s="378"/>
      <c r="AB448" s="378"/>
      <c r="AC448" s="378"/>
      <c r="AD448" s="378"/>
      <c r="AE448" s="378"/>
      <c r="AF448" s="378"/>
      <c r="AG448" s="378"/>
    </row>
    <row r="449">
      <c r="A449" s="378"/>
      <c r="B449" s="428"/>
      <c r="C449" s="419"/>
      <c r="D449" s="419"/>
      <c r="E449" s="419"/>
      <c r="F449" s="419"/>
      <c r="G449" s="419"/>
      <c r="H449" s="429"/>
      <c r="I449" s="376"/>
      <c r="J449" s="430"/>
      <c r="K449" s="419"/>
      <c r="L449" s="419"/>
      <c r="M449" s="419"/>
      <c r="N449" s="431"/>
      <c r="O449" s="432"/>
      <c r="P449" s="429"/>
      <c r="Q449" s="378"/>
      <c r="R449" s="378"/>
      <c r="S449" s="378"/>
      <c r="T449" s="378"/>
      <c r="U449" s="378"/>
      <c r="V449" s="378"/>
      <c r="W449" s="378"/>
      <c r="X449" s="378"/>
      <c r="Y449" s="378"/>
      <c r="Z449" s="378"/>
      <c r="AA449" s="378"/>
      <c r="AB449" s="378"/>
      <c r="AC449" s="378"/>
      <c r="AD449" s="378"/>
      <c r="AE449" s="378"/>
      <c r="AF449" s="378"/>
      <c r="AG449" s="378"/>
    </row>
    <row r="450">
      <c r="A450" s="378"/>
      <c r="B450" s="433" t="s">
        <v>712</v>
      </c>
      <c r="C450" s="434"/>
      <c r="D450" s="435"/>
      <c r="E450" s="419"/>
      <c r="F450" s="419"/>
      <c r="G450" s="419"/>
      <c r="H450" s="429"/>
      <c r="I450" s="376"/>
      <c r="J450" s="437" t="s">
        <v>712</v>
      </c>
      <c r="K450" s="434"/>
      <c r="L450" s="435"/>
      <c r="M450" s="419"/>
      <c r="N450" s="431"/>
      <c r="O450" s="432"/>
      <c r="P450" s="429"/>
      <c r="Q450" s="378"/>
      <c r="R450" s="378"/>
      <c r="S450" s="378"/>
      <c r="T450" s="378"/>
      <c r="U450" s="378"/>
      <c r="V450" s="378"/>
      <c r="W450" s="378"/>
      <c r="X450" s="378"/>
      <c r="Y450" s="378"/>
      <c r="Z450" s="378"/>
      <c r="AA450" s="378"/>
      <c r="AB450" s="378"/>
      <c r="AC450" s="378"/>
      <c r="AD450" s="378"/>
      <c r="AE450" s="378"/>
      <c r="AF450" s="378"/>
      <c r="AG450" s="378"/>
    </row>
    <row r="451">
      <c r="A451" s="378"/>
      <c r="B451" s="438" t="s">
        <v>713</v>
      </c>
      <c r="C451" s="439"/>
      <c r="D451" s="440"/>
      <c r="E451" s="419"/>
      <c r="F451" s="419"/>
      <c r="G451" s="419"/>
      <c r="H451" s="429"/>
      <c r="I451" s="376"/>
      <c r="J451" s="443" t="s">
        <v>713</v>
      </c>
      <c r="K451" s="439"/>
      <c r="L451" s="440"/>
      <c r="M451" s="419"/>
      <c r="N451" s="431"/>
      <c r="O451" s="432"/>
      <c r="P451" s="429"/>
      <c r="Q451" s="378"/>
      <c r="R451" s="378"/>
      <c r="S451" s="378"/>
      <c r="T451" s="378"/>
      <c r="U451" s="378"/>
      <c r="V451" s="378"/>
      <c r="W451" s="378"/>
      <c r="X451" s="378"/>
      <c r="Y451" s="378"/>
      <c r="Z451" s="378"/>
      <c r="AA451" s="378"/>
      <c r="AB451" s="378"/>
      <c r="AC451" s="378"/>
      <c r="AD451" s="378"/>
      <c r="AE451" s="378"/>
      <c r="AF451" s="378"/>
      <c r="AG451" s="378"/>
    </row>
    <row r="452">
      <c r="A452" s="378"/>
      <c r="B452" s="444"/>
      <c r="C452" s="434"/>
      <c r="D452" s="435"/>
      <c r="E452" s="419"/>
      <c r="F452" s="463"/>
      <c r="G452" s="463"/>
      <c r="H452" s="448"/>
      <c r="I452" s="376"/>
      <c r="J452" s="445"/>
      <c r="K452" s="434"/>
      <c r="L452" s="435"/>
      <c r="M452" s="419"/>
      <c r="N452" s="446"/>
      <c r="O452" s="447"/>
      <c r="P452" s="448"/>
      <c r="Q452" s="378"/>
      <c r="R452" s="378"/>
      <c r="S452" s="378"/>
      <c r="T452" s="378"/>
      <c r="U452" s="378"/>
      <c r="V452" s="378"/>
      <c r="W452" s="378"/>
      <c r="X452" s="378"/>
      <c r="Y452" s="378"/>
      <c r="Z452" s="378"/>
      <c r="AA452" s="378"/>
      <c r="AB452" s="378"/>
      <c r="AC452" s="378"/>
      <c r="AD452" s="378"/>
      <c r="AE452" s="378"/>
      <c r="AF452" s="378"/>
      <c r="AG452" s="378"/>
    </row>
    <row r="453">
      <c r="A453" s="378"/>
      <c r="B453" s="438" t="s">
        <v>714</v>
      </c>
      <c r="C453" s="439">
        <f>SUM(C451:C452)</f>
        <v>0</v>
      </c>
      <c r="D453" s="440"/>
      <c r="E453" s="419"/>
      <c r="F453" s="463"/>
      <c r="G453" s="463"/>
      <c r="H453" s="448"/>
      <c r="I453" s="376"/>
      <c r="J453" s="443" t="s">
        <v>714</v>
      </c>
      <c r="K453" s="439">
        <f>SUM(K451:K452)</f>
        <v>0</v>
      </c>
      <c r="L453" s="440"/>
      <c r="M453" s="419"/>
      <c r="N453" s="446"/>
      <c r="O453" s="447"/>
      <c r="P453" s="448"/>
      <c r="Q453" s="378"/>
      <c r="R453" s="378"/>
      <c r="S453" s="378"/>
      <c r="T453" s="378"/>
      <c r="U453" s="378"/>
      <c r="V453" s="378"/>
      <c r="W453" s="378"/>
      <c r="X453" s="378"/>
      <c r="Y453" s="378"/>
      <c r="Z453" s="378"/>
      <c r="AA453" s="378"/>
      <c r="AB453" s="378"/>
      <c r="AC453" s="378"/>
      <c r="AD453" s="378"/>
      <c r="AE453" s="378"/>
      <c r="AF453" s="378"/>
      <c r="AG453" s="378"/>
    </row>
    <row r="454">
      <c r="A454" s="378"/>
      <c r="B454" s="450"/>
      <c r="C454" s="451"/>
      <c r="D454" s="419"/>
      <c r="E454" s="419"/>
      <c r="F454" s="463"/>
      <c r="G454" s="463"/>
      <c r="H454" s="448"/>
      <c r="I454" s="376"/>
      <c r="J454" s="535"/>
      <c r="K454" s="451"/>
      <c r="L454" s="419"/>
      <c r="M454" s="419"/>
      <c r="N454" s="446"/>
      <c r="O454" s="447"/>
      <c r="P454" s="448"/>
      <c r="Q454" s="378"/>
      <c r="R454" s="378"/>
      <c r="S454" s="378"/>
      <c r="T454" s="378"/>
      <c r="U454" s="378"/>
      <c r="V454" s="378"/>
      <c r="W454" s="378"/>
      <c r="X454" s="378"/>
      <c r="Y454" s="378"/>
      <c r="Z454" s="378"/>
      <c r="AA454" s="378"/>
      <c r="AB454" s="378"/>
      <c r="AC454" s="378"/>
      <c r="AD454" s="378"/>
      <c r="AE454" s="378"/>
      <c r="AF454" s="378"/>
      <c r="AG454" s="378"/>
    </row>
    <row r="455">
      <c r="A455" s="378"/>
      <c r="B455" s="454" t="s">
        <v>715</v>
      </c>
      <c r="C455" s="455"/>
      <c r="D455" s="435"/>
      <c r="E455" s="419"/>
      <c r="F455" s="463"/>
      <c r="G455" s="463"/>
      <c r="H455" s="448"/>
      <c r="I455" s="376"/>
      <c r="J455" s="458" t="s">
        <v>715</v>
      </c>
      <c r="K455" s="455"/>
      <c r="L455" s="435"/>
      <c r="M455" s="419"/>
      <c r="N455" s="446"/>
      <c r="O455" s="447"/>
      <c r="P455" s="448"/>
      <c r="Q455" s="378"/>
      <c r="R455" s="378"/>
      <c r="S455" s="378"/>
      <c r="T455" s="378"/>
      <c r="U455" s="378"/>
      <c r="V455" s="378"/>
      <c r="W455" s="378"/>
      <c r="X455" s="378"/>
      <c r="Y455" s="378"/>
      <c r="Z455" s="378"/>
      <c r="AA455" s="378"/>
      <c r="AB455" s="378"/>
      <c r="AC455" s="378"/>
      <c r="AD455" s="378"/>
      <c r="AE455" s="378"/>
      <c r="AF455" s="378"/>
      <c r="AG455" s="378"/>
    </row>
    <row r="456">
      <c r="A456" s="378"/>
      <c r="B456" s="459" t="s">
        <v>716</v>
      </c>
      <c r="C456" s="460">
        <v>150.0</v>
      </c>
      <c r="D456" s="440"/>
      <c r="E456" s="419"/>
      <c r="F456" s="463"/>
      <c r="G456" s="463"/>
      <c r="H456" s="448"/>
      <c r="I456" s="376"/>
      <c r="J456" s="462"/>
      <c r="K456" s="460"/>
      <c r="L456" s="440"/>
      <c r="M456" s="419"/>
      <c r="N456" s="446"/>
      <c r="O456" s="447"/>
      <c r="P456" s="448"/>
      <c r="Q456" s="378"/>
      <c r="R456" s="378"/>
      <c r="S456" s="378"/>
      <c r="T456" s="378"/>
      <c r="U456" s="378"/>
      <c r="V456" s="378"/>
      <c r="W456" s="378"/>
      <c r="X456" s="378"/>
      <c r="Y456" s="378"/>
      <c r="Z456" s="378"/>
      <c r="AA456" s="378"/>
      <c r="AB456" s="378"/>
      <c r="AC456" s="378"/>
      <c r="AD456" s="378"/>
      <c r="AE456" s="378"/>
      <c r="AF456" s="378"/>
      <c r="AG456" s="378"/>
    </row>
    <row r="457">
      <c r="A457" s="378"/>
      <c r="B457" s="459" t="s">
        <v>717</v>
      </c>
      <c r="C457" s="460">
        <v>400.0</v>
      </c>
      <c r="D457" s="440"/>
      <c r="E457" s="419"/>
      <c r="F457" s="463"/>
      <c r="G457" s="463"/>
      <c r="H457" s="448"/>
      <c r="I457" s="376"/>
      <c r="J457" s="462"/>
      <c r="K457" s="460"/>
      <c r="L457" s="440"/>
      <c r="M457" s="419"/>
      <c r="N457" s="446"/>
      <c r="O457" s="447"/>
      <c r="P457" s="448"/>
      <c r="Q457" s="378"/>
      <c r="R457" s="378"/>
      <c r="S457" s="378"/>
      <c r="T457" s="378"/>
      <c r="U457" s="378"/>
      <c r="V457" s="378"/>
      <c r="W457" s="378"/>
      <c r="X457" s="378"/>
      <c r="Y457" s="378"/>
      <c r="Z457" s="378"/>
      <c r="AA457" s="378"/>
      <c r="AB457" s="378"/>
      <c r="AC457" s="378"/>
      <c r="AD457" s="378"/>
      <c r="AE457" s="378"/>
      <c r="AF457" s="378"/>
      <c r="AG457" s="378"/>
    </row>
    <row r="458">
      <c r="A458" s="378"/>
      <c r="B458" s="459" t="s">
        <v>718</v>
      </c>
      <c r="C458" s="460">
        <v>200.0</v>
      </c>
      <c r="D458" s="440"/>
      <c r="E458" s="419"/>
      <c r="F458" s="463"/>
      <c r="G458" s="463"/>
      <c r="H458" s="448"/>
      <c r="I458" s="376"/>
      <c r="J458" s="462"/>
      <c r="K458" s="460"/>
      <c r="L458" s="440"/>
      <c r="M458" s="419"/>
      <c r="N458" s="446"/>
      <c r="O458" s="447"/>
      <c r="P458" s="448"/>
      <c r="Q458" s="378"/>
      <c r="R458" s="378"/>
      <c r="S458" s="378"/>
      <c r="T458" s="378"/>
      <c r="U458" s="378"/>
      <c r="V458" s="378"/>
      <c r="W458" s="378"/>
      <c r="X458" s="378"/>
      <c r="Y458" s="378"/>
      <c r="Z458" s="378"/>
      <c r="AA458" s="378"/>
      <c r="AB458" s="378"/>
      <c r="AC458" s="378"/>
      <c r="AD458" s="378"/>
      <c r="AE458" s="378"/>
      <c r="AF458" s="378"/>
      <c r="AG458" s="378"/>
    </row>
    <row r="459">
      <c r="A459" s="378"/>
      <c r="B459" s="459" t="s">
        <v>656</v>
      </c>
      <c r="C459" s="460">
        <f>IFERROR(__xludf.DUMMYFUNCTION("FILTER(D967:D995,C967:C995=F440)"),3063.99)</f>
        <v>3063.99</v>
      </c>
      <c r="D459" s="440"/>
      <c r="E459" s="419"/>
      <c r="F459" s="463"/>
      <c r="G459" s="463"/>
      <c r="H459" s="448"/>
      <c r="I459" s="376"/>
      <c r="J459" s="462"/>
      <c r="K459" s="460"/>
      <c r="L459" s="440"/>
      <c r="M459" s="419"/>
      <c r="N459" s="446"/>
      <c r="O459" s="447"/>
      <c r="P459" s="448"/>
      <c r="Q459" s="378"/>
      <c r="R459" s="378"/>
      <c r="S459" s="378"/>
      <c r="T459" s="378"/>
      <c r="U459" s="378"/>
      <c r="V459" s="378"/>
      <c r="W459" s="378"/>
      <c r="X459" s="378"/>
      <c r="Y459" s="378"/>
      <c r="Z459" s="378"/>
      <c r="AA459" s="378"/>
      <c r="AB459" s="378"/>
      <c r="AC459" s="378"/>
      <c r="AD459" s="378"/>
      <c r="AE459" s="378"/>
      <c r="AF459" s="378"/>
      <c r="AG459" s="378"/>
    </row>
    <row r="460">
      <c r="A460" s="378"/>
      <c r="B460" s="454" t="s">
        <v>883</v>
      </c>
      <c r="C460" s="537">
        <v>75.0</v>
      </c>
      <c r="D460" s="521"/>
      <c r="E460" s="419"/>
      <c r="F460" s="561" t="s">
        <v>881</v>
      </c>
      <c r="G460" s="466">
        <f>H448+C453-C465</f>
        <v>4173.47</v>
      </c>
      <c r="H460" s="211"/>
      <c r="I460" s="376"/>
      <c r="J460" s="467"/>
      <c r="K460" s="455"/>
      <c r="L460" s="435"/>
      <c r="M460" s="419"/>
      <c r="N460" s="468" t="s">
        <v>842</v>
      </c>
      <c r="O460" s="539">
        <f>P448+K453-K465</f>
        <v>3312</v>
      </c>
      <c r="P460" s="211"/>
      <c r="Q460" s="378"/>
      <c r="R460" s="378"/>
      <c r="S460" s="378"/>
      <c r="T460" s="378"/>
      <c r="U460" s="378"/>
      <c r="V460" s="378"/>
      <c r="W460" s="378"/>
      <c r="X460" s="378"/>
      <c r="Y460" s="378"/>
      <c r="Z460" s="378"/>
      <c r="AA460" s="378"/>
      <c r="AB460" s="378"/>
      <c r="AC460" s="378"/>
      <c r="AD460" s="378"/>
      <c r="AE460" s="378"/>
      <c r="AF460" s="378"/>
      <c r="AG460" s="378"/>
    </row>
    <row r="461">
      <c r="A461" s="378"/>
      <c r="B461" s="454" t="s">
        <v>884</v>
      </c>
      <c r="C461" s="537">
        <v>11.77</v>
      </c>
      <c r="D461" s="435"/>
      <c r="E461" s="419"/>
      <c r="F461" s="55"/>
      <c r="G461" s="278"/>
      <c r="H461" s="56"/>
      <c r="I461" s="376"/>
      <c r="J461" s="467"/>
      <c r="K461" s="455"/>
      <c r="L461" s="435"/>
      <c r="M461" s="419"/>
      <c r="N461" s="469" t="s">
        <v>854</v>
      </c>
      <c r="O461" s="278"/>
      <c r="P461" s="56"/>
      <c r="Q461" s="378"/>
      <c r="R461" s="378"/>
      <c r="S461" s="378"/>
      <c r="T461" s="378"/>
      <c r="U461" s="378"/>
      <c r="V461" s="378"/>
      <c r="W461" s="378"/>
      <c r="X461" s="378"/>
      <c r="Y461" s="378"/>
      <c r="Z461" s="378"/>
      <c r="AA461" s="378"/>
      <c r="AB461" s="378"/>
      <c r="AC461" s="378"/>
      <c r="AD461" s="378"/>
      <c r="AE461" s="378"/>
      <c r="AF461" s="378"/>
      <c r="AG461" s="378"/>
    </row>
    <row r="462">
      <c r="A462" s="378"/>
      <c r="B462" s="454" t="s">
        <v>807</v>
      </c>
      <c r="C462" s="537">
        <v>1363.77</v>
      </c>
      <c r="D462" s="435"/>
      <c r="E462" s="419"/>
      <c r="F462" s="60"/>
      <c r="G462" s="215"/>
      <c r="H462" s="64"/>
      <c r="I462" s="376"/>
      <c r="J462" s="467"/>
      <c r="K462" s="455"/>
      <c r="L462" s="435"/>
      <c r="M462" s="419"/>
      <c r="N462" s="470"/>
      <c r="O462" s="215"/>
      <c r="P462" s="64"/>
      <c r="Q462" s="378"/>
      <c r="R462" s="378"/>
      <c r="S462" s="378"/>
      <c r="T462" s="378"/>
      <c r="U462" s="378"/>
      <c r="V462" s="378"/>
      <c r="W462" s="378"/>
      <c r="X462" s="378"/>
      <c r="Y462" s="378"/>
      <c r="Z462" s="378"/>
      <c r="AA462" s="378"/>
      <c r="AB462" s="378"/>
      <c r="AC462" s="378"/>
      <c r="AD462" s="378"/>
      <c r="AE462" s="378"/>
      <c r="AF462" s="378"/>
      <c r="AG462" s="378"/>
    </row>
    <row r="463">
      <c r="A463" s="378"/>
      <c r="B463" s="464"/>
      <c r="C463" s="455"/>
      <c r="D463" s="435"/>
      <c r="E463" s="419"/>
      <c r="F463" s="419"/>
      <c r="G463" s="419"/>
      <c r="H463" s="429"/>
      <c r="I463" s="376"/>
      <c r="J463" s="467"/>
      <c r="K463" s="455"/>
      <c r="L463" s="435"/>
      <c r="M463" s="419"/>
      <c r="N463" s="431"/>
      <c r="O463" s="432"/>
      <c r="P463" s="429"/>
      <c r="Q463" s="378"/>
      <c r="R463" s="378"/>
      <c r="S463" s="378"/>
      <c r="T463" s="378"/>
      <c r="U463" s="378"/>
      <c r="V463" s="378"/>
      <c r="W463" s="378"/>
      <c r="X463" s="378"/>
      <c r="Y463" s="378"/>
      <c r="Z463" s="378"/>
      <c r="AA463" s="378"/>
      <c r="AB463" s="378"/>
      <c r="AC463" s="378"/>
      <c r="AD463" s="378"/>
      <c r="AE463" s="378"/>
      <c r="AF463" s="378"/>
      <c r="AG463" s="378"/>
    </row>
    <row r="464">
      <c r="A464" s="378"/>
      <c r="B464" s="464"/>
      <c r="C464" s="455"/>
      <c r="D464" s="435"/>
      <c r="E464" s="419"/>
      <c r="F464" s="419"/>
      <c r="G464" s="419"/>
      <c r="H464" s="429"/>
      <c r="I464" s="376"/>
      <c r="J464" s="467"/>
      <c r="K464" s="455"/>
      <c r="L464" s="435"/>
      <c r="M464" s="419"/>
      <c r="N464" s="431"/>
      <c r="O464" s="432"/>
      <c r="P464" s="429"/>
      <c r="Q464" s="378"/>
      <c r="R464" s="378"/>
      <c r="S464" s="378"/>
      <c r="T464" s="378"/>
      <c r="U464" s="378"/>
      <c r="V464" s="378"/>
      <c r="W464" s="378"/>
      <c r="X464" s="378"/>
      <c r="Y464" s="378"/>
      <c r="Z464" s="378"/>
      <c r="AA464" s="378"/>
      <c r="AB464" s="378"/>
      <c r="AC464" s="378"/>
      <c r="AD464" s="378"/>
      <c r="AE464" s="378"/>
      <c r="AF464" s="378"/>
      <c r="AG464" s="378"/>
    </row>
    <row r="465">
      <c r="A465" s="378"/>
      <c r="B465" s="454" t="s">
        <v>721</v>
      </c>
      <c r="C465" s="460">
        <f>SUM(C456:C464)</f>
        <v>5264.53</v>
      </c>
      <c r="D465" s="440"/>
      <c r="E465" s="419"/>
      <c r="F465" s="419"/>
      <c r="G465" s="419"/>
      <c r="H465" s="429"/>
      <c r="I465" s="376"/>
      <c r="J465" s="458" t="s">
        <v>721</v>
      </c>
      <c r="K465" s="460">
        <f>SUM(K456:K464)</f>
        <v>0</v>
      </c>
      <c r="L465" s="440"/>
      <c r="M465" s="419"/>
      <c r="N465" s="431"/>
      <c r="O465" s="432"/>
      <c r="P465" s="429"/>
      <c r="Q465" s="378"/>
      <c r="R465" s="378"/>
      <c r="S465" s="378"/>
      <c r="T465" s="378"/>
      <c r="U465" s="378"/>
      <c r="V465" s="378"/>
      <c r="W465" s="378"/>
      <c r="X465" s="378"/>
      <c r="Y465" s="378"/>
      <c r="Z465" s="378"/>
      <c r="AA465" s="378"/>
      <c r="AB465" s="378"/>
      <c r="AC465" s="378"/>
      <c r="AD465" s="378"/>
      <c r="AE465" s="378"/>
      <c r="AF465" s="378"/>
      <c r="AG465" s="378"/>
    </row>
    <row r="466">
      <c r="A466" s="378"/>
      <c r="B466" s="471"/>
      <c r="C466" s="472"/>
      <c r="D466" s="472"/>
      <c r="E466" s="472"/>
      <c r="F466" s="472"/>
      <c r="G466" s="472"/>
      <c r="H466" s="473"/>
      <c r="I466" s="376"/>
      <c r="J466" s="474"/>
      <c r="K466" s="472"/>
      <c r="L466" s="472"/>
      <c r="M466" s="472"/>
      <c r="N466" s="475"/>
      <c r="O466" s="476"/>
      <c r="P466" s="473"/>
      <c r="Q466" s="378"/>
      <c r="R466" s="378"/>
      <c r="S466" s="378"/>
      <c r="T466" s="378"/>
      <c r="U466" s="378"/>
      <c r="V466" s="378"/>
      <c r="W466" s="378"/>
      <c r="X466" s="378"/>
      <c r="Y466" s="378"/>
      <c r="Z466" s="378"/>
      <c r="AA466" s="378"/>
      <c r="AB466" s="378"/>
      <c r="AC466" s="378"/>
      <c r="AD466" s="378"/>
      <c r="AE466" s="378"/>
      <c r="AF466" s="378"/>
      <c r="AG466" s="378"/>
    </row>
    <row r="467">
      <c r="A467" s="378"/>
      <c r="B467" s="550"/>
      <c r="C467" s="463"/>
      <c r="D467" s="463"/>
      <c r="E467" s="463"/>
      <c r="F467" s="463"/>
      <c r="G467" s="463"/>
      <c r="H467" s="463"/>
      <c r="I467" s="376"/>
      <c r="J467" s="377"/>
      <c r="K467" s="378"/>
      <c r="L467" s="378"/>
      <c r="M467" s="378"/>
      <c r="N467" s="379"/>
      <c r="O467" s="380"/>
      <c r="P467" s="378"/>
      <c r="Q467" s="378"/>
      <c r="R467" s="378"/>
      <c r="S467" s="378"/>
      <c r="T467" s="378"/>
      <c r="U467" s="378"/>
      <c r="V467" s="378"/>
      <c r="W467" s="378"/>
      <c r="X467" s="378"/>
      <c r="Y467" s="378"/>
      <c r="Z467" s="378"/>
      <c r="AA467" s="378"/>
      <c r="AB467" s="378"/>
      <c r="AC467" s="378"/>
      <c r="AD467" s="378"/>
      <c r="AE467" s="378"/>
      <c r="AF467" s="378"/>
      <c r="AG467" s="378"/>
    </row>
    <row r="468">
      <c r="A468" s="378"/>
      <c r="B468" s="550"/>
      <c r="C468" s="463"/>
      <c r="D468" s="463"/>
      <c r="E468" s="463"/>
      <c r="F468" s="463"/>
      <c r="G468" s="463"/>
      <c r="H468" s="463"/>
      <c r="I468" s="376"/>
      <c r="J468" s="377"/>
      <c r="K468" s="378"/>
      <c r="L468" s="378"/>
      <c r="M468" s="378"/>
      <c r="N468" s="379"/>
      <c r="O468" s="380"/>
      <c r="P468" s="378"/>
      <c r="Q468" s="378"/>
      <c r="R468" s="378"/>
      <c r="S468" s="378"/>
      <c r="T468" s="378"/>
      <c r="U468" s="378"/>
      <c r="V468" s="378"/>
      <c r="W468" s="378"/>
      <c r="X468" s="378"/>
      <c r="Y468" s="378"/>
      <c r="Z468" s="378"/>
      <c r="AA468" s="378"/>
      <c r="AB468" s="378"/>
      <c r="AC468" s="378"/>
      <c r="AD468" s="378"/>
      <c r="AE468" s="378"/>
      <c r="AF468" s="378"/>
      <c r="AG468" s="378"/>
    </row>
    <row r="469">
      <c r="A469" s="378"/>
      <c r="B469" s="382"/>
      <c r="C469" s="388"/>
      <c r="D469" s="560" t="s">
        <v>664</v>
      </c>
      <c r="E469" s="385" t="s">
        <v>700</v>
      </c>
      <c r="F469" s="385" t="str">
        <f>Board!A2</f>
        <v>11.17.25-11.23.25</v>
      </c>
      <c r="G469" s="213"/>
      <c r="H469" s="211"/>
      <c r="I469" s="386">
        <v>16.0</v>
      </c>
      <c r="J469" s="387"/>
      <c r="K469" s="388"/>
      <c r="L469" s="384"/>
      <c r="M469" s="385" t="s">
        <v>700</v>
      </c>
      <c r="N469" s="385" t="str">
        <f>Board!A2</f>
        <v>11.17.25-11.23.25</v>
      </c>
      <c r="O469" s="213"/>
      <c r="P469" s="211"/>
      <c r="Q469" s="378"/>
      <c r="R469" s="389" t="s">
        <v>831</v>
      </c>
      <c r="S469" s="389" t="s">
        <v>652</v>
      </c>
      <c r="T469" s="390" t="s">
        <v>832</v>
      </c>
      <c r="U469" s="391" t="s">
        <v>833</v>
      </c>
      <c r="V469" s="389" t="s">
        <v>655</v>
      </c>
      <c r="W469" s="389" t="s">
        <v>8</v>
      </c>
      <c r="X469" s="389" t="s">
        <v>656</v>
      </c>
      <c r="Y469" s="390" t="s">
        <v>834</v>
      </c>
      <c r="Z469" s="392" t="s">
        <v>835</v>
      </c>
      <c r="AA469" s="390" t="s">
        <v>836</v>
      </c>
      <c r="AB469" s="390" t="s">
        <v>837</v>
      </c>
      <c r="AC469" s="393" t="s">
        <v>716</v>
      </c>
      <c r="AD469" s="393" t="s">
        <v>717</v>
      </c>
      <c r="AE469" s="393" t="s">
        <v>718</v>
      </c>
      <c r="AF469" s="394" t="s">
        <v>838</v>
      </c>
      <c r="AG469" s="394"/>
    </row>
    <row r="470">
      <c r="A470" s="378"/>
      <c r="B470" s="395"/>
      <c r="C470" s="372"/>
      <c r="D470" s="396"/>
      <c r="E470" s="385" t="s">
        <v>702</v>
      </c>
      <c r="F470" s="385" t="s">
        <v>664</v>
      </c>
      <c r="G470" s="213"/>
      <c r="H470" s="211"/>
      <c r="I470" s="376"/>
      <c r="J470" s="397"/>
      <c r="K470" s="372"/>
      <c r="L470" s="396"/>
      <c r="M470" s="385" t="s">
        <v>351</v>
      </c>
      <c r="N470" s="385" t="str">
        <f t="array" ref="N470">XLOOKUP(N471,Board!K:K,Board!J:J)</f>
        <v>MICHEL PATRICK</v>
      </c>
      <c r="O470" s="213"/>
      <c r="P470" s="211"/>
      <c r="Q470" s="378"/>
      <c r="R470" s="398">
        <f>I469</f>
        <v>16</v>
      </c>
      <c r="S470" s="398">
        <f>F471</f>
        <v>3819</v>
      </c>
      <c r="T470" s="399">
        <f>G491</f>
        <v>3792.6</v>
      </c>
      <c r="U470" s="378" t="str">
        <f>N470</f>
        <v>MICHEL PATRICK</v>
      </c>
      <c r="V470" s="380">
        <f>O491</f>
        <v>2189.85</v>
      </c>
      <c r="W470" s="399">
        <f>P479</f>
        <v>2189.85</v>
      </c>
      <c r="X470" s="399">
        <f>C490</f>
        <v>3861.4</v>
      </c>
      <c r="Y470" s="400">
        <f>N479</f>
        <v>3369</v>
      </c>
      <c r="Z470" s="399">
        <f>V471-V470</f>
        <v>1602.75</v>
      </c>
      <c r="AA470" s="378"/>
      <c r="AB470" s="378"/>
      <c r="AC470" s="401">
        <f>C487</f>
        <v>150</v>
      </c>
      <c r="AD470" s="401">
        <f>C488</f>
        <v>400</v>
      </c>
      <c r="AE470" s="401">
        <f>C489</f>
        <v>200</v>
      </c>
      <c r="AF470" s="398">
        <f>C491+C492+C493+C494+C495</f>
        <v>0</v>
      </c>
      <c r="AG470" s="398"/>
    </row>
    <row r="471">
      <c r="A471" s="378"/>
      <c r="B471" s="395"/>
      <c r="C471" s="372"/>
      <c r="D471" s="402"/>
      <c r="E471" s="385" t="s">
        <v>703</v>
      </c>
      <c r="F471" s="385">
        <v>3819.0</v>
      </c>
      <c r="G471" s="213"/>
      <c r="H471" s="211"/>
      <c r="I471" s="376"/>
      <c r="J471" s="397"/>
      <c r="K471" s="372"/>
      <c r="L471" s="402"/>
      <c r="M471" s="385" t="s">
        <v>703</v>
      </c>
      <c r="N471" s="385">
        <f>F471</f>
        <v>3819</v>
      </c>
      <c r="O471" s="213"/>
      <c r="P471" s="211"/>
      <c r="Q471" s="378"/>
      <c r="R471" s="378"/>
      <c r="S471" s="378"/>
      <c r="T471" s="378"/>
      <c r="U471" s="378" t="str">
        <f>F470</f>
        <v>Ada Fleet LLC</v>
      </c>
      <c r="V471" s="399">
        <f>G491</f>
        <v>3792.6</v>
      </c>
      <c r="W471" s="399">
        <f>H479</f>
        <v>8404</v>
      </c>
      <c r="X471" s="378"/>
      <c r="Y471" s="378"/>
      <c r="Z471" s="378"/>
      <c r="AA471" s="378"/>
      <c r="AB471" s="378"/>
      <c r="AC471" s="378"/>
      <c r="AD471" s="378"/>
      <c r="AE471" s="378"/>
      <c r="AF471" s="378"/>
      <c r="AG471" s="378"/>
    </row>
    <row r="472">
      <c r="A472" s="378"/>
      <c r="B472" s="403" t="s">
        <v>704</v>
      </c>
      <c r="C472" s="404" t="s">
        <v>5</v>
      </c>
      <c r="D472" s="405" t="s">
        <v>6</v>
      </c>
      <c r="E472" s="406" t="s">
        <v>7</v>
      </c>
      <c r="F472" s="404" t="s">
        <v>8</v>
      </c>
      <c r="G472" s="404" t="s">
        <v>706</v>
      </c>
      <c r="H472" s="404" t="s">
        <v>707</v>
      </c>
      <c r="I472" s="376"/>
      <c r="J472" s="407" t="s">
        <v>704</v>
      </c>
      <c r="K472" s="404" t="s">
        <v>5</v>
      </c>
      <c r="L472" s="405" t="s">
        <v>6</v>
      </c>
      <c r="M472" s="406" t="s">
        <v>7</v>
      </c>
      <c r="N472" s="404" t="s">
        <v>591</v>
      </c>
      <c r="O472" s="408" t="s">
        <v>839</v>
      </c>
      <c r="P472" s="404" t="s">
        <v>707</v>
      </c>
      <c r="Q472" s="378"/>
      <c r="R472" s="378"/>
      <c r="S472" s="378"/>
      <c r="T472" s="378"/>
      <c r="U472" s="378"/>
      <c r="V472" s="378"/>
      <c r="W472" s="378"/>
      <c r="X472" s="378"/>
      <c r="Y472" s="378"/>
      <c r="Z472" s="378"/>
      <c r="AA472" s="378"/>
      <c r="AB472" s="378"/>
      <c r="AC472" s="378"/>
      <c r="AD472" s="378"/>
      <c r="AE472" s="378"/>
      <c r="AF472" s="378"/>
      <c r="AG472" s="378"/>
    </row>
    <row r="473">
      <c r="A473" s="378"/>
      <c r="B473" s="555">
        <f>IFERROR(__xludf.DUMMYFUNCTION("FILTER(Board!C:G,Board!K:K=F471)"),45980.0)</f>
        <v>45980</v>
      </c>
      <c r="C473" s="404">
        <f>IFERROR(__xludf.DUMMYFUNCTION("""COMPUTED_VALUE"""),2238280.0)</f>
        <v>2238280</v>
      </c>
      <c r="D473" s="405" t="str">
        <f>IFERROR(__xludf.DUMMYFUNCTION("""COMPUTED_VALUE"""),"Puyallup, WA, 98375")</f>
        <v>Puyallup, WA, 98375</v>
      </c>
      <c r="E473" s="406" t="str">
        <f>IFERROR(__xludf.DUMMYFUNCTION("""COMPUTED_VALUE"""),"Bend, OR, 97701")</f>
        <v>Bend, OR, 97701</v>
      </c>
      <c r="F473" s="414">
        <f>IFERROR(__xludf.DUMMYFUNCTION("""COMPUTED_VALUE"""),1000.0)</f>
        <v>1000</v>
      </c>
      <c r="G473" s="413">
        <v>0.88</v>
      </c>
      <c r="H473" s="414">
        <f t="shared" ref="H473:H475" si="28">F473*G473</f>
        <v>880</v>
      </c>
      <c r="I473" s="376"/>
      <c r="J473" s="415">
        <f>IFERROR(__xludf.DUMMYFUNCTION("FILTER(Board!C:F,Board!K:K=N471)"),45980.0)</f>
        <v>45980</v>
      </c>
      <c r="K473" s="411">
        <f>IFERROR(__xludf.DUMMYFUNCTION("""COMPUTED_VALUE"""),2238280.0)</f>
        <v>2238280</v>
      </c>
      <c r="L473" s="411" t="str">
        <f>IFERROR(__xludf.DUMMYFUNCTION("""COMPUTED_VALUE"""),"Puyallup, WA, 98375")</f>
        <v>Puyallup, WA, 98375</v>
      </c>
      <c r="M473" s="411" t="str">
        <f>IFERROR(__xludf.DUMMYFUNCTION("""COMPUTED_VALUE"""),"Bend, OR, 97701")</f>
        <v>Bend, OR, 97701</v>
      </c>
      <c r="N473" s="416">
        <f>IFERROR(__xludf.DUMMYFUNCTION("FILTER(Board!H:H,Board!K:K=N471)"),387.0)</f>
        <v>387</v>
      </c>
      <c r="O473" s="408">
        <v>0.65</v>
      </c>
      <c r="P473" s="414">
        <f t="shared" ref="P473:P476" si="29">N473*O473</f>
        <v>251.55</v>
      </c>
      <c r="Q473" s="378"/>
      <c r="R473" s="378"/>
      <c r="S473" s="378"/>
      <c r="T473" s="378"/>
      <c r="U473" s="378"/>
      <c r="V473" s="378"/>
      <c r="W473" s="378"/>
      <c r="X473" s="378"/>
      <c r="Y473" s="378"/>
      <c r="Z473" s="378"/>
      <c r="AA473" s="378"/>
      <c r="AB473" s="378"/>
      <c r="AC473" s="378"/>
      <c r="AD473" s="378"/>
      <c r="AE473" s="378"/>
      <c r="AF473" s="378"/>
      <c r="AG473" s="378"/>
    </row>
    <row r="474">
      <c r="A474" s="378"/>
      <c r="B474" s="555">
        <f>IFERROR(__xludf.DUMMYFUNCTION("""COMPUTED_VALUE"""),45981.0)</f>
        <v>45981</v>
      </c>
      <c r="C474" s="404">
        <f>IFERROR(__xludf.DUMMYFUNCTION("""COMPUTED_VALUE"""),1876428.0)</f>
        <v>1876428</v>
      </c>
      <c r="D474" s="405" t="str">
        <f>IFERROR(__xludf.DUMMYFUNCTION("""COMPUTED_VALUE"""),", OR, 97015")</f>
        <v>, OR, 97015</v>
      </c>
      <c r="E474" s="406" t="str">
        <f>IFERROR(__xludf.DUMMYFUNCTION("""COMPUTED_VALUE"""),"Hanover Township, PA, 18706")</f>
        <v>Hanover Township, PA, 18706</v>
      </c>
      <c r="F474" s="414">
        <f>IFERROR(__xludf.DUMMYFUNCTION("""COMPUTED_VALUE"""),150.0)</f>
        <v>150</v>
      </c>
      <c r="G474" s="413">
        <v>0.88</v>
      </c>
      <c r="H474" s="414">
        <f t="shared" si="28"/>
        <v>132</v>
      </c>
      <c r="I474" s="376"/>
      <c r="J474" s="418">
        <f>IFERROR(__xludf.DUMMYFUNCTION("""COMPUTED_VALUE"""),45981.0)</f>
        <v>45981</v>
      </c>
      <c r="K474" s="411">
        <f>IFERROR(__xludf.DUMMYFUNCTION("""COMPUTED_VALUE"""),1876428.0)</f>
        <v>1876428</v>
      </c>
      <c r="L474" s="411" t="str">
        <f>IFERROR(__xludf.DUMMYFUNCTION("""COMPUTED_VALUE"""),", OR, 97015")</f>
        <v>, OR, 97015</v>
      </c>
      <c r="M474" s="411" t="str">
        <f>IFERROR(__xludf.DUMMYFUNCTION("""COMPUTED_VALUE"""),"Hanover Township, PA, 18706")</f>
        <v>Hanover Township, PA, 18706</v>
      </c>
      <c r="N474" s="416">
        <f>IFERROR(__xludf.DUMMYFUNCTION("""COMPUTED_VALUE"""),109.0)</f>
        <v>109</v>
      </c>
      <c r="O474" s="408">
        <v>0.65</v>
      </c>
      <c r="P474" s="414">
        <f t="shared" si="29"/>
        <v>70.85</v>
      </c>
      <c r="Q474" s="378"/>
      <c r="R474" s="378"/>
      <c r="S474" s="378"/>
      <c r="T474" s="378"/>
      <c r="U474" s="378"/>
      <c r="V474" s="378"/>
      <c r="W474" s="378"/>
      <c r="X474" s="378"/>
      <c r="Y474" s="378"/>
      <c r="Z474" s="378"/>
      <c r="AA474" s="378"/>
      <c r="AB474" s="378"/>
      <c r="AC474" s="378"/>
      <c r="AD474" s="378"/>
      <c r="AE474" s="378"/>
      <c r="AF474" s="378"/>
      <c r="AG474" s="378"/>
    </row>
    <row r="475">
      <c r="A475" s="378"/>
      <c r="B475" s="499">
        <f>IFERROR(__xludf.DUMMYFUNCTION("""COMPUTED_VALUE"""),45981.0)</f>
        <v>45981</v>
      </c>
      <c r="C475" s="421">
        <f>IFERROR(__xludf.DUMMYFUNCTION("""COMPUTED_VALUE"""),1876453.0)</f>
        <v>1876453</v>
      </c>
      <c r="D475" s="422" t="str">
        <f>IFERROR(__xludf.DUMMYFUNCTION("""COMPUTED_VALUE"""),", OR, 97015")</f>
        <v>, OR, 97015</v>
      </c>
      <c r="E475" s="423" t="str">
        <f>IFERROR(__xludf.DUMMYFUNCTION("""COMPUTED_VALUE"""),"Carlisle, PA, 17013")</f>
        <v>Carlisle, PA, 17013</v>
      </c>
      <c r="F475" s="500">
        <f>IFERROR(__xludf.DUMMYFUNCTION("""COMPUTED_VALUE"""),8400.0)</f>
        <v>8400</v>
      </c>
      <c r="G475" s="413">
        <v>0.88</v>
      </c>
      <c r="H475" s="414">
        <f t="shared" si="28"/>
        <v>7392</v>
      </c>
      <c r="I475" s="376"/>
      <c r="J475" s="545">
        <f>IFERROR(__xludf.DUMMYFUNCTION("""COMPUTED_VALUE"""),45981.0)</f>
        <v>45981</v>
      </c>
      <c r="K475" s="421">
        <f>IFERROR(__xludf.DUMMYFUNCTION("""COMPUTED_VALUE"""),1876453.0)</f>
        <v>1876453</v>
      </c>
      <c r="L475" s="422" t="str">
        <f>IFERROR(__xludf.DUMMYFUNCTION("""COMPUTED_VALUE"""),", OR, 97015")</f>
        <v>, OR, 97015</v>
      </c>
      <c r="M475" s="423" t="str">
        <f>IFERROR(__xludf.DUMMYFUNCTION("""COMPUTED_VALUE"""),"Carlisle, PA, 17013")</f>
        <v>Carlisle, PA, 17013</v>
      </c>
      <c r="N475" s="546">
        <f>IFERROR(__xludf.DUMMYFUNCTION("""COMPUTED_VALUE"""),2873.0)</f>
        <v>2873</v>
      </c>
      <c r="O475" s="408">
        <v>0.65</v>
      </c>
      <c r="P475" s="414">
        <f t="shared" si="29"/>
        <v>1867.45</v>
      </c>
      <c r="Q475" s="378"/>
      <c r="R475" s="378"/>
      <c r="S475" s="378"/>
      <c r="T475" s="378"/>
      <c r="U475" s="378"/>
      <c r="V475" s="378"/>
      <c r="W475" s="378"/>
      <c r="X475" s="378"/>
      <c r="Y475" s="378"/>
      <c r="Z475" s="378"/>
      <c r="AA475" s="378"/>
      <c r="AB475" s="378"/>
      <c r="AC475" s="378"/>
      <c r="AD475" s="378"/>
      <c r="AE475" s="378"/>
      <c r="AF475" s="378"/>
      <c r="AG475" s="378"/>
    </row>
    <row r="476">
      <c r="A476" s="378"/>
      <c r="B476" s="420"/>
      <c r="C476" s="421"/>
      <c r="D476" s="422"/>
      <c r="E476" s="423"/>
      <c r="F476" s="421"/>
      <c r="G476" s="413"/>
      <c r="H476" s="414"/>
      <c r="I476" s="376"/>
      <c r="J476" s="424"/>
      <c r="K476" s="421"/>
      <c r="L476" s="422"/>
      <c r="M476" s="423"/>
      <c r="N476" s="425"/>
      <c r="O476" s="408">
        <v>0.65</v>
      </c>
      <c r="P476" s="414">
        <f t="shared" si="29"/>
        <v>0</v>
      </c>
      <c r="Q476" s="378"/>
      <c r="R476" s="378"/>
      <c r="S476" s="378"/>
      <c r="T476" s="378"/>
      <c r="U476" s="378"/>
      <c r="V476" s="378"/>
      <c r="W476" s="378"/>
      <c r="X476" s="378"/>
      <c r="Y476" s="378"/>
      <c r="Z476" s="378"/>
      <c r="AA476" s="378"/>
      <c r="AB476" s="378"/>
      <c r="AC476" s="378"/>
      <c r="AD476" s="378"/>
      <c r="AE476" s="378"/>
      <c r="AF476" s="378"/>
      <c r="AG476" s="378"/>
    </row>
    <row r="477">
      <c r="A477" s="378"/>
      <c r="B477" s="420"/>
      <c r="C477" s="421"/>
      <c r="D477" s="422"/>
      <c r="E477" s="423"/>
      <c r="F477" s="421"/>
      <c r="G477" s="413"/>
      <c r="H477" s="414"/>
      <c r="I477" s="376"/>
      <c r="J477" s="424"/>
      <c r="K477" s="421"/>
      <c r="L477" s="422"/>
      <c r="M477" s="423"/>
      <c r="N477" s="425"/>
      <c r="O477" s="408"/>
      <c r="P477" s="414"/>
      <c r="Q477" s="378"/>
      <c r="R477" s="378"/>
      <c r="S477" s="378"/>
      <c r="T477" s="378"/>
      <c r="U477" s="378"/>
      <c r="V477" s="378"/>
      <c r="W477" s="378"/>
      <c r="X477" s="378"/>
      <c r="Y477" s="378"/>
      <c r="Z477" s="378"/>
      <c r="AA477" s="378"/>
      <c r="AB477" s="378"/>
      <c r="AC477" s="378"/>
      <c r="AD477" s="378"/>
      <c r="AE477" s="378"/>
      <c r="AF477" s="378"/>
      <c r="AG477" s="378"/>
    </row>
    <row r="478">
      <c r="A478" s="378"/>
      <c r="B478" s="420"/>
      <c r="C478" s="421"/>
      <c r="D478" s="422"/>
      <c r="E478" s="423"/>
      <c r="F478" s="421"/>
      <c r="G478" s="413"/>
      <c r="H478" s="414"/>
      <c r="I478" s="376"/>
      <c r="J478" s="424"/>
      <c r="K478" s="421"/>
      <c r="L478" s="422"/>
      <c r="M478" s="423"/>
      <c r="N478" s="425"/>
      <c r="O478" s="408"/>
      <c r="P478" s="414"/>
      <c r="Q478" s="378"/>
      <c r="R478" s="378"/>
      <c r="S478" s="378"/>
      <c r="T478" s="378"/>
      <c r="U478" s="378"/>
      <c r="V478" s="378"/>
      <c r="W478" s="378"/>
      <c r="X478" s="378"/>
      <c r="Y478" s="378"/>
      <c r="Z478" s="378"/>
      <c r="AA478" s="378"/>
      <c r="AB478" s="378"/>
      <c r="AC478" s="378"/>
      <c r="AD478" s="378"/>
      <c r="AE478" s="378"/>
      <c r="AF478" s="378"/>
      <c r="AG478" s="378"/>
    </row>
    <row r="479">
      <c r="A479" s="378"/>
      <c r="B479" s="403" t="s">
        <v>711</v>
      </c>
      <c r="C479" s="224"/>
      <c r="D479" s="224"/>
      <c r="E479" s="222"/>
      <c r="F479" s="414">
        <f>SUM(F473:F478)</f>
        <v>9550</v>
      </c>
      <c r="G479" s="421"/>
      <c r="H479" s="414">
        <f>SUM(H473:H478)</f>
        <v>8404</v>
      </c>
      <c r="I479" s="376"/>
      <c r="J479" s="407" t="s">
        <v>711</v>
      </c>
      <c r="K479" s="224"/>
      <c r="L479" s="224"/>
      <c r="M479" s="222"/>
      <c r="N479" s="426">
        <f>SUM(N473:N478)</f>
        <v>3369</v>
      </c>
      <c r="O479" s="427"/>
      <c r="P479" s="414">
        <f>SUM(P473:P478)</f>
        <v>2189.85</v>
      </c>
      <c r="Q479" s="378"/>
      <c r="R479" s="378"/>
      <c r="S479" s="378"/>
      <c r="T479" s="378"/>
      <c r="U479" s="378"/>
      <c r="V479" s="378"/>
      <c r="W479" s="378"/>
      <c r="X479" s="378"/>
      <c r="Y479" s="378"/>
      <c r="Z479" s="378"/>
      <c r="AA479" s="378"/>
      <c r="AB479" s="378"/>
      <c r="AC479" s="378"/>
      <c r="AD479" s="378"/>
      <c r="AE479" s="378"/>
      <c r="AF479" s="378"/>
      <c r="AG479" s="378"/>
    </row>
    <row r="480">
      <c r="A480" s="378"/>
      <c r="B480" s="428"/>
      <c r="C480" s="419"/>
      <c r="D480" s="419"/>
      <c r="E480" s="419"/>
      <c r="F480" s="419"/>
      <c r="G480" s="419"/>
      <c r="H480" s="429"/>
      <c r="I480" s="376"/>
      <c r="J480" s="430"/>
      <c r="K480" s="419"/>
      <c r="L480" s="419"/>
      <c r="M480" s="419"/>
      <c r="N480" s="431"/>
      <c r="O480" s="432"/>
      <c r="P480" s="429"/>
      <c r="Q480" s="378"/>
      <c r="R480" s="378"/>
      <c r="S480" s="378"/>
      <c r="T480" s="378"/>
      <c r="U480" s="378"/>
      <c r="V480" s="378"/>
      <c r="W480" s="378"/>
      <c r="X480" s="378"/>
      <c r="Y480" s="378"/>
      <c r="Z480" s="378"/>
      <c r="AA480" s="378"/>
      <c r="AB480" s="378"/>
      <c r="AC480" s="378"/>
      <c r="AD480" s="378"/>
      <c r="AE480" s="378"/>
      <c r="AF480" s="378"/>
      <c r="AG480" s="378"/>
    </row>
    <row r="481">
      <c r="A481" s="378"/>
      <c r="B481" s="433" t="s">
        <v>712</v>
      </c>
      <c r="C481" s="434"/>
      <c r="D481" s="435"/>
      <c r="E481" s="419"/>
      <c r="F481" s="419"/>
      <c r="G481" s="419"/>
      <c r="H481" s="429"/>
      <c r="I481" s="376"/>
      <c r="J481" s="437" t="s">
        <v>712</v>
      </c>
      <c r="K481" s="434"/>
      <c r="L481" s="435"/>
      <c r="M481" s="419"/>
      <c r="N481" s="431"/>
      <c r="O481" s="432"/>
      <c r="P481" s="429"/>
      <c r="Q481" s="378"/>
      <c r="R481" s="378"/>
      <c r="S481" s="378"/>
      <c r="T481" s="378"/>
      <c r="U481" s="378"/>
      <c r="V481" s="378"/>
      <c r="W481" s="378"/>
      <c r="X481" s="378"/>
      <c r="Y481" s="378"/>
      <c r="Z481" s="378"/>
      <c r="AA481" s="378"/>
      <c r="AB481" s="378"/>
      <c r="AC481" s="378"/>
      <c r="AD481" s="378"/>
      <c r="AE481" s="378"/>
      <c r="AF481" s="378"/>
      <c r="AG481" s="378"/>
    </row>
    <row r="482">
      <c r="A482" s="378"/>
      <c r="B482" s="438"/>
      <c r="C482" s="439"/>
      <c r="D482" s="440"/>
      <c r="E482" s="419"/>
      <c r="F482" s="419"/>
      <c r="G482" s="419"/>
      <c r="H482" s="429"/>
      <c r="I482" s="376"/>
      <c r="J482" s="443"/>
      <c r="K482" s="439"/>
      <c r="L482" s="440"/>
      <c r="M482" s="419"/>
      <c r="N482" s="431"/>
      <c r="O482" s="432"/>
      <c r="P482" s="429"/>
      <c r="Q482" s="378"/>
      <c r="R482" s="378"/>
      <c r="S482" s="378"/>
      <c r="T482" s="378"/>
      <c r="U482" s="378"/>
      <c r="V482" s="378"/>
      <c r="W482" s="378"/>
      <c r="X482" s="378"/>
      <c r="Y482" s="378"/>
      <c r="Z482" s="378"/>
      <c r="AA482" s="378"/>
      <c r="AB482" s="378"/>
      <c r="AC482" s="378"/>
      <c r="AD482" s="378"/>
      <c r="AE482" s="378"/>
      <c r="AF482" s="378"/>
      <c r="AG482" s="378"/>
    </row>
    <row r="483">
      <c r="A483" s="378"/>
      <c r="B483" s="444"/>
      <c r="C483" s="434"/>
      <c r="D483" s="435"/>
      <c r="E483" s="419"/>
      <c r="F483" s="463"/>
      <c r="G483" s="463"/>
      <c r="H483" s="448"/>
      <c r="I483" s="376"/>
      <c r="J483" s="445"/>
      <c r="K483" s="434"/>
      <c r="L483" s="435"/>
      <c r="M483" s="419"/>
      <c r="N483" s="446"/>
      <c r="O483" s="447"/>
      <c r="P483" s="448"/>
      <c r="Q483" s="378"/>
      <c r="R483" s="378"/>
      <c r="S483" s="378"/>
      <c r="T483" s="378"/>
      <c r="U483" s="378"/>
      <c r="V483" s="378"/>
      <c r="W483" s="378"/>
      <c r="X483" s="378"/>
      <c r="Y483" s="378"/>
      <c r="Z483" s="378"/>
      <c r="AA483" s="378"/>
      <c r="AB483" s="378"/>
      <c r="AC483" s="378"/>
      <c r="AD483" s="378"/>
      <c r="AE483" s="378"/>
      <c r="AF483" s="378"/>
      <c r="AG483" s="378"/>
    </row>
    <row r="484">
      <c r="A484" s="378"/>
      <c r="B484" s="438" t="s">
        <v>714</v>
      </c>
      <c r="C484" s="439">
        <f>SUM(C482:C483)</f>
        <v>0</v>
      </c>
      <c r="D484" s="440"/>
      <c r="E484" s="419"/>
      <c r="F484" s="463"/>
      <c r="G484" s="463"/>
      <c r="H484" s="448"/>
      <c r="I484" s="376"/>
      <c r="J484" s="443" t="s">
        <v>714</v>
      </c>
      <c r="K484" s="439">
        <f>SUM(K482:K483)</f>
        <v>0</v>
      </c>
      <c r="L484" s="440"/>
      <c r="M484" s="419"/>
      <c r="N484" s="446"/>
      <c r="O484" s="447"/>
      <c r="P484" s="448"/>
      <c r="Q484" s="378"/>
      <c r="R484" s="378"/>
      <c r="S484" s="378"/>
      <c r="T484" s="378"/>
      <c r="U484" s="378"/>
      <c r="V484" s="378"/>
      <c r="W484" s="378"/>
      <c r="X484" s="378"/>
      <c r="Y484" s="378"/>
      <c r="Z484" s="378"/>
      <c r="AA484" s="378"/>
      <c r="AB484" s="378"/>
      <c r="AC484" s="378"/>
      <c r="AD484" s="378"/>
      <c r="AE484" s="378"/>
      <c r="AF484" s="378"/>
      <c r="AG484" s="378"/>
    </row>
    <row r="485">
      <c r="A485" s="378"/>
      <c r="B485" s="450"/>
      <c r="C485" s="451"/>
      <c r="D485" s="419"/>
      <c r="E485" s="419"/>
      <c r="F485" s="463"/>
      <c r="G485" s="463"/>
      <c r="H485" s="448"/>
      <c r="I485" s="376"/>
      <c r="J485" s="535"/>
      <c r="K485" s="451"/>
      <c r="L485" s="419"/>
      <c r="M485" s="419"/>
      <c r="N485" s="446"/>
      <c r="O485" s="447"/>
      <c r="P485" s="448"/>
      <c r="Q485" s="378"/>
      <c r="R485" s="378"/>
      <c r="S485" s="378"/>
      <c r="T485" s="378"/>
      <c r="U485" s="378"/>
      <c r="V485" s="378"/>
      <c r="W485" s="378"/>
      <c r="X485" s="378"/>
      <c r="Y485" s="378"/>
      <c r="Z485" s="378"/>
      <c r="AA485" s="378"/>
      <c r="AB485" s="378"/>
      <c r="AC485" s="378"/>
      <c r="AD485" s="378"/>
      <c r="AE485" s="378"/>
      <c r="AF485" s="378"/>
      <c r="AG485" s="378"/>
    </row>
    <row r="486">
      <c r="A486" s="378"/>
      <c r="B486" s="454" t="s">
        <v>715</v>
      </c>
      <c r="C486" s="455"/>
      <c r="D486" s="435"/>
      <c r="E486" s="419"/>
      <c r="F486" s="463"/>
      <c r="G486" s="463"/>
      <c r="H486" s="448"/>
      <c r="I486" s="376"/>
      <c r="J486" s="458" t="s">
        <v>715</v>
      </c>
      <c r="K486" s="455"/>
      <c r="L486" s="435"/>
      <c r="M486" s="419"/>
      <c r="N486" s="446"/>
      <c r="O486" s="447"/>
      <c r="P486" s="448"/>
      <c r="Q486" s="378"/>
      <c r="R486" s="378"/>
      <c r="S486" s="378"/>
      <c r="T486" s="378"/>
      <c r="U486" s="378"/>
      <c r="V486" s="378"/>
      <c r="W486" s="378"/>
      <c r="X486" s="378"/>
      <c r="Y486" s="378"/>
      <c r="Z486" s="378"/>
      <c r="AA486" s="378"/>
      <c r="AB486" s="378"/>
      <c r="AC486" s="378"/>
      <c r="AD486" s="378"/>
      <c r="AE486" s="378"/>
      <c r="AF486" s="378"/>
      <c r="AG486" s="378"/>
    </row>
    <row r="487">
      <c r="A487" s="378"/>
      <c r="B487" s="459" t="s">
        <v>716</v>
      </c>
      <c r="C487" s="460">
        <v>150.0</v>
      </c>
      <c r="D487" s="440"/>
      <c r="E487" s="419"/>
      <c r="F487" s="463"/>
      <c r="G487" s="463"/>
      <c r="H487" s="448"/>
      <c r="I487" s="376"/>
      <c r="J487" s="462"/>
      <c r="K487" s="460"/>
      <c r="L487" s="440"/>
      <c r="M487" s="419"/>
      <c r="N487" s="446"/>
      <c r="O487" s="447"/>
      <c r="P487" s="448"/>
      <c r="Q487" s="378"/>
      <c r="R487" s="378"/>
      <c r="S487" s="378"/>
      <c r="T487" s="378"/>
      <c r="U487" s="378"/>
      <c r="V487" s="378"/>
      <c r="W487" s="378"/>
      <c r="X487" s="378"/>
      <c r="Y487" s="378"/>
      <c r="Z487" s="378"/>
      <c r="AA487" s="378"/>
      <c r="AB487" s="378"/>
      <c r="AC487" s="378"/>
      <c r="AD487" s="378"/>
      <c r="AE487" s="378"/>
      <c r="AF487" s="378"/>
      <c r="AG487" s="378"/>
    </row>
    <row r="488">
      <c r="A488" s="378"/>
      <c r="B488" s="459" t="s">
        <v>717</v>
      </c>
      <c r="C488" s="460">
        <v>400.0</v>
      </c>
      <c r="D488" s="440"/>
      <c r="E488" s="419"/>
      <c r="F488" s="463"/>
      <c r="G488" s="463"/>
      <c r="H488" s="448"/>
      <c r="I488" s="376"/>
      <c r="J488" s="462"/>
      <c r="K488" s="460"/>
      <c r="L488" s="440"/>
      <c r="M488" s="419"/>
      <c r="N488" s="446"/>
      <c r="O488" s="447"/>
      <c r="P488" s="448"/>
      <c r="Q488" s="378"/>
      <c r="R488" s="378"/>
      <c r="S488" s="378"/>
      <c r="T488" s="378"/>
      <c r="U488" s="378"/>
      <c r="V488" s="378"/>
      <c r="W488" s="378"/>
      <c r="X488" s="378"/>
      <c r="Y488" s="378"/>
      <c r="Z488" s="378"/>
      <c r="AA488" s="378"/>
      <c r="AB488" s="378"/>
      <c r="AC488" s="378"/>
      <c r="AD488" s="378"/>
      <c r="AE488" s="378"/>
      <c r="AF488" s="378"/>
      <c r="AG488" s="378"/>
    </row>
    <row r="489">
      <c r="A489" s="378"/>
      <c r="B489" s="459" t="s">
        <v>718</v>
      </c>
      <c r="C489" s="460">
        <v>200.0</v>
      </c>
      <c r="D489" s="440"/>
      <c r="E489" s="419"/>
      <c r="F489" s="463"/>
      <c r="G489" s="463"/>
      <c r="H489" s="448"/>
      <c r="I489" s="376"/>
      <c r="J489" s="462"/>
      <c r="K489" s="460"/>
      <c r="L489" s="440"/>
      <c r="M489" s="419"/>
      <c r="N489" s="446"/>
      <c r="O489" s="447"/>
      <c r="P489" s="448"/>
      <c r="Q489" s="378"/>
      <c r="R489" s="378"/>
      <c r="S489" s="378"/>
      <c r="T489" s="378"/>
      <c r="U489" s="378"/>
      <c r="V489" s="378"/>
      <c r="W489" s="378"/>
      <c r="X489" s="378"/>
      <c r="Y489" s="378"/>
      <c r="Z489" s="378"/>
      <c r="AA489" s="378"/>
      <c r="AB489" s="378"/>
      <c r="AC489" s="378"/>
      <c r="AD489" s="378"/>
      <c r="AE489" s="378"/>
      <c r="AF489" s="378"/>
      <c r="AG489" s="378"/>
    </row>
    <row r="490">
      <c r="A490" s="378"/>
      <c r="B490" s="459" t="s">
        <v>656</v>
      </c>
      <c r="C490" s="460">
        <f>IFERROR(__xludf.DUMMYFUNCTION("FILTER(D967:D995,C967:C995=F471)"),3861.4)</f>
        <v>3861.4</v>
      </c>
      <c r="D490" s="440"/>
      <c r="E490" s="419"/>
      <c r="F490" s="463"/>
      <c r="G490" s="463"/>
      <c r="H490" s="448"/>
      <c r="I490" s="376"/>
      <c r="J490" s="462"/>
      <c r="K490" s="460"/>
      <c r="L490" s="440"/>
      <c r="M490" s="419"/>
      <c r="N490" s="446"/>
      <c r="O490" s="447"/>
      <c r="P490" s="448"/>
      <c r="Q490" s="378"/>
      <c r="R490" s="378"/>
      <c r="S490" s="378"/>
      <c r="T490" s="378"/>
      <c r="U490" s="378"/>
      <c r="V490" s="378"/>
      <c r="W490" s="378"/>
      <c r="X490" s="378"/>
      <c r="Y490" s="378"/>
      <c r="Z490" s="378"/>
      <c r="AA490" s="378"/>
      <c r="AB490" s="378"/>
      <c r="AC490" s="378"/>
      <c r="AD490" s="378"/>
      <c r="AE490" s="378"/>
      <c r="AF490" s="378"/>
      <c r="AG490" s="378"/>
    </row>
    <row r="491">
      <c r="A491" s="378"/>
      <c r="B491" s="464"/>
      <c r="C491" s="455"/>
      <c r="D491" s="435"/>
      <c r="E491" s="419"/>
      <c r="F491" s="561" t="s">
        <v>881</v>
      </c>
      <c r="G491" s="466">
        <f>H479+C484-C496</f>
        <v>3792.6</v>
      </c>
      <c r="H491" s="211"/>
      <c r="I491" s="376"/>
      <c r="J491" s="467"/>
      <c r="K491" s="455"/>
      <c r="L491" s="435"/>
      <c r="M491" s="419"/>
      <c r="N491" s="468" t="s">
        <v>842</v>
      </c>
      <c r="O491" s="539">
        <f>P479+K484-K496</f>
        <v>2189.85</v>
      </c>
      <c r="P491" s="211"/>
      <c r="Q491" s="378"/>
      <c r="R491" s="378"/>
      <c r="S491" s="378"/>
      <c r="T491" s="378"/>
      <c r="U491" s="378"/>
      <c r="V491" s="378"/>
      <c r="W491" s="378"/>
      <c r="X491" s="378"/>
      <c r="Y491" s="378"/>
      <c r="Z491" s="378"/>
      <c r="AA491" s="378"/>
      <c r="AB491" s="378"/>
      <c r="AC491" s="378"/>
      <c r="AD491" s="378"/>
      <c r="AE491" s="378"/>
      <c r="AF491" s="378"/>
      <c r="AG491" s="378"/>
    </row>
    <row r="492">
      <c r="A492" s="378"/>
      <c r="B492" s="464"/>
      <c r="C492" s="455"/>
      <c r="D492" s="435"/>
      <c r="E492" s="419"/>
      <c r="F492" s="55"/>
      <c r="G492" s="278"/>
      <c r="H492" s="56"/>
      <c r="I492" s="376"/>
      <c r="J492" s="467"/>
      <c r="K492" s="455"/>
      <c r="L492" s="435"/>
      <c r="M492" s="419"/>
      <c r="N492" s="469" t="s">
        <v>854</v>
      </c>
      <c r="O492" s="278"/>
      <c r="P492" s="56"/>
      <c r="Q492" s="378"/>
      <c r="R492" s="378"/>
      <c r="S492" s="378"/>
      <c r="T492" s="378"/>
      <c r="U492" s="378"/>
      <c r="V492" s="378"/>
      <c r="W492" s="378"/>
      <c r="X492" s="378"/>
      <c r="Y492" s="378"/>
      <c r="Z492" s="378"/>
      <c r="AA492" s="378"/>
      <c r="AB492" s="378"/>
      <c r="AC492" s="378"/>
      <c r="AD492" s="378"/>
      <c r="AE492" s="378"/>
      <c r="AF492" s="378"/>
      <c r="AG492" s="378"/>
    </row>
    <row r="493">
      <c r="A493" s="378"/>
      <c r="B493" s="464"/>
      <c r="C493" s="455"/>
      <c r="D493" s="435"/>
      <c r="E493" s="419"/>
      <c r="F493" s="60"/>
      <c r="G493" s="215"/>
      <c r="H493" s="64"/>
      <c r="I493" s="376"/>
      <c r="J493" s="467"/>
      <c r="K493" s="455"/>
      <c r="L493" s="435"/>
      <c r="M493" s="419"/>
      <c r="N493" s="470"/>
      <c r="O493" s="215"/>
      <c r="P493" s="64"/>
      <c r="Q493" s="378"/>
      <c r="R493" s="378"/>
      <c r="S493" s="378"/>
      <c r="T493" s="378"/>
      <c r="U493" s="378"/>
      <c r="V493" s="378"/>
      <c r="W493" s="378"/>
      <c r="X493" s="378"/>
      <c r="Y493" s="378"/>
      <c r="Z493" s="378"/>
      <c r="AA493" s="378"/>
      <c r="AB493" s="378"/>
      <c r="AC493" s="378"/>
      <c r="AD493" s="378"/>
      <c r="AE493" s="378"/>
      <c r="AF493" s="378"/>
      <c r="AG493" s="378"/>
    </row>
    <row r="494">
      <c r="A494" s="378"/>
      <c r="B494" s="464"/>
      <c r="C494" s="455"/>
      <c r="D494" s="435"/>
      <c r="E494" s="419"/>
      <c r="F494" s="419"/>
      <c r="G494" s="419"/>
      <c r="H494" s="429"/>
      <c r="I494" s="376"/>
      <c r="J494" s="467"/>
      <c r="K494" s="455"/>
      <c r="L494" s="435"/>
      <c r="M494" s="419"/>
      <c r="N494" s="431"/>
      <c r="O494" s="432"/>
      <c r="P494" s="429"/>
      <c r="Q494" s="378"/>
      <c r="R494" s="378"/>
      <c r="S494" s="378"/>
      <c r="T494" s="378"/>
      <c r="U494" s="378"/>
      <c r="V494" s="378"/>
      <c r="W494" s="378"/>
      <c r="X494" s="378"/>
      <c r="Y494" s="378"/>
      <c r="Z494" s="378"/>
      <c r="AA494" s="378"/>
      <c r="AB494" s="378"/>
      <c r="AC494" s="378"/>
      <c r="AD494" s="378"/>
      <c r="AE494" s="378"/>
      <c r="AF494" s="378"/>
      <c r="AG494" s="378"/>
    </row>
    <row r="495">
      <c r="A495" s="378"/>
      <c r="B495" s="464"/>
      <c r="C495" s="455"/>
      <c r="D495" s="435"/>
      <c r="E495" s="419"/>
      <c r="F495" s="419"/>
      <c r="G495" s="419"/>
      <c r="H495" s="429"/>
      <c r="I495" s="376"/>
      <c r="J495" s="467"/>
      <c r="K495" s="455"/>
      <c r="L495" s="435"/>
      <c r="M495" s="419"/>
      <c r="N495" s="431"/>
      <c r="O495" s="432"/>
      <c r="P495" s="429"/>
      <c r="Q495" s="378"/>
      <c r="R495" s="378"/>
      <c r="S495" s="378"/>
      <c r="T495" s="378"/>
      <c r="U495" s="378"/>
      <c r="V495" s="378"/>
      <c r="W495" s="378"/>
      <c r="X495" s="378"/>
      <c r="Y495" s="378"/>
      <c r="Z495" s="378"/>
      <c r="AA495" s="378"/>
      <c r="AB495" s="378"/>
      <c r="AC495" s="378"/>
      <c r="AD495" s="378"/>
      <c r="AE495" s="378"/>
      <c r="AF495" s="378"/>
      <c r="AG495" s="378"/>
    </row>
    <row r="496">
      <c r="A496" s="378"/>
      <c r="B496" s="454" t="s">
        <v>721</v>
      </c>
      <c r="C496" s="460">
        <f>SUM(C487:C495)</f>
        <v>4611.4</v>
      </c>
      <c r="D496" s="440"/>
      <c r="E496" s="419"/>
      <c r="F496" s="419"/>
      <c r="G496" s="419"/>
      <c r="H496" s="429"/>
      <c r="I496" s="376"/>
      <c r="J496" s="458" t="s">
        <v>721</v>
      </c>
      <c r="K496" s="460">
        <f>SUM(K487:K495)</f>
        <v>0</v>
      </c>
      <c r="L496" s="440"/>
      <c r="M496" s="419"/>
      <c r="N496" s="431"/>
      <c r="O496" s="432"/>
      <c r="P496" s="429"/>
      <c r="Q496" s="378"/>
      <c r="R496" s="378"/>
      <c r="S496" s="378"/>
      <c r="T496" s="378"/>
      <c r="U496" s="378"/>
      <c r="V496" s="378"/>
      <c r="W496" s="378"/>
      <c r="X496" s="378"/>
      <c r="Y496" s="378"/>
      <c r="Z496" s="378"/>
      <c r="AA496" s="378"/>
      <c r="AB496" s="378"/>
      <c r="AC496" s="378"/>
      <c r="AD496" s="378"/>
      <c r="AE496" s="378"/>
      <c r="AF496" s="378"/>
      <c r="AG496" s="378"/>
    </row>
    <row r="497">
      <c r="A497" s="378"/>
      <c r="B497" s="471"/>
      <c r="C497" s="472"/>
      <c r="D497" s="472"/>
      <c r="E497" s="472"/>
      <c r="F497" s="472"/>
      <c r="G497" s="472"/>
      <c r="H497" s="473"/>
      <c r="I497" s="376"/>
      <c r="J497" s="474"/>
      <c r="K497" s="472"/>
      <c r="L497" s="472"/>
      <c r="M497" s="472"/>
      <c r="N497" s="475"/>
      <c r="O497" s="476"/>
      <c r="P497" s="473"/>
      <c r="Q497" s="378"/>
      <c r="R497" s="378"/>
      <c r="S497" s="378"/>
      <c r="T497" s="378"/>
      <c r="U497" s="378"/>
      <c r="V497" s="378"/>
      <c r="W497" s="378"/>
      <c r="X497" s="378"/>
      <c r="Y497" s="378"/>
      <c r="Z497" s="378"/>
      <c r="AA497" s="378"/>
      <c r="AB497" s="378"/>
      <c r="AC497" s="378"/>
      <c r="AD497" s="378"/>
      <c r="AE497" s="378"/>
      <c r="AF497" s="378"/>
      <c r="AG497" s="378"/>
    </row>
    <row r="498">
      <c r="A498" s="378"/>
      <c r="B498" s="550"/>
      <c r="C498" s="463"/>
      <c r="D498" s="463"/>
      <c r="E498" s="463"/>
      <c r="F498" s="463"/>
      <c r="G498" s="463"/>
      <c r="H498" s="463"/>
      <c r="I498" s="376"/>
      <c r="J498" s="377"/>
      <c r="K498" s="378"/>
      <c r="L498" s="378"/>
      <c r="M498" s="378"/>
      <c r="N498" s="379"/>
      <c r="O498" s="380"/>
      <c r="P498" s="378"/>
      <c r="Q498" s="378"/>
      <c r="R498" s="378"/>
      <c r="S498" s="378"/>
      <c r="T498" s="378"/>
      <c r="U498" s="378"/>
      <c r="V498" s="378"/>
      <c r="W498" s="378"/>
      <c r="X498" s="378"/>
      <c r="Y498" s="378"/>
      <c r="Z498" s="378"/>
      <c r="AA498" s="378"/>
      <c r="AB498" s="378"/>
      <c r="AC498" s="378"/>
      <c r="AD498" s="378"/>
      <c r="AE498" s="378"/>
      <c r="AF498" s="378"/>
      <c r="AG498" s="378"/>
    </row>
    <row r="499">
      <c r="A499" s="378"/>
      <c r="B499" s="550"/>
      <c r="C499" s="463"/>
      <c r="D499" s="463"/>
      <c r="E499" s="463"/>
      <c r="F499" s="463"/>
      <c r="G499" s="463"/>
      <c r="H499" s="463"/>
      <c r="I499" s="376"/>
      <c r="J499" s="377"/>
      <c r="K499" s="378"/>
      <c r="L499" s="378"/>
      <c r="M499" s="378"/>
      <c r="N499" s="379"/>
      <c r="O499" s="380"/>
      <c r="P499" s="378"/>
      <c r="Q499" s="378"/>
      <c r="R499" s="378"/>
      <c r="S499" s="378"/>
      <c r="T499" s="378"/>
      <c r="U499" s="378"/>
      <c r="V499" s="378"/>
      <c r="W499" s="378"/>
      <c r="X499" s="378"/>
      <c r="Y499" s="378"/>
      <c r="Z499" s="378"/>
      <c r="AA499" s="378"/>
      <c r="AB499" s="378"/>
      <c r="AC499" s="378"/>
      <c r="AD499" s="378"/>
      <c r="AE499" s="378"/>
      <c r="AF499" s="378"/>
      <c r="AG499" s="378"/>
    </row>
    <row r="500">
      <c r="A500" s="378"/>
      <c r="B500" s="382"/>
      <c r="C500" s="388"/>
      <c r="D500" s="384"/>
      <c r="E500" s="385" t="s">
        <v>700</v>
      </c>
      <c r="F500" s="385" t="str">
        <f>Board!A2</f>
        <v>11.17.25-11.23.25</v>
      </c>
      <c r="G500" s="213"/>
      <c r="H500" s="211"/>
      <c r="I500" s="563">
        <v>17.0</v>
      </c>
      <c r="J500" s="387"/>
      <c r="K500" s="388"/>
      <c r="L500" s="384"/>
      <c r="M500" s="385" t="s">
        <v>700</v>
      </c>
      <c r="N500" s="385" t="str">
        <f>Board!A2</f>
        <v>11.17.25-11.23.25</v>
      </c>
      <c r="O500" s="213"/>
      <c r="P500" s="211"/>
      <c r="Q500" s="378"/>
      <c r="R500" s="389" t="s">
        <v>831</v>
      </c>
      <c r="S500" s="389" t="s">
        <v>652</v>
      </c>
      <c r="T500" s="390" t="s">
        <v>832</v>
      </c>
      <c r="U500" s="391" t="s">
        <v>833</v>
      </c>
      <c r="V500" s="389" t="s">
        <v>655</v>
      </c>
      <c r="W500" s="389" t="s">
        <v>8</v>
      </c>
      <c r="X500" s="389" t="s">
        <v>656</v>
      </c>
      <c r="Y500" s="390" t="s">
        <v>834</v>
      </c>
      <c r="Z500" s="392" t="s">
        <v>835</v>
      </c>
      <c r="AA500" s="390" t="s">
        <v>836</v>
      </c>
      <c r="AB500" s="390" t="s">
        <v>837</v>
      </c>
      <c r="AC500" s="393" t="s">
        <v>716</v>
      </c>
      <c r="AD500" s="393" t="s">
        <v>717</v>
      </c>
      <c r="AE500" s="393" t="s">
        <v>718</v>
      </c>
      <c r="AF500" s="394" t="s">
        <v>838</v>
      </c>
      <c r="AG500" s="394"/>
    </row>
    <row r="501">
      <c r="A501" s="378"/>
      <c r="B501" s="395"/>
      <c r="C501" s="372"/>
      <c r="D501" s="396"/>
      <c r="E501" s="385" t="s">
        <v>702</v>
      </c>
      <c r="F501" s="385" t="s">
        <v>819</v>
      </c>
      <c r="G501" s="213"/>
      <c r="H501" s="211"/>
      <c r="I501" s="376"/>
      <c r="J501" s="397"/>
      <c r="K501" s="372"/>
      <c r="L501" s="396"/>
      <c r="M501" s="385" t="s">
        <v>351</v>
      </c>
      <c r="N501" s="385" t="str">
        <f t="array" ref="N501">XLOOKUP(N502,Board!K:K,Board!J:J)</f>
        <v>FENEL EDME</v>
      </c>
      <c r="O501" s="213"/>
      <c r="P501" s="211"/>
      <c r="Q501" s="378"/>
      <c r="R501" s="398">
        <f>I500</f>
        <v>17</v>
      </c>
      <c r="S501" s="398">
        <f>F502</f>
        <v>5490</v>
      </c>
      <c r="T501" s="399">
        <f>G522</f>
        <v>2759.99</v>
      </c>
      <c r="U501" s="378" t="str">
        <f>N501</f>
        <v>FENEL EDME</v>
      </c>
      <c r="V501" s="380">
        <f>O522</f>
        <v>1467.7</v>
      </c>
      <c r="W501" s="399">
        <f>P510</f>
        <v>1467.7</v>
      </c>
      <c r="X501" s="399">
        <f>C521</f>
        <v>1828.01</v>
      </c>
      <c r="Y501" s="400">
        <f>N510</f>
        <v>2258</v>
      </c>
      <c r="Z501" s="399">
        <f>V502-V501</f>
        <v>1292.29</v>
      </c>
      <c r="AA501" s="378"/>
      <c r="AB501" s="378"/>
      <c r="AC501" s="401">
        <f>C518</f>
        <v>0</v>
      </c>
      <c r="AD501" s="401">
        <f>C519</f>
        <v>0</v>
      </c>
      <c r="AE501" s="401">
        <f>C520</f>
        <v>0</v>
      </c>
      <c r="AF501" s="530">
        <f>C522+C523+C524+C525+C526</f>
        <v>150</v>
      </c>
      <c r="AG501" s="398"/>
    </row>
    <row r="502">
      <c r="A502" s="378"/>
      <c r="B502" s="395"/>
      <c r="C502" s="372"/>
      <c r="D502" s="402"/>
      <c r="E502" s="385" t="s">
        <v>703</v>
      </c>
      <c r="F502" s="385">
        <v>5490.0</v>
      </c>
      <c r="G502" s="532">
        <v>3881.0</v>
      </c>
      <c r="H502" s="533"/>
      <c r="I502" s="376"/>
      <c r="J502" s="397"/>
      <c r="K502" s="372"/>
      <c r="L502" s="402"/>
      <c r="M502" s="385" t="s">
        <v>703</v>
      </c>
      <c r="N502" s="385">
        <f>F502</f>
        <v>5490</v>
      </c>
      <c r="O502" s="532">
        <v>3881.0</v>
      </c>
      <c r="P502" s="533"/>
      <c r="Q502" s="378"/>
      <c r="R502" s="378"/>
      <c r="S502" s="378"/>
      <c r="T502" s="378"/>
      <c r="U502" s="378" t="str">
        <f>F501</f>
        <v>Cey&amp;Cey LLC</v>
      </c>
      <c r="V502" s="399">
        <f>G522</f>
        <v>2759.99</v>
      </c>
      <c r="W502" s="399">
        <f>H510</f>
        <v>4488</v>
      </c>
      <c r="X502" s="378"/>
      <c r="Y502" s="378"/>
      <c r="Z502" s="378"/>
      <c r="AA502" s="378"/>
      <c r="AB502" s="378"/>
      <c r="AC502" s="378"/>
      <c r="AD502" s="378"/>
      <c r="AE502" s="378"/>
      <c r="AF502" s="378"/>
      <c r="AG502" s="378"/>
    </row>
    <row r="503">
      <c r="A503" s="378"/>
      <c r="B503" s="403" t="s">
        <v>704</v>
      </c>
      <c r="C503" s="404" t="s">
        <v>5</v>
      </c>
      <c r="D503" s="405" t="s">
        <v>6</v>
      </c>
      <c r="E503" s="406" t="s">
        <v>7</v>
      </c>
      <c r="F503" s="404" t="s">
        <v>8</v>
      </c>
      <c r="G503" s="404" t="s">
        <v>706</v>
      </c>
      <c r="H503" s="404" t="s">
        <v>707</v>
      </c>
      <c r="I503" s="376"/>
      <c r="J503" s="407" t="s">
        <v>704</v>
      </c>
      <c r="K503" s="404" t="s">
        <v>5</v>
      </c>
      <c r="L503" s="405" t="s">
        <v>6</v>
      </c>
      <c r="M503" s="406" t="s">
        <v>7</v>
      </c>
      <c r="N503" s="404" t="s">
        <v>591</v>
      </c>
      <c r="O503" s="408" t="s">
        <v>839</v>
      </c>
      <c r="P503" s="404" t="s">
        <v>707</v>
      </c>
      <c r="Q503" s="378"/>
      <c r="R503" s="378"/>
      <c r="S503" s="378"/>
      <c r="T503" s="378"/>
      <c r="U503" s="378"/>
      <c r="V503" s="378"/>
      <c r="W503" s="378"/>
      <c r="X503" s="378"/>
      <c r="Y503" s="378"/>
      <c r="Z503" s="378"/>
      <c r="AA503" s="378"/>
      <c r="AB503" s="378"/>
      <c r="AC503" s="378"/>
      <c r="AD503" s="378"/>
      <c r="AE503" s="378"/>
      <c r="AF503" s="378"/>
      <c r="AG503" s="378"/>
    </row>
    <row r="504">
      <c r="A504" s="378"/>
      <c r="B504" s="555">
        <f>IFERROR(__xludf.DUMMYFUNCTION("FILTER(Board!C:G,Board!K:K=F502)"),45980.0)</f>
        <v>45980</v>
      </c>
      <c r="C504" s="404">
        <f>IFERROR(__xludf.DUMMYFUNCTION("""COMPUTED_VALUE"""),1529641.0)</f>
        <v>1529641</v>
      </c>
      <c r="D504" s="405" t="str">
        <f>IFERROR(__xludf.DUMMYFUNCTION("""COMPUTED_VALUE"""),"Portland, ME, 04103")</f>
        <v>Portland, ME, 04103</v>
      </c>
      <c r="E504" s="406" t="str">
        <f>IFERROR(__xludf.DUMMYFUNCTION("""COMPUTED_VALUE"""),"Mechanicsburg, PA, 17050")</f>
        <v>Mechanicsburg, PA, 17050</v>
      </c>
      <c r="F504" s="414">
        <f>IFERROR(__xludf.DUMMYFUNCTION("""COMPUTED_VALUE"""),1200.0)</f>
        <v>1200</v>
      </c>
      <c r="G504" s="413">
        <v>0.88</v>
      </c>
      <c r="H504" s="414">
        <f t="shared" ref="H504:H506" si="30">F504*G504</f>
        <v>1056</v>
      </c>
      <c r="I504" s="376"/>
      <c r="J504" s="415">
        <f>IFERROR(__xludf.DUMMYFUNCTION("FILTER(Board!C:F,Board!K:K=N502)"),45980.0)</f>
        <v>45980</v>
      </c>
      <c r="K504" s="411">
        <f>IFERROR(__xludf.DUMMYFUNCTION("""COMPUTED_VALUE"""),1529641.0)</f>
        <v>1529641</v>
      </c>
      <c r="L504" s="411" t="str">
        <f>IFERROR(__xludf.DUMMYFUNCTION("""COMPUTED_VALUE"""),"Portland, ME, 04103")</f>
        <v>Portland, ME, 04103</v>
      </c>
      <c r="M504" s="411" t="str">
        <f>IFERROR(__xludf.DUMMYFUNCTION("""COMPUTED_VALUE"""),"Mechanicsburg, PA, 17050")</f>
        <v>Mechanicsburg, PA, 17050</v>
      </c>
      <c r="N504" s="416">
        <f>IFERROR(__xludf.DUMMYFUNCTION("FILTER(Board!H:H,Board!K:K=N502)"),644.0)</f>
        <v>644</v>
      </c>
      <c r="O504" s="408">
        <v>0.65</v>
      </c>
      <c r="P504" s="414">
        <f t="shared" ref="P504:P506" si="31">N504*O504</f>
        <v>418.6</v>
      </c>
      <c r="Q504" s="378"/>
      <c r="R504" s="378"/>
      <c r="S504" s="378"/>
      <c r="T504" s="378"/>
      <c r="U504" s="378"/>
      <c r="V504" s="378"/>
      <c r="W504" s="378"/>
      <c r="X504" s="378"/>
      <c r="Y504" s="378"/>
      <c r="Z504" s="378"/>
      <c r="AA504" s="378"/>
      <c r="AB504" s="378"/>
      <c r="AC504" s="378"/>
      <c r="AD504" s="378"/>
      <c r="AE504" s="378"/>
      <c r="AF504" s="378"/>
      <c r="AG504" s="378"/>
    </row>
    <row r="505">
      <c r="A505" s="378"/>
      <c r="B505" s="555">
        <f>IFERROR(__xludf.DUMMYFUNCTION("""COMPUTED_VALUE"""),45981.0)</f>
        <v>45981</v>
      </c>
      <c r="C505" s="404">
        <f>IFERROR(__xludf.DUMMYFUNCTION("""COMPUTED_VALUE"""),5.33722804E8)</f>
        <v>533722804</v>
      </c>
      <c r="D505" s="405" t="str">
        <f>IFERROR(__xludf.DUMMYFUNCTION("""COMPUTED_VALUE"""),"Howard, PA, 16841")</f>
        <v>Howard, PA, 16841</v>
      </c>
      <c r="E505" s="406" t="str">
        <f>IFERROR(__xludf.DUMMYFUNCTION("""COMPUTED_VALUE"""),"Providence, RI, 02908")</f>
        <v>Providence, RI, 02908</v>
      </c>
      <c r="F505" s="414">
        <f>IFERROR(__xludf.DUMMYFUNCTION("""COMPUTED_VALUE"""),1400.0)</f>
        <v>1400</v>
      </c>
      <c r="G505" s="413">
        <v>0.88</v>
      </c>
      <c r="H505" s="414">
        <f t="shared" si="30"/>
        <v>1232</v>
      </c>
      <c r="I505" s="376"/>
      <c r="J505" s="418">
        <f>IFERROR(__xludf.DUMMYFUNCTION("""COMPUTED_VALUE"""),45981.0)</f>
        <v>45981</v>
      </c>
      <c r="K505" s="411">
        <f>IFERROR(__xludf.DUMMYFUNCTION("""COMPUTED_VALUE"""),5.33722804E8)</f>
        <v>533722804</v>
      </c>
      <c r="L505" s="411" t="str">
        <f>IFERROR(__xludf.DUMMYFUNCTION("""COMPUTED_VALUE"""),"Howard, PA, 16841")</f>
        <v>Howard, PA, 16841</v>
      </c>
      <c r="M505" s="411" t="str">
        <f>IFERROR(__xludf.DUMMYFUNCTION("""COMPUTED_VALUE"""),"Providence, RI, 02908")</f>
        <v>Providence, RI, 02908</v>
      </c>
      <c r="N505" s="416">
        <f>IFERROR(__xludf.DUMMYFUNCTION("""COMPUTED_VALUE"""),507.0)</f>
        <v>507</v>
      </c>
      <c r="O505" s="408">
        <v>0.65</v>
      </c>
      <c r="P505" s="414">
        <f t="shared" si="31"/>
        <v>329.55</v>
      </c>
      <c r="Q505" s="378"/>
      <c r="R505" s="378"/>
      <c r="S505" s="378"/>
      <c r="T505" s="378"/>
      <c r="U505" s="378"/>
      <c r="V505" s="378"/>
      <c r="W505" s="378"/>
      <c r="X505" s="378"/>
      <c r="Y505" s="378"/>
      <c r="Z505" s="378"/>
      <c r="AA505" s="378"/>
      <c r="AB505" s="378"/>
      <c r="AC505" s="378"/>
      <c r="AD505" s="378"/>
      <c r="AE505" s="378"/>
      <c r="AF505" s="378"/>
      <c r="AG505" s="378"/>
    </row>
    <row r="506">
      <c r="A506" s="378"/>
      <c r="B506" s="499">
        <f>IFERROR(__xludf.DUMMYFUNCTION("""COMPUTED_VALUE"""),45982.0)</f>
        <v>45982</v>
      </c>
      <c r="C506" s="421">
        <f>IFERROR(__xludf.DUMMYFUNCTION("""COMPUTED_VALUE"""),5.35069323E8)</f>
        <v>535069323</v>
      </c>
      <c r="D506" s="422" t="str">
        <f>IFERROR(__xludf.DUMMYFUNCTION("""COMPUTED_VALUE"""),"Taunton, MA, 02780")</f>
        <v>Taunton, MA, 02780</v>
      </c>
      <c r="E506" s="423" t="str">
        <f>IFERROR(__xludf.DUMMYFUNCTION("""COMPUTED_VALUE"""),"South Fulton, GA, 30349")</f>
        <v>South Fulton, GA, 30349</v>
      </c>
      <c r="F506" s="500">
        <f>IFERROR(__xludf.DUMMYFUNCTION("""COMPUTED_VALUE"""),2500.0)</f>
        <v>2500</v>
      </c>
      <c r="G506" s="413">
        <v>0.88</v>
      </c>
      <c r="H506" s="414">
        <f t="shared" si="30"/>
        <v>2200</v>
      </c>
      <c r="I506" s="376"/>
      <c r="J506" s="545">
        <f>IFERROR(__xludf.DUMMYFUNCTION("""COMPUTED_VALUE"""),45982.0)</f>
        <v>45982</v>
      </c>
      <c r="K506" s="421">
        <f>IFERROR(__xludf.DUMMYFUNCTION("""COMPUTED_VALUE"""),5.35069323E8)</f>
        <v>535069323</v>
      </c>
      <c r="L506" s="422" t="str">
        <f>IFERROR(__xludf.DUMMYFUNCTION("""COMPUTED_VALUE"""),"Taunton, MA, 02780")</f>
        <v>Taunton, MA, 02780</v>
      </c>
      <c r="M506" s="423" t="str">
        <f>IFERROR(__xludf.DUMMYFUNCTION("""COMPUTED_VALUE"""),"South Fulton, GA, 30349")</f>
        <v>South Fulton, GA, 30349</v>
      </c>
      <c r="N506" s="546">
        <f>IFERROR(__xludf.DUMMYFUNCTION("""COMPUTED_VALUE"""),1107.0)</f>
        <v>1107</v>
      </c>
      <c r="O506" s="408">
        <v>0.65</v>
      </c>
      <c r="P506" s="414">
        <f t="shared" si="31"/>
        <v>719.55</v>
      </c>
      <c r="Q506" s="378"/>
      <c r="R506" s="378"/>
      <c r="S506" s="378"/>
      <c r="T506" s="378"/>
      <c r="U506" s="378"/>
      <c r="V506" s="378"/>
      <c r="W506" s="378"/>
      <c r="X506" s="378"/>
      <c r="Y506" s="378"/>
      <c r="Z506" s="378"/>
      <c r="AA506" s="378"/>
      <c r="AB506" s="378"/>
      <c r="AC506" s="378"/>
      <c r="AD506" s="378"/>
      <c r="AE506" s="378"/>
      <c r="AF506" s="378"/>
      <c r="AG506" s="378"/>
    </row>
    <row r="507">
      <c r="A507" s="378"/>
      <c r="B507" s="420"/>
      <c r="C507" s="421"/>
      <c r="D507" s="422"/>
      <c r="E507" s="423"/>
      <c r="F507" s="421"/>
      <c r="G507" s="413"/>
      <c r="H507" s="414"/>
      <c r="I507" s="376"/>
      <c r="J507" s="424"/>
      <c r="K507" s="421"/>
      <c r="L507" s="422"/>
      <c r="M507" s="423"/>
      <c r="N507" s="425"/>
      <c r="O507" s="408"/>
      <c r="P507" s="414"/>
      <c r="Q507" s="378"/>
      <c r="R507" s="378"/>
      <c r="S507" s="378"/>
      <c r="T507" s="378"/>
      <c r="U507" s="378"/>
      <c r="V507" s="378"/>
      <c r="W507" s="378"/>
      <c r="X507" s="378"/>
      <c r="Y507" s="378"/>
      <c r="Z507" s="378"/>
      <c r="AA507" s="378"/>
      <c r="AB507" s="378"/>
      <c r="AC507" s="378"/>
      <c r="AD507" s="378"/>
      <c r="AE507" s="378"/>
      <c r="AF507" s="378"/>
      <c r="AG507" s="378"/>
    </row>
    <row r="508">
      <c r="A508" s="378"/>
      <c r="B508" s="420"/>
      <c r="C508" s="421"/>
      <c r="D508" s="422"/>
      <c r="E508" s="423"/>
      <c r="F508" s="421"/>
      <c r="G508" s="413"/>
      <c r="H508" s="414"/>
      <c r="I508" s="376"/>
      <c r="J508" s="424"/>
      <c r="K508" s="421"/>
      <c r="L508" s="422"/>
      <c r="M508" s="423"/>
      <c r="N508" s="425"/>
      <c r="O508" s="408"/>
      <c r="P508" s="414"/>
      <c r="Q508" s="378"/>
      <c r="R508" s="378"/>
      <c r="S508" s="378"/>
      <c r="T508" s="378"/>
      <c r="U508" s="378"/>
      <c r="V508" s="378"/>
      <c r="W508" s="378"/>
      <c r="X508" s="378"/>
      <c r="Y508" s="378"/>
      <c r="Z508" s="378"/>
      <c r="AA508" s="378"/>
      <c r="AB508" s="378"/>
      <c r="AC508" s="378"/>
      <c r="AD508" s="378"/>
      <c r="AE508" s="378"/>
      <c r="AF508" s="378"/>
      <c r="AG508" s="378"/>
    </row>
    <row r="509">
      <c r="A509" s="378"/>
      <c r="B509" s="420"/>
      <c r="C509" s="421"/>
      <c r="D509" s="422"/>
      <c r="E509" s="423"/>
      <c r="F509" s="421"/>
      <c r="G509" s="413"/>
      <c r="H509" s="414"/>
      <c r="I509" s="376"/>
      <c r="J509" s="424"/>
      <c r="K509" s="421"/>
      <c r="L509" s="422"/>
      <c r="M509" s="423"/>
      <c r="N509" s="425"/>
      <c r="O509" s="408"/>
      <c r="P509" s="414"/>
      <c r="Q509" s="378"/>
      <c r="R509" s="378"/>
      <c r="S509" s="378"/>
      <c r="T509" s="378"/>
      <c r="U509" s="378"/>
      <c r="V509" s="378"/>
      <c r="W509" s="378"/>
      <c r="X509" s="378"/>
      <c r="Y509" s="378"/>
      <c r="Z509" s="378"/>
      <c r="AA509" s="378"/>
      <c r="AB509" s="378"/>
      <c r="AC509" s="378"/>
      <c r="AD509" s="378"/>
      <c r="AE509" s="378"/>
      <c r="AF509" s="378"/>
      <c r="AG509" s="378"/>
    </row>
    <row r="510">
      <c r="A510" s="378"/>
      <c r="B510" s="403" t="s">
        <v>711</v>
      </c>
      <c r="C510" s="224"/>
      <c r="D510" s="224"/>
      <c r="E510" s="222"/>
      <c r="F510" s="414">
        <f>SUM(F504:F509)</f>
        <v>5100</v>
      </c>
      <c r="G510" s="421"/>
      <c r="H510" s="414">
        <f>SUM(H504:H509)</f>
        <v>4488</v>
      </c>
      <c r="I510" s="376"/>
      <c r="J510" s="407" t="s">
        <v>711</v>
      </c>
      <c r="K510" s="224"/>
      <c r="L510" s="224"/>
      <c r="M510" s="222"/>
      <c r="N510" s="426">
        <f>SUM(N504:N509)</f>
        <v>2258</v>
      </c>
      <c r="O510" s="427"/>
      <c r="P510" s="414">
        <f>SUM(P504:P509)</f>
        <v>1467.7</v>
      </c>
      <c r="Q510" s="378"/>
      <c r="R510" s="378"/>
      <c r="S510" s="378"/>
      <c r="T510" s="378"/>
      <c r="U510" s="378"/>
      <c r="V510" s="378"/>
      <c r="W510" s="378"/>
      <c r="X510" s="378"/>
      <c r="Y510" s="378"/>
      <c r="Z510" s="378"/>
      <c r="AA510" s="378"/>
      <c r="AB510" s="378"/>
      <c r="AC510" s="378"/>
      <c r="AD510" s="378"/>
      <c r="AE510" s="378"/>
      <c r="AF510" s="378"/>
      <c r="AG510" s="378"/>
    </row>
    <row r="511">
      <c r="A511" s="378"/>
      <c r="B511" s="428"/>
      <c r="C511" s="419"/>
      <c r="D511" s="419"/>
      <c r="E511" s="419"/>
      <c r="F511" s="419"/>
      <c r="G511" s="419"/>
      <c r="H511" s="429"/>
      <c r="I511" s="376"/>
      <c r="J511" s="430"/>
      <c r="K511" s="419"/>
      <c r="L511" s="419"/>
      <c r="M511" s="419"/>
      <c r="N511" s="431"/>
      <c r="O511" s="432"/>
      <c r="P511" s="429"/>
      <c r="Q511" s="378"/>
      <c r="R511" s="378"/>
      <c r="S511" s="378"/>
      <c r="T511" s="378"/>
      <c r="U511" s="378"/>
      <c r="V511" s="378"/>
      <c r="W511" s="378"/>
      <c r="X511" s="378"/>
      <c r="Y511" s="378"/>
      <c r="Z511" s="378"/>
      <c r="AA511" s="378"/>
      <c r="AB511" s="378"/>
      <c r="AC511" s="378"/>
      <c r="AD511" s="378"/>
      <c r="AE511" s="378"/>
      <c r="AF511" s="378"/>
      <c r="AG511" s="378"/>
    </row>
    <row r="512">
      <c r="A512" s="378"/>
      <c r="B512" s="433" t="s">
        <v>712</v>
      </c>
      <c r="C512" s="434"/>
      <c r="D512" s="435"/>
      <c r="E512" s="419"/>
      <c r="F512" s="419"/>
      <c r="G512" s="419"/>
      <c r="H512" s="429"/>
      <c r="I512" s="376"/>
      <c r="J512" s="437" t="s">
        <v>712</v>
      </c>
      <c r="K512" s="434"/>
      <c r="L512" s="435"/>
      <c r="M512" s="419"/>
      <c r="N512" s="431"/>
      <c r="O512" s="432"/>
      <c r="P512" s="429"/>
      <c r="Q512" s="378"/>
      <c r="R512" s="378"/>
      <c r="S512" s="378"/>
      <c r="T512" s="378"/>
      <c r="U512" s="378"/>
      <c r="V512" s="378"/>
      <c r="W512" s="378"/>
      <c r="X512" s="378"/>
      <c r="Y512" s="378"/>
      <c r="Z512" s="378"/>
      <c r="AA512" s="378"/>
      <c r="AB512" s="378"/>
      <c r="AC512" s="378"/>
      <c r="AD512" s="378"/>
      <c r="AE512" s="378"/>
      <c r="AF512" s="378"/>
      <c r="AG512" s="378"/>
    </row>
    <row r="513">
      <c r="A513" s="378"/>
      <c r="B513" s="438" t="s">
        <v>885</v>
      </c>
      <c r="C513" s="439">
        <v>250.0</v>
      </c>
      <c r="D513" s="440"/>
      <c r="E513" s="419"/>
      <c r="F513" s="419"/>
      <c r="G513" s="419"/>
      <c r="H513" s="429"/>
      <c r="I513" s="376"/>
      <c r="J513" s="443" t="s">
        <v>713</v>
      </c>
      <c r="K513" s="439"/>
      <c r="L513" s="440"/>
      <c r="M513" s="419"/>
      <c r="N513" s="431"/>
      <c r="O513" s="432"/>
      <c r="P513" s="429"/>
      <c r="Q513" s="378"/>
      <c r="R513" s="378"/>
      <c r="S513" s="378"/>
      <c r="T513" s="378"/>
      <c r="U513" s="378"/>
      <c r="V513" s="378"/>
      <c r="W513" s="378"/>
      <c r="X513" s="378"/>
      <c r="Y513" s="378"/>
      <c r="Z513" s="378"/>
      <c r="AA513" s="378"/>
      <c r="AB513" s="378"/>
      <c r="AC513" s="378"/>
      <c r="AD513" s="378"/>
      <c r="AE513" s="378"/>
      <c r="AF513" s="378"/>
      <c r="AG513" s="378"/>
    </row>
    <row r="514">
      <c r="A514" s="378"/>
      <c r="B514" s="444"/>
      <c r="C514" s="434"/>
      <c r="D514" s="435"/>
      <c r="E514" s="419"/>
      <c r="F514" s="463"/>
      <c r="G514" s="463"/>
      <c r="H514" s="448"/>
      <c r="I514" s="376"/>
      <c r="J514" s="445"/>
      <c r="K514" s="434"/>
      <c r="L514" s="435"/>
      <c r="M514" s="419"/>
      <c r="N514" s="446"/>
      <c r="O514" s="447"/>
      <c r="P514" s="448"/>
      <c r="Q514" s="378"/>
      <c r="R514" s="378"/>
      <c r="S514" s="378"/>
      <c r="T514" s="378"/>
      <c r="U514" s="378"/>
      <c r="V514" s="378"/>
      <c r="W514" s="378"/>
      <c r="X514" s="378"/>
      <c r="Y514" s="378"/>
      <c r="Z514" s="378"/>
      <c r="AA514" s="378"/>
      <c r="AB514" s="378"/>
      <c r="AC514" s="378"/>
      <c r="AD514" s="378"/>
      <c r="AE514" s="378"/>
      <c r="AF514" s="378"/>
      <c r="AG514" s="378"/>
    </row>
    <row r="515">
      <c r="A515" s="378"/>
      <c r="B515" s="438" t="s">
        <v>714</v>
      </c>
      <c r="C515" s="439">
        <f>SUM(C513:C514)</f>
        <v>250</v>
      </c>
      <c r="D515" s="440"/>
      <c r="E515" s="419"/>
      <c r="F515" s="463"/>
      <c r="G515" s="463"/>
      <c r="H515" s="448"/>
      <c r="I515" s="376"/>
      <c r="J515" s="443" t="s">
        <v>714</v>
      </c>
      <c r="K515" s="439">
        <f>SUM(K513:K514)</f>
        <v>0</v>
      </c>
      <c r="L515" s="440"/>
      <c r="M515" s="419"/>
      <c r="N515" s="446"/>
      <c r="O515" s="447"/>
      <c r="P515" s="448"/>
      <c r="Q515" s="378"/>
      <c r="R515" s="378"/>
      <c r="S515" s="378"/>
      <c r="T515" s="378"/>
      <c r="U515" s="378"/>
      <c r="V515" s="378"/>
      <c r="W515" s="378"/>
      <c r="X515" s="378"/>
      <c r="Y515" s="378"/>
      <c r="Z515" s="378"/>
      <c r="AA515" s="378"/>
      <c r="AB515" s="378"/>
      <c r="AC515" s="378"/>
      <c r="AD515" s="378"/>
      <c r="AE515" s="378"/>
      <c r="AF515" s="378"/>
      <c r="AG515" s="378"/>
    </row>
    <row r="516">
      <c r="A516" s="378"/>
      <c r="B516" s="450"/>
      <c r="C516" s="451"/>
      <c r="D516" s="419"/>
      <c r="E516" s="419"/>
      <c r="F516" s="463"/>
      <c r="G516" s="463"/>
      <c r="H516" s="448"/>
      <c r="I516" s="376"/>
      <c r="J516" s="535"/>
      <c r="K516" s="451"/>
      <c r="L516" s="419"/>
      <c r="M516" s="419"/>
      <c r="N516" s="446"/>
      <c r="O516" s="447"/>
      <c r="P516" s="448"/>
      <c r="Q516" s="378"/>
      <c r="R516" s="378"/>
      <c r="S516" s="378"/>
      <c r="T516" s="378"/>
      <c r="U516" s="378"/>
      <c r="V516" s="378"/>
      <c r="W516" s="378"/>
      <c r="X516" s="378"/>
      <c r="Y516" s="378"/>
      <c r="Z516" s="378"/>
      <c r="AA516" s="378"/>
      <c r="AB516" s="378"/>
      <c r="AC516" s="378"/>
      <c r="AD516" s="378"/>
      <c r="AE516" s="378"/>
      <c r="AF516" s="378"/>
      <c r="AG516" s="378"/>
    </row>
    <row r="517">
      <c r="A517" s="378"/>
      <c r="B517" s="454" t="s">
        <v>715</v>
      </c>
      <c r="C517" s="455"/>
      <c r="D517" s="435"/>
      <c r="E517" s="419"/>
      <c r="F517" s="463"/>
      <c r="G517" s="463"/>
      <c r="H517" s="448"/>
      <c r="I517" s="376"/>
      <c r="J517" s="458" t="s">
        <v>715</v>
      </c>
      <c r="K517" s="455"/>
      <c r="L517" s="435"/>
      <c r="M517" s="419"/>
      <c r="N517" s="446"/>
      <c r="O517" s="447"/>
      <c r="P517" s="448"/>
      <c r="Q517" s="378"/>
      <c r="R517" s="378"/>
      <c r="S517" s="378"/>
      <c r="T517" s="378"/>
      <c r="U517" s="378"/>
      <c r="V517" s="378"/>
      <c r="W517" s="378"/>
      <c r="X517" s="378"/>
      <c r="Y517" s="378"/>
      <c r="Z517" s="378"/>
      <c r="AA517" s="378"/>
      <c r="AB517" s="378"/>
      <c r="AC517" s="378"/>
      <c r="AD517" s="378"/>
      <c r="AE517" s="378"/>
      <c r="AF517" s="378"/>
      <c r="AG517" s="378"/>
    </row>
    <row r="518">
      <c r="A518" s="378"/>
      <c r="B518" s="459" t="s">
        <v>716</v>
      </c>
      <c r="C518" s="460">
        <v>0.0</v>
      </c>
      <c r="D518" s="440" t="s">
        <v>886</v>
      </c>
      <c r="E518" s="419"/>
      <c r="F518" s="463"/>
      <c r="G518" s="463"/>
      <c r="H518" s="448"/>
      <c r="I518" s="376"/>
      <c r="J518" s="462"/>
      <c r="K518" s="460"/>
      <c r="L518" s="440"/>
      <c r="M518" s="419"/>
      <c r="N518" s="446"/>
      <c r="O518" s="447"/>
      <c r="P518" s="448"/>
      <c r="Q518" s="378"/>
      <c r="R518" s="378"/>
      <c r="S518" s="378"/>
      <c r="T518" s="378"/>
      <c r="U518" s="378"/>
      <c r="V518" s="378"/>
      <c r="W518" s="378"/>
      <c r="X518" s="378"/>
      <c r="Y518" s="378"/>
      <c r="Z518" s="378"/>
      <c r="AA518" s="378"/>
      <c r="AB518" s="378"/>
      <c r="AC518" s="378"/>
      <c r="AD518" s="378"/>
      <c r="AE518" s="378"/>
      <c r="AF518" s="378"/>
      <c r="AG518" s="378"/>
    </row>
    <row r="519">
      <c r="A519" s="378"/>
      <c r="B519" s="459" t="s">
        <v>717</v>
      </c>
      <c r="C519" s="460">
        <v>0.0</v>
      </c>
      <c r="D519" s="440"/>
      <c r="E519" s="419"/>
      <c r="F519" s="463"/>
      <c r="G519" s="463"/>
      <c r="H519" s="448"/>
      <c r="I519" s="376"/>
      <c r="J519" s="462"/>
      <c r="K519" s="460"/>
      <c r="L519" s="440"/>
      <c r="M519" s="419"/>
      <c r="N519" s="446"/>
      <c r="O519" s="447"/>
      <c r="P519" s="448"/>
      <c r="Q519" s="378"/>
      <c r="R519" s="378"/>
      <c r="S519" s="378"/>
      <c r="T519" s="378"/>
      <c r="U519" s="378"/>
      <c r="V519" s="378"/>
      <c r="W519" s="378"/>
      <c r="X519" s="378"/>
      <c r="Y519" s="378"/>
      <c r="Z519" s="378"/>
      <c r="AA519" s="378"/>
      <c r="AB519" s="378"/>
      <c r="AC519" s="378"/>
      <c r="AD519" s="378"/>
      <c r="AE519" s="378"/>
      <c r="AF519" s="378"/>
      <c r="AG519" s="378"/>
    </row>
    <row r="520">
      <c r="A520" s="378"/>
      <c r="B520" s="459" t="s">
        <v>718</v>
      </c>
      <c r="C520" s="460">
        <v>0.0</v>
      </c>
      <c r="D520" s="440"/>
      <c r="E520" s="419"/>
      <c r="F520" s="463"/>
      <c r="G520" s="463"/>
      <c r="H520" s="448"/>
      <c r="I520" s="376"/>
      <c r="J520" s="462"/>
      <c r="K520" s="460"/>
      <c r="L520" s="440"/>
      <c r="M520" s="419"/>
      <c r="N520" s="446"/>
      <c r="O520" s="447"/>
      <c r="P520" s="448"/>
      <c r="Q520" s="378"/>
      <c r="R520" s="378"/>
      <c r="S520" s="378"/>
      <c r="T520" s="378"/>
      <c r="U520" s="378"/>
      <c r="V520" s="378"/>
      <c r="W520" s="378"/>
      <c r="X520" s="378"/>
      <c r="Y520" s="378"/>
      <c r="Z520" s="378"/>
      <c r="AA520" s="378"/>
      <c r="AB520" s="378"/>
      <c r="AC520" s="378"/>
      <c r="AD520" s="378"/>
      <c r="AE520" s="378"/>
      <c r="AF520" s="378"/>
      <c r="AG520" s="378"/>
    </row>
    <row r="521">
      <c r="A521" s="378"/>
      <c r="B521" s="459" t="s">
        <v>656</v>
      </c>
      <c r="C521" s="460">
        <f>IFERROR(__xludf.DUMMYFUNCTION("FILTER(D968:D996,C968:C996=G502)"),1828.01)</f>
        <v>1828.01</v>
      </c>
      <c r="D521" s="440"/>
      <c r="E521" s="419"/>
      <c r="F521" s="463"/>
      <c r="G521" s="463"/>
      <c r="H521" s="448"/>
      <c r="I521" s="376"/>
      <c r="J521" s="462"/>
      <c r="K521" s="460"/>
      <c r="L521" s="440"/>
      <c r="M521" s="419"/>
      <c r="N521" s="446"/>
      <c r="O521" s="447"/>
      <c r="P521" s="448"/>
      <c r="Q521" s="378"/>
      <c r="R521" s="378"/>
      <c r="S521" s="378"/>
      <c r="T521" s="378"/>
      <c r="U521" s="378"/>
      <c r="V521" s="378"/>
      <c r="W521" s="378"/>
      <c r="X521" s="378"/>
      <c r="Y521" s="378"/>
      <c r="Z521" s="378"/>
      <c r="AA521" s="378"/>
      <c r="AB521" s="378"/>
      <c r="AC521" s="378"/>
      <c r="AD521" s="378"/>
      <c r="AE521" s="378"/>
      <c r="AF521" s="378"/>
      <c r="AG521" s="378"/>
    </row>
    <row r="522">
      <c r="A522" s="378"/>
      <c r="B522" s="454" t="s">
        <v>887</v>
      </c>
      <c r="C522" s="537">
        <v>150.0</v>
      </c>
      <c r="D522" s="435"/>
      <c r="E522" s="419"/>
      <c r="F522" s="468" t="s">
        <v>842</v>
      </c>
      <c r="G522" s="564">
        <f>H510+C515-C527</f>
        <v>2759.99</v>
      </c>
      <c r="H522" s="211"/>
      <c r="I522" s="376"/>
      <c r="J522" s="467"/>
      <c r="K522" s="455"/>
      <c r="L522" s="435"/>
      <c r="M522" s="419"/>
      <c r="N522" s="468" t="s">
        <v>842</v>
      </c>
      <c r="O522" s="539">
        <f>P510+K515-K527</f>
        <v>1467.7</v>
      </c>
      <c r="P522" s="211"/>
      <c r="Q522" s="378"/>
      <c r="R522" s="378"/>
      <c r="S522" s="378"/>
      <c r="T522" s="378"/>
      <c r="U522" s="378"/>
      <c r="V522" s="378"/>
      <c r="W522" s="378"/>
      <c r="X522" s="378"/>
      <c r="Y522" s="378"/>
      <c r="Z522" s="378"/>
      <c r="AA522" s="378"/>
      <c r="AB522" s="378"/>
      <c r="AC522" s="378"/>
      <c r="AD522" s="378"/>
      <c r="AE522" s="378"/>
      <c r="AF522" s="378"/>
      <c r="AG522" s="378"/>
    </row>
    <row r="523">
      <c r="A523" s="378"/>
      <c r="B523" s="464"/>
      <c r="C523" s="455"/>
      <c r="D523" s="435"/>
      <c r="E523" s="419"/>
      <c r="F523" s="469" t="s">
        <v>843</v>
      </c>
      <c r="G523" s="278"/>
      <c r="H523" s="56"/>
      <c r="I523" s="376"/>
      <c r="J523" s="467"/>
      <c r="K523" s="455"/>
      <c r="L523" s="435"/>
      <c r="M523" s="419"/>
      <c r="N523" s="469" t="s">
        <v>854</v>
      </c>
      <c r="O523" s="278"/>
      <c r="P523" s="56"/>
      <c r="Q523" s="378"/>
      <c r="R523" s="378"/>
      <c r="S523" s="378"/>
      <c r="T523" s="378"/>
      <c r="U523" s="378"/>
      <c r="V523" s="378"/>
      <c r="W523" s="378"/>
      <c r="X523" s="378"/>
      <c r="Y523" s="378"/>
      <c r="Z523" s="378"/>
      <c r="AA523" s="378"/>
      <c r="AB523" s="378"/>
      <c r="AC523" s="378"/>
      <c r="AD523" s="378"/>
      <c r="AE523" s="378"/>
      <c r="AF523" s="378"/>
      <c r="AG523" s="378"/>
    </row>
    <row r="524">
      <c r="A524" s="378"/>
      <c r="B524" s="464"/>
      <c r="C524" s="455"/>
      <c r="D524" s="435"/>
      <c r="E524" s="419"/>
      <c r="F524" s="470"/>
      <c r="G524" s="215"/>
      <c r="H524" s="64"/>
      <c r="I524" s="376"/>
      <c r="J524" s="467"/>
      <c r="K524" s="455"/>
      <c r="L524" s="435"/>
      <c r="M524" s="419"/>
      <c r="N524" s="470"/>
      <c r="O524" s="215"/>
      <c r="P524" s="64"/>
      <c r="Q524" s="378"/>
      <c r="R524" s="378"/>
      <c r="S524" s="378"/>
      <c r="T524" s="378"/>
      <c r="U524" s="378"/>
      <c r="V524" s="378"/>
      <c r="W524" s="378"/>
      <c r="X524" s="378"/>
      <c r="Y524" s="378"/>
      <c r="Z524" s="378"/>
      <c r="AA524" s="378"/>
      <c r="AB524" s="378"/>
      <c r="AC524" s="378"/>
      <c r="AD524" s="378"/>
      <c r="AE524" s="378"/>
      <c r="AF524" s="378"/>
      <c r="AG524" s="378"/>
    </row>
    <row r="525">
      <c r="A525" s="378"/>
      <c r="B525" s="464"/>
      <c r="C525" s="455"/>
      <c r="D525" s="435"/>
      <c r="E525" s="419"/>
      <c r="F525" s="419"/>
      <c r="G525" s="419"/>
      <c r="H525" s="429"/>
      <c r="I525" s="376"/>
      <c r="J525" s="467"/>
      <c r="K525" s="455"/>
      <c r="L525" s="435"/>
      <c r="M525" s="419"/>
      <c r="N525" s="431"/>
      <c r="O525" s="432"/>
      <c r="P525" s="429"/>
      <c r="Q525" s="378"/>
      <c r="R525" s="378"/>
      <c r="S525" s="378"/>
      <c r="T525" s="378"/>
      <c r="U525" s="378"/>
      <c r="V525" s="378"/>
      <c r="W525" s="378"/>
      <c r="X525" s="378"/>
      <c r="Y525" s="378"/>
      <c r="Z525" s="378"/>
      <c r="AA525" s="378"/>
      <c r="AB525" s="378"/>
      <c r="AC525" s="378"/>
      <c r="AD525" s="378"/>
      <c r="AE525" s="378"/>
      <c r="AF525" s="378"/>
      <c r="AG525" s="378"/>
    </row>
    <row r="526">
      <c r="A526" s="378"/>
      <c r="B526" s="464"/>
      <c r="C526" s="455"/>
      <c r="D526" s="435"/>
      <c r="E526" s="419"/>
      <c r="F526" s="419"/>
      <c r="G526" s="419"/>
      <c r="H526" s="429"/>
      <c r="I526" s="376"/>
      <c r="J526" s="467"/>
      <c r="K526" s="455"/>
      <c r="L526" s="435"/>
      <c r="M526" s="419"/>
      <c r="N526" s="431"/>
      <c r="O526" s="432"/>
      <c r="P526" s="429"/>
      <c r="Q526" s="378"/>
      <c r="R526" s="378"/>
      <c r="S526" s="378"/>
      <c r="T526" s="378"/>
      <c r="U526" s="378"/>
      <c r="V526" s="378"/>
      <c r="W526" s="378"/>
      <c r="X526" s="378"/>
      <c r="Y526" s="378"/>
      <c r="Z526" s="378"/>
      <c r="AA526" s="378"/>
      <c r="AB526" s="378"/>
      <c r="AC526" s="378"/>
      <c r="AD526" s="378"/>
      <c r="AE526" s="378"/>
      <c r="AF526" s="378"/>
      <c r="AG526" s="378"/>
    </row>
    <row r="527">
      <c r="A527" s="378"/>
      <c r="B527" s="454" t="s">
        <v>721</v>
      </c>
      <c r="C527" s="460">
        <f>SUM(C518:C526)</f>
        <v>1978.01</v>
      </c>
      <c r="D527" s="440"/>
      <c r="E527" s="419"/>
      <c r="F527" s="419"/>
      <c r="G527" s="419"/>
      <c r="H527" s="429"/>
      <c r="I527" s="376"/>
      <c r="J527" s="458" t="s">
        <v>721</v>
      </c>
      <c r="K527" s="460">
        <f>SUM(K518:K526)</f>
        <v>0</v>
      </c>
      <c r="L527" s="440"/>
      <c r="M527" s="419"/>
      <c r="N527" s="431"/>
      <c r="O527" s="432"/>
      <c r="P527" s="429"/>
      <c r="Q527" s="378"/>
      <c r="R527" s="378"/>
      <c r="S527" s="378"/>
      <c r="T527" s="378"/>
      <c r="U527" s="378"/>
      <c r="V527" s="378"/>
      <c r="W527" s="378"/>
      <c r="X527" s="378"/>
      <c r="Y527" s="378"/>
      <c r="Z527" s="378"/>
      <c r="AA527" s="378"/>
      <c r="AB527" s="378"/>
      <c r="AC527" s="378"/>
      <c r="AD527" s="378"/>
      <c r="AE527" s="378"/>
      <c r="AF527" s="378"/>
      <c r="AG527" s="378"/>
    </row>
    <row r="528">
      <c r="A528" s="378"/>
      <c r="B528" s="471"/>
      <c r="C528" s="472"/>
      <c r="D528" s="472"/>
      <c r="E528" s="472"/>
      <c r="F528" s="472"/>
      <c r="G528" s="472"/>
      <c r="H528" s="473"/>
      <c r="I528" s="376"/>
      <c r="J528" s="474"/>
      <c r="K528" s="472"/>
      <c r="L528" s="472"/>
      <c r="M528" s="472"/>
      <c r="N528" s="475"/>
      <c r="O528" s="476"/>
      <c r="P528" s="473"/>
      <c r="Q528" s="378"/>
      <c r="R528" s="378"/>
      <c r="S528" s="378"/>
      <c r="T528" s="378"/>
      <c r="U528" s="378"/>
      <c r="V528" s="378"/>
      <c r="W528" s="378"/>
      <c r="X528" s="378"/>
      <c r="Y528" s="378"/>
      <c r="Z528" s="378"/>
      <c r="AA528" s="378"/>
      <c r="AB528" s="378"/>
      <c r="AC528" s="378"/>
      <c r="AD528" s="378"/>
      <c r="AE528" s="378"/>
      <c r="AF528" s="378"/>
      <c r="AG528" s="378"/>
    </row>
    <row r="529">
      <c r="A529" s="378"/>
      <c r="B529" s="550"/>
      <c r="C529" s="463"/>
      <c r="D529" s="463"/>
      <c r="E529" s="463"/>
      <c r="F529" s="463"/>
      <c r="G529" s="463"/>
      <c r="H529" s="463"/>
      <c r="I529" s="376"/>
      <c r="J529" s="377"/>
      <c r="K529" s="378"/>
      <c r="L529" s="378"/>
      <c r="M529" s="378"/>
      <c r="N529" s="379"/>
      <c r="O529" s="380"/>
      <c r="P529" s="378"/>
      <c r="Q529" s="378"/>
      <c r="R529" s="378"/>
      <c r="S529" s="378"/>
      <c r="T529" s="378"/>
      <c r="U529" s="378"/>
      <c r="V529" s="378"/>
      <c r="W529" s="378"/>
      <c r="X529" s="378"/>
      <c r="Y529" s="378"/>
      <c r="Z529" s="378"/>
      <c r="AA529" s="378"/>
      <c r="AB529" s="378"/>
      <c r="AC529" s="378"/>
      <c r="AD529" s="378"/>
      <c r="AE529" s="378"/>
      <c r="AF529" s="378"/>
      <c r="AG529" s="378"/>
    </row>
    <row r="530">
      <c r="A530" s="378"/>
      <c r="B530" s="550"/>
      <c r="C530" s="463"/>
      <c r="D530" s="463"/>
      <c r="E530" s="463"/>
      <c r="F530" s="463"/>
      <c r="G530" s="463"/>
      <c r="H530" s="463"/>
      <c r="I530" s="376"/>
      <c r="J530" s="377"/>
      <c r="K530" s="378"/>
      <c r="L530" s="378"/>
      <c r="M530" s="378"/>
      <c r="N530" s="379"/>
      <c r="O530" s="380"/>
      <c r="P530" s="378"/>
      <c r="Q530" s="378"/>
      <c r="R530" s="378"/>
      <c r="S530" s="378"/>
      <c r="T530" s="378"/>
      <c r="U530" s="378"/>
      <c r="V530" s="378"/>
      <c r="W530" s="378"/>
      <c r="X530" s="378"/>
      <c r="Y530" s="378"/>
      <c r="Z530" s="378"/>
      <c r="AA530" s="378"/>
      <c r="AB530" s="378"/>
      <c r="AC530" s="378"/>
      <c r="AD530" s="378"/>
      <c r="AE530" s="378"/>
      <c r="AF530" s="378"/>
      <c r="AG530" s="378"/>
    </row>
    <row r="531">
      <c r="A531" s="378"/>
      <c r="B531" s="382"/>
      <c r="C531" s="388"/>
      <c r="D531" s="384"/>
      <c r="E531" s="385" t="s">
        <v>700</v>
      </c>
      <c r="F531" s="385" t="str">
        <f>Board!A2</f>
        <v>11.17.25-11.23.25</v>
      </c>
      <c r="G531" s="213"/>
      <c r="H531" s="211"/>
      <c r="I531" s="563">
        <v>18.0</v>
      </c>
      <c r="J531" s="387"/>
      <c r="K531" s="388"/>
      <c r="L531" s="384"/>
      <c r="M531" s="385" t="s">
        <v>700</v>
      </c>
      <c r="N531" s="385" t="str">
        <f>Board!A2</f>
        <v>11.17.25-11.23.25</v>
      </c>
      <c r="O531" s="213"/>
      <c r="P531" s="211"/>
      <c r="Q531" s="378"/>
      <c r="R531" s="389" t="s">
        <v>831</v>
      </c>
      <c r="S531" s="389" t="s">
        <v>652</v>
      </c>
      <c r="T531" s="390" t="s">
        <v>832</v>
      </c>
      <c r="U531" s="391" t="s">
        <v>833</v>
      </c>
      <c r="V531" s="389" t="s">
        <v>655</v>
      </c>
      <c r="W531" s="389" t="s">
        <v>8</v>
      </c>
      <c r="X531" s="389" t="s">
        <v>656</v>
      </c>
      <c r="Y531" s="390" t="s">
        <v>834</v>
      </c>
      <c r="Z531" s="392" t="s">
        <v>835</v>
      </c>
      <c r="AA531" s="390" t="s">
        <v>836</v>
      </c>
      <c r="AB531" s="390" t="s">
        <v>837</v>
      </c>
      <c r="AC531" s="393" t="s">
        <v>716</v>
      </c>
      <c r="AD531" s="393" t="s">
        <v>717</v>
      </c>
      <c r="AE531" s="393" t="s">
        <v>718</v>
      </c>
      <c r="AF531" s="394" t="s">
        <v>838</v>
      </c>
      <c r="AG531" s="394"/>
    </row>
    <row r="532">
      <c r="A532" s="378"/>
      <c r="B532" s="395"/>
      <c r="C532" s="372"/>
      <c r="D532" s="396"/>
      <c r="E532" s="385" t="s">
        <v>702</v>
      </c>
      <c r="F532" s="385" t="s">
        <v>888</v>
      </c>
      <c r="G532" s="213"/>
      <c r="H532" s="211"/>
      <c r="I532" s="376"/>
      <c r="J532" s="397"/>
      <c r="K532" s="372"/>
      <c r="L532" s="396"/>
      <c r="M532" s="385" t="s">
        <v>351</v>
      </c>
      <c r="N532" s="385" t="s">
        <v>519</v>
      </c>
      <c r="O532" s="213"/>
      <c r="P532" s="211"/>
      <c r="Q532" s="378"/>
      <c r="R532" s="398">
        <f>I531</f>
        <v>18</v>
      </c>
      <c r="S532" s="398">
        <f>F533</f>
        <v>6813</v>
      </c>
      <c r="T532" s="399">
        <f>G553</f>
        <v>3514.5</v>
      </c>
      <c r="U532" s="378" t="str">
        <f>N532</f>
        <v>Lawrence Daniel Martin</v>
      </c>
      <c r="V532" s="380">
        <f>O553</f>
        <v>1663.35</v>
      </c>
      <c r="W532" s="399">
        <f>P541</f>
        <v>1663.35</v>
      </c>
      <c r="X532" s="399">
        <f>C552</f>
        <v>2103.5</v>
      </c>
      <c r="Y532" s="400">
        <f>N541</f>
        <v>2559</v>
      </c>
      <c r="Z532" s="399">
        <f>V533-V532</f>
        <v>1851.15</v>
      </c>
      <c r="AA532" s="378"/>
      <c r="AB532" s="378"/>
      <c r="AC532" s="401">
        <f>C549</f>
        <v>0</v>
      </c>
      <c r="AD532" s="401">
        <f>C550</f>
        <v>0</v>
      </c>
      <c r="AE532" s="401">
        <f>C551</f>
        <v>0</v>
      </c>
      <c r="AF532" s="398">
        <f>C553+C554+C555+C556+C557</f>
        <v>0</v>
      </c>
      <c r="AG532" s="398"/>
    </row>
    <row r="533">
      <c r="A533" s="378"/>
      <c r="B533" s="395"/>
      <c r="C533" s="372"/>
      <c r="D533" s="402"/>
      <c r="E533" s="385" t="s">
        <v>703</v>
      </c>
      <c r="F533" s="385">
        <v>6813.0</v>
      </c>
      <c r="G533" s="213"/>
      <c r="H533" s="211"/>
      <c r="I533" s="376"/>
      <c r="J533" s="397"/>
      <c r="K533" s="372"/>
      <c r="L533" s="402"/>
      <c r="M533" s="385" t="s">
        <v>703</v>
      </c>
      <c r="N533" s="385">
        <v>6813.0</v>
      </c>
      <c r="O533" s="213"/>
      <c r="P533" s="211"/>
      <c r="Q533" s="378"/>
      <c r="R533" s="378"/>
      <c r="S533" s="378"/>
      <c r="T533" s="378"/>
      <c r="U533" s="378" t="str">
        <f>F532</f>
        <v>Cey &amp; Cey LLC</v>
      </c>
      <c r="V533" s="399">
        <f>G553</f>
        <v>3514.5</v>
      </c>
      <c r="W533" s="399">
        <f>H541</f>
        <v>5368</v>
      </c>
      <c r="X533" s="378"/>
      <c r="Y533" s="378"/>
      <c r="Z533" s="378"/>
      <c r="AA533" s="378"/>
      <c r="AB533" s="378"/>
      <c r="AC533" s="378"/>
      <c r="AD533" s="378"/>
      <c r="AE533" s="378"/>
      <c r="AF533" s="378"/>
      <c r="AG533" s="378"/>
    </row>
    <row r="534">
      <c r="A534" s="378"/>
      <c r="B534" s="403" t="s">
        <v>704</v>
      </c>
      <c r="C534" s="404" t="s">
        <v>5</v>
      </c>
      <c r="D534" s="405" t="s">
        <v>6</v>
      </c>
      <c r="E534" s="406" t="s">
        <v>7</v>
      </c>
      <c r="F534" s="404" t="s">
        <v>8</v>
      </c>
      <c r="G534" s="404" t="s">
        <v>706</v>
      </c>
      <c r="H534" s="404" t="s">
        <v>707</v>
      </c>
      <c r="I534" s="376"/>
      <c r="J534" s="407" t="s">
        <v>704</v>
      </c>
      <c r="K534" s="404" t="s">
        <v>5</v>
      </c>
      <c r="L534" s="405" t="s">
        <v>6</v>
      </c>
      <c r="M534" s="406" t="s">
        <v>7</v>
      </c>
      <c r="N534" s="404" t="s">
        <v>591</v>
      </c>
      <c r="O534" s="408" t="s">
        <v>839</v>
      </c>
      <c r="P534" s="404" t="s">
        <v>707</v>
      </c>
      <c r="Q534" s="378"/>
      <c r="R534" s="378"/>
      <c r="S534" s="378"/>
      <c r="T534" s="378"/>
      <c r="U534" s="378"/>
      <c r="V534" s="378"/>
      <c r="W534" s="378"/>
      <c r="X534" s="378"/>
      <c r="Y534" s="378"/>
      <c r="Z534" s="378"/>
      <c r="AA534" s="378"/>
      <c r="AB534" s="378"/>
      <c r="AC534" s="378"/>
      <c r="AD534" s="378"/>
      <c r="AE534" s="378"/>
      <c r="AF534" s="378"/>
      <c r="AG534" s="378"/>
    </row>
    <row r="535">
      <c r="A535" s="378"/>
      <c r="B535" s="555">
        <f>IFERROR(__xludf.DUMMYFUNCTION("FILTER(Board!C:G,Board!K:K=F533)"),45984.0)</f>
        <v>45984</v>
      </c>
      <c r="C535" s="404">
        <f>IFERROR(__xludf.DUMMYFUNCTION("""COMPUTED_VALUE"""),865399.0)</f>
        <v>865399</v>
      </c>
      <c r="D535" s="405" t="str">
        <f>IFERROR(__xludf.DUMMYFUNCTION("""COMPUTED_VALUE"""),"King William, VA, 23086")</f>
        <v>King William, VA, 23086</v>
      </c>
      <c r="E535" s="406" t="str">
        <f>IFERROR(__xludf.DUMMYFUNCTION("""COMPUTED_VALUE"""),"Brattleboro, VT, 05301")</f>
        <v>Brattleboro, VT, 05301</v>
      </c>
      <c r="F535" s="414">
        <f>IFERROR(__xludf.DUMMYFUNCTION("""COMPUTED_VALUE"""),1600.0)</f>
        <v>1600</v>
      </c>
      <c r="G535" s="413">
        <v>0.88</v>
      </c>
      <c r="H535" s="414">
        <f t="shared" ref="H535:H538" si="32">F535*G535</f>
        <v>1408</v>
      </c>
      <c r="I535" s="376"/>
      <c r="J535" s="415">
        <f>IFERROR(__xludf.DUMMYFUNCTION("FILTER(Board!C:F,Board!K:K=N533)"),45984.0)</f>
        <v>45984</v>
      </c>
      <c r="K535" s="411">
        <f>IFERROR(__xludf.DUMMYFUNCTION("""COMPUTED_VALUE"""),865399.0)</f>
        <v>865399</v>
      </c>
      <c r="L535" s="411" t="str">
        <f>IFERROR(__xludf.DUMMYFUNCTION("""COMPUTED_VALUE"""),"King William, VA, 23086")</f>
        <v>King William, VA, 23086</v>
      </c>
      <c r="M535" s="411" t="str">
        <f>IFERROR(__xludf.DUMMYFUNCTION("""COMPUTED_VALUE"""),"Brattleboro, VT, 05301")</f>
        <v>Brattleboro, VT, 05301</v>
      </c>
      <c r="N535" s="416">
        <f>IFERROR(__xludf.DUMMYFUNCTION("FILTER(Board!H:H,Board!K:K=N533)"),581.0)</f>
        <v>581</v>
      </c>
      <c r="O535" s="408">
        <v>0.65</v>
      </c>
      <c r="P535" s="414">
        <f t="shared" ref="P535:P538" si="33">N535*O535</f>
        <v>377.65</v>
      </c>
      <c r="Q535" s="378"/>
      <c r="R535" s="378"/>
      <c r="S535" s="378"/>
      <c r="T535" s="378"/>
      <c r="U535" s="378"/>
      <c r="V535" s="378"/>
      <c r="W535" s="378"/>
      <c r="X535" s="378"/>
      <c r="Y535" s="378"/>
      <c r="Z535" s="378"/>
      <c r="AA535" s="378"/>
      <c r="AB535" s="378"/>
      <c r="AC535" s="378"/>
      <c r="AD535" s="378"/>
      <c r="AE535" s="378"/>
      <c r="AF535" s="378"/>
      <c r="AG535" s="378"/>
    </row>
    <row r="536">
      <c r="A536" s="378"/>
      <c r="B536" s="555">
        <f>IFERROR(__xludf.DUMMYFUNCTION("""COMPUTED_VALUE"""),45979.0)</f>
        <v>45979</v>
      </c>
      <c r="C536" s="404">
        <f>IFERROR(__xludf.DUMMYFUNCTION("""COMPUTED_VALUE"""),8945946.0)</f>
        <v>8945946</v>
      </c>
      <c r="D536" s="405" t="str">
        <f>IFERROR(__xludf.DUMMYFUNCTION("""COMPUTED_VALUE"""),"Tomball, TX, 77377")</f>
        <v>Tomball, TX, 77377</v>
      </c>
      <c r="E536" s="565" t="str">
        <f>IFERROR(__xludf.DUMMYFUNCTION("""COMPUTED_VALUE"""),"Monroe Township, NJ, 08831")</f>
        <v>Monroe Township, NJ, 08831</v>
      </c>
      <c r="F536" s="414">
        <f>IFERROR(__xludf.DUMMYFUNCTION("""COMPUTED_VALUE"""),3250.0)</f>
        <v>3250</v>
      </c>
      <c r="G536" s="413">
        <v>0.88</v>
      </c>
      <c r="H536" s="414">
        <f t="shared" si="32"/>
        <v>2860</v>
      </c>
      <c r="I536" s="376"/>
      <c r="J536" s="418">
        <f>IFERROR(__xludf.DUMMYFUNCTION("""COMPUTED_VALUE"""),45979.0)</f>
        <v>45979</v>
      </c>
      <c r="K536" s="411">
        <f>IFERROR(__xludf.DUMMYFUNCTION("""COMPUTED_VALUE"""),8945946.0)</f>
        <v>8945946</v>
      </c>
      <c r="L536" s="411" t="str">
        <f>IFERROR(__xludf.DUMMYFUNCTION("""COMPUTED_VALUE"""),"Tomball, TX, 77377")</f>
        <v>Tomball, TX, 77377</v>
      </c>
      <c r="M536" s="566" t="str">
        <f>IFERROR(__xludf.DUMMYFUNCTION("""COMPUTED_VALUE"""),"Monroe Township, NJ, 08831")</f>
        <v>Monroe Township, NJ, 08831</v>
      </c>
      <c r="N536" s="416">
        <f>IFERROR(__xludf.DUMMYFUNCTION("""COMPUTED_VALUE"""),1620.0)</f>
        <v>1620</v>
      </c>
      <c r="O536" s="408">
        <v>0.65</v>
      </c>
      <c r="P536" s="414">
        <f t="shared" si="33"/>
        <v>1053</v>
      </c>
      <c r="Q536" s="378"/>
      <c r="R536" s="378"/>
      <c r="S536" s="378"/>
      <c r="T536" s="378"/>
      <c r="U536" s="378"/>
      <c r="V536" s="378"/>
      <c r="W536" s="378"/>
      <c r="X536" s="378"/>
      <c r="Y536" s="378"/>
      <c r="Z536" s="378"/>
      <c r="AA536" s="378"/>
      <c r="AB536" s="378"/>
      <c r="AC536" s="378"/>
      <c r="AD536" s="378"/>
      <c r="AE536" s="378"/>
      <c r="AF536" s="378"/>
      <c r="AG536" s="378"/>
    </row>
    <row r="537">
      <c r="A537" s="378"/>
      <c r="B537" s="499">
        <f>IFERROR(__xludf.DUMMYFUNCTION("""COMPUTED_VALUE"""),45978.0)</f>
        <v>45978</v>
      </c>
      <c r="C537" s="421">
        <f>IFERROR(__xludf.DUMMYFUNCTION("""COMPUTED_VALUE"""),37564.0)</f>
        <v>37564</v>
      </c>
      <c r="D537" s="422" t="str">
        <f>IFERROR(__xludf.DUMMYFUNCTION("""COMPUTED_VALUE"""),"Brookshire, TX, 77423")</f>
        <v>Brookshire, TX, 77423</v>
      </c>
      <c r="E537" s="423" t="str">
        <f>IFERROR(__xludf.DUMMYFUNCTION("""COMPUTED_VALUE"""),"Pooler, GA, 31322")</f>
        <v>Pooler, GA, 31322</v>
      </c>
      <c r="F537" s="500">
        <f>IFERROR(__xludf.DUMMYFUNCTION("""COMPUTED_VALUE"""),250.0)</f>
        <v>250</v>
      </c>
      <c r="G537" s="413">
        <v>0.88</v>
      </c>
      <c r="H537" s="414">
        <f t="shared" si="32"/>
        <v>220</v>
      </c>
      <c r="I537" s="376"/>
      <c r="J537" s="545">
        <f>IFERROR(__xludf.DUMMYFUNCTION("""COMPUTED_VALUE"""),45978.0)</f>
        <v>45978</v>
      </c>
      <c r="K537" s="421">
        <f>IFERROR(__xludf.DUMMYFUNCTION("""COMPUTED_VALUE"""),37564.0)</f>
        <v>37564</v>
      </c>
      <c r="L537" s="422" t="str">
        <f>IFERROR(__xludf.DUMMYFUNCTION("""COMPUTED_VALUE"""),"Brookshire, TX, 77423")</f>
        <v>Brookshire, TX, 77423</v>
      </c>
      <c r="M537" s="423" t="str">
        <f>IFERROR(__xludf.DUMMYFUNCTION("""COMPUTED_VALUE"""),"Pooler, GA, 31322")</f>
        <v>Pooler, GA, 31322</v>
      </c>
      <c r="N537" s="546">
        <f>IFERROR(__xludf.DUMMYFUNCTION("""COMPUTED_VALUE"""),7.0)</f>
        <v>7</v>
      </c>
      <c r="O537" s="408">
        <v>0.65</v>
      </c>
      <c r="P537" s="414">
        <f t="shared" si="33"/>
        <v>4.55</v>
      </c>
      <c r="Q537" s="378"/>
      <c r="R537" s="378"/>
      <c r="S537" s="378"/>
      <c r="T537" s="378"/>
      <c r="U537" s="378"/>
      <c r="V537" s="378"/>
      <c r="W537" s="378"/>
      <c r="X537" s="378"/>
      <c r="Y537" s="378"/>
      <c r="Z537" s="378"/>
      <c r="AA537" s="378"/>
      <c r="AB537" s="378"/>
      <c r="AC537" s="378"/>
      <c r="AD537" s="378"/>
      <c r="AE537" s="378"/>
      <c r="AF537" s="378"/>
      <c r="AG537" s="378"/>
    </row>
    <row r="538">
      <c r="A538" s="378"/>
      <c r="B538" s="499">
        <f>IFERROR(__xludf.DUMMYFUNCTION("""COMPUTED_VALUE"""),45981.0)</f>
        <v>45981</v>
      </c>
      <c r="C538" s="421">
        <f>IFERROR(__xludf.DUMMYFUNCTION("""COMPUTED_VALUE"""),2882310.0)</f>
        <v>2882310</v>
      </c>
      <c r="D538" s="422" t="str">
        <f>IFERROR(__xludf.DUMMYFUNCTION("""COMPUTED_VALUE"""),"Piscataway, NJ, 08854")</f>
        <v>Piscataway, NJ, 08854</v>
      </c>
      <c r="E538" s="423" t="str">
        <f>IFERROR(__xludf.DUMMYFUNCTION("""COMPUTED_VALUE"""),"Richmond, VA, 23234")</f>
        <v>Richmond, VA, 23234</v>
      </c>
      <c r="F538" s="500">
        <f>IFERROR(__xludf.DUMMYFUNCTION("""COMPUTED_VALUE"""),1000.0)</f>
        <v>1000</v>
      </c>
      <c r="G538" s="413">
        <v>0.88</v>
      </c>
      <c r="H538" s="414">
        <f t="shared" si="32"/>
        <v>880</v>
      </c>
      <c r="I538" s="376"/>
      <c r="J538" s="545">
        <f>IFERROR(__xludf.DUMMYFUNCTION("""COMPUTED_VALUE"""),45981.0)</f>
        <v>45981</v>
      </c>
      <c r="K538" s="421">
        <f>IFERROR(__xludf.DUMMYFUNCTION("""COMPUTED_VALUE"""),2882310.0)</f>
        <v>2882310</v>
      </c>
      <c r="L538" s="422" t="str">
        <f>IFERROR(__xludf.DUMMYFUNCTION("""COMPUTED_VALUE"""),"Piscataway, NJ, 08854")</f>
        <v>Piscataway, NJ, 08854</v>
      </c>
      <c r="M538" s="423" t="str">
        <f>IFERROR(__xludf.DUMMYFUNCTION("""COMPUTED_VALUE"""),"Richmond, VA, 23234")</f>
        <v>Richmond, VA, 23234</v>
      </c>
      <c r="N538" s="546">
        <f>IFERROR(__xludf.DUMMYFUNCTION("""COMPUTED_VALUE"""),351.0)</f>
        <v>351</v>
      </c>
      <c r="O538" s="408">
        <v>0.65</v>
      </c>
      <c r="P538" s="414">
        <f t="shared" si="33"/>
        <v>228.15</v>
      </c>
      <c r="Q538" s="378"/>
      <c r="R538" s="378"/>
      <c r="S538" s="378"/>
      <c r="T538" s="378"/>
      <c r="U538" s="378"/>
      <c r="V538" s="378"/>
      <c r="W538" s="378"/>
      <c r="X538" s="378"/>
      <c r="Y538" s="378"/>
      <c r="Z538" s="378"/>
      <c r="AA538" s="378"/>
      <c r="AB538" s="378"/>
      <c r="AC538" s="378"/>
      <c r="AD538" s="378"/>
      <c r="AE538" s="378"/>
      <c r="AF538" s="378"/>
      <c r="AG538" s="378"/>
    </row>
    <row r="539">
      <c r="A539" s="378"/>
      <c r="B539" s="420"/>
      <c r="C539" s="421"/>
      <c r="D539" s="422"/>
      <c r="E539" s="423"/>
      <c r="F539" s="421"/>
      <c r="G539" s="413"/>
      <c r="H539" s="414"/>
      <c r="I539" s="376"/>
      <c r="J539" s="424"/>
      <c r="K539" s="421"/>
      <c r="L539" s="422"/>
      <c r="M539" s="423"/>
      <c r="N539" s="425"/>
      <c r="O539" s="408"/>
      <c r="P539" s="414"/>
      <c r="Q539" s="378"/>
      <c r="R539" s="378"/>
      <c r="S539" s="378"/>
      <c r="T539" s="378"/>
      <c r="U539" s="378"/>
      <c r="V539" s="378"/>
      <c r="W539" s="378"/>
      <c r="X539" s="378"/>
      <c r="Y539" s="378"/>
      <c r="Z539" s="378"/>
      <c r="AA539" s="378"/>
      <c r="AB539" s="378"/>
      <c r="AC539" s="378"/>
      <c r="AD539" s="378"/>
      <c r="AE539" s="378"/>
      <c r="AF539" s="378"/>
      <c r="AG539" s="378"/>
    </row>
    <row r="540">
      <c r="A540" s="378"/>
      <c r="B540" s="420"/>
      <c r="C540" s="421"/>
      <c r="D540" s="422"/>
      <c r="E540" s="423"/>
      <c r="F540" s="421"/>
      <c r="G540" s="413"/>
      <c r="H540" s="414"/>
      <c r="I540" s="376"/>
      <c r="J540" s="424"/>
      <c r="K540" s="421"/>
      <c r="L540" s="422"/>
      <c r="M540" s="423"/>
      <c r="N540" s="425"/>
      <c r="O540" s="408"/>
      <c r="P540" s="414"/>
      <c r="Q540" s="378"/>
      <c r="R540" s="378"/>
      <c r="S540" s="378"/>
      <c r="T540" s="378"/>
      <c r="U540" s="378"/>
      <c r="V540" s="378"/>
      <c r="W540" s="378"/>
      <c r="X540" s="378"/>
      <c r="Y540" s="378"/>
      <c r="Z540" s="378"/>
      <c r="AA540" s="378"/>
      <c r="AB540" s="378"/>
      <c r="AC540" s="378"/>
      <c r="AD540" s="378"/>
      <c r="AE540" s="378"/>
      <c r="AF540" s="378"/>
      <c r="AG540" s="378"/>
    </row>
    <row r="541">
      <c r="A541" s="378"/>
      <c r="B541" s="403" t="s">
        <v>711</v>
      </c>
      <c r="C541" s="224"/>
      <c r="D541" s="224"/>
      <c r="E541" s="222"/>
      <c r="F541" s="414">
        <f>SUM(F535:F540)</f>
        <v>6100</v>
      </c>
      <c r="G541" s="421"/>
      <c r="H541" s="414">
        <f>SUM(H535:H540)</f>
        <v>5368</v>
      </c>
      <c r="I541" s="376"/>
      <c r="J541" s="407" t="s">
        <v>711</v>
      </c>
      <c r="K541" s="224"/>
      <c r="L541" s="224"/>
      <c r="M541" s="222"/>
      <c r="N541" s="426">
        <f>SUM(N535:N540)</f>
        <v>2559</v>
      </c>
      <c r="O541" s="427"/>
      <c r="P541" s="414">
        <f>SUM(P535:P540)</f>
        <v>1663.35</v>
      </c>
      <c r="Q541" s="378"/>
      <c r="R541" s="378"/>
      <c r="S541" s="378"/>
      <c r="T541" s="378"/>
      <c r="U541" s="378"/>
      <c r="V541" s="378"/>
      <c r="W541" s="378"/>
      <c r="X541" s="378"/>
      <c r="Y541" s="378"/>
      <c r="Z541" s="378"/>
      <c r="AA541" s="378"/>
      <c r="AB541" s="378"/>
      <c r="AC541" s="378"/>
      <c r="AD541" s="378"/>
      <c r="AE541" s="378"/>
      <c r="AF541" s="378"/>
      <c r="AG541" s="378"/>
    </row>
    <row r="542">
      <c r="A542" s="378"/>
      <c r="B542" s="428"/>
      <c r="C542" s="419"/>
      <c r="D542" s="419"/>
      <c r="E542" s="419"/>
      <c r="F542" s="419"/>
      <c r="G542" s="419"/>
      <c r="H542" s="429"/>
      <c r="I542" s="376"/>
      <c r="J542" s="430"/>
      <c r="K542" s="419"/>
      <c r="L542" s="419"/>
      <c r="M542" s="419"/>
      <c r="N542" s="431"/>
      <c r="O542" s="432"/>
      <c r="P542" s="429"/>
      <c r="Q542" s="378"/>
      <c r="R542" s="378"/>
      <c r="S542" s="378"/>
      <c r="T542" s="378"/>
      <c r="U542" s="378"/>
      <c r="V542" s="378"/>
      <c r="W542" s="378"/>
      <c r="X542" s="378"/>
      <c r="Y542" s="378"/>
      <c r="Z542" s="378"/>
      <c r="AA542" s="378"/>
      <c r="AB542" s="378"/>
      <c r="AC542" s="378"/>
      <c r="AD542" s="378"/>
      <c r="AE542" s="378"/>
      <c r="AF542" s="378"/>
      <c r="AG542" s="378"/>
    </row>
    <row r="543">
      <c r="A543" s="378"/>
      <c r="B543" s="433" t="s">
        <v>712</v>
      </c>
      <c r="C543" s="434"/>
      <c r="D543" s="435"/>
      <c r="E543" s="419"/>
      <c r="F543" s="419"/>
      <c r="G543" s="419"/>
      <c r="H543" s="429"/>
      <c r="I543" s="376"/>
      <c r="J543" s="437" t="s">
        <v>712</v>
      </c>
      <c r="K543" s="434"/>
      <c r="L543" s="435"/>
      <c r="M543" s="419"/>
      <c r="N543" s="431"/>
      <c r="O543" s="432"/>
      <c r="P543" s="429"/>
      <c r="Q543" s="378"/>
      <c r="R543" s="378"/>
      <c r="S543" s="378"/>
      <c r="T543" s="378"/>
      <c r="U543" s="378"/>
      <c r="V543" s="378"/>
      <c r="W543" s="378"/>
      <c r="X543" s="378"/>
      <c r="Y543" s="378"/>
      <c r="Z543" s="378"/>
      <c r="AA543" s="378"/>
      <c r="AB543" s="378"/>
      <c r="AC543" s="378"/>
      <c r="AD543" s="378"/>
      <c r="AE543" s="378"/>
      <c r="AF543" s="378"/>
      <c r="AG543" s="378"/>
    </row>
    <row r="544">
      <c r="A544" s="378"/>
      <c r="B544" s="438" t="s">
        <v>885</v>
      </c>
      <c r="C544" s="439">
        <v>250.0</v>
      </c>
      <c r="D544" s="440"/>
      <c r="E544" s="419"/>
      <c r="F544" s="419"/>
      <c r="G544" s="419"/>
      <c r="H544" s="429"/>
      <c r="I544" s="376"/>
      <c r="J544" s="443"/>
      <c r="K544" s="439"/>
      <c r="L544" s="440"/>
      <c r="M544" s="419"/>
      <c r="N544" s="431"/>
      <c r="O544" s="432"/>
      <c r="P544" s="429"/>
      <c r="Q544" s="378"/>
      <c r="R544" s="378"/>
      <c r="S544" s="378"/>
      <c r="T544" s="378"/>
      <c r="U544" s="378"/>
      <c r="V544" s="378"/>
      <c r="W544" s="378"/>
      <c r="X544" s="378"/>
      <c r="Y544" s="378"/>
      <c r="Z544" s="378"/>
      <c r="AA544" s="378"/>
      <c r="AB544" s="378"/>
      <c r="AC544" s="378"/>
      <c r="AD544" s="378"/>
      <c r="AE544" s="378"/>
      <c r="AF544" s="378"/>
      <c r="AG544" s="378"/>
    </row>
    <row r="545">
      <c r="A545" s="378"/>
      <c r="B545" s="444"/>
      <c r="C545" s="434"/>
      <c r="D545" s="435"/>
      <c r="E545" s="419"/>
      <c r="F545" s="463"/>
      <c r="G545" s="463"/>
      <c r="H545" s="448"/>
      <c r="I545" s="376"/>
      <c r="J545" s="445"/>
      <c r="K545" s="434"/>
      <c r="L545" s="435"/>
      <c r="M545" s="419"/>
      <c r="N545" s="446"/>
      <c r="O545" s="447"/>
      <c r="P545" s="448"/>
      <c r="Q545" s="378"/>
      <c r="R545" s="378"/>
      <c r="S545" s="378"/>
      <c r="T545" s="378"/>
      <c r="U545" s="378"/>
      <c r="V545" s="378"/>
      <c r="W545" s="378"/>
      <c r="X545" s="378"/>
      <c r="Y545" s="378"/>
      <c r="Z545" s="378"/>
      <c r="AA545" s="378"/>
      <c r="AB545" s="378"/>
      <c r="AC545" s="378"/>
      <c r="AD545" s="378"/>
      <c r="AE545" s="378"/>
      <c r="AF545" s="378"/>
      <c r="AG545" s="378"/>
    </row>
    <row r="546">
      <c r="A546" s="378"/>
      <c r="B546" s="438" t="s">
        <v>714</v>
      </c>
      <c r="C546" s="439">
        <f>SUM(C544:C545)</f>
        <v>250</v>
      </c>
      <c r="D546" s="440"/>
      <c r="E546" s="419"/>
      <c r="F546" s="463"/>
      <c r="G546" s="463"/>
      <c r="H546" s="448"/>
      <c r="I546" s="376"/>
      <c r="J546" s="443" t="s">
        <v>714</v>
      </c>
      <c r="K546" s="439">
        <f>SUM(K544:K545)</f>
        <v>0</v>
      </c>
      <c r="L546" s="440"/>
      <c r="M546" s="419"/>
      <c r="N546" s="446"/>
      <c r="O546" s="447"/>
      <c r="P546" s="448"/>
      <c r="Q546" s="378"/>
      <c r="R546" s="378"/>
      <c r="S546" s="378"/>
      <c r="T546" s="378"/>
      <c r="U546" s="378"/>
      <c r="V546" s="378"/>
      <c r="W546" s="378"/>
      <c r="X546" s="378"/>
      <c r="Y546" s="378"/>
      <c r="Z546" s="378"/>
      <c r="AA546" s="378"/>
      <c r="AB546" s="378"/>
      <c r="AC546" s="378"/>
      <c r="AD546" s="378"/>
      <c r="AE546" s="378"/>
      <c r="AF546" s="378"/>
      <c r="AG546" s="378"/>
    </row>
    <row r="547">
      <c r="A547" s="378"/>
      <c r="B547" s="450"/>
      <c r="C547" s="451"/>
      <c r="D547" s="419"/>
      <c r="E547" s="419"/>
      <c r="F547" s="463"/>
      <c r="G547" s="463"/>
      <c r="H547" s="448"/>
      <c r="I547" s="376"/>
      <c r="J547" s="535"/>
      <c r="K547" s="451"/>
      <c r="L547" s="419"/>
      <c r="M547" s="419"/>
      <c r="N547" s="446"/>
      <c r="O547" s="447"/>
      <c r="P547" s="448"/>
      <c r="Q547" s="378"/>
      <c r="R547" s="378"/>
      <c r="S547" s="378"/>
      <c r="T547" s="378"/>
      <c r="U547" s="378"/>
      <c r="V547" s="378"/>
      <c r="W547" s="378"/>
      <c r="X547" s="378"/>
      <c r="Y547" s="378"/>
      <c r="Z547" s="378"/>
      <c r="AA547" s="378"/>
      <c r="AB547" s="378"/>
      <c r="AC547" s="378"/>
      <c r="AD547" s="378"/>
      <c r="AE547" s="378"/>
      <c r="AF547" s="378"/>
      <c r="AG547" s="378"/>
    </row>
    <row r="548">
      <c r="A548" s="378"/>
      <c r="B548" s="454" t="s">
        <v>715</v>
      </c>
      <c r="C548" s="455"/>
      <c r="D548" s="435"/>
      <c r="E548" s="419"/>
      <c r="F548" s="463"/>
      <c r="G548" s="463"/>
      <c r="H548" s="448"/>
      <c r="I548" s="376"/>
      <c r="J548" s="458" t="s">
        <v>715</v>
      </c>
      <c r="K548" s="455"/>
      <c r="L548" s="435"/>
      <c r="M548" s="419"/>
      <c r="N548" s="446"/>
      <c r="O548" s="447"/>
      <c r="P548" s="448"/>
      <c r="Q548" s="378"/>
      <c r="R548" s="378"/>
      <c r="S548" s="378"/>
      <c r="T548" s="378"/>
      <c r="U548" s="378"/>
      <c r="V548" s="378"/>
      <c r="W548" s="378"/>
      <c r="X548" s="378"/>
      <c r="Y548" s="378"/>
      <c r="Z548" s="378"/>
      <c r="AA548" s="378"/>
      <c r="AB548" s="378"/>
      <c r="AC548" s="378"/>
      <c r="AD548" s="378"/>
      <c r="AE548" s="378"/>
      <c r="AF548" s="378"/>
      <c r="AG548" s="378"/>
    </row>
    <row r="549">
      <c r="A549" s="378"/>
      <c r="B549" s="459" t="s">
        <v>716</v>
      </c>
      <c r="C549" s="460">
        <v>0.0</v>
      </c>
      <c r="D549" s="440"/>
      <c r="E549" s="419"/>
      <c r="F549" s="463"/>
      <c r="G549" s="463"/>
      <c r="H549" s="448"/>
      <c r="I549" s="376"/>
      <c r="J549" s="462"/>
      <c r="K549" s="460"/>
      <c r="L549" s="440"/>
      <c r="M549" s="419"/>
      <c r="N549" s="446"/>
      <c r="O549" s="447"/>
      <c r="P549" s="448"/>
      <c r="Q549" s="378"/>
      <c r="R549" s="378"/>
      <c r="S549" s="378"/>
      <c r="T549" s="378"/>
      <c r="U549" s="378"/>
      <c r="V549" s="378"/>
      <c r="W549" s="378"/>
      <c r="X549" s="378"/>
      <c r="Y549" s="378"/>
      <c r="Z549" s="378"/>
      <c r="AA549" s="378"/>
      <c r="AB549" s="378"/>
      <c r="AC549" s="378"/>
      <c r="AD549" s="378"/>
      <c r="AE549" s="378"/>
      <c r="AF549" s="378"/>
      <c r="AG549" s="378"/>
    </row>
    <row r="550">
      <c r="A550" s="378"/>
      <c r="B550" s="459" t="s">
        <v>717</v>
      </c>
      <c r="C550" s="460">
        <v>0.0</v>
      </c>
      <c r="D550" s="567" t="s">
        <v>889</v>
      </c>
      <c r="E550" s="419"/>
      <c r="F550" s="463"/>
      <c r="G550" s="463"/>
      <c r="H550" s="448"/>
      <c r="I550" s="376"/>
      <c r="J550" s="462"/>
      <c r="K550" s="460"/>
      <c r="L550" s="440"/>
      <c r="M550" s="419"/>
      <c r="N550" s="446"/>
      <c r="O550" s="447"/>
      <c r="P550" s="448"/>
      <c r="Q550" s="378"/>
      <c r="R550" s="378"/>
      <c r="S550" s="378"/>
      <c r="T550" s="378"/>
      <c r="U550" s="378"/>
      <c r="V550" s="378"/>
      <c r="W550" s="378"/>
      <c r="X550" s="378"/>
      <c r="Y550" s="378"/>
      <c r="Z550" s="378"/>
      <c r="AA550" s="378"/>
      <c r="AB550" s="378"/>
      <c r="AC550" s="378"/>
      <c r="AD550" s="378"/>
      <c r="AE550" s="378"/>
      <c r="AF550" s="378"/>
      <c r="AG550" s="378"/>
    </row>
    <row r="551">
      <c r="A551" s="378"/>
      <c r="B551" s="459" t="s">
        <v>718</v>
      </c>
      <c r="C551" s="460">
        <v>0.0</v>
      </c>
      <c r="D551" s="440"/>
      <c r="E551" s="419"/>
      <c r="F551" s="463"/>
      <c r="G551" s="463"/>
      <c r="H551" s="448"/>
      <c r="I551" s="376"/>
      <c r="J551" s="462"/>
      <c r="K551" s="460"/>
      <c r="L551" s="440"/>
      <c r="M551" s="419"/>
      <c r="N551" s="446"/>
      <c r="O551" s="447"/>
      <c r="P551" s="448"/>
      <c r="Q551" s="378"/>
      <c r="R551" s="378"/>
      <c r="S551" s="378"/>
      <c r="T551" s="378"/>
      <c r="U551" s="378"/>
      <c r="V551" s="378"/>
      <c r="W551" s="378"/>
      <c r="X551" s="378"/>
      <c r="Y551" s="378"/>
      <c r="Z551" s="378"/>
      <c r="AA551" s="378"/>
      <c r="AB551" s="378"/>
      <c r="AC551" s="378"/>
      <c r="AD551" s="378"/>
      <c r="AE551" s="378"/>
      <c r="AF551" s="378"/>
      <c r="AG551" s="378"/>
    </row>
    <row r="552">
      <c r="A552" s="378"/>
      <c r="B552" s="459" t="s">
        <v>656</v>
      </c>
      <c r="C552" s="460">
        <f>IFERROR(__xludf.DUMMYFUNCTION("FILTER(D967:D995,C967:C995=F533)"),2103.5)</f>
        <v>2103.5</v>
      </c>
      <c r="D552" s="440"/>
      <c r="E552" s="419"/>
      <c r="F552" s="463"/>
      <c r="G552" s="463"/>
      <c r="H552" s="448"/>
      <c r="I552" s="376"/>
      <c r="J552" s="462"/>
      <c r="K552" s="460"/>
      <c r="L552" s="440"/>
      <c r="M552" s="419"/>
      <c r="N552" s="446"/>
      <c r="O552" s="447"/>
      <c r="P552" s="448"/>
      <c r="Q552" s="378"/>
      <c r="R552" s="378"/>
      <c r="S552" s="378"/>
      <c r="T552" s="378"/>
      <c r="U552" s="378"/>
      <c r="V552" s="378"/>
      <c r="W552" s="378"/>
      <c r="X552" s="378"/>
      <c r="Y552" s="378"/>
      <c r="Z552" s="378"/>
      <c r="AA552" s="378"/>
      <c r="AB552" s="378"/>
      <c r="AC552" s="378"/>
      <c r="AD552" s="378"/>
      <c r="AE552" s="378"/>
      <c r="AF552" s="378"/>
      <c r="AG552" s="378"/>
    </row>
    <row r="553">
      <c r="A553" s="378"/>
      <c r="B553" s="464"/>
      <c r="C553" s="455"/>
      <c r="D553" s="435"/>
      <c r="E553" s="419"/>
      <c r="F553" s="568" t="s">
        <v>881</v>
      </c>
      <c r="G553" s="466">
        <f>H541+C546-C558</f>
        <v>3514.5</v>
      </c>
      <c r="H553" s="211"/>
      <c r="I553" s="376"/>
      <c r="J553" s="467"/>
      <c r="K553" s="455"/>
      <c r="L553" s="435"/>
      <c r="M553" s="419"/>
      <c r="N553" s="468" t="s">
        <v>842</v>
      </c>
      <c r="O553" s="539">
        <f>P541+K546-K558</f>
        <v>1663.35</v>
      </c>
      <c r="P553" s="211"/>
      <c r="Q553" s="378"/>
      <c r="R553" s="378"/>
      <c r="S553" s="378"/>
      <c r="T553" s="378"/>
      <c r="U553" s="378"/>
      <c r="V553" s="378"/>
      <c r="W553" s="378"/>
      <c r="X553" s="378"/>
      <c r="Y553" s="378"/>
      <c r="Z553" s="378"/>
      <c r="AA553" s="378"/>
      <c r="AB553" s="378"/>
      <c r="AC553" s="378"/>
      <c r="AD553" s="378"/>
      <c r="AE553" s="378"/>
      <c r="AF553" s="378"/>
      <c r="AG553" s="378"/>
    </row>
    <row r="554">
      <c r="A554" s="378"/>
      <c r="B554" s="464"/>
      <c r="C554" s="455"/>
      <c r="D554" s="435"/>
      <c r="E554" s="419"/>
      <c r="F554" s="55"/>
      <c r="G554" s="278"/>
      <c r="H554" s="56"/>
      <c r="I554" s="376"/>
      <c r="J554" s="467"/>
      <c r="K554" s="455"/>
      <c r="L554" s="435"/>
      <c r="M554" s="419"/>
      <c r="N554" s="469" t="s">
        <v>854</v>
      </c>
      <c r="O554" s="278"/>
      <c r="P554" s="56"/>
      <c r="Q554" s="378"/>
      <c r="R554" s="378"/>
      <c r="S554" s="378"/>
      <c r="T554" s="378"/>
      <c r="U554" s="378"/>
      <c r="V554" s="378"/>
      <c r="W554" s="378"/>
      <c r="X554" s="378"/>
      <c r="Y554" s="378"/>
      <c r="Z554" s="378"/>
      <c r="AA554" s="378"/>
      <c r="AB554" s="378"/>
      <c r="AC554" s="378"/>
      <c r="AD554" s="378"/>
      <c r="AE554" s="378"/>
      <c r="AF554" s="378"/>
      <c r="AG554" s="378"/>
    </row>
    <row r="555">
      <c r="A555" s="378"/>
      <c r="B555" s="464"/>
      <c r="C555" s="455"/>
      <c r="D555" s="435"/>
      <c r="E555" s="419"/>
      <c r="F555" s="60"/>
      <c r="G555" s="215"/>
      <c r="H555" s="64"/>
      <c r="I555" s="376"/>
      <c r="J555" s="467"/>
      <c r="K555" s="455"/>
      <c r="L555" s="435"/>
      <c r="M555" s="419"/>
      <c r="N555" s="470"/>
      <c r="O555" s="215"/>
      <c r="P555" s="64"/>
      <c r="Q555" s="378"/>
      <c r="R555" s="378"/>
      <c r="S555" s="378"/>
      <c r="T555" s="378"/>
      <c r="U555" s="378"/>
      <c r="V555" s="378"/>
      <c r="W555" s="378"/>
      <c r="X555" s="378"/>
      <c r="Y555" s="378"/>
      <c r="Z555" s="378"/>
      <c r="AA555" s="378"/>
      <c r="AB555" s="378"/>
      <c r="AC555" s="378"/>
      <c r="AD555" s="378"/>
      <c r="AE555" s="378"/>
      <c r="AF555" s="378"/>
      <c r="AG555" s="378"/>
    </row>
    <row r="556">
      <c r="A556" s="378"/>
      <c r="B556" s="464"/>
      <c r="C556" s="455"/>
      <c r="D556" s="435"/>
      <c r="E556" s="419"/>
      <c r="F556" s="419"/>
      <c r="G556" s="419"/>
      <c r="H556" s="429"/>
      <c r="I556" s="376"/>
      <c r="J556" s="467"/>
      <c r="K556" s="455"/>
      <c r="L556" s="435"/>
      <c r="M556" s="419"/>
      <c r="N556" s="431"/>
      <c r="O556" s="432"/>
      <c r="P556" s="429"/>
      <c r="Q556" s="378"/>
      <c r="R556" s="378"/>
      <c r="S556" s="378"/>
      <c r="T556" s="378"/>
      <c r="U556" s="378"/>
      <c r="V556" s="378"/>
      <c r="W556" s="378"/>
      <c r="X556" s="378"/>
      <c r="Y556" s="378"/>
      <c r="Z556" s="378"/>
      <c r="AA556" s="378"/>
      <c r="AB556" s="378"/>
      <c r="AC556" s="378"/>
      <c r="AD556" s="378"/>
      <c r="AE556" s="378"/>
      <c r="AF556" s="378"/>
      <c r="AG556" s="378"/>
    </row>
    <row r="557">
      <c r="A557" s="378"/>
      <c r="B557" s="464"/>
      <c r="C557" s="455"/>
      <c r="D557" s="435"/>
      <c r="E557" s="419"/>
      <c r="F557" s="419"/>
      <c r="G557" s="419"/>
      <c r="H557" s="429"/>
      <c r="I557" s="376"/>
      <c r="J557" s="467"/>
      <c r="K557" s="455"/>
      <c r="L557" s="435"/>
      <c r="M557" s="419"/>
      <c r="N557" s="431"/>
      <c r="O557" s="432"/>
      <c r="P557" s="429"/>
      <c r="Q557" s="378"/>
      <c r="R557" s="378"/>
      <c r="S557" s="378"/>
      <c r="T557" s="378"/>
      <c r="U557" s="378"/>
      <c r="V557" s="378"/>
      <c r="W557" s="378"/>
      <c r="X557" s="378"/>
      <c r="Y557" s="378"/>
      <c r="Z557" s="378"/>
      <c r="AA557" s="378"/>
      <c r="AB557" s="378"/>
      <c r="AC557" s="378"/>
      <c r="AD557" s="378"/>
      <c r="AE557" s="378"/>
      <c r="AF557" s="378"/>
      <c r="AG557" s="378"/>
    </row>
    <row r="558">
      <c r="A558" s="378"/>
      <c r="B558" s="454" t="s">
        <v>721</v>
      </c>
      <c r="C558" s="460">
        <f>SUM(C549:C557)</f>
        <v>2103.5</v>
      </c>
      <c r="D558" s="440"/>
      <c r="E558" s="419"/>
      <c r="F558" s="419"/>
      <c r="G558" s="419"/>
      <c r="H558" s="429"/>
      <c r="I558" s="376"/>
      <c r="J558" s="458" t="s">
        <v>721</v>
      </c>
      <c r="K558" s="460">
        <f>SUM(K549:K557)</f>
        <v>0</v>
      </c>
      <c r="L558" s="440"/>
      <c r="M558" s="419"/>
      <c r="N558" s="431"/>
      <c r="O558" s="432"/>
      <c r="P558" s="429"/>
      <c r="Q558" s="378"/>
      <c r="R558" s="378"/>
      <c r="S558" s="378"/>
      <c r="T558" s="378"/>
      <c r="U558" s="378"/>
      <c r="V558" s="378"/>
      <c r="W558" s="378"/>
      <c r="X558" s="378"/>
      <c r="Y558" s="378"/>
      <c r="Z558" s="378"/>
      <c r="AA558" s="378"/>
      <c r="AB558" s="378"/>
      <c r="AC558" s="378"/>
      <c r="AD558" s="378"/>
      <c r="AE558" s="378"/>
      <c r="AF558" s="378"/>
      <c r="AG558" s="378"/>
    </row>
    <row r="559">
      <c r="A559" s="378"/>
      <c r="B559" s="471"/>
      <c r="C559" s="472"/>
      <c r="D559" s="472"/>
      <c r="E559" s="472"/>
      <c r="F559" s="472"/>
      <c r="G559" s="472"/>
      <c r="H559" s="473"/>
      <c r="I559" s="376"/>
      <c r="J559" s="474"/>
      <c r="K559" s="472"/>
      <c r="L559" s="472"/>
      <c r="M559" s="472"/>
      <c r="N559" s="475"/>
      <c r="O559" s="476"/>
      <c r="P559" s="473"/>
      <c r="Q559" s="378"/>
      <c r="R559" s="378"/>
      <c r="S559" s="378"/>
      <c r="T559" s="378"/>
      <c r="U559" s="378"/>
      <c r="V559" s="378"/>
      <c r="W559" s="378"/>
      <c r="X559" s="378"/>
      <c r="Y559" s="378"/>
      <c r="Z559" s="378"/>
      <c r="AA559" s="378"/>
      <c r="AB559" s="378"/>
      <c r="AC559" s="378"/>
      <c r="AD559" s="378"/>
      <c r="AE559" s="378"/>
      <c r="AF559" s="378"/>
      <c r="AG559" s="378"/>
    </row>
    <row r="560">
      <c r="A560" s="378"/>
      <c r="B560" s="550"/>
      <c r="C560" s="463"/>
      <c r="D560" s="463"/>
      <c r="E560" s="463"/>
      <c r="F560" s="463"/>
      <c r="G560" s="463"/>
      <c r="H560" s="463"/>
      <c r="I560" s="376"/>
      <c r="J560" s="377"/>
      <c r="K560" s="378"/>
      <c r="L560" s="378"/>
      <c r="M560" s="378"/>
      <c r="N560" s="379"/>
      <c r="O560" s="380"/>
      <c r="P560" s="378"/>
      <c r="Q560" s="378"/>
      <c r="R560" s="378"/>
      <c r="S560" s="378"/>
      <c r="T560" s="378"/>
      <c r="U560" s="378"/>
      <c r="V560" s="378"/>
      <c r="W560" s="378"/>
      <c r="X560" s="378"/>
      <c r="Y560" s="378"/>
      <c r="Z560" s="378"/>
      <c r="AA560" s="378"/>
      <c r="AB560" s="378"/>
      <c r="AC560" s="378"/>
      <c r="AD560" s="378"/>
      <c r="AE560" s="378"/>
      <c r="AF560" s="378"/>
      <c r="AG560" s="378"/>
    </row>
    <row r="561">
      <c r="A561" s="378"/>
      <c r="B561" s="550"/>
      <c r="C561" s="463"/>
      <c r="D561" s="463"/>
      <c r="E561" s="463"/>
      <c r="F561" s="463"/>
      <c r="G561" s="463"/>
      <c r="H561" s="463"/>
      <c r="I561" s="376"/>
      <c r="J561" s="377"/>
      <c r="K561" s="378"/>
      <c r="L561" s="378"/>
      <c r="M561" s="378"/>
      <c r="N561" s="379"/>
      <c r="O561" s="380"/>
      <c r="P561" s="378"/>
      <c r="Q561" s="378"/>
      <c r="R561" s="378"/>
      <c r="S561" s="378"/>
      <c r="T561" s="378"/>
      <c r="U561" s="378"/>
      <c r="V561" s="378"/>
      <c r="W561" s="378"/>
      <c r="X561" s="378"/>
      <c r="Y561" s="378"/>
      <c r="Z561" s="378"/>
      <c r="AA561" s="378"/>
      <c r="AB561" s="378"/>
      <c r="AC561" s="378"/>
      <c r="AD561" s="378"/>
      <c r="AE561" s="378"/>
      <c r="AF561" s="378"/>
      <c r="AG561" s="378"/>
    </row>
    <row r="562">
      <c r="A562" s="378"/>
      <c r="B562" s="382"/>
      <c r="C562" s="388"/>
      <c r="D562" s="560" t="s">
        <v>660</v>
      </c>
      <c r="E562" s="385" t="s">
        <v>700</v>
      </c>
      <c r="F562" s="385" t="str">
        <f>Board!A2</f>
        <v>11.17.25-11.23.25</v>
      </c>
      <c r="G562" s="213"/>
      <c r="H562" s="211"/>
      <c r="I562" s="386">
        <v>19.0</v>
      </c>
      <c r="J562" s="387"/>
      <c r="K562" s="388"/>
      <c r="L562" s="384"/>
      <c r="M562" s="385" t="s">
        <v>700</v>
      </c>
      <c r="N562" s="385" t="str">
        <f>Board!A2</f>
        <v>11.17.25-11.23.25</v>
      </c>
      <c r="O562" s="213"/>
      <c r="P562" s="211"/>
      <c r="Q562" s="378"/>
      <c r="R562" s="389" t="s">
        <v>831</v>
      </c>
      <c r="S562" s="389" t="s">
        <v>652</v>
      </c>
      <c r="T562" s="390" t="s">
        <v>832</v>
      </c>
      <c r="U562" s="391" t="s">
        <v>833</v>
      </c>
      <c r="V562" s="389" t="s">
        <v>655</v>
      </c>
      <c r="W562" s="389" t="s">
        <v>8</v>
      </c>
      <c r="X562" s="389" t="s">
        <v>656</v>
      </c>
      <c r="Y562" s="390" t="s">
        <v>834</v>
      </c>
      <c r="Z562" s="392" t="s">
        <v>835</v>
      </c>
      <c r="AA562" s="390" t="s">
        <v>836</v>
      </c>
      <c r="AB562" s="390" t="s">
        <v>837</v>
      </c>
      <c r="AC562" s="393" t="s">
        <v>716</v>
      </c>
      <c r="AD562" s="393" t="s">
        <v>717</v>
      </c>
      <c r="AE562" s="393" t="s">
        <v>718</v>
      </c>
      <c r="AF562" s="394" t="s">
        <v>838</v>
      </c>
      <c r="AG562" s="394"/>
    </row>
    <row r="563">
      <c r="A563" s="378"/>
      <c r="B563" s="395"/>
      <c r="C563" s="372"/>
      <c r="D563" s="396"/>
      <c r="E563" s="385" t="s">
        <v>702</v>
      </c>
      <c r="F563" s="385" t="s">
        <v>660</v>
      </c>
      <c r="G563" s="213"/>
      <c r="H563" s="211"/>
      <c r="I563" s="376"/>
      <c r="J563" s="397"/>
      <c r="K563" s="372"/>
      <c r="L563" s="396"/>
      <c r="M563" s="385" t="s">
        <v>351</v>
      </c>
      <c r="N563" s="385" t="str">
        <f t="array" ref="N563">XLOOKUP(N564,Board!K:K,Board!J:J)</f>
        <v>DAGBOLEN ISA</v>
      </c>
      <c r="O563" s="213"/>
      <c r="P563" s="211"/>
      <c r="Q563" s="378"/>
      <c r="R563" s="398">
        <f>I562</f>
        <v>19</v>
      </c>
      <c r="S563" s="398">
        <f>F564</f>
        <v>7048</v>
      </c>
      <c r="T563" s="399">
        <f>G584</f>
        <v>1013.81</v>
      </c>
      <c r="U563" s="378" t="str">
        <f>N563</f>
        <v>DAGBOLEN ISA</v>
      </c>
      <c r="V563" s="380">
        <f>O584</f>
        <v>3003.8</v>
      </c>
      <c r="W563" s="399">
        <f>P572</f>
        <v>2928.8</v>
      </c>
      <c r="X563" s="399">
        <f>C583</f>
        <v>3465.47</v>
      </c>
      <c r="Y563" s="400">
        <f>N572</f>
        <v>4184</v>
      </c>
      <c r="Z563" s="399">
        <f>V564-V563</f>
        <v>-1989.99</v>
      </c>
      <c r="AA563" s="378"/>
      <c r="AB563" s="378"/>
      <c r="AC563" s="401">
        <f>C580</f>
        <v>150</v>
      </c>
      <c r="AD563" s="401">
        <f>C581</f>
        <v>400</v>
      </c>
      <c r="AE563" s="401">
        <f>C582</f>
        <v>200</v>
      </c>
      <c r="AF563" s="530">
        <f>C584+C585+C586+C587+C588</f>
        <v>3720.72</v>
      </c>
      <c r="AG563" s="398"/>
    </row>
    <row r="564">
      <c r="A564" s="378"/>
      <c r="B564" s="395"/>
      <c r="C564" s="372"/>
      <c r="D564" s="402"/>
      <c r="E564" s="385" t="s">
        <v>703</v>
      </c>
      <c r="F564" s="385">
        <v>7048.0</v>
      </c>
      <c r="G564" s="213"/>
      <c r="H564" s="211"/>
      <c r="I564" s="376"/>
      <c r="J564" s="397"/>
      <c r="K564" s="372"/>
      <c r="L564" s="402"/>
      <c r="M564" s="385" t="s">
        <v>703</v>
      </c>
      <c r="N564" s="385">
        <f>F564</f>
        <v>7048</v>
      </c>
      <c r="O564" s="213"/>
      <c r="P564" s="211"/>
      <c r="Q564" s="378"/>
      <c r="R564" s="378"/>
      <c r="S564" s="378"/>
      <c r="T564" s="378"/>
      <c r="U564" s="378" t="str">
        <f>F563</f>
        <v>Arba Express LLC</v>
      </c>
      <c r="V564" s="399">
        <f>G584</f>
        <v>1013.81</v>
      </c>
      <c r="W564" s="399">
        <f>H572</f>
        <v>8950</v>
      </c>
      <c r="X564" s="378"/>
      <c r="Y564" s="378"/>
      <c r="Z564" s="378"/>
      <c r="AA564" s="378"/>
      <c r="AB564" s="378"/>
      <c r="AC564" s="378"/>
      <c r="AD564" s="378"/>
      <c r="AE564" s="378"/>
      <c r="AF564" s="378"/>
      <c r="AG564" s="378"/>
    </row>
    <row r="565">
      <c r="A565" s="378"/>
      <c r="B565" s="403" t="s">
        <v>704</v>
      </c>
      <c r="C565" s="404" t="s">
        <v>5</v>
      </c>
      <c r="D565" s="405" t="s">
        <v>6</v>
      </c>
      <c r="E565" s="406" t="s">
        <v>7</v>
      </c>
      <c r="F565" s="404" t="s">
        <v>8</v>
      </c>
      <c r="G565" s="404" t="s">
        <v>706</v>
      </c>
      <c r="H565" s="404" t="s">
        <v>707</v>
      </c>
      <c r="I565" s="376"/>
      <c r="J565" s="407" t="s">
        <v>704</v>
      </c>
      <c r="K565" s="404" t="s">
        <v>5</v>
      </c>
      <c r="L565" s="405" t="s">
        <v>6</v>
      </c>
      <c r="M565" s="406" t="s">
        <v>7</v>
      </c>
      <c r="N565" s="404" t="s">
        <v>591</v>
      </c>
      <c r="O565" s="408" t="s">
        <v>839</v>
      </c>
      <c r="P565" s="404" t="s">
        <v>707</v>
      </c>
      <c r="Q565" s="378"/>
      <c r="R565" s="378"/>
      <c r="S565" s="378"/>
      <c r="T565" s="378"/>
      <c r="U565" s="378"/>
      <c r="V565" s="378"/>
      <c r="W565" s="378"/>
      <c r="X565" s="378"/>
      <c r="Y565" s="378"/>
      <c r="Z565" s="378"/>
      <c r="AA565" s="378"/>
      <c r="AB565" s="378"/>
      <c r="AC565" s="378"/>
      <c r="AD565" s="378"/>
      <c r="AE565" s="378"/>
      <c r="AF565" s="378"/>
      <c r="AG565" s="378"/>
    </row>
    <row r="566">
      <c r="A566" s="378"/>
      <c r="B566" s="555">
        <f>IFERROR(__xludf.DUMMYFUNCTION("FILTER(Board!C:G,Board!K:K=F564)"),45978.0)</f>
        <v>45978</v>
      </c>
      <c r="C566" s="404">
        <f>IFERROR(__xludf.DUMMYFUNCTION("""COMPUTED_VALUE"""),30662.0)</f>
        <v>30662</v>
      </c>
      <c r="D566" s="405" t="str">
        <f>IFERROR(__xludf.DUMMYFUNCTION("""COMPUTED_VALUE"""),"Commerce City, CO, 80022")</f>
        <v>Commerce City, CO, 80022</v>
      </c>
      <c r="E566" s="406" t="str">
        <f>IFERROR(__xludf.DUMMYFUNCTION("""COMPUTED_VALUE"""),"Spokane, WA, 99202")</f>
        <v>Spokane, WA, 99202</v>
      </c>
      <c r="F566" s="414">
        <f>IFERROR(__xludf.DUMMYFUNCTION("""COMPUTED_VALUE"""),2300.0)</f>
        <v>2300</v>
      </c>
      <c r="G566" s="413">
        <v>1.0</v>
      </c>
      <c r="H566" s="414">
        <f t="shared" ref="H566:H569" si="34">F566*G566</f>
        <v>2300</v>
      </c>
      <c r="I566" s="376"/>
      <c r="J566" s="569"/>
      <c r="K566" s="570"/>
      <c r="L566" s="570"/>
      <c r="M566" s="570"/>
      <c r="N566" s="570"/>
      <c r="O566" s="408"/>
      <c r="P566" s="414"/>
      <c r="Q566" s="378"/>
      <c r="R566" s="378"/>
      <c r="S566" s="378"/>
      <c r="T566" s="378"/>
      <c r="U566" s="378"/>
      <c r="V566" s="378"/>
      <c r="W566" s="378"/>
      <c r="X566" s="378"/>
      <c r="Y566" s="378"/>
      <c r="Z566" s="378"/>
      <c r="AA566" s="378"/>
      <c r="AB566" s="378"/>
      <c r="AC566" s="378"/>
      <c r="AD566" s="378"/>
      <c r="AE566" s="378"/>
      <c r="AF566" s="378"/>
      <c r="AG566" s="378"/>
    </row>
    <row r="567">
      <c r="A567" s="378"/>
      <c r="B567" s="555">
        <f>IFERROR(__xludf.DUMMYFUNCTION("""COMPUTED_VALUE"""),45981.0)</f>
        <v>45981</v>
      </c>
      <c r="C567" s="404">
        <f>IFERROR(__xludf.DUMMYFUNCTION("""COMPUTED_VALUE"""),2.0647309E7)</f>
        <v>20647309</v>
      </c>
      <c r="D567" s="405" t="str">
        <f>IFERROR(__xludf.DUMMYFUNCTION("""COMPUTED_VALUE"""),"Richmond, UT, 84333")</f>
        <v>Richmond, UT, 84333</v>
      </c>
      <c r="E567" s="406" t="str">
        <f>IFERROR(__xludf.DUMMYFUNCTION("""COMPUTED_VALUE"""),"Chesterfield, NH, 03443")</f>
        <v>Chesterfield, NH, 03443</v>
      </c>
      <c r="F567" s="414">
        <f>IFERROR(__xludf.DUMMYFUNCTION("""COMPUTED_VALUE"""),5200.0)</f>
        <v>5200</v>
      </c>
      <c r="G567" s="413">
        <v>1.0</v>
      </c>
      <c r="H567" s="414">
        <f t="shared" si="34"/>
        <v>5200</v>
      </c>
      <c r="I567" s="376"/>
      <c r="J567" s="415">
        <f>IFERROR(__xludf.DUMMYFUNCTION("FILTER(Board!C:F,Board!K:K=N564)"),45978.0)</f>
        <v>45978</v>
      </c>
      <c r="K567" s="411">
        <f>IFERROR(__xludf.DUMMYFUNCTION("""COMPUTED_VALUE"""),30662.0)</f>
        <v>30662</v>
      </c>
      <c r="L567" s="411" t="str">
        <f>IFERROR(__xludf.DUMMYFUNCTION("""COMPUTED_VALUE"""),"Commerce City, CO, 80022")</f>
        <v>Commerce City, CO, 80022</v>
      </c>
      <c r="M567" s="411" t="str">
        <f>IFERROR(__xludf.DUMMYFUNCTION("""COMPUTED_VALUE"""),"Spokane, WA, 99202")</f>
        <v>Spokane, WA, 99202</v>
      </c>
      <c r="N567" s="416">
        <f>IFERROR(__xludf.DUMMYFUNCTION("FILTER(Board!H:H,Board!K:K=N564)"),1141.0)</f>
        <v>1141</v>
      </c>
      <c r="O567" s="408">
        <v>0.7</v>
      </c>
      <c r="P567" s="414">
        <f t="shared" ref="P567:P569" si="35">N567*O567</f>
        <v>798.7</v>
      </c>
      <c r="Q567" s="378"/>
      <c r="R567" s="378"/>
      <c r="S567" s="378"/>
      <c r="T567" s="378"/>
      <c r="U567" s="378"/>
      <c r="V567" s="378"/>
      <c r="W567" s="378"/>
      <c r="X567" s="378"/>
      <c r="Y567" s="378"/>
      <c r="Z567" s="378"/>
      <c r="AA567" s="378"/>
      <c r="AB567" s="378"/>
      <c r="AC567" s="378"/>
      <c r="AD567" s="378"/>
      <c r="AE567" s="378"/>
      <c r="AF567" s="378"/>
      <c r="AG567" s="378"/>
    </row>
    <row r="568">
      <c r="A568" s="378"/>
      <c r="B568" s="499">
        <f>IFERROR(__xludf.DUMMYFUNCTION("""COMPUTED_VALUE"""),45980.0)</f>
        <v>45980</v>
      </c>
      <c r="C568" s="421">
        <f>IFERROR(__xludf.DUMMYFUNCTION("""COMPUTED_VALUE"""),2383253.0)</f>
        <v>2383253</v>
      </c>
      <c r="D568" s="422" t="str">
        <f>IFERROR(__xludf.DUMMYFUNCTION("""COMPUTED_VALUE"""),"Othello, WA, 99344")</f>
        <v>Othello, WA, 99344</v>
      </c>
      <c r="E568" s="423" t="str">
        <f>IFERROR(__xludf.DUMMYFUNCTION("""COMPUTED_VALUE"""),"Pocatello, ID, 83202")</f>
        <v>Pocatello, ID, 83202</v>
      </c>
      <c r="F568" s="500">
        <f>IFERROR(__xludf.DUMMYFUNCTION("""COMPUTED_VALUE"""),1300.0)</f>
        <v>1300</v>
      </c>
      <c r="G568" s="413">
        <v>1.0</v>
      </c>
      <c r="H568" s="414">
        <f t="shared" si="34"/>
        <v>1300</v>
      </c>
      <c r="I568" s="376"/>
      <c r="J568" s="545">
        <f>IFERROR(__xludf.DUMMYFUNCTION("""COMPUTED_VALUE"""),45981.0)</f>
        <v>45981</v>
      </c>
      <c r="K568" s="421">
        <f>IFERROR(__xludf.DUMMYFUNCTION("""COMPUTED_VALUE"""),2.0647309E7)</f>
        <v>20647309</v>
      </c>
      <c r="L568" s="422" t="str">
        <f>IFERROR(__xludf.DUMMYFUNCTION("""COMPUTED_VALUE"""),"Richmond, UT, 84333")</f>
        <v>Richmond, UT, 84333</v>
      </c>
      <c r="M568" s="423" t="str">
        <f>IFERROR(__xludf.DUMMYFUNCTION("""COMPUTED_VALUE"""),"Chesterfield, NH, 03443")</f>
        <v>Chesterfield, NH, 03443</v>
      </c>
      <c r="N568" s="546">
        <f>IFERROR(__xludf.DUMMYFUNCTION("""COMPUTED_VALUE"""),2370.0)</f>
        <v>2370</v>
      </c>
      <c r="O568" s="408">
        <v>0.7</v>
      </c>
      <c r="P568" s="414">
        <f t="shared" si="35"/>
        <v>1659</v>
      </c>
      <c r="Q568" s="378"/>
      <c r="R568" s="378"/>
      <c r="S568" s="378"/>
      <c r="T568" s="378"/>
      <c r="U568" s="378"/>
      <c r="V568" s="378"/>
      <c r="W568" s="378"/>
      <c r="X568" s="378"/>
      <c r="Y568" s="378"/>
      <c r="Z568" s="378"/>
      <c r="AA568" s="378"/>
      <c r="AB568" s="378"/>
      <c r="AC568" s="378"/>
      <c r="AD568" s="378"/>
      <c r="AE568" s="378"/>
      <c r="AF568" s="378"/>
      <c r="AG568" s="378"/>
    </row>
    <row r="569">
      <c r="A569" s="378"/>
      <c r="B569" s="499">
        <f>IFERROR(__xludf.DUMMYFUNCTION("""COMPUTED_VALUE"""),45978.0)</f>
        <v>45978</v>
      </c>
      <c r="C569" s="421">
        <f>IFERROR(__xludf.DUMMYFUNCTION("""COMPUTED_VALUE"""),6.5043253E7)</f>
        <v>65043253</v>
      </c>
      <c r="D569" s="422" t="str">
        <f>IFERROR(__xludf.DUMMYFUNCTION("""COMPUTED_VALUE"""),"TONU")</f>
        <v>TONU</v>
      </c>
      <c r="E569" s="423"/>
      <c r="F569" s="427">
        <f>IFERROR(__xludf.DUMMYFUNCTION("""COMPUTED_VALUE"""),150.0)</f>
        <v>150</v>
      </c>
      <c r="G569" s="413">
        <v>1.0</v>
      </c>
      <c r="H569" s="414">
        <f t="shared" si="34"/>
        <v>150</v>
      </c>
      <c r="I569" s="376"/>
      <c r="J569" s="545">
        <f>IFERROR(__xludf.DUMMYFUNCTION("""COMPUTED_VALUE"""),45980.0)</f>
        <v>45980</v>
      </c>
      <c r="K569" s="421">
        <f>IFERROR(__xludf.DUMMYFUNCTION("""COMPUTED_VALUE"""),2383253.0)</f>
        <v>2383253</v>
      </c>
      <c r="L569" s="422" t="str">
        <f>IFERROR(__xludf.DUMMYFUNCTION("""COMPUTED_VALUE"""),"Othello, WA, 99344")</f>
        <v>Othello, WA, 99344</v>
      </c>
      <c r="M569" s="423" t="str">
        <f>IFERROR(__xludf.DUMMYFUNCTION("""COMPUTED_VALUE"""),"Pocatello, ID, 83202")</f>
        <v>Pocatello, ID, 83202</v>
      </c>
      <c r="N569" s="546">
        <f>IFERROR(__xludf.DUMMYFUNCTION("""COMPUTED_VALUE"""),673.0)</f>
        <v>673</v>
      </c>
      <c r="O569" s="408">
        <v>0.7</v>
      </c>
      <c r="P569" s="414">
        <f t="shared" si="35"/>
        <v>471.1</v>
      </c>
      <c r="Q569" s="378"/>
      <c r="R569" s="378"/>
      <c r="S569" s="378"/>
      <c r="T569" s="378"/>
      <c r="U569" s="378"/>
      <c r="V569" s="378"/>
      <c r="W569" s="378"/>
      <c r="X569" s="378"/>
      <c r="Y569" s="378"/>
      <c r="Z569" s="378"/>
      <c r="AA569" s="378"/>
      <c r="AB569" s="378"/>
      <c r="AC569" s="378"/>
      <c r="AD569" s="378"/>
      <c r="AE569" s="378"/>
      <c r="AF569" s="378"/>
      <c r="AG569" s="378"/>
    </row>
    <row r="570">
      <c r="A570" s="378"/>
      <c r="B570" s="420"/>
      <c r="C570" s="421"/>
      <c r="D570" s="422"/>
      <c r="E570" s="423"/>
      <c r="F570" s="421"/>
      <c r="G570" s="413"/>
      <c r="H570" s="414"/>
      <c r="I570" s="376"/>
      <c r="J570" s="545">
        <f>IFERROR(__xludf.DUMMYFUNCTION("""COMPUTED_VALUE"""),45978.0)</f>
        <v>45978</v>
      </c>
      <c r="K570" s="421">
        <f>IFERROR(__xludf.DUMMYFUNCTION("""COMPUTED_VALUE"""),6.5043253E7)</f>
        <v>65043253</v>
      </c>
      <c r="L570" s="422" t="str">
        <f>IFERROR(__xludf.DUMMYFUNCTION("""COMPUTED_VALUE"""),"TONU")</f>
        <v>TONU</v>
      </c>
      <c r="M570" s="423"/>
      <c r="N570" s="546">
        <f>IFERROR(__xludf.DUMMYFUNCTION("""COMPUTED_VALUE"""),0.0)</f>
        <v>0</v>
      </c>
      <c r="O570" s="408"/>
      <c r="P570" s="414"/>
      <c r="Q570" s="378"/>
      <c r="R570" s="378"/>
      <c r="S570" s="378"/>
      <c r="T570" s="378"/>
      <c r="U570" s="378"/>
      <c r="V570" s="378"/>
      <c r="W570" s="378"/>
      <c r="X570" s="378"/>
      <c r="Y570" s="378"/>
      <c r="Z570" s="378"/>
      <c r="AA570" s="378"/>
      <c r="AB570" s="378"/>
      <c r="AC570" s="378"/>
      <c r="AD570" s="378"/>
      <c r="AE570" s="378"/>
      <c r="AF570" s="378"/>
      <c r="AG570" s="378"/>
    </row>
    <row r="571">
      <c r="A571" s="378"/>
      <c r="B571" s="420"/>
      <c r="C571" s="421"/>
      <c r="D571" s="422"/>
      <c r="E571" s="423"/>
      <c r="F571" s="421"/>
      <c r="G571" s="413"/>
      <c r="H571" s="414"/>
      <c r="I571" s="376"/>
      <c r="J571" s="424"/>
      <c r="K571" s="421"/>
      <c r="L571" s="422"/>
      <c r="M571" s="423"/>
      <c r="N571" s="425"/>
      <c r="O571" s="408"/>
      <c r="P571" s="414"/>
      <c r="Q571" s="378"/>
      <c r="R571" s="378"/>
      <c r="S571" s="378"/>
      <c r="T571" s="378"/>
      <c r="U571" s="378"/>
      <c r="V571" s="378"/>
      <c r="W571" s="378"/>
      <c r="X571" s="378"/>
      <c r="Y571" s="378"/>
      <c r="Z571" s="378"/>
      <c r="AA571" s="378"/>
      <c r="AB571" s="378"/>
      <c r="AC571" s="378"/>
      <c r="AD571" s="378"/>
      <c r="AE571" s="378"/>
      <c r="AF571" s="378"/>
      <c r="AG571" s="378"/>
    </row>
    <row r="572">
      <c r="A572" s="378"/>
      <c r="B572" s="403" t="s">
        <v>711</v>
      </c>
      <c r="C572" s="224"/>
      <c r="D572" s="224"/>
      <c r="E572" s="222"/>
      <c r="F572" s="414">
        <f>SUM(F566:F571)</f>
        <v>8950</v>
      </c>
      <c r="G572" s="421"/>
      <c r="H572" s="414">
        <f>SUM(H566:H571)</f>
        <v>8950</v>
      </c>
      <c r="I572" s="376"/>
      <c r="J572" s="407" t="s">
        <v>711</v>
      </c>
      <c r="K572" s="224"/>
      <c r="L572" s="224"/>
      <c r="M572" s="222"/>
      <c r="N572" s="426">
        <f>SUM(N567:N571)</f>
        <v>4184</v>
      </c>
      <c r="O572" s="427"/>
      <c r="P572" s="414">
        <f>SUM(P567:P571)</f>
        <v>2928.8</v>
      </c>
      <c r="Q572" s="378"/>
      <c r="R572" s="378"/>
      <c r="S572" s="378"/>
      <c r="T572" s="378"/>
      <c r="U572" s="378"/>
      <c r="V572" s="378"/>
      <c r="W572" s="378"/>
      <c r="X572" s="378"/>
      <c r="Y572" s="378"/>
      <c r="Z572" s="378"/>
      <c r="AA572" s="378"/>
      <c r="AB572" s="378"/>
      <c r="AC572" s="378"/>
      <c r="AD572" s="378"/>
      <c r="AE572" s="378"/>
      <c r="AF572" s="378"/>
      <c r="AG572" s="378"/>
    </row>
    <row r="573">
      <c r="A573" s="378"/>
      <c r="B573" s="428"/>
      <c r="C573" s="419"/>
      <c r="D573" s="419"/>
      <c r="E573" s="419"/>
      <c r="F573" s="419"/>
      <c r="G573" s="419"/>
      <c r="H573" s="429"/>
      <c r="I573" s="376"/>
      <c r="J573" s="430"/>
      <c r="K573" s="419"/>
      <c r="L573" s="419"/>
      <c r="M573" s="419"/>
      <c r="N573" s="431"/>
      <c r="O573" s="432"/>
      <c r="P573" s="429"/>
      <c r="Q573" s="378"/>
      <c r="R573" s="378"/>
      <c r="S573" s="378"/>
      <c r="T573" s="378"/>
      <c r="U573" s="378"/>
      <c r="V573" s="378"/>
      <c r="W573" s="378"/>
      <c r="X573" s="378"/>
      <c r="Y573" s="378"/>
      <c r="Z573" s="378"/>
      <c r="AA573" s="378"/>
      <c r="AB573" s="378"/>
      <c r="AC573" s="378"/>
      <c r="AD573" s="378"/>
      <c r="AE573" s="378"/>
      <c r="AF573" s="378"/>
      <c r="AG573" s="378"/>
    </row>
    <row r="574">
      <c r="A574" s="378"/>
      <c r="B574" s="433" t="s">
        <v>712</v>
      </c>
      <c r="C574" s="434"/>
      <c r="D574" s="435"/>
      <c r="E574" s="419"/>
      <c r="F574" s="419"/>
      <c r="G574" s="419"/>
      <c r="H574" s="429"/>
      <c r="I574" s="376"/>
      <c r="J574" s="437" t="s">
        <v>712</v>
      </c>
      <c r="K574" s="434"/>
      <c r="L574" s="435"/>
      <c r="M574" s="419"/>
      <c r="N574" s="431"/>
      <c r="O574" s="432"/>
      <c r="P574" s="429"/>
      <c r="Q574" s="378"/>
      <c r="R574" s="378"/>
      <c r="S574" s="378"/>
      <c r="T574" s="378"/>
      <c r="U574" s="378"/>
      <c r="V574" s="378"/>
      <c r="W574" s="378"/>
      <c r="X574" s="378"/>
      <c r="Y574" s="378"/>
      <c r="Z574" s="378"/>
      <c r="AA574" s="378"/>
      <c r="AB574" s="378"/>
      <c r="AC574" s="378"/>
      <c r="AD574" s="378"/>
      <c r="AE574" s="378"/>
      <c r="AF574" s="378"/>
      <c r="AG574" s="378"/>
    </row>
    <row r="575">
      <c r="A575" s="378"/>
      <c r="B575" s="438" t="s">
        <v>713</v>
      </c>
      <c r="C575" s="439"/>
      <c r="D575" s="440"/>
      <c r="E575" s="419"/>
      <c r="F575" s="419"/>
      <c r="G575" s="419"/>
      <c r="H575" s="429"/>
      <c r="I575" s="376"/>
      <c r="J575" s="443" t="s">
        <v>890</v>
      </c>
      <c r="K575" s="439">
        <v>75.0</v>
      </c>
      <c r="L575" s="440"/>
      <c r="M575" s="419"/>
      <c r="N575" s="431"/>
      <c r="O575" s="432"/>
      <c r="P575" s="429"/>
      <c r="Q575" s="378"/>
      <c r="R575" s="378"/>
      <c r="S575" s="378"/>
      <c r="T575" s="378"/>
      <c r="U575" s="378"/>
      <c r="V575" s="378"/>
      <c r="W575" s="378"/>
      <c r="X575" s="378"/>
      <c r="Y575" s="378"/>
      <c r="Z575" s="378"/>
      <c r="AA575" s="378"/>
      <c r="AB575" s="378"/>
      <c r="AC575" s="378"/>
      <c r="AD575" s="378"/>
      <c r="AE575" s="378"/>
      <c r="AF575" s="378"/>
      <c r="AG575" s="378"/>
    </row>
    <row r="576">
      <c r="A576" s="378"/>
      <c r="B576" s="444"/>
      <c r="C576" s="434"/>
      <c r="D576" s="435"/>
      <c r="E576" s="419"/>
      <c r="F576" s="463"/>
      <c r="G576" s="463"/>
      <c r="H576" s="448"/>
      <c r="I576" s="376"/>
      <c r="J576" s="445"/>
      <c r="K576" s="434"/>
      <c r="L576" s="435"/>
      <c r="M576" s="419"/>
      <c r="N576" s="446"/>
      <c r="O576" s="447"/>
      <c r="P576" s="448"/>
      <c r="Q576" s="378"/>
      <c r="R576" s="378"/>
      <c r="S576" s="378"/>
      <c r="T576" s="378"/>
      <c r="U576" s="378"/>
      <c r="V576" s="378"/>
      <c r="W576" s="378"/>
      <c r="X576" s="378"/>
      <c r="Y576" s="378"/>
      <c r="Z576" s="378"/>
      <c r="AA576" s="378"/>
      <c r="AB576" s="378"/>
      <c r="AC576" s="378"/>
      <c r="AD576" s="378"/>
      <c r="AE576" s="378"/>
      <c r="AF576" s="378"/>
      <c r="AG576" s="378"/>
    </row>
    <row r="577">
      <c r="A577" s="378"/>
      <c r="B577" s="438" t="s">
        <v>714</v>
      </c>
      <c r="C577" s="439">
        <f>SUM(C575:C576)</f>
        <v>0</v>
      </c>
      <c r="D577" s="440"/>
      <c r="E577" s="419"/>
      <c r="F577" s="463"/>
      <c r="G577" s="463"/>
      <c r="H577" s="448"/>
      <c r="I577" s="376"/>
      <c r="J577" s="443" t="s">
        <v>714</v>
      </c>
      <c r="K577" s="439">
        <f>SUM(K575:K576)</f>
        <v>75</v>
      </c>
      <c r="L577" s="440"/>
      <c r="M577" s="419"/>
      <c r="N577" s="446"/>
      <c r="O577" s="447"/>
      <c r="P577" s="448"/>
      <c r="Q577" s="378"/>
      <c r="R577" s="378"/>
      <c r="S577" s="378"/>
      <c r="T577" s="378"/>
      <c r="U577" s="378"/>
      <c r="V577" s="378"/>
      <c r="W577" s="378"/>
      <c r="X577" s="378"/>
      <c r="Y577" s="378"/>
      <c r="Z577" s="378"/>
      <c r="AA577" s="378"/>
      <c r="AB577" s="378"/>
      <c r="AC577" s="378"/>
      <c r="AD577" s="378"/>
      <c r="AE577" s="378"/>
      <c r="AF577" s="378"/>
      <c r="AG577" s="378"/>
    </row>
    <row r="578">
      <c r="A578" s="378"/>
      <c r="B578" s="450"/>
      <c r="C578" s="451"/>
      <c r="D578" s="419"/>
      <c r="E578" s="419"/>
      <c r="F578" s="463"/>
      <c r="G578" s="463"/>
      <c r="H578" s="448"/>
      <c r="I578" s="376"/>
      <c r="J578" s="535"/>
      <c r="K578" s="451"/>
      <c r="L578" s="419"/>
      <c r="M578" s="419"/>
      <c r="N578" s="446"/>
      <c r="O578" s="447"/>
      <c r="P578" s="448"/>
      <c r="Q578" s="378"/>
      <c r="R578" s="378"/>
      <c r="S578" s="378"/>
      <c r="T578" s="378"/>
      <c r="U578" s="378"/>
      <c r="V578" s="378"/>
      <c r="W578" s="378"/>
      <c r="X578" s="378"/>
      <c r="Y578" s="378"/>
      <c r="Z578" s="378"/>
      <c r="AA578" s="378"/>
      <c r="AB578" s="378"/>
      <c r="AC578" s="378"/>
      <c r="AD578" s="378"/>
      <c r="AE578" s="378"/>
      <c r="AF578" s="378"/>
      <c r="AG578" s="378"/>
    </row>
    <row r="579">
      <c r="A579" s="378"/>
      <c r="B579" s="454" t="s">
        <v>715</v>
      </c>
      <c r="C579" s="455"/>
      <c r="D579" s="435"/>
      <c r="E579" s="419"/>
      <c r="F579" s="463"/>
      <c r="G579" s="463"/>
      <c r="H579" s="448"/>
      <c r="I579" s="376"/>
      <c r="J579" s="458" t="s">
        <v>715</v>
      </c>
      <c r="K579" s="455"/>
      <c r="L579" s="435"/>
      <c r="M579" s="419"/>
      <c r="N579" s="446"/>
      <c r="O579" s="447"/>
      <c r="P579" s="448"/>
      <c r="Q579" s="378"/>
      <c r="R579" s="378"/>
      <c r="S579" s="378"/>
      <c r="T579" s="378"/>
      <c r="U579" s="378"/>
      <c r="V579" s="378"/>
      <c r="W579" s="378"/>
      <c r="X579" s="378"/>
      <c r="Y579" s="378"/>
      <c r="Z579" s="378"/>
      <c r="AA579" s="378"/>
      <c r="AB579" s="378"/>
      <c r="AC579" s="378"/>
      <c r="AD579" s="378"/>
      <c r="AE579" s="378"/>
      <c r="AF579" s="378"/>
      <c r="AG579" s="378"/>
    </row>
    <row r="580">
      <c r="A580" s="378"/>
      <c r="B580" s="459" t="s">
        <v>716</v>
      </c>
      <c r="C580" s="460">
        <v>150.0</v>
      </c>
      <c r="D580" s="440"/>
      <c r="E580" s="419"/>
      <c r="F580" s="463"/>
      <c r="G580" s="463"/>
      <c r="H580" s="448"/>
      <c r="I580" s="376"/>
      <c r="J580" s="462"/>
      <c r="K580" s="460"/>
      <c r="L580" s="440"/>
      <c r="M580" s="419"/>
      <c r="N580" s="446"/>
      <c r="O580" s="447"/>
      <c r="P580" s="448"/>
      <c r="Q580" s="378"/>
      <c r="R580" s="378"/>
      <c r="S580" s="378"/>
      <c r="T580" s="378"/>
      <c r="U580" s="378"/>
      <c r="V580" s="378"/>
      <c r="W580" s="378"/>
      <c r="X580" s="378"/>
      <c r="Y580" s="378"/>
      <c r="Z580" s="378"/>
      <c r="AA580" s="378"/>
      <c r="AB580" s="378"/>
      <c r="AC580" s="378"/>
      <c r="AD580" s="378"/>
      <c r="AE580" s="378"/>
      <c r="AF580" s="378"/>
      <c r="AG580" s="378"/>
    </row>
    <row r="581">
      <c r="A581" s="378"/>
      <c r="B581" s="459" t="s">
        <v>717</v>
      </c>
      <c r="C581" s="460">
        <v>400.0</v>
      </c>
      <c r="D581" s="440"/>
      <c r="E581" s="419"/>
      <c r="F581" s="463"/>
      <c r="G581" s="463"/>
      <c r="H581" s="448"/>
      <c r="I581" s="376"/>
      <c r="J581" s="462"/>
      <c r="K581" s="460"/>
      <c r="L581" s="440"/>
      <c r="M581" s="419"/>
      <c r="N581" s="446"/>
      <c r="O581" s="447"/>
      <c r="P581" s="448"/>
      <c r="Q581" s="378"/>
      <c r="R581" s="378"/>
      <c r="S581" s="378"/>
      <c r="T581" s="378"/>
      <c r="U581" s="378"/>
      <c r="V581" s="378"/>
      <c r="W581" s="378"/>
      <c r="X581" s="378"/>
      <c r="Y581" s="378"/>
      <c r="Z581" s="378"/>
      <c r="AA581" s="378"/>
      <c r="AB581" s="378"/>
      <c r="AC581" s="378"/>
      <c r="AD581" s="378"/>
      <c r="AE581" s="378"/>
      <c r="AF581" s="378"/>
      <c r="AG581" s="378"/>
    </row>
    <row r="582">
      <c r="A582" s="378"/>
      <c r="B582" s="459" t="s">
        <v>718</v>
      </c>
      <c r="C582" s="460">
        <v>200.0</v>
      </c>
      <c r="D582" s="440"/>
      <c r="E582" s="419"/>
      <c r="F582" s="463"/>
      <c r="G582" s="463"/>
      <c r="H582" s="448"/>
      <c r="I582" s="376"/>
      <c r="J582" s="462"/>
      <c r="K582" s="460"/>
      <c r="L582" s="440"/>
      <c r="M582" s="419"/>
      <c r="N582" s="446"/>
      <c r="O582" s="447"/>
      <c r="P582" s="448"/>
      <c r="Q582" s="378"/>
      <c r="R582" s="378"/>
      <c r="S582" s="378"/>
      <c r="T582" s="378"/>
      <c r="U582" s="378"/>
      <c r="V582" s="378"/>
      <c r="W582" s="378"/>
      <c r="X582" s="378"/>
      <c r="Y582" s="378"/>
      <c r="Z582" s="378"/>
      <c r="AA582" s="378"/>
      <c r="AB582" s="378"/>
      <c r="AC582" s="378"/>
      <c r="AD582" s="378"/>
      <c r="AE582" s="378"/>
      <c r="AF582" s="378"/>
      <c r="AG582" s="378"/>
    </row>
    <row r="583">
      <c r="A583" s="378"/>
      <c r="B583" s="459" t="s">
        <v>656</v>
      </c>
      <c r="C583" s="460">
        <f>IFERROR(__xludf.DUMMYFUNCTION("FILTER(D967:D995,C967:C995=F564)"),3465.47)</f>
        <v>3465.47</v>
      </c>
      <c r="D583" s="440"/>
      <c r="E583" s="419"/>
      <c r="F583" s="463"/>
      <c r="G583" s="463"/>
      <c r="H583" s="448"/>
      <c r="I583" s="376"/>
      <c r="J583" s="462"/>
      <c r="K583" s="460"/>
      <c r="L583" s="440"/>
      <c r="M583" s="419"/>
      <c r="N583" s="446"/>
      <c r="O583" s="447"/>
      <c r="P583" s="448"/>
      <c r="Q583" s="378"/>
      <c r="R583" s="378"/>
      <c r="S583" s="378"/>
      <c r="T583" s="378"/>
      <c r="U583" s="378"/>
      <c r="V583" s="378"/>
      <c r="W583" s="378"/>
      <c r="X583" s="378"/>
      <c r="Y583" s="378"/>
      <c r="Z583" s="378"/>
      <c r="AA583" s="378"/>
      <c r="AB583" s="378"/>
      <c r="AC583" s="378"/>
      <c r="AD583" s="378"/>
      <c r="AE583" s="378"/>
      <c r="AF583" s="378"/>
      <c r="AG583" s="378"/>
    </row>
    <row r="584">
      <c r="A584" s="378"/>
      <c r="B584" s="454" t="s">
        <v>891</v>
      </c>
      <c r="C584" s="537">
        <v>3720.72</v>
      </c>
      <c r="D584" s="435"/>
      <c r="E584" s="419"/>
      <c r="F584" s="561" t="s">
        <v>881</v>
      </c>
      <c r="G584" s="466">
        <f>H572+C577-C589</f>
        <v>1013.81</v>
      </c>
      <c r="H584" s="211"/>
      <c r="I584" s="376"/>
      <c r="J584" s="467"/>
      <c r="K584" s="455"/>
      <c r="L584" s="435"/>
      <c r="M584" s="419"/>
      <c r="N584" s="468" t="s">
        <v>842</v>
      </c>
      <c r="O584" s="539">
        <f>P572+K577-K589</f>
        <v>3003.8</v>
      </c>
      <c r="P584" s="211"/>
      <c r="Q584" s="378"/>
      <c r="R584" s="378"/>
      <c r="S584" s="378"/>
      <c r="T584" s="378"/>
      <c r="U584" s="378"/>
      <c r="V584" s="378"/>
      <c r="W584" s="378"/>
      <c r="X584" s="378"/>
      <c r="Y584" s="378"/>
      <c r="Z584" s="378"/>
      <c r="AA584" s="378"/>
      <c r="AB584" s="378"/>
      <c r="AC584" s="378"/>
      <c r="AD584" s="378"/>
      <c r="AE584" s="378"/>
      <c r="AF584" s="378"/>
      <c r="AG584" s="378"/>
    </row>
    <row r="585">
      <c r="A585" s="378"/>
      <c r="B585" s="464"/>
      <c r="C585" s="455"/>
      <c r="D585" s="435"/>
      <c r="E585" s="419"/>
      <c r="F585" s="55"/>
      <c r="G585" s="278"/>
      <c r="H585" s="56"/>
      <c r="I585" s="376"/>
      <c r="J585" s="467"/>
      <c r="K585" s="455"/>
      <c r="L585" s="435"/>
      <c r="M585" s="419"/>
      <c r="N585" s="469" t="s">
        <v>854</v>
      </c>
      <c r="O585" s="278"/>
      <c r="P585" s="56"/>
      <c r="Q585" s="378"/>
      <c r="R585" s="378"/>
      <c r="S585" s="378"/>
      <c r="T585" s="378"/>
      <c r="U585" s="378"/>
      <c r="V585" s="378"/>
      <c r="W585" s="378"/>
      <c r="X585" s="378"/>
      <c r="Y585" s="378"/>
      <c r="Z585" s="378"/>
      <c r="AA585" s="378"/>
      <c r="AB585" s="378"/>
      <c r="AC585" s="378"/>
      <c r="AD585" s="378"/>
      <c r="AE585" s="378"/>
      <c r="AF585" s="378"/>
      <c r="AG585" s="378"/>
    </row>
    <row r="586">
      <c r="A586" s="378"/>
      <c r="B586" s="464"/>
      <c r="C586" s="455"/>
      <c r="D586" s="435"/>
      <c r="E586" s="419"/>
      <c r="F586" s="60"/>
      <c r="G586" s="215"/>
      <c r="H586" s="64"/>
      <c r="I586" s="376"/>
      <c r="J586" s="467"/>
      <c r="K586" s="455"/>
      <c r="L586" s="435"/>
      <c r="M586" s="419"/>
      <c r="N586" s="470"/>
      <c r="O586" s="215"/>
      <c r="P586" s="64"/>
      <c r="Q586" s="378"/>
      <c r="R586" s="378"/>
      <c r="S586" s="378"/>
      <c r="T586" s="378"/>
      <c r="U586" s="378"/>
      <c r="V586" s="378"/>
      <c r="W586" s="378"/>
      <c r="X586" s="378"/>
      <c r="Y586" s="378"/>
      <c r="Z586" s="378"/>
      <c r="AA586" s="378"/>
      <c r="AB586" s="378"/>
      <c r="AC586" s="378"/>
      <c r="AD586" s="378"/>
      <c r="AE586" s="378"/>
      <c r="AF586" s="378"/>
      <c r="AG586" s="378"/>
    </row>
    <row r="587">
      <c r="A587" s="378"/>
      <c r="B587" s="464"/>
      <c r="C587" s="455"/>
      <c r="D587" s="435"/>
      <c r="E587" s="419"/>
      <c r="F587" s="419"/>
      <c r="G587" s="419"/>
      <c r="H587" s="429"/>
      <c r="I587" s="376"/>
      <c r="J587" s="467"/>
      <c r="K587" s="455"/>
      <c r="L587" s="435"/>
      <c r="M587" s="419"/>
      <c r="N587" s="431"/>
      <c r="O587" s="432"/>
      <c r="P587" s="429"/>
      <c r="Q587" s="378"/>
      <c r="R587" s="378"/>
      <c r="S587" s="378"/>
      <c r="T587" s="378"/>
      <c r="U587" s="378"/>
      <c r="V587" s="378"/>
      <c r="W587" s="378"/>
      <c r="X587" s="378"/>
      <c r="Y587" s="378"/>
      <c r="Z587" s="378"/>
      <c r="AA587" s="378"/>
      <c r="AB587" s="378"/>
      <c r="AC587" s="378"/>
      <c r="AD587" s="378"/>
      <c r="AE587" s="378"/>
      <c r="AF587" s="378"/>
      <c r="AG587" s="378"/>
    </row>
    <row r="588">
      <c r="A588" s="378"/>
      <c r="B588" s="464"/>
      <c r="C588" s="455"/>
      <c r="D588" s="435"/>
      <c r="E588" s="419"/>
      <c r="F588" s="419"/>
      <c r="G588" s="419"/>
      <c r="H588" s="429"/>
      <c r="I588" s="376"/>
      <c r="J588" s="467"/>
      <c r="K588" s="455"/>
      <c r="L588" s="435"/>
      <c r="M588" s="419"/>
      <c r="N588" s="431"/>
      <c r="O588" s="432"/>
      <c r="P588" s="429"/>
      <c r="Q588" s="378"/>
      <c r="R588" s="378"/>
      <c r="S588" s="378"/>
      <c r="T588" s="378"/>
      <c r="U588" s="378"/>
      <c r="V588" s="378"/>
      <c r="W588" s="378"/>
      <c r="X588" s="378"/>
      <c r="Y588" s="378"/>
      <c r="Z588" s="378"/>
      <c r="AA588" s="378"/>
      <c r="AB588" s="378"/>
      <c r="AC588" s="378"/>
      <c r="AD588" s="378"/>
      <c r="AE588" s="378"/>
      <c r="AF588" s="378"/>
      <c r="AG588" s="378"/>
    </row>
    <row r="589">
      <c r="A589" s="378"/>
      <c r="B589" s="454" t="s">
        <v>721</v>
      </c>
      <c r="C589" s="460">
        <f>SUM(C580:C588)</f>
        <v>7936.19</v>
      </c>
      <c r="D589" s="440"/>
      <c r="E589" s="419"/>
      <c r="F589" s="419"/>
      <c r="G589" s="419"/>
      <c r="H589" s="429"/>
      <c r="I589" s="376"/>
      <c r="J589" s="458" t="s">
        <v>721</v>
      </c>
      <c r="K589" s="460">
        <f>SUM(K580:K588)</f>
        <v>0</v>
      </c>
      <c r="L589" s="440"/>
      <c r="M589" s="419"/>
      <c r="N589" s="431"/>
      <c r="O589" s="432"/>
      <c r="P589" s="429"/>
      <c r="Q589" s="378"/>
      <c r="R589" s="378"/>
      <c r="S589" s="378"/>
      <c r="T589" s="378"/>
      <c r="U589" s="378"/>
      <c r="V589" s="378"/>
      <c r="W589" s="378"/>
      <c r="X589" s="378"/>
      <c r="Y589" s="378"/>
      <c r="Z589" s="378"/>
      <c r="AA589" s="378"/>
      <c r="AB589" s="378"/>
      <c r="AC589" s="378"/>
      <c r="AD589" s="378"/>
      <c r="AE589" s="378"/>
      <c r="AF589" s="378"/>
      <c r="AG589" s="378"/>
    </row>
    <row r="590">
      <c r="A590" s="378"/>
      <c r="B590" s="471"/>
      <c r="C590" s="472"/>
      <c r="D590" s="472"/>
      <c r="E590" s="472"/>
      <c r="F590" s="472"/>
      <c r="G590" s="472"/>
      <c r="H590" s="473"/>
      <c r="I590" s="376"/>
      <c r="J590" s="474"/>
      <c r="K590" s="472"/>
      <c r="L590" s="472"/>
      <c r="M590" s="472"/>
      <c r="N590" s="475"/>
      <c r="O590" s="476"/>
      <c r="P590" s="473"/>
      <c r="Q590" s="378"/>
      <c r="R590" s="378"/>
      <c r="S590" s="378"/>
      <c r="T590" s="378"/>
      <c r="U590" s="378"/>
      <c r="V590" s="378"/>
      <c r="W590" s="378"/>
      <c r="X590" s="378"/>
      <c r="Y590" s="378"/>
      <c r="Z590" s="378"/>
      <c r="AA590" s="378"/>
      <c r="AB590" s="378"/>
      <c r="AC590" s="378"/>
      <c r="AD590" s="378"/>
      <c r="AE590" s="378"/>
      <c r="AF590" s="378"/>
      <c r="AG590" s="378"/>
    </row>
    <row r="591">
      <c r="A591" s="378"/>
      <c r="B591" s="550"/>
      <c r="C591" s="463"/>
      <c r="D591" s="463"/>
      <c r="E591" s="463"/>
      <c r="F591" s="463"/>
      <c r="G591" s="463"/>
      <c r="H591" s="463"/>
      <c r="I591" s="376"/>
      <c r="J591" s="377"/>
      <c r="K591" s="378"/>
      <c r="L591" s="378"/>
      <c r="M591" s="378"/>
      <c r="N591" s="379"/>
      <c r="O591" s="380"/>
      <c r="P591" s="378"/>
      <c r="Q591" s="378"/>
      <c r="R591" s="378"/>
      <c r="S591" s="378"/>
      <c r="T591" s="378"/>
      <c r="U591" s="378"/>
      <c r="V591" s="378"/>
      <c r="W591" s="378"/>
      <c r="X591" s="378"/>
      <c r="Y591" s="378"/>
      <c r="Z591" s="378"/>
      <c r="AA591" s="378"/>
      <c r="AB591" s="378"/>
      <c r="AC591" s="378"/>
      <c r="AD591" s="378"/>
      <c r="AE591" s="378"/>
      <c r="AF591" s="378"/>
      <c r="AG591" s="378"/>
    </row>
    <row r="592">
      <c r="A592" s="378"/>
      <c r="B592" s="477"/>
      <c r="C592" s="378"/>
      <c r="D592" s="378"/>
      <c r="E592" s="378"/>
      <c r="F592" s="378"/>
      <c r="G592" s="378"/>
      <c r="H592" s="378"/>
      <c r="I592" s="376"/>
      <c r="J592" s="377"/>
      <c r="K592" s="378"/>
      <c r="L592" s="378"/>
      <c r="M592" s="378"/>
      <c r="N592" s="379"/>
      <c r="O592" s="380"/>
      <c r="P592" s="378"/>
      <c r="Q592" s="378"/>
      <c r="R592" s="378"/>
      <c r="S592" s="378"/>
      <c r="T592" s="378"/>
      <c r="U592" s="378"/>
      <c r="V592" s="378"/>
      <c r="W592" s="378"/>
      <c r="X592" s="378"/>
      <c r="Y592" s="378"/>
      <c r="Z592" s="378"/>
      <c r="AA592" s="378"/>
      <c r="AB592" s="378"/>
      <c r="AC592" s="378"/>
      <c r="AD592" s="378"/>
      <c r="AE592" s="378"/>
      <c r="AF592" s="378"/>
      <c r="AG592" s="378"/>
    </row>
    <row r="593">
      <c r="A593" s="378"/>
      <c r="B593" s="382"/>
      <c r="C593" s="383"/>
      <c r="D593" s="560" t="s">
        <v>664</v>
      </c>
      <c r="E593" s="385" t="s">
        <v>700</v>
      </c>
      <c r="F593" s="385" t="str">
        <f>Board!A2</f>
        <v>11.17.25-11.23.25</v>
      </c>
      <c r="G593" s="213"/>
      <c r="H593" s="211"/>
      <c r="I593" s="386">
        <v>20.0</v>
      </c>
      <c r="J593" s="387"/>
      <c r="K593" s="388"/>
      <c r="L593" s="384"/>
      <c r="M593" s="385" t="s">
        <v>700</v>
      </c>
      <c r="N593" s="385" t="str">
        <f>Board!A2</f>
        <v>11.17.25-11.23.25</v>
      </c>
      <c r="O593" s="213"/>
      <c r="P593" s="211"/>
      <c r="Q593" s="378"/>
      <c r="R593" s="389" t="s">
        <v>831</v>
      </c>
      <c r="S593" s="389" t="s">
        <v>652</v>
      </c>
      <c r="T593" s="390" t="s">
        <v>832</v>
      </c>
      <c r="U593" s="391" t="s">
        <v>833</v>
      </c>
      <c r="V593" s="389" t="s">
        <v>655</v>
      </c>
      <c r="W593" s="389" t="s">
        <v>8</v>
      </c>
      <c r="X593" s="389" t="s">
        <v>656</v>
      </c>
      <c r="Y593" s="390" t="s">
        <v>834</v>
      </c>
      <c r="Z593" s="392" t="s">
        <v>835</v>
      </c>
      <c r="AA593" s="390" t="s">
        <v>836</v>
      </c>
      <c r="AB593" s="390" t="s">
        <v>837</v>
      </c>
      <c r="AC593" s="393" t="s">
        <v>716</v>
      </c>
      <c r="AD593" s="393" t="s">
        <v>717</v>
      </c>
      <c r="AE593" s="393" t="s">
        <v>718</v>
      </c>
      <c r="AF593" s="394" t="s">
        <v>838</v>
      </c>
      <c r="AG593" s="394"/>
    </row>
    <row r="594">
      <c r="A594" s="378"/>
      <c r="B594" s="395"/>
      <c r="C594" s="372"/>
      <c r="D594" s="396"/>
      <c r="E594" s="385" t="s">
        <v>702</v>
      </c>
      <c r="F594" s="385" t="s">
        <v>664</v>
      </c>
      <c r="G594" s="213"/>
      <c r="H594" s="211"/>
      <c r="I594" s="376"/>
      <c r="J594" s="397"/>
      <c r="K594" s="372"/>
      <c r="L594" s="396"/>
      <c r="M594" s="385" t="s">
        <v>351</v>
      </c>
      <c r="N594" s="385" t="str">
        <f t="array" ref="N594">XLOOKUP(N595,Board!K:K,Board!J:J)</f>
        <v>BENCHIKA DOLL</v>
      </c>
      <c r="O594" s="213"/>
      <c r="P594" s="211"/>
      <c r="Q594" s="378"/>
      <c r="R594" s="398">
        <f>I593</f>
        <v>20</v>
      </c>
      <c r="S594" s="398">
        <f>F595</f>
        <v>7265</v>
      </c>
      <c r="T594" s="399">
        <f>G615</f>
        <v>7159.5</v>
      </c>
      <c r="U594" s="378" t="str">
        <f>N594</f>
        <v>BENCHIKA DOLL</v>
      </c>
      <c r="V594" s="380">
        <f>O615</f>
        <v>2609.1</v>
      </c>
      <c r="W594" s="399">
        <f>P603</f>
        <v>2609.1</v>
      </c>
      <c r="X594" s="399">
        <f>C614</f>
        <v>1940.5</v>
      </c>
      <c r="Y594" s="400">
        <f>N603</f>
        <v>4014</v>
      </c>
      <c r="Z594" s="399">
        <f>V595-V594</f>
        <v>4550.4</v>
      </c>
      <c r="AA594" s="378"/>
      <c r="AB594" s="378"/>
      <c r="AC594" s="401" t="str">
        <f>C611</f>
        <v/>
      </c>
      <c r="AD594" s="401" t="str">
        <f>C612</f>
        <v/>
      </c>
      <c r="AE594" s="401" t="str">
        <f>C613</f>
        <v/>
      </c>
      <c r="AF594" s="398">
        <f>C615+C616+C617+C618+C619</f>
        <v>0</v>
      </c>
      <c r="AG594" s="398"/>
    </row>
    <row r="595">
      <c r="A595" s="378"/>
      <c r="B595" s="395"/>
      <c r="C595" s="372"/>
      <c r="D595" s="402"/>
      <c r="E595" s="385" t="s">
        <v>703</v>
      </c>
      <c r="F595" s="385">
        <v>7265.0</v>
      </c>
      <c r="G595" s="213"/>
      <c r="H595" s="211"/>
      <c r="I595" s="376"/>
      <c r="J595" s="397"/>
      <c r="K595" s="372"/>
      <c r="L595" s="402"/>
      <c r="M595" s="385" t="s">
        <v>703</v>
      </c>
      <c r="N595" s="385">
        <f>F595</f>
        <v>7265</v>
      </c>
      <c r="O595" s="213"/>
      <c r="P595" s="211"/>
      <c r="Q595" s="378"/>
      <c r="R595" s="378"/>
      <c r="S595" s="378"/>
      <c r="T595" s="378"/>
      <c r="U595" s="378" t="str">
        <f>F594</f>
        <v>Ada Fleet LLC</v>
      </c>
      <c r="V595" s="399">
        <f>G615</f>
        <v>7159.5</v>
      </c>
      <c r="W595" s="399">
        <f>H603</f>
        <v>9100</v>
      </c>
      <c r="X595" s="378"/>
      <c r="Y595" s="378"/>
      <c r="Z595" s="378"/>
      <c r="AA595" s="378"/>
      <c r="AB595" s="378"/>
      <c r="AC595" s="378"/>
      <c r="AD595" s="378"/>
      <c r="AE595" s="378"/>
      <c r="AF595" s="378"/>
      <c r="AG595" s="378"/>
    </row>
    <row r="596">
      <c r="A596" s="378"/>
      <c r="B596" s="403" t="s">
        <v>704</v>
      </c>
      <c r="C596" s="404" t="s">
        <v>5</v>
      </c>
      <c r="D596" s="405" t="s">
        <v>6</v>
      </c>
      <c r="E596" s="406" t="s">
        <v>7</v>
      </c>
      <c r="F596" s="404" t="s">
        <v>8</v>
      </c>
      <c r="G596" s="404" t="s">
        <v>706</v>
      </c>
      <c r="H596" s="404" t="s">
        <v>707</v>
      </c>
      <c r="I596" s="376"/>
      <c r="J596" s="407" t="s">
        <v>704</v>
      </c>
      <c r="K596" s="404" t="s">
        <v>5</v>
      </c>
      <c r="L596" s="405" t="s">
        <v>6</v>
      </c>
      <c r="M596" s="406" t="s">
        <v>7</v>
      </c>
      <c r="N596" s="404" t="s">
        <v>591</v>
      </c>
      <c r="O596" s="408" t="s">
        <v>839</v>
      </c>
      <c r="P596" s="404" t="s">
        <v>707</v>
      </c>
      <c r="Q596" s="378"/>
      <c r="R596" s="378"/>
      <c r="S596" s="378"/>
      <c r="T596" s="378"/>
      <c r="U596" s="378"/>
      <c r="V596" s="378"/>
      <c r="W596" s="378"/>
      <c r="X596" s="378"/>
      <c r="Y596" s="378"/>
      <c r="Z596" s="378"/>
      <c r="AA596" s="378"/>
      <c r="AB596" s="378"/>
      <c r="AC596" s="378"/>
      <c r="AD596" s="378"/>
      <c r="AE596" s="378"/>
      <c r="AF596" s="378"/>
      <c r="AG596" s="378"/>
    </row>
    <row r="597">
      <c r="A597" s="378"/>
      <c r="B597" s="555">
        <f>IFERROR(__xludf.DUMMYFUNCTION("FILTER(Board!C:G,Board!K:K=F595)"),45979.0)</f>
        <v>45979</v>
      </c>
      <c r="C597" s="404">
        <f>IFERROR(__xludf.DUMMYFUNCTION("""COMPUTED_VALUE"""),77409.0)</f>
        <v>77409</v>
      </c>
      <c r="D597" s="405" t="str">
        <f>IFERROR(__xludf.DUMMYFUNCTION("""COMPUTED_VALUE"""),"Selma, CA, 93662")</f>
        <v>Selma, CA, 93662</v>
      </c>
      <c r="E597" s="406" t="str">
        <f>IFERROR(__xludf.DUMMYFUNCTION("""COMPUTED_VALUE"""),"Chanhassen, MN, 55318")</f>
        <v>Chanhassen, MN, 55318</v>
      </c>
      <c r="F597" s="414">
        <f>IFERROR(__xludf.DUMMYFUNCTION("""COMPUTED_VALUE"""),3800.0)</f>
        <v>3800</v>
      </c>
      <c r="G597" s="413">
        <v>1.0</v>
      </c>
      <c r="H597" s="414">
        <f t="shared" ref="H597:H599" si="36">F597*G597</f>
        <v>3800</v>
      </c>
      <c r="I597" s="376"/>
      <c r="J597" s="415">
        <f>IFERROR(__xludf.DUMMYFUNCTION("FILTER(Board!C:F,Board!K:K=N595)"),45979.0)</f>
        <v>45979</v>
      </c>
      <c r="K597" s="411">
        <f>IFERROR(__xludf.DUMMYFUNCTION("""COMPUTED_VALUE"""),77409.0)</f>
        <v>77409</v>
      </c>
      <c r="L597" s="411" t="str">
        <f>IFERROR(__xludf.DUMMYFUNCTION("""COMPUTED_VALUE"""),"Selma, CA, 93662")</f>
        <v>Selma, CA, 93662</v>
      </c>
      <c r="M597" s="411" t="str">
        <f>IFERROR(__xludf.DUMMYFUNCTION("""COMPUTED_VALUE"""),"Chanhassen, MN, 55318")</f>
        <v>Chanhassen, MN, 55318</v>
      </c>
      <c r="N597" s="416">
        <f>IFERROR(__xludf.DUMMYFUNCTION("FILTER(Board!H:H,Board!K:K=N595)"),2064.0)</f>
        <v>2064</v>
      </c>
      <c r="O597" s="408">
        <v>0.65</v>
      </c>
      <c r="P597" s="417">
        <f t="shared" ref="P597:P600" si="37">N597*O597</f>
        <v>1341.6</v>
      </c>
      <c r="Q597" s="378"/>
      <c r="R597" s="378"/>
      <c r="S597" s="378"/>
      <c r="T597" s="378"/>
      <c r="U597" s="378"/>
      <c r="V597" s="378"/>
      <c r="W597" s="378"/>
      <c r="X597" s="378"/>
      <c r="Y597" s="378"/>
      <c r="Z597" s="378"/>
      <c r="AA597" s="378"/>
      <c r="AB597" s="378"/>
      <c r="AC597" s="378"/>
      <c r="AD597" s="378"/>
      <c r="AE597" s="378"/>
      <c r="AF597" s="378"/>
      <c r="AG597" s="378"/>
    </row>
    <row r="598">
      <c r="A598" s="378"/>
      <c r="B598" s="555">
        <f>IFERROR(__xludf.DUMMYFUNCTION("""COMPUTED_VALUE"""),45982.0)</f>
        <v>45982</v>
      </c>
      <c r="C598" s="404">
        <f>IFERROR(__xludf.DUMMYFUNCTION("""COMPUTED_VALUE"""),5.35683408E8)</f>
        <v>535683408</v>
      </c>
      <c r="D598" s="405" t="str">
        <f>IFERROR(__xludf.DUMMYFUNCTION("""COMPUTED_VALUE"""),"Luck, WI, 54853")</f>
        <v>Luck, WI, 54853</v>
      </c>
      <c r="E598" s="406" t="str">
        <f>IFERROR(__xludf.DUMMYFUNCTION("""COMPUTED_VALUE"""),"Methuen, MA, 01844")</f>
        <v>Methuen, MA, 01844</v>
      </c>
      <c r="F598" s="414">
        <f>IFERROR(__xludf.DUMMYFUNCTION("""COMPUTED_VALUE"""),4500.0)</f>
        <v>4500</v>
      </c>
      <c r="G598" s="413">
        <v>1.0</v>
      </c>
      <c r="H598" s="414">
        <f t="shared" si="36"/>
        <v>4500</v>
      </c>
      <c r="I598" s="376"/>
      <c r="J598" s="418">
        <f>IFERROR(__xludf.DUMMYFUNCTION("""COMPUTED_VALUE"""),45982.0)</f>
        <v>45982</v>
      </c>
      <c r="K598" s="411">
        <f>IFERROR(__xludf.DUMMYFUNCTION("""COMPUTED_VALUE"""),5.35683408E8)</f>
        <v>535683408</v>
      </c>
      <c r="L598" s="411" t="str">
        <f>IFERROR(__xludf.DUMMYFUNCTION("""COMPUTED_VALUE"""),"Luck, WI, 54853")</f>
        <v>Luck, WI, 54853</v>
      </c>
      <c r="M598" s="411" t="str">
        <f>IFERROR(__xludf.DUMMYFUNCTION("""COMPUTED_VALUE"""),"Methuen, MA, 01844")</f>
        <v>Methuen, MA, 01844</v>
      </c>
      <c r="N598" s="416">
        <f>IFERROR(__xludf.DUMMYFUNCTION("""COMPUTED_VALUE"""),1497.0)</f>
        <v>1497</v>
      </c>
      <c r="O598" s="408">
        <v>0.65</v>
      </c>
      <c r="P598" s="417">
        <f t="shared" si="37"/>
        <v>973.05</v>
      </c>
      <c r="Q598" s="378"/>
      <c r="R598" s="378"/>
      <c r="S598" s="378"/>
      <c r="T598" s="378"/>
      <c r="U598" s="378"/>
      <c r="V598" s="378"/>
      <c r="W598" s="378"/>
      <c r="X598" s="378"/>
      <c r="Y598" s="378"/>
      <c r="Z598" s="378"/>
      <c r="AA598" s="378"/>
      <c r="AB598" s="378"/>
      <c r="AC598" s="378"/>
      <c r="AD598" s="378"/>
      <c r="AE598" s="378"/>
      <c r="AF598" s="378"/>
      <c r="AG598" s="378"/>
    </row>
    <row r="599">
      <c r="A599" s="378"/>
      <c r="B599" s="499">
        <f>IFERROR(__xludf.DUMMYFUNCTION("""COMPUTED_VALUE"""),45978.0)</f>
        <v>45978</v>
      </c>
      <c r="C599" s="421" t="str">
        <f>IFERROR(__xludf.DUMMYFUNCTION("""COMPUTED_VALUE"""),"AA130024")</f>
        <v>AA130024</v>
      </c>
      <c r="D599" s="422" t="str">
        <f>IFERROR(__xludf.DUMMYFUNCTION("""COMPUTED_VALUE"""),"Reno, NV, 89523")</f>
        <v>Reno, NV, 89523</v>
      </c>
      <c r="E599" s="557" t="str">
        <f>IFERROR(__xludf.DUMMYFUNCTION("""COMPUTED_VALUE"""),"Salinas, CA, 93901")</f>
        <v>Salinas, CA, 93901</v>
      </c>
      <c r="F599" s="500">
        <f>IFERROR(__xludf.DUMMYFUNCTION("""COMPUTED_VALUE"""),800.0)</f>
        <v>800</v>
      </c>
      <c r="G599" s="413">
        <v>1.0</v>
      </c>
      <c r="H599" s="414">
        <f t="shared" si="36"/>
        <v>800</v>
      </c>
      <c r="I599" s="376"/>
      <c r="J599" s="545">
        <f>IFERROR(__xludf.DUMMYFUNCTION("""COMPUTED_VALUE"""),45978.0)</f>
        <v>45978</v>
      </c>
      <c r="K599" s="421" t="str">
        <f>IFERROR(__xludf.DUMMYFUNCTION("""COMPUTED_VALUE"""),"AA130024")</f>
        <v>AA130024</v>
      </c>
      <c r="L599" s="422" t="str">
        <f>IFERROR(__xludf.DUMMYFUNCTION("""COMPUTED_VALUE"""),"Reno, NV, 89523")</f>
        <v>Reno, NV, 89523</v>
      </c>
      <c r="M599" s="557" t="str">
        <f>IFERROR(__xludf.DUMMYFUNCTION("""COMPUTED_VALUE"""),"Salinas, CA, 93901")</f>
        <v>Salinas, CA, 93901</v>
      </c>
      <c r="N599" s="546">
        <f>IFERROR(__xludf.DUMMYFUNCTION("""COMPUTED_VALUE"""),453.0)</f>
        <v>453</v>
      </c>
      <c r="O599" s="408">
        <v>0.65</v>
      </c>
      <c r="P599" s="417">
        <f t="shared" si="37"/>
        <v>294.45</v>
      </c>
      <c r="Q599" s="378"/>
      <c r="R599" s="378"/>
      <c r="S599" s="378"/>
      <c r="T599" s="378"/>
      <c r="U599" s="378"/>
      <c r="V599" s="378"/>
      <c r="W599" s="378"/>
      <c r="X599" s="378"/>
      <c r="Y599" s="378"/>
      <c r="Z599" s="378"/>
      <c r="AA599" s="378"/>
      <c r="AB599" s="378"/>
      <c r="AC599" s="378"/>
      <c r="AD599" s="378"/>
      <c r="AE599" s="378"/>
      <c r="AF599" s="378"/>
      <c r="AG599" s="378"/>
    </row>
    <row r="600">
      <c r="A600" s="378"/>
      <c r="B600" s="420"/>
      <c r="C600" s="421"/>
      <c r="D600" s="422"/>
      <c r="E600" s="423"/>
      <c r="F600" s="421"/>
      <c r="G600" s="413"/>
      <c r="H600" s="414"/>
      <c r="I600" s="376"/>
      <c r="J600" s="424"/>
      <c r="K600" s="421"/>
      <c r="L600" s="422"/>
      <c r="M600" s="423"/>
      <c r="N600" s="425"/>
      <c r="O600" s="408">
        <v>0.65</v>
      </c>
      <c r="P600" s="417">
        <f t="shared" si="37"/>
        <v>0</v>
      </c>
      <c r="Q600" s="378"/>
      <c r="R600" s="378"/>
      <c r="S600" s="378"/>
      <c r="T600" s="378"/>
      <c r="U600" s="378"/>
      <c r="V600" s="378"/>
      <c r="W600" s="378"/>
      <c r="X600" s="378"/>
      <c r="Y600" s="378"/>
      <c r="Z600" s="378"/>
      <c r="AA600" s="378"/>
      <c r="AB600" s="378"/>
      <c r="AC600" s="378"/>
      <c r="AD600" s="378"/>
      <c r="AE600" s="378"/>
      <c r="AF600" s="378"/>
      <c r="AG600" s="378"/>
    </row>
    <row r="601">
      <c r="A601" s="378"/>
      <c r="B601" s="420"/>
      <c r="C601" s="421"/>
      <c r="D601" s="422"/>
      <c r="E601" s="423"/>
      <c r="F601" s="421"/>
      <c r="G601" s="413"/>
      <c r="H601" s="414"/>
      <c r="I601" s="376"/>
      <c r="J601" s="424"/>
      <c r="K601" s="421"/>
      <c r="L601" s="422"/>
      <c r="M601" s="423"/>
      <c r="N601" s="425"/>
      <c r="O601" s="408"/>
      <c r="P601" s="417"/>
      <c r="Q601" s="378"/>
      <c r="R601" s="378"/>
      <c r="S601" s="378"/>
      <c r="T601" s="378"/>
      <c r="U601" s="378"/>
      <c r="V601" s="378"/>
      <c r="W601" s="378"/>
      <c r="X601" s="378"/>
      <c r="Y601" s="378"/>
      <c r="Z601" s="378"/>
      <c r="AA601" s="378"/>
      <c r="AB601" s="378"/>
      <c r="AC601" s="378"/>
      <c r="AD601" s="378"/>
      <c r="AE601" s="378"/>
      <c r="AF601" s="378"/>
      <c r="AG601" s="378"/>
    </row>
    <row r="602">
      <c r="A602" s="378"/>
      <c r="B602" s="420"/>
      <c r="C602" s="421"/>
      <c r="D602" s="422"/>
      <c r="E602" s="423"/>
      <c r="F602" s="421"/>
      <c r="G602" s="413"/>
      <c r="H602" s="414"/>
      <c r="I602" s="376"/>
      <c r="J602" s="424"/>
      <c r="K602" s="421"/>
      <c r="L602" s="422"/>
      <c r="M602" s="423"/>
      <c r="N602" s="425"/>
      <c r="O602" s="408"/>
      <c r="P602" s="417"/>
      <c r="Q602" s="378"/>
      <c r="R602" s="378"/>
      <c r="S602" s="378"/>
      <c r="T602" s="378"/>
      <c r="U602" s="378"/>
      <c r="V602" s="378"/>
      <c r="W602" s="378"/>
      <c r="X602" s="378"/>
      <c r="Y602" s="378"/>
      <c r="Z602" s="378"/>
      <c r="AA602" s="378"/>
      <c r="AB602" s="378"/>
      <c r="AC602" s="378"/>
      <c r="AD602" s="378"/>
      <c r="AE602" s="378"/>
      <c r="AF602" s="378"/>
      <c r="AG602" s="378"/>
    </row>
    <row r="603">
      <c r="A603" s="378"/>
      <c r="B603" s="403" t="s">
        <v>711</v>
      </c>
      <c r="C603" s="224"/>
      <c r="D603" s="224"/>
      <c r="E603" s="222"/>
      <c r="F603" s="414">
        <f>SUM(F597:F602)</f>
        <v>9100</v>
      </c>
      <c r="G603" s="421"/>
      <c r="H603" s="414">
        <f>SUM(H597:H602)</f>
        <v>9100</v>
      </c>
      <c r="I603" s="376"/>
      <c r="J603" s="407" t="s">
        <v>711</v>
      </c>
      <c r="K603" s="224"/>
      <c r="L603" s="224"/>
      <c r="M603" s="222"/>
      <c r="N603" s="426">
        <f>SUM(N597:N602)</f>
        <v>4014</v>
      </c>
      <c r="O603" s="427"/>
      <c r="P603" s="417">
        <f>SUM(P597:P602)</f>
        <v>2609.1</v>
      </c>
      <c r="Q603" s="378"/>
      <c r="R603" s="378"/>
      <c r="S603" s="378"/>
      <c r="T603" s="378"/>
      <c r="U603" s="378"/>
      <c r="V603" s="378"/>
      <c r="W603" s="378"/>
      <c r="X603" s="378"/>
      <c r="Y603" s="378"/>
      <c r="Z603" s="378"/>
      <c r="AA603" s="378"/>
      <c r="AB603" s="378"/>
      <c r="AC603" s="378"/>
      <c r="AD603" s="378"/>
      <c r="AE603" s="378"/>
      <c r="AF603" s="378"/>
      <c r="AG603" s="378"/>
    </row>
    <row r="604">
      <c r="A604" s="378"/>
      <c r="B604" s="428"/>
      <c r="C604" s="419"/>
      <c r="D604" s="419"/>
      <c r="E604" s="419"/>
      <c r="F604" s="419"/>
      <c r="G604" s="419"/>
      <c r="H604" s="429"/>
      <c r="I604" s="376"/>
      <c r="J604" s="430"/>
      <c r="K604" s="419"/>
      <c r="L604" s="419"/>
      <c r="M604" s="419"/>
      <c r="N604" s="431"/>
      <c r="O604" s="432"/>
      <c r="P604" s="429"/>
      <c r="Q604" s="378"/>
      <c r="R604" s="378"/>
      <c r="S604" s="378"/>
      <c r="T604" s="378"/>
      <c r="U604" s="378"/>
      <c r="V604" s="378"/>
      <c r="W604" s="378"/>
      <c r="X604" s="378"/>
      <c r="Y604" s="378"/>
      <c r="Z604" s="378"/>
      <c r="AA604" s="378"/>
      <c r="AB604" s="378"/>
      <c r="AC604" s="378"/>
      <c r="AD604" s="378"/>
      <c r="AE604" s="378"/>
      <c r="AF604" s="378"/>
      <c r="AG604" s="378"/>
    </row>
    <row r="605">
      <c r="A605" s="378"/>
      <c r="B605" s="433" t="s">
        <v>712</v>
      </c>
      <c r="C605" s="434"/>
      <c r="D605" s="435"/>
      <c r="E605" s="419"/>
      <c r="F605" s="441">
        <v>294.45</v>
      </c>
      <c r="G605" s="442">
        <v>1.0</v>
      </c>
      <c r="H605" s="441">
        <v>294.45</v>
      </c>
      <c r="I605" s="376"/>
      <c r="J605" s="437" t="s">
        <v>712</v>
      </c>
      <c r="K605" s="434"/>
      <c r="L605" s="435"/>
      <c r="M605" s="419"/>
      <c r="N605" s="431"/>
      <c r="O605" s="432"/>
      <c r="P605" s="429"/>
      <c r="Q605" s="378"/>
      <c r="R605" s="378"/>
      <c r="S605" s="378"/>
      <c r="T605" s="378"/>
      <c r="U605" s="378"/>
      <c r="V605" s="378"/>
      <c r="W605" s="378"/>
      <c r="X605" s="378"/>
      <c r="Y605" s="378"/>
      <c r="Z605" s="378"/>
      <c r="AA605" s="378"/>
      <c r="AB605" s="378"/>
      <c r="AC605" s="378"/>
      <c r="AD605" s="378"/>
      <c r="AE605" s="378"/>
      <c r="AF605" s="378"/>
      <c r="AG605" s="378"/>
    </row>
    <row r="606">
      <c r="A606" s="378"/>
      <c r="B606" s="438" t="s">
        <v>657</v>
      </c>
      <c r="C606" s="571">
        <f>G615-O615</f>
        <v>4550.4</v>
      </c>
      <c r="D606" s="572">
        <v>555.55</v>
      </c>
      <c r="E606" s="419"/>
      <c r="F606" s="441">
        <v>1341.6</v>
      </c>
      <c r="G606" s="442">
        <v>1.0</v>
      </c>
      <c r="H606" s="441">
        <v>1341.6</v>
      </c>
      <c r="I606" s="376"/>
      <c r="J606" s="443" t="s">
        <v>713</v>
      </c>
      <c r="K606" s="439"/>
      <c r="L606" s="440"/>
      <c r="M606" s="419"/>
      <c r="N606" s="431"/>
      <c r="O606" s="432"/>
      <c r="P606" s="429"/>
      <c r="Q606" s="378"/>
      <c r="R606" s="378"/>
      <c r="S606" s="378"/>
      <c r="T606" s="378"/>
      <c r="U606" s="378"/>
      <c r="V606" s="378"/>
      <c r="W606" s="378"/>
      <c r="X606" s="378"/>
      <c r="Y606" s="378"/>
      <c r="Z606" s="378"/>
      <c r="AA606" s="378"/>
      <c r="AB606" s="378"/>
      <c r="AC606" s="378"/>
      <c r="AD606" s="378"/>
      <c r="AE606" s="378"/>
      <c r="AF606" s="378"/>
      <c r="AG606" s="378"/>
    </row>
    <row r="607">
      <c r="A607" s="378"/>
      <c r="B607" s="438" t="s">
        <v>818</v>
      </c>
      <c r="C607" s="573"/>
      <c r="D607" s="435"/>
      <c r="E607" s="419"/>
      <c r="F607" s="441">
        <v>973.05</v>
      </c>
      <c r="G607" s="442">
        <v>1.0</v>
      </c>
      <c r="H607" s="441">
        <v>973.05</v>
      </c>
      <c r="I607" s="376"/>
      <c r="J607" s="445"/>
      <c r="K607" s="434"/>
      <c r="L607" s="435"/>
      <c r="M607" s="419"/>
      <c r="N607" s="446"/>
      <c r="O607" s="447"/>
      <c r="P607" s="448"/>
      <c r="Q607" s="378"/>
      <c r="R607" s="378"/>
      <c r="S607" s="378"/>
      <c r="T607" s="378"/>
      <c r="U607" s="378"/>
      <c r="V607" s="378"/>
      <c r="W607" s="378"/>
      <c r="X607" s="378"/>
      <c r="Y607" s="378"/>
      <c r="Z607" s="378"/>
      <c r="AA607" s="378"/>
      <c r="AB607" s="378"/>
      <c r="AC607" s="378"/>
      <c r="AD607" s="378"/>
      <c r="AE607" s="378"/>
      <c r="AF607" s="378"/>
      <c r="AG607" s="378"/>
    </row>
    <row r="608">
      <c r="A608" s="378"/>
      <c r="B608" s="438" t="s">
        <v>714</v>
      </c>
      <c r="C608" s="573">
        <f>SUM(C607)</f>
        <v>0</v>
      </c>
      <c r="D608" s="440"/>
      <c r="E608" s="419"/>
      <c r="F608" s="449"/>
      <c r="G608" s="442">
        <v>1.0</v>
      </c>
      <c r="H608" s="441">
        <v>0.0</v>
      </c>
      <c r="I608" s="376"/>
      <c r="J608" s="443" t="s">
        <v>714</v>
      </c>
      <c r="K608" s="439">
        <f>SUM(K606:K607)</f>
        <v>0</v>
      </c>
      <c r="L608" s="440"/>
      <c r="M608" s="419"/>
      <c r="N608" s="446"/>
      <c r="O608" s="447"/>
      <c r="P608" s="448"/>
      <c r="Q608" s="378"/>
      <c r="R608" s="378"/>
      <c r="S608" s="378"/>
      <c r="T608" s="378"/>
      <c r="U608" s="378"/>
      <c r="V608" s="378"/>
      <c r="W608" s="378"/>
      <c r="X608" s="378"/>
      <c r="Y608" s="378"/>
      <c r="Z608" s="378"/>
      <c r="AA608" s="378"/>
      <c r="AB608" s="378"/>
      <c r="AC608" s="378"/>
      <c r="AD608" s="378"/>
      <c r="AE608" s="378"/>
      <c r="AF608" s="378"/>
      <c r="AG608" s="378"/>
    </row>
    <row r="609">
      <c r="A609" s="378"/>
      <c r="B609" s="450"/>
      <c r="C609" s="451"/>
      <c r="D609" s="419"/>
      <c r="E609" s="419"/>
      <c r="F609" s="449"/>
      <c r="G609" s="449"/>
      <c r="H609" s="449"/>
      <c r="I609" s="376"/>
      <c r="J609" s="535"/>
      <c r="K609" s="451"/>
      <c r="L609" s="419"/>
      <c r="M609" s="419"/>
      <c r="N609" s="446"/>
      <c r="O609" s="447"/>
      <c r="P609" s="448"/>
      <c r="Q609" s="378"/>
      <c r="R609" s="378"/>
      <c r="S609" s="378"/>
      <c r="T609" s="378"/>
      <c r="U609" s="378"/>
      <c r="V609" s="378"/>
      <c r="W609" s="378"/>
      <c r="X609" s="378"/>
      <c r="Y609" s="378"/>
      <c r="Z609" s="378"/>
      <c r="AA609" s="378"/>
      <c r="AB609" s="378"/>
      <c r="AC609" s="378"/>
      <c r="AD609" s="378"/>
      <c r="AE609" s="378"/>
      <c r="AF609" s="378"/>
      <c r="AG609" s="378"/>
    </row>
    <row r="610">
      <c r="A610" s="378"/>
      <c r="B610" s="454" t="s">
        <v>715</v>
      </c>
      <c r="C610" s="455"/>
      <c r="D610" s="435"/>
      <c r="E610" s="419"/>
      <c r="F610" s="441">
        <v>2609.1</v>
      </c>
      <c r="G610" s="449"/>
      <c r="H610" s="441">
        <v>2609.1</v>
      </c>
      <c r="I610" s="376"/>
      <c r="J610" s="458" t="s">
        <v>715</v>
      </c>
      <c r="K610" s="455"/>
      <c r="L610" s="435"/>
      <c r="M610" s="419"/>
      <c r="N610" s="446"/>
      <c r="O610" s="447"/>
      <c r="P610" s="448"/>
      <c r="Q610" s="378"/>
      <c r="R610" s="378"/>
      <c r="S610" s="378"/>
      <c r="T610" s="378"/>
      <c r="U610" s="378"/>
      <c r="V610" s="378"/>
      <c r="W610" s="378"/>
      <c r="X610" s="378"/>
      <c r="Y610" s="378"/>
      <c r="Z610" s="378"/>
      <c r="AA610" s="378"/>
      <c r="AB610" s="378"/>
      <c r="AC610" s="378"/>
      <c r="AD610" s="378"/>
      <c r="AE610" s="378"/>
      <c r="AF610" s="378"/>
      <c r="AG610" s="378"/>
    </row>
    <row r="611">
      <c r="A611" s="378"/>
      <c r="B611" s="459" t="s">
        <v>716</v>
      </c>
      <c r="C611" s="460"/>
      <c r="D611" s="574" t="s">
        <v>865</v>
      </c>
      <c r="E611" s="419"/>
      <c r="F611" s="463"/>
      <c r="G611" s="463"/>
      <c r="H611" s="448"/>
      <c r="I611" s="376"/>
      <c r="J611" s="462"/>
      <c r="K611" s="460"/>
      <c r="L611" s="440"/>
      <c r="M611" s="419"/>
      <c r="N611" s="446"/>
      <c r="O611" s="447"/>
      <c r="P611" s="448"/>
      <c r="Q611" s="378"/>
      <c r="R611" s="378"/>
      <c r="S611" s="378"/>
      <c r="T611" s="378"/>
      <c r="U611" s="378"/>
      <c r="V611" s="378"/>
      <c r="W611" s="378"/>
      <c r="X611" s="378"/>
      <c r="Y611" s="378"/>
      <c r="Z611" s="378"/>
      <c r="AA611" s="378"/>
      <c r="AB611" s="378"/>
      <c r="AC611" s="378"/>
      <c r="AD611" s="378"/>
      <c r="AE611" s="378"/>
      <c r="AF611" s="378"/>
      <c r="AG611" s="378"/>
    </row>
    <row r="612">
      <c r="A612" s="378"/>
      <c r="B612" s="459" t="s">
        <v>717</v>
      </c>
      <c r="C612" s="460"/>
      <c r="D612" s="440"/>
      <c r="E612" s="419"/>
      <c r="F612" s="463"/>
      <c r="G612" s="463"/>
      <c r="H612" s="448"/>
      <c r="I612" s="376"/>
      <c r="J612" s="462"/>
      <c r="K612" s="460"/>
      <c r="L612" s="440"/>
      <c r="M612" s="419"/>
      <c r="N612" s="446"/>
      <c r="O612" s="447"/>
      <c r="P612" s="448"/>
      <c r="Q612" s="378"/>
      <c r="R612" s="378"/>
      <c r="S612" s="378"/>
      <c r="T612" s="378"/>
      <c r="U612" s="378"/>
      <c r="V612" s="378"/>
      <c r="W612" s="378"/>
      <c r="X612" s="378"/>
      <c r="Y612" s="378"/>
      <c r="Z612" s="378"/>
      <c r="AA612" s="378"/>
      <c r="AB612" s="378"/>
      <c r="AC612" s="378"/>
      <c r="AD612" s="378"/>
      <c r="AE612" s="378"/>
      <c r="AF612" s="378"/>
      <c r="AG612" s="378"/>
    </row>
    <row r="613">
      <c r="A613" s="378"/>
      <c r="B613" s="459" t="s">
        <v>718</v>
      </c>
      <c r="C613" s="460"/>
      <c r="D613" s="440"/>
      <c r="E613" s="419"/>
      <c r="F613" s="463"/>
      <c r="G613" s="463"/>
      <c r="H613" s="448"/>
      <c r="I613" s="376"/>
      <c r="J613" s="462"/>
      <c r="K613" s="460"/>
      <c r="L613" s="440"/>
      <c r="M613" s="419"/>
      <c r="N613" s="446"/>
      <c r="O613" s="447"/>
      <c r="P613" s="448"/>
      <c r="Q613" s="378"/>
      <c r="R613" s="378"/>
      <c r="S613" s="378"/>
      <c r="T613" s="378"/>
      <c r="U613" s="378"/>
      <c r="V613" s="378"/>
      <c r="W613" s="378"/>
      <c r="X613" s="378"/>
      <c r="Y613" s="378"/>
      <c r="Z613" s="378"/>
      <c r="AA613" s="378"/>
      <c r="AB613" s="378"/>
      <c r="AC613" s="378"/>
      <c r="AD613" s="378"/>
      <c r="AE613" s="378"/>
      <c r="AF613" s="378"/>
      <c r="AG613" s="378"/>
    </row>
    <row r="614">
      <c r="A614" s="378"/>
      <c r="B614" s="459" t="s">
        <v>656</v>
      </c>
      <c r="C614" s="460">
        <f>IFERROR(__xludf.DUMMYFUNCTION("FILTER(D967:D995,C967:C995=F595)"),1940.5)</f>
        <v>1940.5</v>
      </c>
      <c r="D614" s="440"/>
      <c r="E614" s="419"/>
      <c r="F614" s="463"/>
      <c r="G614" s="463"/>
      <c r="H614" s="448"/>
      <c r="I614" s="376"/>
      <c r="J614" s="462"/>
      <c r="K614" s="460"/>
      <c r="L614" s="440"/>
      <c r="M614" s="419"/>
      <c r="N614" s="446"/>
      <c r="O614" s="447"/>
      <c r="P614" s="448"/>
      <c r="Q614" s="378"/>
      <c r="R614" s="378"/>
      <c r="S614" s="378"/>
      <c r="T614" s="378"/>
      <c r="U614" s="378"/>
      <c r="V614" s="378"/>
      <c r="W614" s="378"/>
      <c r="X614" s="378"/>
      <c r="Y614" s="378"/>
      <c r="Z614" s="378"/>
      <c r="AA614" s="378"/>
      <c r="AB614" s="378"/>
      <c r="AC614" s="378"/>
      <c r="AD614" s="378"/>
      <c r="AE614" s="378"/>
      <c r="AF614" s="378"/>
      <c r="AG614" s="378"/>
    </row>
    <row r="615">
      <c r="A615" s="378"/>
      <c r="B615" s="464"/>
      <c r="C615" s="455"/>
      <c r="D615" s="435"/>
      <c r="E615" s="419"/>
      <c r="F615" s="568" t="s">
        <v>881</v>
      </c>
      <c r="G615" s="466">
        <f>H603+C608-C620</f>
        <v>7159.5</v>
      </c>
      <c r="H615" s="211"/>
      <c r="I615" s="376"/>
      <c r="J615" s="467"/>
      <c r="K615" s="455"/>
      <c r="L615" s="435"/>
      <c r="M615" s="419"/>
      <c r="N615" s="468" t="s">
        <v>842</v>
      </c>
      <c r="O615" s="539">
        <f>P603+K608-K620</f>
        <v>2609.1</v>
      </c>
      <c r="P615" s="211"/>
      <c r="Q615" s="378"/>
      <c r="R615" s="378"/>
      <c r="S615" s="378"/>
      <c r="T615" s="378"/>
      <c r="U615" s="378"/>
      <c r="V615" s="378"/>
      <c r="W615" s="378"/>
      <c r="X615" s="378"/>
      <c r="Y615" s="378"/>
      <c r="Z615" s="378"/>
      <c r="AA615" s="378"/>
      <c r="AB615" s="378"/>
      <c r="AC615" s="378"/>
      <c r="AD615" s="378"/>
      <c r="AE615" s="378"/>
      <c r="AF615" s="378"/>
      <c r="AG615" s="378"/>
    </row>
    <row r="616">
      <c r="A616" s="378"/>
      <c r="B616" s="464"/>
      <c r="C616" s="455"/>
      <c r="D616" s="435"/>
      <c r="E616" s="419"/>
      <c r="F616" s="55"/>
      <c r="G616" s="278"/>
      <c r="H616" s="56"/>
      <c r="I616" s="376"/>
      <c r="J616" s="467"/>
      <c r="K616" s="455"/>
      <c r="L616" s="435"/>
      <c r="M616" s="419"/>
      <c r="N616" s="469" t="s">
        <v>854</v>
      </c>
      <c r="O616" s="278"/>
      <c r="P616" s="56"/>
      <c r="Q616" s="378"/>
      <c r="R616" s="378"/>
      <c r="S616" s="378"/>
      <c r="T616" s="378"/>
      <c r="U616" s="378"/>
      <c r="V616" s="378"/>
      <c r="W616" s="378"/>
      <c r="X616" s="378"/>
      <c r="Y616" s="378"/>
      <c r="Z616" s="378"/>
      <c r="AA616" s="378"/>
      <c r="AB616" s="378"/>
      <c r="AC616" s="378"/>
      <c r="AD616" s="378"/>
      <c r="AE616" s="378"/>
      <c r="AF616" s="378"/>
      <c r="AG616" s="378"/>
    </row>
    <row r="617">
      <c r="A617" s="378"/>
      <c r="B617" s="464"/>
      <c r="C617" s="455"/>
      <c r="D617" s="435"/>
      <c r="E617" s="419"/>
      <c r="F617" s="60"/>
      <c r="G617" s="215"/>
      <c r="H617" s="64"/>
      <c r="I617" s="376"/>
      <c r="J617" s="467"/>
      <c r="K617" s="455"/>
      <c r="L617" s="435"/>
      <c r="M617" s="419"/>
      <c r="N617" s="470"/>
      <c r="O617" s="215"/>
      <c r="P617" s="64"/>
      <c r="Q617" s="378"/>
      <c r="R617" s="378"/>
      <c r="S617" s="378"/>
      <c r="T617" s="378"/>
      <c r="U617" s="378"/>
      <c r="V617" s="378"/>
      <c r="W617" s="378"/>
      <c r="X617" s="378"/>
      <c r="Y617" s="378"/>
      <c r="Z617" s="378"/>
      <c r="AA617" s="378"/>
      <c r="AB617" s="378"/>
      <c r="AC617" s="378"/>
      <c r="AD617" s="378"/>
      <c r="AE617" s="378"/>
      <c r="AF617" s="378"/>
      <c r="AG617" s="378"/>
    </row>
    <row r="618">
      <c r="A618" s="378"/>
      <c r="B618" s="464"/>
      <c r="C618" s="455"/>
      <c r="D618" s="435"/>
      <c r="E618" s="419"/>
      <c r="F618" s="419"/>
      <c r="G618" s="419"/>
      <c r="H618" s="429"/>
      <c r="I618" s="376"/>
      <c r="J618" s="467"/>
      <c r="K618" s="455"/>
      <c r="L618" s="435"/>
      <c r="M618" s="419"/>
      <c r="N618" s="431"/>
      <c r="O618" s="432"/>
      <c r="P618" s="429"/>
      <c r="Q618" s="378"/>
      <c r="R618" s="378"/>
      <c r="S618" s="378"/>
      <c r="T618" s="378"/>
      <c r="U618" s="378"/>
      <c r="V618" s="378"/>
      <c r="W618" s="378"/>
      <c r="X618" s="378"/>
      <c r="Y618" s="378"/>
      <c r="Z618" s="378"/>
      <c r="AA618" s="378"/>
      <c r="AB618" s="378"/>
      <c r="AC618" s="378"/>
      <c r="AD618" s="378"/>
      <c r="AE618" s="378"/>
      <c r="AF618" s="378"/>
      <c r="AG618" s="378"/>
    </row>
    <row r="619">
      <c r="A619" s="378"/>
      <c r="B619" s="464"/>
      <c r="C619" s="455"/>
      <c r="D619" s="435"/>
      <c r="E619" s="419"/>
      <c r="F619" s="419"/>
      <c r="G619" s="419"/>
      <c r="H619" s="429"/>
      <c r="I619" s="376"/>
      <c r="J619" s="467"/>
      <c r="K619" s="455"/>
      <c r="L619" s="435"/>
      <c r="M619" s="419"/>
      <c r="N619" s="431"/>
      <c r="O619" s="432"/>
      <c r="P619" s="429"/>
      <c r="Q619" s="378"/>
      <c r="R619" s="378"/>
      <c r="S619" s="378"/>
      <c r="T619" s="378"/>
      <c r="U619" s="378"/>
      <c r="V619" s="378"/>
      <c r="W619" s="378"/>
      <c r="X619" s="378"/>
      <c r="Y619" s="378"/>
      <c r="Z619" s="378"/>
      <c r="AA619" s="378"/>
      <c r="AB619" s="378"/>
      <c r="AC619" s="378"/>
      <c r="AD619" s="378"/>
      <c r="AE619" s="378"/>
      <c r="AF619" s="378"/>
      <c r="AG619" s="378"/>
    </row>
    <row r="620">
      <c r="A620" s="378"/>
      <c r="B620" s="454" t="s">
        <v>721</v>
      </c>
      <c r="C620" s="460">
        <f>SUM(C611:C619)</f>
        <v>1940.5</v>
      </c>
      <c r="D620" s="440"/>
      <c r="E620" s="419"/>
      <c r="F620" s="419"/>
      <c r="G620" s="419"/>
      <c r="H620" s="429"/>
      <c r="I620" s="376"/>
      <c r="J620" s="458" t="s">
        <v>721</v>
      </c>
      <c r="K620" s="460">
        <f>SUM(K611:K619)</f>
        <v>0</v>
      </c>
      <c r="L620" s="440"/>
      <c r="M620" s="419"/>
      <c r="N620" s="431"/>
      <c r="O620" s="432"/>
      <c r="P620" s="429"/>
      <c r="Q620" s="378"/>
      <c r="R620" s="378"/>
      <c r="S620" s="378"/>
      <c r="T620" s="378"/>
      <c r="U620" s="378"/>
      <c r="V620" s="378"/>
      <c r="W620" s="378"/>
      <c r="X620" s="378"/>
      <c r="Y620" s="378"/>
      <c r="Z620" s="378"/>
      <c r="AA620" s="378"/>
      <c r="AB620" s="378"/>
      <c r="AC620" s="378"/>
      <c r="AD620" s="378"/>
      <c r="AE620" s="378"/>
      <c r="AF620" s="378"/>
      <c r="AG620" s="378"/>
    </row>
    <row r="621">
      <c r="A621" s="378"/>
      <c r="B621" s="471"/>
      <c r="C621" s="472"/>
      <c r="D621" s="472"/>
      <c r="E621" s="472"/>
      <c r="F621" s="472"/>
      <c r="G621" s="472"/>
      <c r="H621" s="473"/>
      <c r="I621" s="376"/>
      <c r="J621" s="474"/>
      <c r="K621" s="472"/>
      <c r="L621" s="472"/>
      <c r="M621" s="472"/>
      <c r="N621" s="475"/>
      <c r="O621" s="476"/>
      <c r="P621" s="473"/>
      <c r="Q621" s="378"/>
      <c r="R621" s="378"/>
      <c r="S621" s="378"/>
      <c r="T621" s="378"/>
      <c r="U621" s="378"/>
      <c r="V621" s="378"/>
      <c r="W621" s="378"/>
      <c r="X621" s="378"/>
      <c r="Y621" s="378"/>
      <c r="Z621" s="378"/>
      <c r="AA621" s="378"/>
      <c r="AB621" s="378"/>
      <c r="AC621" s="378"/>
      <c r="AD621" s="378"/>
      <c r="AE621" s="378"/>
      <c r="AF621" s="378"/>
      <c r="AG621" s="378"/>
    </row>
    <row r="622">
      <c r="A622" s="378"/>
      <c r="B622" s="550"/>
      <c r="C622" s="463"/>
      <c r="D622" s="463"/>
      <c r="E622" s="463"/>
      <c r="F622" s="463"/>
      <c r="G622" s="463"/>
      <c r="H622" s="463"/>
      <c r="I622" s="376"/>
      <c r="J622" s="377"/>
      <c r="K622" s="378"/>
      <c r="L622" s="378"/>
      <c r="M622" s="378"/>
      <c r="N622" s="379"/>
      <c r="O622" s="380"/>
      <c r="P622" s="378"/>
      <c r="Q622" s="378"/>
      <c r="R622" s="378"/>
      <c r="S622" s="378"/>
      <c r="T622" s="378"/>
      <c r="U622" s="378"/>
      <c r="V622" s="378"/>
      <c r="W622" s="378"/>
      <c r="X622" s="378"/>
      <c r="Y622" s="378"/>
      <c r="Z622" s="378"/>
      <c r="AA622" s="378"/>
      <c r="AB622" s="378"/>
      <c r="AC622" s="378"/>
      <c r="AD622" s="378"/>
      <c r="AE622" s="378"/>
      <c r="AF622" s="378"/>
      <c r="AG622" s="378"/>
    </row>
    <row r="623">
      <c r="A623" s="378"/>
      <c r="B623" s="550"/>
      <c r="C623" s="463"/>
      <c r="D623" s="463"/>
      <c r="E623" s="463"/>
      <c r="F623" s="463"/>
      <c r="G623" s="463"/>
      <c r="H623" s="463"/>
      <c r="I623" s="376"/>
      <c r="J623" s="377"/>
      <c r="K623" s="378"/>
      <c r="L623" s="378"/>
      <c r="M623" s="378"/>
      <c r="N623" s="379"/>
      <c r="O623" s="380"/>
      <c r="P623" s="378"/>
      <c r="Q623" s="378"/>
      <c r="R623" s="378"/>
      <c r="S623" s="378"/>
      <c r="T623" s="378"/>
      <c r="U623" s="378"/>
      <c r="V623" s="378"/>
      <c r="W623" s="378"/>
      <c r="X623" s="378"/>
      <c r="Y623" s="378"/>
      <c r="Z623" s="378"/>
      <c r="AA623" s="378"/>
      <c r="AB623" s="378"/>
      <c r="AC623" s="378"/>
      <c r="AD623" s="378"/>
      <c r="AE623" s="378"/>
      <c r="AF623" s="378"/>
      <c r="AG623" s="378"/>
    </row>
    <row r="624">
      <c r="A624" s="378"/>
      <c r="B624" s="382"/>
      <c r="C624" s="388"/>
      <c r="D624" s="560" t="s">
        <v>861</v>
      </c>
      <c r="E624" s="385" t="s">
        <v>700</v>
      </c>
      <c r="F624" s="385" t="str">
        <f>Board!A2</f>
        <v>11.17.25-11.23.25</v>
      </c>
      <c r="G624" s="213"/>
      <c r="H624" s="211"/>
      <c r="I624" s="386">
        <v>21.0</v>
      </c>
      <c r="J624" s="387"/>
      <c r="K624" s="388"/>
      <c r="L624" s="384"/>
      <c r="M624" s="385" t="s">
        <v>700</v>
      </c>
      <c r="N624" s="385" t="str">
        <f>Board!A2</f>
        <v>11.17.25-11.23.25</v>
      </c>
      <c r="O624" s="213"/>
      <c r="P624" s="211"/>
      <c r="Q624" s="378"/>
      <c r="R624" s="389" t="s">
        <v>831</v>
      </c>
      <c r="S624" s="389" t="s">
        <v>652</v>
      </c>
      <c r="T624" s="390" t="s">
        <v>832</v>
      </c>
      <c r="U624" s="391" t="s">
        <v>833</v>
      </c>
      <c r="V624" s="389" t="s">
        <v>655</v>
      </c>
      <c r="W624" s="389" t="s">
        <v>8</v>
      </c>
      <c r="X624" s="389" t="s">
        <v>656</v>
      </c>
      <c r="Y624" s="390" t="s">
        <v>834</v>
      </c>
      <c r="Z624" s="392" t="s">
        <v>835</v>
      </c>
      <c r="AA624" s="390" t="s">
        <v>836</v>
      </c>
      <c r="AB624" s="390" t="s">
        <v>837</v>
      </c>
      <c r="AC624" s="393" t="s">
        <v>716</v>
      </c>
      <c r="AD624" s="393" t="s">
        <v>717</v>
      </c>
      <c r="AE624" s="393" t="s">
        <v>718</v>
      </c>
      <c r="AF624" s="394" t="s">
        <v>838</v>
      </c>
      <c r="AG624" s="394"/>
    </row>
    <row r="625">
      <c r="A625" s="378"/>
      <c r="B625" s="395"/>
      <c r="C625" s="372"/>
      <c r="D625" s="396"/>
      <c r="E625" s="385" t="s">
        <v>702</v>
      </c>
      <c r="F625" s="385" t="s">
        <v>861</v>
      </c>
      <c r="G625" s="213"/>
      <c r="H625" s="211"/>
      <c r="I625" s="376"/>
      <c r="J625" s="397"/>
      <c r="K625" s="372"/>
      <c r="L625" s="396"/>
      <c r="M625" s="385" t="s">
        <v>351</v>
      </c>
      <c r="N625" s="385" t="str">
        <f t="array" ref="N625">XLOOKUP(N626,Board!K:K,Board!J:J)</f>
        <v>JEAN SONNY</v>
      </c>
      <c r="O625" s="213"/>
      <c r="P625" s="211"/>
      <c r="Q625" s="378"/>
      <c r="R625" s="398">
        <f>I624</f>
        <v>21</v>
      </c>
      <c r="S625" s="398">
        <f>F626</f>
        <v>7352</v>
      </c>
      <c r="T625" s="399">
        <f>G646</f>
        <v>-2137.04</v>
      </c>
      <c r="U625" s="378" t="str">
        <f>N625</f>
        <v>JEAN SONNY</v>
      </c>
      <c r="V625" s="380">
        <f>O646</f>
        <v>933.4</v>
      </c>
      <c r="W625" s="399">
        <f>P634</f>
        <v>933.4</v>
      </c>
      <c r="X625" s="399">
        <f>C645</f>
        <v>1695.9</v>
      </c>
      <c r="Y625" s="400">
        <f>N634</f>
        <v>1436</v>
      </c>
      <c r="Z625" s="399">
        <f>V626-V625</f>
        <v>-3070.44</v>
      </c>
      <c r="AA625" s="378"/>
      <c r="AB625" s="378"/>
      <c r="AC625" s="401">
        <f>C642</f>
        <v>150</v>
      </c>
      <c r="AD625" s="401">
        <f>C643</f>
        <v>400</v>
      </c>
      <c r="AE625" s="401">
        <f>C644</f>
        <v>200</v>
      </c>
      <c r="AF625" s="530">
        <f>C646+C647+C648+C649+C650</f>
        <v>1407.14</v>
      </c>
      <c r="AG625" s="398"/>
    </row>
    <row r="626">
      <c r="A626" s="378"/>
      <c r="B626" s="395"/>
      <c r="C626" s="372"/>
      <c r="D626" s="402"/>
      <c r="E626" s="385" t="s">
        <v>703</v>
      </c>
      <c r="F626" s="385">
        <v>7352.0</v>
      </c>
      <c r="G626" s="213"/>
      <c r="H626" s="211"/>
      <c r="I626" s="376"/>
      <c r="J626" s="397"/>
      <c r="K626" s="372"/>
      <c r="L626" s="402"/>
      <c r="M626" s="385" t="s">
        <v>703</v>
      </c>
      <c r="N626" s="385">
        <f>F626</f>
        <v>7352</v>
      </c>
      <c r="O626" s="213"/>
      <c r="P626" s="211"/>
      <c r="Q626" s="378"/>
      <c r="R626" s="378"/>
      <c r="S626" s="378"/>
      <c r="T626" s="378"/>
      <c r="U626" s="378" t="str">
        <f>F625</f>
        <v>Careway Logistics LLC</v>
      </c>
      <c r="V626" s="399">
        <f>G646</f>
        <v>-2137.04</v>
      </c>
      <c r="W626" s="399">
        <f>H634</f>
        <v>1716</v>
      </c>
      <c r="X626" s="378"/>
      <c r="Y626" s="378"/>
      <c r="Z626" s="378"/>
      <c r="AA626" s="378"/>
      <c r="AB626" s="378"/>
      <c r="AC626" s="378"/>
      <c r="AD626" s="378"/>
      <c r="AE626" s="378"/>
      <c r="AF626" s="378"/>
      <c r="AG626" s="378"/>
    </row>
    <row r="627">
      <c r="A627" s="378"/>
      <c r="B627" s="403" t="s">
        <v>704</v>
      </c>
      <c r="C627" s="404" t="s">
        <v>5</v>
      </c>
      <c r="D627" s="405" t="s">
        <v>6</v>
      </c>
      <c r="E627" s="406" t="s">
        <v>7</v>
      </c>
      <c r="F627" s="404" t="s">
        <v>8</v>
      </c>
      <c r="G627" s="404" t="s">
        <v>706</v>
      </c>
      <c r="H627" s="404" t="s">
        <v>707</v>
      </c>
      <c r="I627" s="376"/>
      <c r="J627" s="407" t="s">
        <v>704</v>
      </c>
      <c r="K627" s="404" t="s">
        <v>5</v>
      </c>
      <c r="L627" s="405" t="s">
        <v>6</v>
      </c>
      <c r="M627" s="406" t="s">
        <v>7</v>
      </c>
      <c r="N627" s="404" t="s">
        <v>591</v>
      </c>
      <c r="O627" s="408" t="s">
        <v>839</v>
      </c>
      <c r="P627" s="404" t="s">
        <v>707</v>
      </c>
      <c r="Q627" s="378"/>
      <c r="R627" s="378"/>
      <c r="S627" s="378"/>
      <c r="T627" s="378"/>
      <c r="U627" s="378"/>
      <c r="V627" s="378"/>
      <c r="W627" s="378"/>
      <c r="X627" s="378"/>
      <c r="Y627" s="378"/>
      <c r="Z627" s="378"/>
      <c r="AA627" s="378"/>
      <c r="AB627" s="378"/>
      <c r="AC627" s="378"/>
      <c r="AD627" s="378"/>
      <c r="AE627" s="378"/>
      <c r="AF627" s="378"/>
      <c r="AG627" s="378"/>
    </row>
    <row r="628">
      <c r="A628" s="378"/>
      <c r="B628" s="555">
        <f>IFERROR(__xludf.DUMMYFUNCTION("FILTER(Board!C:G,Board!K:K=F626)"),45980.0)</f>
        <v>45980</v>
      </c>
      <c r="C628" s="404">
        <f>IFERROR(__xludf.DUMMYFUNCTION("""COMPUTED_VALUE"""),2.0617388E7)</f>
        <v>20617388</v>
      </c>
      <c r="D628" s="405" t="str">
        <f>IFERROR(__xludf.DUMMYFUNCTION("""COMPUTED_VALUE"""),"Amanda Park, WA, 98526")</f>
        <v>Amanda Park, WA, 98526</v>
      </c>
      <c r="E628" s="406" t="str">
        <f>IFERROR(__xludf.DUMMYFUNCTION("""COMPUTED_VALUE"""),"Lamont, CA, 93241")</f>
        <v>Lamont, CA, 93241</v>
      </c>
      <c r="F628" s="414">
        <f>IFERROR(__xludf.DUMMYFUNCTION("""COMPUTED_VALUE"""),1800.0)</f>
        <v>1800</v>
      </c>
      <c r="G628" s="413">
        <v>0.88</v>
      </c>
      <c r="H628" s="414">
        <f t="shared" ref="H628:H629" si="38">F628*G628</f>
        <v>1584</v>
      </c>
      <c r="I628" s="376"/>
      <c r="J628" s="415">
        <f>IFERROR(__xludf.DUMMYFUNCTION("FILTER(Board!C:F,Board!K:K=F626)"),45980.0)</f>
        <v>45980</v>
      </c>
      <c r="K628" s="411">
        <f>IFERROR(__xludf.DUMMYFUNCTION("""COMPUTED_VALUE"""),2.0617388E7)</f>
        <v>20617388</v>
      </c>
      <c r="L628" s="411" t="str">
        <f>IFERROR(__xludf.DUMMYFUNCTION("""COMPUTED_VALUE"""),"Amanda Park, WA, 98526")</f>
        <v>Amanda Park, WA, 98526</v>
      </c>
      <c r="M628" s="411" t="str">
        <f>IFERROR(__xludf.DUMMYFUNCTION("""COMPUTED_VALUE"""),"Lamont, CA, 93241")</f>
        <v>Lamont, CA, 93241</v>
      </c>
      <c r="N628" s="416">
        <f>IFERROR(__xludf.DUMMYFUNCTION("FILTER(Board!H:H,Board!K:K=N626)"),1176.0)</f>
        <v>1176</v>
      </c>
      <c r="O628" s="408">
        <v>0.65</v>
      </c>
      <c r="P628" s="414">
        <f t="shared" ref="P628:P631" si="39">N628*O628</f>
        <v>764.4</v>
      </c>
      <c r="Q628" s="378"/>
      <c r="R628" s="378"/>
      <c r="S628" s="378"/>
      <c r="T628" s="378"/>
      <c r="U628" s="378"/>
      <c r="V628" s="378"/>
      <c r="W628" s="378"/>
      <c r="X628" s="378"/>
      <c r="Y628" s="378"/>
      <c r="Z628" s="378"/>
      <c r="AA628" s="378"/>
      <c r="AB628" s="378"/>
      <c r="AC628" s="378"/>
      <c r="AD628" s="378"/>
      <c r="AE628" s="378"/>
      <c r="AF628" s="378"/>
      <c r="AG628" s="378"/>
    </row>
    <row r="629">
      <c r="A629" s="378"/>
      <c r="B629" s="555">
        <f>IFERROR(__xludf.DUMMYFUNCTION("""COMPUTED_VALUE"""),45983.0)</f>
        <v>45983</v>
      </c>
      <c r="C629" s="404">
        <f>IFERROR(__xludf.DUMMYFUNCTION("""COMPUTED_VALUE"""),5674879.0)</f>
        <v>5674879</v>
      </c>
      <c r="D629" s="405" t="str">
        <f>IFERROR(__xludf.DUMMYFUNCTION("""COMPUTED_VALUE"""),"TONU")</f>
        <v>TONU</v>
      </c>
      <c r="E629" s="406"/>
      <c r="F629" s="414">
        <f>IFERROR(__xludf.DUMMYFUNCTION("""COMPUTED_VALUE"""),150.0)</f>
        <v>150</v>
      </c>
      <c r="G629" s="413">
        <v>0.88</v>
      </c>
      <c r="H629" s="414">
        <f t="shared" si="38"/>
        <v>132</v>
      </c>
      <c r="I629" s="376"/>
      <c r="J629" s="418">
        <f>IFERROR(__xludf.DUMMYFUNCTION("""COMPUTED_VALUE"""),45983.0)</f>
        <v>45983</v>
      </c>
      <c r="K629" s="411">
        <f>IFERROR(__xludf.DUMMYFUNCTION("""COMPUTED_VALUE"""),5674879.0)</f>
        <v>5674879</v>
      </c>
      <c r="L629" s="411" t="str">
        <f>IFERROR(__xludf.DUMMYFUNCTION("""COMPUTED_VALUE"""),"TONU")</f>
        <v>TONU</v>
      </c>
      <c r="M629" s="411"/>
      <c r="N629" s="416">
        <f>IFERROR(__xludf.DUMMYFUNCTION("""COMPUTED_VALUE"""),260.0)</f>
        <v>260</v>
      </c>
      <c r="O629" s="408">
        <v>0.65</v>
      </c>
      <c r="P629" s="414">
        <f t="shared" si="39"/>
        <v>169</v>
      </c>
      <c r="Q629" s="398">
        <v>260.0</v>
      </c>
      <c r="R629" s="378"/>
      <c r="S629" s="378"/>
      <c r="T629" s="378"/>
      <c r="U629" s="378"/>
      <c r="V629" s="378"/>
      <c r="W629" s="378"/>
      <c r="X629" s="378"/>
      <c r="Y629" s="378"/>
      <c r="Z629" s="378"/>
      <c r="AA629" s="378"/>
      <c r="AB629" s="378"/>
      <c r="AC629" s="378"/>
      <c r="AD629" s="378"/>
      <c r="AE629" s="378"/>
      <c r="AF629" s="378"/>
      <c r="AG629" s="378"/>
    </row>
    <row r="630">
      <c r="A630" s="378"/>
      <c r="B630" s="420"/>
      <c r="C630" s="421"/>
      <c r="D630" s="422"/>
      <c r="E630" s="423"/>
      <c r="F630" s="421"/>
      <c r="G630" s="413"/>
      <c r="H630" s="414"/>
      <c r="I630" s="376"/>
      <c r="J630" s="424"/>
      <c r="K630" s="421"/>
      <c r="L630" s="422"/>
      <c r="M630" s="423"/>
      <c r="N630" s="425"/>
      <c r="O630" s="408">
        <v>0.65</v>
      </c>
      <c r="P630" s="414">
        <f t="shared" si="39"/>
        <v>0</v>
      </c>
      <c r="Q630" s="378"/>
      <c r="R630" s="378"/>
      <c r="S630" s="378"/>
      <c r="T630" s="378"/>
      <c r="U630" s="378"/>
      <c r="V630" s="378"/>
      <c r="W630" s="378"/>
      <c r="X630" s="378"/>
      <c r="Y630" s="378"/>
      <c r="Z630" s="378"/>
      <c r="AA630" s="378"/>
      <c r="AB630" s="378"/>
      <c r="AC630" s="378"/>
      <c r="AD630" s="378"/>
      <c r="AE630" s="378"/>
      <c r="AF630" s="378"/>
      <c r="AG630" s="378"/>
    </row>
    <row r="631">
      <c r="A631" s="378"/>
      <c r="B631" s="420"/>
      <c r="C631" s="421"/>
      <c r="D631" s="422"/>
      <c r="E631" s="423"/>
      <c r="F631" s="421"/>
      <c r="G631" s="413"/>
      <c r="H631" s="414"/>
      <c r="I631" s="376"/>
      <c r="J631" s="424"/>
      <c r="K631" s="421"/>
      <c r="L631" s="422"/>
      <c r="M631" s="423"/>
      <c r="N631" s="425"/>
      <c r="O631" s="408">
        <v>0.65</v>
      </c>
      <c r="P631" s="414">
        <f t="shared" si="39"/>
        <v>0</v>
      </c>
      <c r="Q631" s="378"/>
      <c r="R631" s="378"/>
      <c r="S631" s="378"/>
      <c r="T631" s="378"/>
      <c r="U631" s="378"/>
      <c r="V631" s="378"/>
      <c r="W631" s="378"/>
      <c r="X631" s="378"/>
      <c r="Y631" s="378"/>
      <c r="Z631" s="378"/>
      <c r="AA631" s="378"/>
      <c r="AB631" s="378"/>
      <c r="AC631" s="378"/>
      <c r="AD631" s="378"/>
      <c r="AE631" s="378"/>
      <c r="AF631" s="378"/>
      <c r="AG631" s="378"/>
    </row>
    <row r="632">
      <c r="A632" s="378"/>
      <c r="B632" s="420"/>
      <c r="C632" s="421"/>
      <c r="D632" s="422"/>
      <c r="E632" s="423"/>
      <c r="F632" s="421"/>
      <c r="G632" s="413"/>
      <c r="H632" s="414"/>
      <c r="I632" s="376"/>
      <c r="J632" s="424"/>
      <c r="K632" s="421"/>
      <c r="L632" s="422"/>
      <c r="M632" s="423"/>
      <c r="N632" s="425"/>
      <c r="O632" s="408"/>
      <c r="P632" s="414"/>
      <c r="Q632" s="378"/>
      <c r="R632" s="378"/>
      <c r="S632" s="378"/>
      <c r="T632" s="378"/>
      <c r="U632" s="378"/>
      <c r="V632" s="378"/>
      <c r="W632" s="378"/>
      <c r="X632" s="378"/>
      <c r="Y632" s="378"/>
      <c r="Z632" s="378"/>
      <c r="AA632" s="378"/>
      <c r="AB632" s="378"/>
      <c r="AC632" s="378"/>
      <c r="AD632" s="378"/>
      <c r="AE632" s="378"/>
      <c r="AF632" s="378"/>
      <c r="AG632" s="378"/>
    </row>
    <row r="633">
      <c r="A633" s="378"/>
      <c r="B633" s="420"/>
      <c r="C633" s="421"/>
      <c r="D633" s="422"/>
      <c r="E633" s="423"/>
      <c r="F633" s="421"/>
      <c r="G633" s="413"/>
      <c r="H633" s="414"/>
      <c r="I633" s="376"/>
      <c r="J633" s="424"/>
      <c r="K633" s="421"/>
      <c r="L633" s="422"/>
      <c r="M633" s="423"/>
      <c r="N633" s="425"/>
      <c r="O633" s="408"/>
      <c r="P633" s="414"/>
      <c r="Q633" s="378"/>
      <c r="R633" s="378"/>
      <c r="S633" s="378"/>
      <c r="T633" s="378"/>
      <c r="U633" s="378"/>
      <c r="V633" s="378"/>
      <c r="W633" s="378"/>
      <c r="X633" s="378"/>
      <c r="Y633" s="378"/>
      <c r="Z633" s="378"/>
      <c r="AA633" s="378"/>
      <c r="AB633" s="378"/>
      <c r="AC633" s="378"/>
      <c r="AD633" s="378"/>
      <c r="AE633" s="378"/>
      <c r="AF633" s="378"/>
      <c r="AG633" s="378"/>
    </row>
    <row r="634">
      <c r="A634" s="378"/>
      <c r="B634" s="403" t="s">
        <v>711</v>
      </c>
      <c r="C634" s="224"/>
      <c r="D634" s="224"/>
      <c r="E634" s="222"/>
      <c r="F634" s="414">
        <f>SUM(F628:F633)</f>
        <v>1950</v>
      </c>
      <c r="G634" s="421"/>
      <c r="H634" s="414">
        <f>SUM(H628:H633)</f>
        <v>1716</v>
      </c>
      <c r="I634" s="376"/>
      <c r="J634" s="407" t="s">
        <v>711</v>
      </c>
      <c r="K634" s="224"/>
      <c r="L634" s="224"/>
      <c r="M634" s="222"/>
      <c r="N634" s="426">
        <f>SUM(N628:N633)</f>
        <v>1436</v>
      </c>
      <c r="O634" s="427"/>
      <c r="P634" s="414">
        <f>SUM(P628:P633)</f>
        <v>933.4</v>
      </c>
      <c r="Q634" s="378"/>
      <c r="R634" s="378"/>
      <c r="S634" s="378"/>
      <c r="T634" s="378"/>
      <c r="U634" s="378"/>
      <c r="V634" s="378"/>
      <c r="W634" s="378"/>
      <c r="X634" s="378"/>
      <c r="Y634" s="378"/>
      <c r="Z634" s="378"/>
      <c r="AA634" s="378"/>
      <c r="AB634" s="378"/>
      <c r="AC634" s="378"/>
      <c r="AD634" s="378"/>
      <c r="AE634" s="378"/>
      <c r="AF634" s="378"/>
      <c r="AG634" s="378"/>
    </row>
    <row r="635">
      <c r="A635" s="378"/>
      <c r="B635" s="428"/>
      <c r="C635" s="419"/>
      <c r="D635" s="419"/>
      <c r="E635" s="419"/>
      <c r="F635" s="419"/>
      <c r="G635" s="419"/>
      <c r="H635" s="429"/>
      <c r="I635" s="376"/>
      <c r="J635" s="430"/>
      <c r="K635" s="419"/>
      <c r="L635" s="419"/>
      <c r="M635" s="419"/>
      <c r="N635" s="431"/>
      <c r="O635" s="432"/>
      <c r="P635" s="429"/>
      <c r="Q635" s="378"/>
      <c r="R635" s="378"/>
      <c r="S635" s="378"/>
      <c r="T635" s="378"/>
      <c r="U635" s="378"/>
      <c r="V635" s="378"/>
      <c r="W635" s="378"/>
      <c r="X635" s="378"/>
      <c r="Y635" s="378"/>
      <c r="Z635" s="378"/>
      <c r="AA635" s="378"/>
      <c r="AB635" s="378"/>
      <c r="AC635" s="378"/>
      <c r="AD635" s="378"/>
      <c r="AE635" s="378"/>
      <c r="AF635" s="378"/>
      <c r="AG635" s="378"/>
    </row>
    <row r="636">
      <c r="A636" s="378"/>
      <c r="B636" s="433" t="s">
        <v>712</v>
      </c>
      <c r="C636" s="434"/>
      <c r="D636" s="435"/>
      <c r="E636" s="419"/>
      <c r="F636" s="419"/>
      <c r="G636" s="419"/>
      <c r="H636" s="429"/>
      <c r="I636" s="376"/>
      <c r="J636" s="437" t="s">
        <v>712</v>
      </c>
      <c r="K636" s="434"/>
      <c r="L636" s="435"/>
      <c r="M636" s="419"/>
      <c r="N636" s="431"/>
      <c r="O636" s="432"/>
      <c r="P636" s="429"/>
      <c r="Q636" s="378"/>
      <c r="R636" s="378"/>
      <c r="S636" s="378"/>
      <c r="T636" s="378"/>
      <c r="U636" s="378"/>
      <c r="V636" s="378"/>
      <c r="W636" s="378"/>
      <c r="X636" s="378"/>
      <c r="Y636" s="378"/>
      <c r="Z636" s="378"/>
      <c r="AA636" s="378"/>
      <c r="AB636" s="378"/>
      <c r="AC636" s="378"/>
      <c r="AD636" s="378"/>
      <c r="AE636" s="378"/>
      <c r="AF636" s="378"/>
      <c r="AG636" s="378"/>
    </row>
    <row r="637">
      <c r="A637" s="378"/>
      <c r="B637" s="438"/>
      <c r="C637" s="439"/>
      <c r="D637" s="440"/>
      <c r="E637" s="419"/>
      <c r="F637" s="419"/>
      <c r="G637" s="419"/>
      <c r="H637" s="429"/>
      <c r="I637" s="376"/>
      <c r="J637" s="443"/>
      <c r="K637" s="439"/>
      <c r="L637" s="440"/>
      <c r="M637" s="419"/>
      <c r="N637" s="431"/>
      <c r="O637" s="432"/>
      <c r="P637" s="429"/>
      <c r="Q637" s="378"/>
      <c r="R637" s="378"/>
      <c r="S637" s="378"/>
      <c r="T637" s="378"/>
      <c r="U637" s="378"/>
      <c r="V637" s="378"/>
      <c r="W637" s="378"/>
      <c r="X637" s="378"/>
      <c r="Y637" s="378"/>
      <c r="Z637" s="378"/>
      <c r="AA637" s="378"/>
      <c r="AB637" s="378"/>
      <c r="AC637" s="378"/>
      <c r="AD637" s="378"/>
      <c r="AE637" s="378"/>
      <c r="AF637" s="378"/>
      <c r="AG637" s="378"/>
    </row>
    <row r="638">
      <c r="A638" s="378"/>
      <c r="B638" s="444"/>
      <c r="C638" s="434"/>
      <c r="D638" s="435"/>
      <c r="E638" s="419"/>
      <c r="F638" s="463"/>
      <c r="G638" s="463"/>
      <c r="H638" s="448"/>
      <c r="I638" s="376"/>
      <c r="J638" s="445"/>
      <c r="K638" s="434"/>
      <c r="L638" s="435"/>
      <c r="M638" s="419"/>
      <c r="N638" s="446"/>
      <c r="O638" s="447"/>
      <c r="P638" s="448"/>
      <c r="Q638" s="378"/>
      <c r="R638" s="378"/>
      <c r="S638" s="378"/>
      <c r="T638" s="378"/>
      <c r="U638" s="378"/>
      <c r="V638" s="378"/>
      <c r="W638" s="378"/>
      <c r="X638" s="378"/>
      <c r="Y638" s="378"/>
      <c r="Z638" s="378"/>
      <c r="AA638" s="378"/>
      <c r="AB638" s="378"/>
      <c r="AC638" s="378"/>
      <c r="AD638" s="378"/>
      <c r="AE638" s="378"/>
      <c r="AF638" s="378"/>
      <c r="AG638" s="378"/>
    </row>
    <row r="639">
      <c r="A639" s="378"/>
      <c r="B639" s="438" t="s">
        <v>714</v>
      </c>
      <c r="C639" s="439">
        <f>SUM(C637:C638)</f>
        <v>0</v>
      </c>
      <c r="D639" s="440"/>
      <c r="E639" s="419"/>
      <c r="F639" s="463"/>
      <c r="G639" s="463"/>
      <c r="H639" s="448"/>
      <c r="I639" s="376"/>
      <c r="J639" s="443" t="s">
        <v>714</v>
      </c>
      <c r="K639" s="439">
        <f>SUM(K637:K638)</f>
        <v>0</v>
      </c>
      <c r="L639" s="440"/>
      <c r="M639" s="419"/>
      <c r="N639" s="446"/>
      <c r="O639" s="447"/>
      <c r="P639" s="448"/>
      <c r="Q639" s="378"/>
      <c r="R639" s="378"/>
      <c r="S639" s="378"/>
      <c r="T639" s="378"/>
      <c r="U639" s="378"/>
      <c r="V639" s="378"/>
      <c r="W639" s="378"/>
      <c r="X639" s="378"/>
      <c r="Y639" s="378"/>
      <c r="Z639" s="378"/>
      <c r="AA639" s="378"/>
      <c r="AB639" s="378"/>
      <c r="AC639" s="378"/>
      <c r="AD639" s="378"/>
      <c r="AE639" s="378"/>
      <c r="AF639" s="378"/>
      <c r="AG639" s="378"/>
    </row>
    <row r="640">
      <c r="A640" s="378"/>
      <c r="B640" s="450"/>
      <c r="C640" s="451"/>
      <c r="D640" s="419"/>
      <c r="E640" s="419"/>
      <c r="F640" s="463"/>
      <c r="G640" s="463"/>
      <c r="H640" s="448"/>
      <c r="I640" s="376"/>
      <c r="J640" s="535"/>
      <c r="K640" s="451"/>
      <c r="L640" s="419"/>
      <c r="M640" s="419"/>
      <c r="N640" s="446"/>
      <c r="O640" s="447"/>
      <c r="P640" s="448"/>
      <c r="Q640" s="378"/>
      <c r="R640" s="378"/>
      <c r="S640" s="378"/>
      <c r="T640" s="378"/>
      <c r="U640" s="378"/>
      <c r="V640" s="378"/>
      <c r="W640" s="378"/>
      <c r="X640" s="378"/>
      <c r="Y640" s="378"/>
      <c r="Z640" s="378"/>
      <c r="AA640" s="378"/>
      <c r="AB640" s="378"/>
      <c r="AC640" s="378"/>
      <c r="AD640" s="378"/>
      <c r="AE640" s="378"/>
      <c r="AF640" s="378"/>
      <c r="AG640" s="378"/>
    </row>
    <row r="641">
      <c r="A641" s="378"/>
      <c r="B641" s="454" t="s">
        <v>715</v>
      </c>
      <c r="C641" s="455"/>
      <c r="D641" s="435"/>
      <c r="E641" s="419"/>
      <c r="F641" s="463"/>
      <c r="G641" s="463"/>
      <c r="H641" s="448"/>
      <c r="I641" s="376"/>
      <c r="J641" s="458" t="s">
        <v>715</v>
      </c>
      <c r="K641" s="455"/>
      <c r="L641" s="435"/>
      <c r="M641" s="419"/>
      <c r="N641" s="446"/>
      <c r="O641" s="447"/>
      <c r="P641" s="448"/>
      <c r="Q641" s="378"/>
      <c r="R641" s="378"/>
      <c r="S641" s="378"/>
      <c r="T641" s="378"/>
      <c r="U641" s="378"/>
      <c r="V641" s="378"/>
      <c r="W641" s="378"/>
      <c r="X641" s="378"/>
      <c r="Y641" s="378"/>
      <c r="Z641" s="378"/>
      <c r="AA641" s="378"/>
      <c r="AB641" s="378"/>
      <c r="AC641" s="378"/>
      <c r="AD641" s="378"/>
      <c r="AE641" s="378"/>
      <c r="AF641" s="378"/>
      <c r="AG641" s="378"/>
    </row>
    <row r="642">
      <c r="A642" s="378"/>
      <c r="B642" s="459" t="s">
        <v>716</v>
      </c>
      <c r="C642" s="460">
        <v>150.0</v>
      </c>
      <c r="D642" s="440"/>
      <c r="E642" s="419"/>
      <c r="F642" s="463"/>
      <c r="G642" s="463"/>
      <c r="H642" s="448"/>
      <c r="I642" s="376"/>
      <c r="J642" s="462"/>
      <c r="K642" s="460"/>
      <c r="L642" s="440"/>
      <c r="M642" s="419"/>
      <c r="N642" s="446"/>
      <c r="O642" s="447"/>
      <c r="P642" s="448"/>
      <c r="Q642" s="378"/>
      <c r="R642" s="378"/>
      <c r="S642" s="378"/>
      <c r="T642" s="378"/>
      <c r="U642" s="378"/>
      <c r="V642" s="378"/>
      <c r="W642" s="378"/>
      <c r="X642" s="378"/>
      <c r="Y642" s="378"/>
      <c r="Z642" s="378"/>
      <c r="AA642" s="378"/>
      <c r="AB642" s="378"/>
      <c r="AC642" s="378"/>
      <c r="AD642" s="378"/>
      <c r="AE642" s="378"/>
      <c r="AF642" s="378"/>
      <c r="AG642" s="378"/>
    </row>
    <row r="643">
      <c r="A643" s="378"/>
      <c r="B643" s="459" t="s">
        <v>717</v>
      </c>
      <c r="C643" s="460">
        <v>400.0</v>
      </c>
      <c r="D643" s="440"/>
      <c r="E643" s="419"/>
      <c r="F643" s="463"/>
      <c r="G643" s="463"/>
      <c r="H643" s="448"/>
      <c r="I643" s="376"/>
      <c r="J643" s="462"/>
      <c r="K643" s="460"/>
      <c r="L643" s="440"/>
      <c r="M643" s="419"/>
      <c r="N643" s="446"/>
      <c r="O643" s="447"/>
      <c r="P643" s="448"/>
      <c r="Q643" s="378"/>
      <c r="R643" s="378"/>
      <c r="S643" s="378"/>
      <c r="T643" s="378"/>
      <c r="U643" s="378"/>
      <c r="V643" s="378"/>
      <c r="W643" s="378"/>
      <c r="X643" s="378"/>
      <c r="Y643" s="378"/>
      <c r="Z643" s="378"/>
      <c r="AA643" s="378"/>
      <c r="AB643" s="378"/>
      <c r="AC643" s="378"/>
      <c r="AD643" s="378"/>
      <c r="AE643" s="378"/>
      <c r="AF643" s="378"/>
      <c r="AG643" s="378"/>
    </row>
    <row r="644">
      <c r="A644" s="378"/>
      <c r="B644" s="459" t="s">
        <v>718</v>
      </c>
      <c r="C644" s="460">
        <v>200.0</v>
      </c>
      <c r="D644" s="440"/>
      <c r="E644" s="419"/>
      <c r="F644" s="463"/>
      <c r="G644" s="463"/>
      <c r="H644" s="448"/>
      <c r="I644" s="376"/>
      <c r="J644" s="462"/>
      <c r="K644" s="460"/>
      <c r="L644" s="440"/>
      <c r="M644" s="419"/>
      <c r="N644" s="446"/>
      <c r="O644" s="447"/>
      <c r="P644" s="448"/>
      <c r="Q644" s="378"/>
      <c r="R644" s="378"/>
      <c r="S644" s="378"/>
      <c r="T644" s="378"/>
      <c r="U644" s="378"/>
      <c r="V644" s="378"/>
      <c r="W644" s="378"/>
      <c r="X644" s="378"/>
      <c r="Y644" s="378"/>
      <c r="Z644" s="378"/>
      <c r="AA644" s="378"/>
      <c r="AB644" s="378"/>
      <c r="AC644" s="378"/>
      <c r="AD644" s="378"/>
      <c r="AE644" s="378"/>
      <c r="AF644" s="378"/>
      <c r="AG644" s="378"/>
    </row>
    <row r="645">
      <c r="A645" s="378"/>
      <c r="B645" s="459" t="s">
        <v>656</v>
      </c>
      <c r="C645" s="460">
        <f>IFERROR(__xludf.DUMMYFUNCTION("FILTER(D967:D995,C967:C995=F626)"),1695.9)</f>
        <v>1695.9</v>
      </c>
      <c r="D645" s="440"/>
      <c r="E645" s="419"/>
      <c r="F645" s="463"/>
      <c r="G645" s="463"/>
      <c r="H645" s="448"/>
      <c r="I645" s="376"/>
      <c r="J645" s="462"/>
      <c r="K645" s="460"/>
      <c r="L645" s="440"/>
      <c r="M645" s="419"/>
      <c r="N645" s="446"/>
      <c r="O645" s="447"/>
      <c r="P645" s="448"/>
      <c r="Q645" s="378"/>
      <c r="R645" s="378"/>
      <c r="S645" s="378"/>
      <c r="T645" s="378"/>
      <c r="U645" s="378"/>
      <c r="V645" s="378"/>
      <c r="W645" s="378"/>
      <c r="X645" s="378"/>
      <c r="Y645" s="378"/>
      <c r="Z645" s="378"/>
      <c r="AA645" s="378"/>
      <c r="AB645" s="378"/>
      <c r="AC645" s="378"/>
      <c r="AD645" s="378"/>
      <c r="AE645" s="378"/>
      <c r="AF645" s="378"/>
      <c r="AG645" s="378"/>
    </row>
    <row r="646">
      <c r="A646" s="378"/>
      <c r="B646" s="454" t="s">
        <v>892</v>
      </c>
      <c r="C646" s="575">
        <v>523.44</v>
      </c>
      <c r="D646" s="435"/>
      <c r="E646" s="419"/>
      <c r="F646" s="561" t="s">
        <v>881</v>
      </c>
      <c r="G646" s="538">
        <f>H634+C639-C651</f>
        <v>-2137.04</v>
      </c>
      <c r="H646" s="211"/>
      <c r="I646" s="376"/>
      <c r="J646" s="467"/>
      <c r="K646" s="455"/>
      <c r="L646" s="435"/>
      <c r="M646" s="419"/>
      <c r="N646" s="468" t="s">
        <v>842</v>
      </c>
      <c r="O646" s="539">
        <f>P634+K639-K651</f>
        <v>933.4</v>
      </c>
      <c r="P646" s="211"/>
      <c r="Q646" s="378"/>
      <c r="R646" s="378"/>
      <c r="S646" s="378"/>
      <c r="T646" s="378"/>
      <c r="U646" s="378"/>
      <c r="V646" s="378"/>
      <c r="W646" s="378"/>
      <c r="X646" s="378"/>
      <c r="Y646" s="378"/>
      <c r="Z646" s="378"/>
      <c r="AA646" s="378"/>
      <c r="AB646" s="378"/>
      <c r="AC646" s="378"/>
      <c r="AD646" s="378"/>
      <c r="AE646" s="378"/>
      <c r="AF646" s="378"/>
      <c r="AG646" s="378"/>
    </row>
    <row r="647">
      <c r="A647" s="378"/>
      <c r="B647" s="576" t="s">
        <v>893</v>
      </c>
      <c r="C647" s="575">
        <v>552.81</v>
      </c>
      <c r="D647" s="435"/>
      <c r="E647" s="419"/>
      <c r="F647" s="55"/>
      <c r="G647" s="278"/>
      <c r="H647" s="56"/>
      <c r="I647" s="376"/>
      <c r="J647" s="467"/>
      <c r="K647" s="455"/>
      <c r="L647" s="435"/>
      <c r="M647" s="419"/>
      <c r="N647" s="469" t="s">
        <v>854</v>
      </c>
      <c r="O647" s="278"/>
      <c r="P647" s="56"/>
      <c r="Q647" s="378"/>
      <c r="R647" s="378"/>
      <c r="S647" s="378"/>
      <c r="T647" s="378"/>
      <c r="U647" s="378"/>
      <c r="V647" s="378"/>
      <c r="W647" s="378"/>
      <c r="X647" s="378"/>
      <c r="Y647" s="378"/>
      <c r="Z647" s="378"/>
      <c r="AA647" s="378"/>
      <c r="AB647" s="378"/>
      <c r="AC647" s="378"/>
      <c r="AD647" s="378"/>
      <c r="AE647" s="378"/>
      <c r="AF647" s="378"/>
      <c r="AG647" s="378"/>
    </row>
    <row r="648">
      <c r="A648" s="378"/>
      <c r="B648" s="576" t="s">
        <v>894</v>
      </c>
      <c r="C648" s="537">
        <v>52.0</v>
      </c>
      <c r="D648" s="435"/>
      <c r="E648" s="419"/>
      <c r="F648" s="60"/>
      <c r="G648" s="215"/>
      <c r="H648" s="64"/>
      <c r="I648" s="376"/>
      <c r="J648" s="467"/>
      <c r="K648" s="455"/>
      <c r="L648" s="435"/>
      <c r="M648" s="419"/>
      <c r="N648" s="470"/>
      <c r="O648" s="215"/>
      <c r="P648" s="64"/>
      <c r="Q648" s="378"/>
      <c r="R648" s="378"/>
      <c r="S648" s="378"/>
      <c r="T648" s="378"/>
      <c r="U648" s="378"/>
      <c r="V648" s="378"/>
      <c r="W648" s="378"/>
      <c r="X648" s="378"/>
      <c r="Y648" s="378"/>
      <c r="Z648" s="378"/>
      <c r="AA648" s="378"/>
      <c r="AB648" s="378"/>
      <c r="AC648" s="378"/>
      <c r="AD648" s="378"/>
      <c r="AE648" s="378"/>
      <c r="AF648" s="378"/>
      <c r="AG648" s="378"/>
    </row>
    <row r="649">
      <c r="A649" s="378"/>
      <c r="B649" s="576" t="s">
        <v>895</v>
      </c>
      <c r="C649" s="537">
        <v>178.89</v>
      </c>
      <c r="D649" s="435"/>
      <c r="E649" s="419"/>
      <c r="F649" s="419"/>
      <c r="G649" s="419"/>
      <c r="H649" s="429"/>
      <c r="I649" s="376"/>
      <c r="J649" s="467"/>
      <c r="K649" s="455"/>
      <c r="L649" s="435"/>
      <c r="M649" s="419"/>
      <c r="N649" s="431"/>
      <c r="O649" s="432"/>
      <c r="P649" s="429"/>
      <c r="Q649" s="378"/>
      <c r="R649" s="378"/>
      <c r="S649" s="378"/>
      <c r="T649" s="378"/>
      <c r="U649" s="378"/>
      <c r="V649" s="378"/>
      <c r="W649" s="378"/>
      <c r="X649" s="378"/>
      <c r="Y649" s="378"/>
      <c r="Z649" s="378"/>
      <c r="AA649" s="378"/>
      <c r="AB649" s="378"/>
      <c r="AC649" s="378"/>
      <c r="AD649" s="378"/>
      <c r="AE649" s="378"/>
      <c r="AF649" s="378"/>
      <c r="AG649" s="378"/>
    </row>
    <row r="650">
      <c r="A650" s="378"/>
      <c r="B650" s="576" t="s">
        <v>896</v>
      </c>
      <c r="C650" s="537">
        <v>100.0</v>
      </c>
      <c r="D650" s="435"/>
      <c r="E650" s="419"/>
      <c r="F650" s="419"/>
      <c r="G650" s="419"/>
      <c r="H650" s="429"/>
      <c r="I650" s="376"/>
      <c r="J650" s="467"/>
      <c r="K650" s="455"/>
      <c r="L650" s="435"/>
      <c r="M650" s="419"/>
      <c r="N650" s="431"/>
      <c r="O650" s="432"/>
      <c r="P650" s="429"/>
      <c r="Q650" s="378"/>
      <c r="R650" s="378"/>
      <c r="S650" s="378"/>
      <c r="T650" s="378"/>
      <c r="U650" s="378"/>
      <c r="V650" s="378"/>
      <c r="W650" s="378"/>
      <c r="X650" s="378"/>
      <c r="Y650" s="378"/>
      <c r="Z650" s="378"/>
      <c r="AA650" s="378"/>
      <c r="AB650" s="378"/>
      <c r="AC650" s="378"/>
      <c r="AD650" s="378"/>
      <c r="AE650" s="378"/>
      <c r="AF650" s="378"/>
      <c r="AG650" s="378"/>
    </row>
    <row r="651">
      <c r="A651" s="378"/>
      <c r="B651" s="454" t="s">
        <v>721</v>
      </c>
      <c r="C651" s="460">
        <f>SUM(C642:C650)</f>
        <v>3853.04</v>
      </c>
      <c r="D651" s="440"/>
      <c r="E651" s="419"/>
      <c r="F651" s="419"/>
      <c r="G651" s="419"/>
      <c r="H651" s="429"/>
      <c r="I651" s="376"/>
      <c r="J651" s="458" t="s">
        <v>721</v>
      </c>
      <c r="K651" s="460">
        <f>SUM(K642:K650)</f>
        <v>0</v>
      </c>
      <c r="L651" s="440"/>
      <c r="M651" s="419"/>
      <c r="N651" s="431"/>
      <c r="O651" s="432"/>
      <c r="P651" s="429"/>
      <c r="Q651" s="378"/>
      <c r="R651" s="378"/>
      <c r="S651" s="378"/>
      <c r="T651" s="378"/>
      <c r="U651" s="378"/>
      <c r="V651" s="378"/>
      <c r="W651" s="378"/>
      <c r="X651" s="378"/>
      <c r="Y651" s="378"/>
      <c r="Z651" s="378"/>
      <c r="AA651" s="378"/>
      <c r="AB651" s="378"/>
      <c r="AC651" s="378"/>
      <c r="AD651" s="378"/>
      <c r="AE651" s="378"/>
      <c r="AF651" s="378"/>
      <c r="AG651" s="378"/>
    </row>
    <row r="652">
      <c r="A652" s="378"/>
      <c r="B652" s="471"/>
      <c r="C652" s="472"/>
      <c r="D652" s="472"/>
      <c r="E652" s="472"/>
      <c r="F652" s="472"/>
      <c r="G652" s="472"/>
      <c r="H652" s="473"/>
      <c r="I652" s="376"/>
      <c r="J652" s="474"/>
      <c r="K652" s="472"/>
      <c r="L652" s="472"/>
      <c r="M652" s="472"/>
      <c r="N652" s="475"/>
      <c r="O652" s="476"/>
      <c r="P652" s="473"/>
      <c r="Q652" s="378"/>
      <c r="R652" s="378"/>
      <c r="S652" s="378"/>
      <c r="T652" s="378"/>
      <c r="U652" s="378"/>
      <c r="V652" s="378"/>
      <c r="W652" s="378"/>
      <c r="X652" s="378"/>
      <c r="Y652" s="378"/>
      <c r="Z652" s="378"/>
      <c r="AA652" s="378"/>
      <c r="AB652" s="378"/>
      <c r="AC652" s="378"/>
      <c r="AD652" s="378"/>
      <c r="AE652" s="378"/>
      <c r="AF652" s="378"/>
      <c r="AG652" s="378"/>
    </row>
    <row r="653">
      <c r="A653" s="378"/>
      <c r="B653" s="550"/>
      <c r="C653" s="463"/>
      <c r="D653" s="463"/>
      <c r="E653" s="463"/>
      <c r="F653" s="463"/>
      <c r="G653" s="463"/>
      <c r="H653" s="463"/>
      <c r="I653" s="376"/>
      <c r="J653" s="377"/>
      <c r="K653" s="378"/>
      <c r="L653" s="378"/>
      <c r="M653" s="378"/>
      <c r="N653" s="379"/>
      <c r="O653" s="380"/>
      <c r="P653" s="378"/>
      <c r="Q653" s="378"/>
      <c r="R653" s="378"/>
      <c r="S653" s="378"/>
      <c r="T653" s="378"/>
      <c r="U653" s="378"/>
      <c r="V653" s="378"/>
      <c r="W653" s="378"/>
      <c r="X653" s="378"/>
      <c r="Y653" s="378"/>
      <c r="Z653" s="378"/>
      <c r="AA653" s="378"/>
      <c r="AB653" s="378"/>
      <c r="AC653" s="378"/>
      <c r="AD653" s="378"/>
      <c r="AE653" s="378"/>
      <c r="AF653" s="378"/>
      <c r="AG653" s="378"/>
    </row>
    <row r="654">
      <c r="A654" s="378"/>
      <c r="B654" s="550"/>
      <c r="C654" s="463"/>
      <c r="D654" s="463"/>
      <c r="E654" s="463"/>
      <c r="F654" s="463"/>
      <c r="G654" s="463"/>
      <c r="H654" s="463"/>
      <c r="I654" s="376"/>
      <c r="J654" s="377"/>
      <c r="K654" s="378"/>
      <c r="L654" s="378"/>
      <c r="M654" s="378"/>
      <c r="N654" s="379"/>
      <c r="O654" s="380"/>
      <c r="P654" s="378"/>
      <c r="Q654" s="378"/>
      <c r="R654" s="378"/>
      <c r="S654" s="378"/>
      <c r="T654" s="378"/>
      <c r="U654" s="378"/>
      <c r="V654" s="378"/>
      <c r="W654" s="378"/>
      <c r="X654" s="378"/>
      <c r="Y654" s="378"/>
      <c r="Z654" s="378"/>
      <c r="AA654" s="378"/>
      <c r="AB654" s="378"/>
      <c r="AC654" s="378"/>
      <c r="AD654" s="378"/>
      <c r="AE654" s="378"/>
      <c r="AF654" s="378"/>
      <c r="AG654" s="378"/>
    </row>
    <row r="655">
      <c r="A655" s="378"/>
      <c r="B655" s="382"/>
      <c r="C655" s="388"/>
      <c r="D655" s="384"/>
      <c r="E655" s="385" t="s">
        <v>700</v>
      </c>
      <c r="F655" s="385" t="str">
        <f>Board!A2</f>
        <v>11.17.25-11.23.25</v>
      </c>
      <c r="G655" s="213"/>
      <c r="H655" s="211"/>
      <c r="I655" s="386">
        <v>22.0</v>
      </c>
      <c r="J655" s="387"/>
      <c r="K655" s="388"/>
      <c r="L655" s="384"/>
      <c r="M655" s="385" t="s">
        <v>700</v>
      </c>
      <c r="N655" s="385" t="str">
        <f>Board!A2</f>
        <v>11.17.25-11.23.25</v>
      </c>
      <c r="O655" s="213"/>
      <c r="P655" s="211"/>
      <c r="Q655" s="378"/>
      <c r="R655" s="389" t="s">
        <v>831</v>
      </c>
      <c r="S655" s="389" t="s">
        <v>652</v>
      </c>
      <c r="T655" s="390" t="s">
        <v>832</v>
      </c>
      <c r="U655" s="391" t="s">
        <v>833</v>
      </c>
      <c r="V655" s="389" t="s">
        <v>655</v>
      </c>
      <c r="W655" s="389" t="s">
        <v>8</v>
      </c>
      <c r="X655" s="389" t="s">
        <v>656</v>
      </c>
      <c r="Y655" s="390" t="s">
        <v>834</v>
      </c>
      <c r="Z655" s="392" t="s">
        <v>835</v>
      </c>
      <c r="AA655" s="390" t="s">
        <v>836</v>
      </c>
      <c r="AB655" s="390" t="s">
        <v>837</v>
      </c>
      <c r="AC655" s="393" t="s">
        <v>716</v>
      </c>
      <c r="AD655" s="393" t="s">
        <v>717</v>
      </c>
      <c r="AE655" s="393" t="s">
        <v>718</v>
      </c>
      <c r="AF655" s="394" t="s">
        <v>838</v>
      </c>
      <c r="AG655" s="394"/>
    </row>
    <row r="656">
      <c r="A656" s="378"/>
      <c r="B656" s="395"/>
      <c r="C656" s="372"/>
      <c r="D656" s="396"/>
      <c r="E656" s="385" t="s">
        <v>702</v>
      </c>
      <c r="F656" s="385" t="s">
        <v>825</v>
      </c>
      <c r="G656" s="213"/>
      <c r="H656" s="211"/>
      <c r="I656" s="376"/>
      <c r="J656" s="397"/>
      <c r="K656" s="372"/>
      <c r="L656" s="396"/>
      <c r="M656" s="385" t="s">
        <v>351</v>
      </c>
      <c r="N656" s="385" t="str">
        <f t="array" ref="N656">XLOOKUP(N657,Board!K:K,Board!J:J)</f>
        <v>MARVIN CREARY</v>
      </c>
      <c r="O656" s="213"/>
      <c r="P656" s="211"/>
      <c r="Q656" s="378"/>
      <c r="R656" s="398">
        <f>I655</f>
        <v>22</v>
      </c>
      <c r="S656" s="398">
        <f>F657</f>
        <v>7607</v>
      </c>
      <c r="T656" s="399">
        <f>G677</f>
        <v>-469.19</v>
      </c>
      <c r="U656" s="378" t="str">
        <f>N656</f>
        <v>MARVIN CREARY</v>
      </c>
      <c r="V656" s="380">
        <f>O677</f>
        <v>1381.25</v>
      </c>
      <c r="W656" s="399">
        <f>P665</f>
        <v>1381.25</v>
      </c>
      <c r="X656" s="399">
        <f>C676</f>
        <v>2937.19</v>
      </c>
      <c r="Y656" s="400">
        <f>N665</f>
        <v>2125</v>
      </c>
      <c r="Z656" s="399">
        <f>V657-V656</f>
        <v>-1850.44</v>
      </c>
      <c r="AA656" s="378"/>
      <c r="AB656" s="378"/>
      <c r="AC656" s="401">
        <f>C673</f>
        <v>100</v>
      </c>
      <c r="AD656" s="401">
        <f>C674</f>
        <v>400</v>
      </c>
      <c r="AE656" s="401">
        <f>C675</f>
        <v>200</v>
      </c>
      <c r="AF656" s="398">
        <f>C677+C678+C679+C680+C681</f>
        <v>0</v>
      </c>
      <c r="AG656" s="398"/>
    </row>
    <row r="657">
      <c r="A657" s="378"/>
      <c r="B657" s="395"/>
      <c r="C657" s="372"/>
      <c r="D657" s="402"/>
      <c r="E657" s="385" t="s">
        <v>703</v>
      </c>
      <c r="F657" s="385">
        <v>7607.0</v>
      </c>
      <c r="G657" s="532">
        <v>3866.0</v>
      </c>
      <c r="H657" s="533"/>
      <c r="I657" s="376"/>
      <c r="J657" s="397"/>
      <c r="K657" s="372"/>
      <c r="L657" s="402"/>
      <c r="M657" s="385" t="s">
        <v>703</v>
      </c>
      <c r="N657" s="385">
        <f>F657</f>
        <v>7607</v>
      </c>
      <c r="O657" s="532">
        <v>3866.0</v>
      </c>
      <c r="P657" s="533"/>
      <c r="Q657" s="378"/>
      <c r="R657" s="378"/>
      <c r="S657" s="378"/>
      <c r="T657" s="378"/>
      <c r="U657" s="378" t="str">
        <f>F656</f>
        <v>NZD Transport LLC</v>
      </c>
      <c r="V657" s="399">
        <f>G677</f>
        <v>-469.19</v>
      </c>
      <c r="W657" s="399">
        <f>H665</f>
        <v>3168</v>
      </c>
      <c r="X657" s="378"/>
      <c r="Y657" s="378"/>
      <c r="Z657" s="378"/>
      <c r="AA657" s="378"/>
      <c r="AB657" s="378"/>
      <c r="AC657" s="378"/>
      <c r="AD657" s="378"/>
      <c r="AE657" s="378"/>
      <c r="AF657" s="378"/>
      <c r="AG657" s="378"/>
    </row>
    <row r="658">
      <c r="A658" s="378"/>
      <c r="B658" s="403" t="s">
        <v>704</v>
      </c>
      <c r="C658" s="404" t="s">
        <v>5</v>
      </c>
      <c r="D658" s="405" t="s">
        <v>6</v>
      </c>
      <c r="E658" s="406" t="s">
        <v>7</v>
      </c>
      <c r="F658" s="404" t="s">
        <v>8</v>
      </c>
      <c r="G658" s="404" t="s">
        <v>706</v>
      </c>
      <c r="H658" s="404" t="s">
        <v>707</v>
      </c>
      <c r="I658" s="376"/>
      <c r="J658" s="407" t="s">
        <v>704</v>
      </c>
      <c r="K658" s="404" t="s">
        <v>5</v>
      </c>
      <c r="L658" s="405" t="s">
        <v>6</v>
      </c>
      <c r="M658" s="406" t="s">
        <v>7</v>
      </c>
      <c r="N658" s="404" t="s">
        <v>591</v>
      </c>
      <c r="O658" s="408" t="s">
        <v>839</v>
      </c>
      <c r="P658" s="404" t="s">
        <v>707</v>
      </c>
      <c r="Q658" s="378"/>
      <c r="R658" s="378"/>
      <c r="S658" s="378"/>
      <c r="T658" s="378"/>
      <c r="U658" s="378"/>
      <c r="V658" s="378"/>
      <c r="W658" s="378"/>
      <c r="X658" s="378"/>
      <c r="Y658" s="378"/>
      <c r="Z658" s="378"/>
      <c r="AA658" s="378"/>
      <c r="AB658" s="378"/>
      <c r="AC658" s="378"/>
      <c r="AD658" s="378"/>
      <c r="AE658" s="378"/>
      <c r="AF658" s="378"/>
      <c r="AG658" s="378"/>
    </row>
    <row r="659">
      <c r="A659" s="378"/>
      <c r="B659" s="555">
        <f>IFERROR(__xludf.DUMMYFUNCTION("FILTER(Board!C:G,Board!K:K=F657)"),45980.0)</f>
        <v>45980</v>
      </c>
      <c r="C659" s="404">
        <f>IFERROR(__xludf.DUMMYFUNCTION("""COMPUTED_VALUE"""),5540738.0)</f>
        <v>5540738</v>
      </c>
      <c r="D659" s="405" t="str">
        <f>IFERROR(__xludf.DUMMYFUNCTION("""COMPUTED_VALUE"""),"Brockton, MA, 02302")</f>
        <v>Brockton, MA, 02302</v>
      </c>
      <c r="E659" s="406" t="str">
        <f>IFERROR(__xludf.DUMMYFUNCTION("""COMPUTED_VALUE"""),"Wapakoneta, OH, 45895")</f>
        <v>Wapakoneta, OH, 45895</v>
      </c>
      <c r="F659" s="414">
        <f>IFERROR(__xludf.DUMMYFUNCTION("""COMPUTED_VALUE"""),900.0)</f>
        <v>900</v>
      </c>
      <c r="G659" s="413">
        <v>0.88</v>
      </c>
      <c r="H659" s="414">
        <f t="shared" ref="H659:H660" si="40">F659*G659</f>
        <v>792</v>
      </c>
      <c r="I659" s="376"/>
      <c r="J659" s="415">
        <f>IFERROR(__xludf.DUMMYFUNCTION("FILTER(Board!C:F,Board!K:K=N657)"),45980.0)</f>
        <v>45980</v>
      </c>
      <c r="K659" s="411">
        <f>IFERROR(__xludf.DUMMYFUNCTION("""COMPUTED_VALUE"""),5540738.0)</f>
        <v>5540738</v>
      </c>
      <c r="L659" s="411" t="str">
        <f>IFERROR(__xludf.DUMMYFUNCTION("""COMPUTED_VALUE"""),"Brockton, MA, 02302")</f>
        <v>Brockton, MA, 02302</v>
      </c>
      <c r="M659" s="411" t="str">
        <f>IFERROR(__xludf.DUMMYFUNCTION("""COMPUTED_VALUE"""),"Wapakoneta, OH, 45895")</f>
        <v>Wapakoneta, OH, 45895</v>
      </c>
      <c r="N659" s="416">
        <f>IFERROR(__xludf.DUMMYFUNCTION("FILTER(Board!H:H,Board!K:K=N657)"),874.0)</f>
        <v>874</v>
      </c>
      <c r="O659" s="408">
        <v>0.65</v>
      </c>
      <c r="P659" s="414">
        <f t="shared" ref="P659:P660" si="41">N659*O659</f>
        <v>568.1</v>
      </c>
      <c r="Q659" s="378"/>
      <c r="R659" s="378"/>
      <c r="S659" s="378"/>
      <c r="T659" s="378"/>
      <c r="U659" s="378"/>
      <c r="V659" s="378"/>
      <c r="W659" s="378"/>
      <c r="X659" s="378"/>
      <c r="Y659" s="378"/>
      <c r="Z659" s="378"/>
      <c r="AA659" s="378"/>
      <c r="AB659" s="378"/>
      <c r="AC659" s="378"/>
      <c r="AD659" s="378"/>
      <c r="AE659" s="378"/>
      <c r="AF659" s="378"/>
      <c r="AG659" s="378"/>
    </row>
    <row r="660">
      <c r="A660" s="378"/>
      <c r="B660" s="555">
        <f>IFERROR(__xludf.DUMMYFUNCTION("""COMPUTED_VALUE"""),45982.0)</f>
        <v>45982</v>
      </c>
      <c r="C660" s="404" t="str">
        <f>IFERROR(__xludf.DUMMYFUNCTION("""COMPUTED_VALUE"""),"DX-190023")</f>
        <v>DX-190023</v>
      </c>
      <c r="D660" s="405" t="str">
        <f>IFERROR(__xludf.DUMMYFUNCTION("""COMPUTED_VALUE"""),"Bluffton, IN, 46714")</f>
        <v>Bluffton, IN, 46714</v>
      </c>
      <c r="E660" s="406" t="str">
        <f>IFERROR(__xludf.DUMMYFUNCTION("""COMPUTED_VALUE"""),"Denver, CO, 80216")</f>
        <v>Denver, CO, 80216</v>
      </c>
      <c r="F660" s="414">
        <f>IFERROR(__xludf.DUMMYFUNCTION("""COMPUTED_VALUE"""),2700.0)</f>
        <v>2700</v>
      </c>
      <c r="G660" s="413">
        <v>0.88</v>
      </c>
      <c r="H660" s="414">
        <f t="shared" si="40"/>
        <v>2376</v>
      </c>
      <c r="I660" s="376"/>
      <c r="J660" s="418">
        <f>IFERROR(__xludf.DUMMYFUNCTION("""COMPUTED_VALUE"""),45982.0)</f>
        <v>45982</v>
      </c>
      <c r="K660" s="411" t="str">
        <f>IFERROR(__xludf.DUMMYFUNCTION("""COMPUTED_VALUE"""),"DX-190023")</f>
        <v>DX-190023</v>
      </c>
      <c r="L660" s="411" t="str">
        <f>IFERROR(__xludf.DUMMYFUNCTION("""COMPUTED_VALUE"""),"Bluffton, IN, 46714")</f>
        <v>Bluffton, IN, 46714</v>
      </c>
      <c r="M660" s="411" t="str">
        <f>IFERROR(__xludf.DUMMYFUNCTION("""COMPUTED_VALUE"""),"Denver, CO, 80216")</f>
        <v>Denver, CO, 80216</v>
      </c>
      <c r="N660" s="416">
        <f>IFERROR(__xludf.DUMMYFUNCTION("""COMPUTED_VALUE"""),1251.0)</f>
        <v>1251</v>
      </c>
      <c r="O660" s="408">
        <v>0.65</v>
      </c>
      <c r="P660" s="414">
        <f t="shared" si="41"/>
        <v>813.15</v>
      </c>
      <c r="Q660" s="378"/>
      <c r="R660" s="378"/>
      <c r="S660" s="378"/>
      <c r="T660" s="378"/>
      <c r="U660" s="378"/>
      <c r="V660" s="378"/>
      <c r="W660" s="378"/>
      <c r="X660" s="378"/>
      <c r="Y660" s="378"/>
      <c r="Z660" s="378"/>
      <c r="AA660" s="378"/>
      <c r="AB660" s="378"/>
      <c r="AC660" s="378"/>
      <c r="AD660" s="378"/>
      <c r="AE660" s="378"/>
      <c r="AF660" s="378"/>
      <c r="AG660" s="378"/>
    </row>
    <row r="661">
      <c r="A661" s="378"/>
      <c r="B661" s="420"/>
      <c r="C661" s="421"/>
      <c r="D661" s="422"/>
      <c r="E661" s="423"/>
      <c r="F661" s="421"/>
      <c r="G661" s="413"/>
      <c r="H661" s="414"/>
      <c r="I661" s="376"/>
      <c r="J661" s="424"/>
      <c r="K661" s="421"/>
      <c r="L661" s="422"/>
      <c r="M661" s="423"/>
      <c r="N661" s="425"/>
      <c r="O661" s="408"/>
      <c r="P661" s="414"/>
      <c r="Q661" s="378"/>
      <c r="R661" s="378"/>
      <c r="S661" s="378"/>
      <c r="T661" s="378"/>
      <c r="U661" s="378"/>
      <c r="V661" s="378"/>
      <c r="W661" s="378"/>
      <c r="X661" s="378"/>
      <c r="Y661" s="378"/>
      <c r="Z661" s="378"/>
      <c r="AA661" s="378"/>
      <c r="AB661" s="378"/>
      <c r="AC661" s="378"/>
      <c r="AD661" s="378"/>
      <c r="AE661" s="378"/>
      <c r="AF661" s="378"/>
      <c r="AG661" s="378"/>
    </row>
    <row r="662">
      <c r="A662" s="378"/>
      <c r="B662" s="420"/>
      <c r="C662" s="421"/>
      <c r="D662" s="422"/>
      <c r="E662" s="423"/>
      <c r="F662" s="421"/>
      <c r="G662" s="413"/>
      <c r="H662" s="414"/>
      <c r="I662" s="376"/>
      <c r="J662" s="424"/>
      <c r="K662" s="421"/>
      <c r="L662" s="422"/>
      <c r="M662" s="423"/>
      <c r="N662" s="425"/>
      <c r="O662" s="408"/>
      <c r="P662" s="414"/>
      <c r="Q662" s="378"/>
      <c r="R662" s="378"/>
      <c r="S662" s="378"/>
      <c r="T662" s="378"/>
      <c r="U662" s="378"/>
      <c r="V662" s="378"/>
      <c r="W662" s="378"/>
      <c r="X662" s="378"/>
      <c r="Y662" s="378"/>
      <c r="Z662" s="378"/>
      <c r="AA662" s="378"/>
      <c r="AB662" s="378"/>
      <c r="AC662" s="378"/>
      <c r="AD662" s="378"/>
      <c r="AE662" s="378"/>
      <c r="AF662" s="378"/>
      <c r="AG662" s="378"/>
    </row>
    <row r="663">
      <c r="A663" s="378"/>
      <c r="B663" s="420"/>
      <c r="C663" s="421"/>
      <c r="D663" s="422"/>
      <c r="E663" s="423"/>
      <c r="F663" s="421"/>
      <c r="G663" s="413"/>
      <c r="H663" s="414"/>
      <c r="I663" s="376"/>
      <c r="J663" s="424"/>
      <c r="K663" s="421"/>
      <c r="L663" s="422"/>
      <c r="M663" s="423"/>
      <c r="N663" s="425"/>
      <c r="O663" s="408"/>
      <c r="P663" s="414"/>
      <c r="Q663" s="378"/>
      <c r="R663" s="378"/>
      <c r="S663" s="378"/>
      <c r="T663" s="378"/>
      <c r="U663" s="378"/>
      <c r="V663" s="378"/>
      <c r="W663" s="378"/>
      <c r="X663" s="378"/>
      <c r="Y663" s="378"/>
      <c r="Z663" s="378"/>
      <c r="AA663" s="378"/>
      <c r="AB663" s="378"/>
      <c r="AC663" s="378"/>
      <c r="AD663" s="378"/>
      <c r="AE663" s="378"/>
      <c r="AF663" s="378"/>
      <c r="AG663" s="378"/>
    </row>
    <row r="664">
      <c r="A664" s="378"/>
      <c r="B664" s="420"/>
      <c r="C664" s="421"/>
      <c r="D664" s="422"/>
      <c r="E664" s="423"/>
      <c r="F664" s="421"/>
      <c r="G664" s="413"/>
      <c r="H664" s="414"/>
      <c r="I664" s="376"/>
      <c r="J664" s="424"/>
      <c r="K664" s="421"/>
      <c r="L664" s="422"/>
      <c r="M664" s="423"/>
      <c r="N664" s="425"/>
      <c r="O664" s="408"/>
      <c r="P664" s="414"/>
      <c r="Q664" s="378"/>
      <c r="R664" s="378"/>
      <c r="S664" s="378"/>
      <c r="T664" s="378"/>
      <c r="U664" s="378"/>
      <c r="V664" s="378"/>
      <c r="W664" s="378"/>
      <c r="X664" s="378"/>
      <c r="Y664" s="378"/>
      <c r="Z664" s="378"/>
      <c r="AA664" s="378"/>
      <c r="AB664" s="378"/>
      <c r="AC664" s="378"/>
      <c r="AD664" s="378"/>
      <c r="AE664" s="378"/>
      <c r="AF664" s="378"/>
      <c r="AG664" s="378"/>
    </row>
    <row r="665">
      <c r="A665" s="378"/>
      <c r="B665" s="403" t="s">
        <v>711</v>
      </c>
      <c r="C665" s="224"/>
      <c r="D665" s="224"/>
      <c r="E665" s="222"/>
      <c r="F665" s="414">
        <f>SUM(F659:F664)</f>
        <v>3600</v>
      </c>
      <c r="G665" s="421"/>
      <c r="H665" s="414">
        <f>SUM(H659:H664)</f>
        <v>3168</v>
      </c>
      <c r="I665" s="376"/>
      <c r="J665" s="407" t="s">
        <v>711</v>
      </c>
      <c r="K665" s="224"/>
      <c r="L665" s="224"/>
      <c r="M665" s="222"/>
      <c r="N665" s="426">
        <f>SUM(N659:N664)</f>
        <v>2125</v>
      </c>
      <c r="O665" s="427"/>
      <c r="P665" s="414">
        <f>SUM(P659:P664)</f>
        <v>1381.25</v>
      </c>
      <c r="Q665" s="378"/>
      <c r="R665" s="378"/>
      <c r="S665" s="378"/>
      <c r="T665" s="378"/>
      <c r="U665" s="378"/>
      <c r="V665" s="378"/>
      <c r="W665" s="378"/>
      <c r="X665" s="378"/>
      <c r="Y665" s="378"/>
      <c r="Z665" s="378"/>
      <c r="AA665" s="378"/>
      <c r="AB665" s="378"/>
      <c r="AC665" s="378"/>
      <c r="AD665" s="378"/>
      <c r="AE665" s="378"/>
      <c r="AF665" s="378"/>
      <c r="AG665" s="378"/>
    </row>
    <row r="666">
      <c r="A666" s="378"/>
      <c r="B666" s="428"/>
      <c r="C666" s="419"/>
      <c r="D666" s="419"/>
      <c r="E666" s="419"/>
      <c r="F666" s="419"/>
      <c r="G666" s="419"/>
      <c r="H666" s="429"/>
      <c r="I666" s="376"/>
      <c r="J666" s="430"/>
      <c r="K666" s="419"/>
      <c r="L666" s="419"/>
      <c r="M666" s="419"/>
      <c r="N666" s="431"/>
      <c r="O666" s="432"/>
      <c r="P666" s="429"/>
      <c r="Q666" s="378"/>
      <c r="R666" s="378"/>
      <c r="S666" s="378"/>
      <c r="T666" s="378"/>
      <c r="U666" s="378"/>
      <c r="V666" s="378"/>
      <c r="W666" s="378"/>
      <c r="X666" s="378"/>
      <c r="Y666" s="378"/>
      <c r="Z666" s="378"/>
      <c r="AA666" s="378"/>
      <c r="AB666" s="378"/>
      <c r="AC666" s="378"/>
      <c r="AD666" s="378"/>
      <c r="AE666" s="378"/>
      <c r="AF666" s="378"/>
      <c r="AG666" s="378"/>
    </row>
    <row r="667">
      <c r="A667" s="378"/>
      <c r="B667" s="433" t="s">
        <v>712</v>
      </c>
      <c r="C667" s="434"/>
      <c r="D667" s="435"/>
      <c r="E667" s="419"/>
      <c r="F667" s="419"/>
      <c r="G667" s="419"/>
      <c r="H667" s="429"/>
      <c r="I667" s="376"/>
      <c r="J667" s="437" t="s">
        <v>712</v>
      </c>
      <c r="K667" s="434"/>
      <c r="L667" s="435"/>
      <c r="M667" s="419"/>
      <c r="N667" s="431"/>
      <c r="O667" s="432"/>
      <c r="P667" s="429"/>
      <c r="Q667" s="378"/>
      <c r="R667" s="378"/>
      <c r="S667" s="378"/>
      <c r="T667" s="378"/>
      <c r="U667" s="378"/>
      <c r="V667" s="378"/>
      <c r="W667" s="378"/>
      <c r="X667" s="378"/>
      <c r="Y667" s="378"/>
      <c r="Z667" s="378"/>
      <c r="AA667" s="378"/>
      <c r="AB667" s="378"/>
      <c r="AC667" s="378"/>
      <c r="AD667" s="378"/>
      <c r="AE667" s="378"/>
      <c r="AF667" s="378"/>
      <c r="AG667" s="378"/>
    </row>
    <row r="668">
      <c r="A668" s="378"/>
      <c r="B668" s="438"/>
      <c r="C668" s="439"/>
      <c r="D668" s="440"/>
      <c r="E668" s="419"/>
      <c r="F668" s="419"/>
      <c r="G668" s="419"/>
      <c r="H668" s="429"/>
      <c r="I668" s="376"/>
      <c r="J668" s="443"/>
      <c r="K668" s="439"/>
      <c r="L668" s="440"/>
      <c r="M668" s="419"/>
      <c r="N668" s="431"/>
      <c r="O668" s="432"/>
      <c r="P668" s="429"/>
      <c r="Q668" s="378"/>
      <c r="R668" s="378"/>
      <c r="S668" s="378"/>
      <c r="T668" s="378"/>
      <c r="U668" s="378"/>
      <c r="V668" s="378"/>
      <c r="W668" s="378"/>
      <c r="X668" s="378"/>
      <c r="Y668" s="378"/>
      <c r="Z668" s="378"/>
      <c r="AA668" s="378"/>
      <c r="AB668" s="378"/>
      <c r="AC668" s="378"/>
      <c r="AD668" s="378"/>
      <c r="AE668" s="378"/>
      <c r="AF668" s="378"/>
      <c r="AG668" s="378"/>
    </row>
    <row r="669">
      <c r="A669" s="378"/>
      <c r="B669" s="444"/>
      <c r="C669" s="434"/>
      <c r="D669" s="435"/>
      <c r="E669" s="419"/>
      <c r="F669" s="463"/>
      <c r="G669" s="463"/>
      <c r="H669" s="448"/>
      <c r="I669" s="376"/>
      <c r="J669" s="445"/>
      <c r="K669" s="434"/>
      <c r="L669" s="435"/>
      <c r="M669" s="419"/>
      <c r="N669" s="446"/>
      <c r="O669" s="447"/>
      <c r="P669" s="448"/>
      <c r="Q669" s="378"/>
      <c r="R669" s="378"/>
      <c r="S669" s="378"/>
      <c r="T669" s="378"/>
      <c r="U669" s="378"/>
      <c r="V669" s="378"/>
      <c r="W669" s="378"/>
      <c r="X669" s="378"/>
      <c r="Y669" s="378"/>
      <c r="Z669" s="378"/>
      <c r="AA669" s="378"/>
      <c r="AB669" s="378"/>
      <c r="AC669" s="378"/>
      <c r="AD669" s="378"/>
      <c r="AE669" s="378"/>
      <c r="AF669" s="378"/>
      <c r="AG669" s="378"/>
    </row>
    <row r="670">
      <c r="A670" s="378"/>
      <c r="B670" s="438" t="s">
        <v>714</v>
      </c>
      <c r="C670" s="439">
        <f>SUM(C668:C669)</f>
        <v>0</v>
      </c>
      <c r="D670" s="440"/>
      <c r="E670" s="419"/>
      <c r="F670" s="463"/>
      <c r="G670" s="463"/>
      <c r="H670" s="448"/>
      <c r="I670" s="376"/>
      <c r="J670" s="443" t="s">
        <v>714</v>
      </c>
      <c r="K670" s="439">
        <f>SUM(K668:K669)</f>
        <v>0</v>
      </c>
      <c r="L670" s="440"/>
      <c r="M670" s="419"/>
      <c r="N670" s="446"/>
      <c r="O670" s="447"/>
      <c r="P670" s="448"/>
      <c r="Q670" s="378"/>
      <c r="R670" s="378"/>
      <c r="S670" s="378"/>
      <c r="T670" s="378"/>
      <c r="U670" s="378"/>
      <c r="V670" s="378"/>
      <c r="W670" s="378"/>
      <c r="X670" s="378"/>
      <c r="Y670" s="378"/>
      <c r="Z670" s="378"/>
      <c r="AA670" s="378"/>
      <c r="AB670" s="378"/>
      <c r="AC670" s="378"/>
      <c r="AD670" s="378"/>
      <c r="AE670" s="378"/>
      <c r="AF670" s="378"/>
      <c r="AG670" s="378"/>
    </row>
    <row r="671">
      <c r="A671" s="378"/>
      <c r="B671" s="450"/>
      <c r="C671" s="451"/>
      <c r="D671" s="419"/>
      <c r="E671" s="419"/>
      <c r="F671" s="463"/>
      <c r="G671" s="463"/>
      <c r="H671" s="448"/>
      <c r="I671" s="376"/>
      <c r="J671" s="535"/>
      <c r="K671" s="451"/>
      <c r="L671" s="419"/>
      <c r="M671" s="419"/>
      <c r="N671" s="446"/>
      <c r="O671" s="447"/>
      <c r="P671" s="448"/>
      <c r="Q671" s="378"/>
      <c r="R671" s="378"/>
      <c r="S671" s="378"/>
      <c r="T671" s="378"/>
      <c r="U671" s="378"/>
      <c r="V671" s="378"/>
      <c r="W671" s="378"/>
      <c r="X671" s="378"/>
      <c r="Y671" s="378"/>
      <c r="Z671" s="378"/>
      <c r="AA671" s="378"/>
      <c r="AB671" s="378"/>
      <c r="AC671" s="378"/>
      <c r="AD671" s="378"/>
      <c r="AE671" s="378"/>
      <c r="AF671" s="378"/>
      <c r="AG671" s="378"/>
    </row>
    <row r="672">
      <c r="A672" s="378"/>
      <c r="B672" s="454" t="s">
        <v>715</v>
      </c>
      <c r="C672" s="455"/>
      <c r="D672" s="435"/>
      <c r="E672" s="419"/>
      <c r="F672" s="463"/>
      <c r="G672" s="463"/>
      <c r="H672" s="448"/>
      <c r="I672" s="376"/>
      <c r="J672" s="458" t="s">
        <v>715</v>
      </c>
      <c r="K672" s="455"/>
      <c r="L672" s="435"/>
      <c r="M672" s="419"/>
      <c r="N672" s="446"/>
      <c r="O672" s="447"/>
      <c r="P672" s="448"/>
      <c r="Q672" s="378"/>
      <c r="R672" s="378"/>
      <c r="S672" s="378"/>
      <c r="T672" s="378"/>
      <c r="U672" s="378"/>
      <c r="V672" s="378"/>
      <c r="W672" s="378"/>
      <c r="X672" s="378"/>
      <c r="Y672" s="378"/>
      <c r="Z672" s="378"/>
      <c r="AA672" s="378"/>
      <c r="AB672" s="378"/>
      <c r="AC672" s="378"/>
      <c r="AD672" s="378"/>
      <c r="AE672" s="378"/>
      <c r="AF672" s="378"/>
      <c r="AG672" s="378"/>
    </row>
    <row r="673">
      <c r="A673" s="378"/>
      <c r="B673" s="459" t="s">
        <v>716</v>
      </c>
      <c r="C673" s="460">
        <v>100.0</v>
      </c>
      <c r="D673" s="577" t="s">
        <v>851</v>
      </c>
      <c r="E673" s="419"/>
      <c r="F673" s="463"/>
      <c r="G673" s="463"/>
      <c r="H673" s="448"/>
      <c r="I673" s="376"/>
      <c r="J673" s="462"/>
      <c r="K673" s="460"/>
      <c r="L673" s="440"/>
      <c r="M673" s="419"/>
      <c r="N673" s="446"/>
      <c r="O673" s="447"/>
      <c r="P673" s="448"/>
      <c r="Q673" s="378"/>
      <c r="R673" s="378"/>
      <c r="S673" s="378"/>
      <c r="T673" s="378"/>
      <c r="U673" s="378"/>
      <c r="V673" s="378"/>
      <c r="W673" s="378"/>
      <c r="X673" s="378"/>
      <c r="Y673" s="378"/>
      <c r="Z673" s="378"/>
      <c r="AA673" s="378"/>
      <c r="AB673" s="378"/>
      <c r="AC673" s="378"/>
      <c r="AD673" s="378"/>
      <c r="AE673" s="378"/>
      <c r="AF673" s="378"/>
      <c r="AG673" s="378"/>
    </row>
    <row r="674">
      <c r="A674" s="378"/>
      <c r="B674" s="459" t="s">
        <v>717</v>
      </c>
      <c r="C674" s="460">
        <v>400.0</v>
      </c>
      <c r="D674" s="440"/>
      <c r="E674" s="419"/>
      <c r="F674" s="463"/>
      <c r="G674" s="463"/>
      <c r="H674" s="448"/>
      <c r="I674" s="376"/>
      <c r="J674" s="462"/>
      <c r="K674" s="460"/>
      <c r="L674" s="440"/>
      <c r="M674" s="419"/>
      <c r="N674" s="446"/>
      <c r="O674" s="447"/>
      <c r="P674" s="448"/>
      <c r="Q674" s="378"/>
      <c r="R674" s="378"/>
      <c r="S674" s="378"/>
      <c r="T674" s="378"/>
      <c r="U674" s="378"/>
      <c r="V674" s="378"/>
      <c r="W674" s="378"/>
      <c r="X674" s="378"/>
      <c r="Y674" s="378"/>
      <c r="Z674" s="378"/>
      <c r="AA674" s="378"/>
      <c r="AB674" s="378"/>
      <c r="AC674" s="378"/>
      <c r="AD674" s="378"/>
      <c r="AE674" s="378"/>
      <c r="AF674" s="378"/>
      <c r="AG674" s="378"/>
    </row>
    <row r="675">
      <c r="A675" s="378"/>
      <c r="B675" s="459" t="s">
        <v>718</v>
      </c>
      <c r="C675" s="460">
        <v>200.0</v>
      </c>
      <c r="D675" s="440"/>
      <c r="E675" s="419"/>
      <c r="F675" s="463"/>
      <c r="G675" s="463"/>
      <c r="H675" s="448"/>
      <c r="I675" s="376"/>
      <c r="J675" s="462"/>
      <c r="K675" s="460"/>
      <c r="L675" s="440"/>
      <c r="M675" s="419"/>
      <c r="N675" s="446"/>
      <c r="O675" s="447"/>
      <c r="P675" s="448"/>
      <c r="Q675" s="378"/>
      <c r="R675" s="378"/>
      <c r="S675" s="378"/>
      <c r="T675" s="378"/>
      <c r="U675" s="378"/>
      <c r="V675" s="378"/>
      <c r="W675" s="378"/>
      <c r="X675" s="378"/>
      <c r="Y675" s="378"/>
      <c r="Z675" s="378"/>
      <c r="AA675" s="378"/>
      <c r="AB675" s="378"/>
      <c r="AC675" s="378"/>
      <c r="AD675" s="378"/>
      <c r="AE675" s="378"/>
      <c r="AF675" s="378"/>
      <c r="AG675" s="378"/>
    </row>
    <row r="676">
      <c r="A676" s="378"/>
      <c r="B676" s="459" t="s">
        <v>656</v>
      </c>
      <c r="C676" s="460">
        <f>IFERROR(__xludf.DUMMYFUNCTION("FILTER(D967:D995,C967:C995=G657)"),2937.19)</f>
        <v>2937.19</v>
      </c>
      <c r="D676" s="578"/>
      <c r="E676" s="419"/>
      <c r="F676" s="463"/>
      <c r="G676" s="463"/>
      <c r="H676" s="448"/>
      <c r="I676" s="376"/>
      <c r="J676" s="462"/>
      <c r="K676" s="460"/>
      <c r="L676" s="440"/>
      <c r="M676" s="419"/>
      <c r="N676" s="446"/>
      <c r="O676" s="447"/>
      <c r="P676" s="448"/>
      <c r="Q676" s="378"/>
      <c r="R676" s="378"/>
      <c r="S676" s="378"/>
      <c r="T676" s="378"/>
      <c r="U676" s="378"/>
      <c r="V676" s="378"/>
      <c r="W676" s="378"/>
      <c r="X676" s="378"/>
      <c r="Y676" s="378"/>
      <c r="Z676" s="378"/>
      <c r="AA676" s="378"/>
      <c r="AB676" s="378"/>
      <c r="AC676" s="378"/>
      <c r="AD676" s="378"/>
      <c r="AE676" s="378"/>
      <c r="AF676" s="378"/>
      <c r="AG676" s="378"/>
    </row>
    <row r="677">
      <c r="A677" s="378"/>
      <c r="B677" s="454" t="s">
        <v>883</v>
      </c>
      <c r="C677" s="455"/>
      <c r="D677" s="435"/>
      <c r="E677" s="419"/>
      <c r="F677" s="468" t="s">
        <v>842</v>
      </c>
      <c r="G677" s="538">
        <f>H665+C670-C682</f>
        <v>-469.19</v>
      </c>
      <c r="H677" s="211"/>
      <c r="I677" s="376"/>
      <c r="J677" s="467"/>
      <c r="K677" s="455"/>
      <c r="L677" s="435"/>
      <c r="M677" s="419"/>
      <c r="N677" s="468" t="s">
        <v>842</v>
      </c>
      <c r="O677" s="539">
        <f>P665+K670-K682</f>
        <v>1381.25</v>
      </c>
      <c r="P677" s="211"/>
      <c r="Q677" s="378"/>
      <c r="R677" s="378"/>
      <c r="S677" s="378"/>
      <c r="T677" s="378"/>
      <c r="U677" s="378"/>
      <c r="V677" s="378"/>
      <c r="W677" s="378"/>
      <c r="X677" s="378"/>
      <c r="Y677" s="378"/>
      <c r="Z677" s="378"/>
      <c r="AA677" s="378"/>
      <c r="AB677" s="378"/>
      <c r="AC677" s="378"/>
      <c r="AD677" s="378"/>
      <c r="AE677" s="378"/>
      <c r="AF677" s="378"/>
      <c r="AG677" s="378"/>
    </row>
    <row r="678">
      <c r="A678" s="378"/>
      <c r="B678" s="464"/>
      <c r="C678" s="455"/>
      <c r="D678" s="435"/>
      <c r="E678" s="419"/>
      <c r="F678" s="469" t="s">
        <v>843</v>
      </c>
      <c r="G678" s="278"/>
      <c r="H678" s="56"/>
      <c r="I678" s="376"/>
      <c r="J678" s="467"/>
      <c r="K678" s="455"/>
      <c r="L678" s="435"/>
      <c r="M678" s="419"/>
      <c r="N678" s="469" t="s">
        <v>854</v>
      </c>
      <c r="O678" s="278"/>
      <c r="P678" s="56"/>
      <c r="Q678" s="378"/>
      <c r="R678" s="378"/>
      <c r="S678" s="378"/>
      <c r="T678" s="378"/>
      <c r="U678" s="378"/>
      <c r="V678" s="378"/>
      <c r="W678" s="378"/>
      <c r="X678" s="378"/>
      <c r="Y678" s="378"/>
      <c r="Z678" s="378"/>
      <c r="AA678" s="378"/>
      <c r="AB678" s="378"/>
      <c r="AC678" s="378"/>
      <c r="AD678" s="378"/>
      <c r="AE678" s="378"/>
      <c r="AF678" s="378"/>
      <c r="AG678" s="378"/>
    </row>
    <row r="679">
      <c r="A679" s="378"/>
      <c r="B679" s="464"/>
      <c r="C679" s="455"/>
      <c r="D679" s="435"/>
      <c r="E679" s="419"/>
      <c r="F679" s="470"/>
      <c r="G679" s="215"/>
      <c r="H679" s="64"/>
      <c r="I679" s="376"/>
      <c r="J679" s="467"/>
      <c r="K679" s="455"/>
      <c r="L679" s="435"/>
      <c r="M679" s="419"/>
      <c r="N679" s="470"/>
      <c r="O679" s="215"/>
      <c r="P679" s="64"/>
      <c r="Q679" s="378"/>
      <c r="R679" s="378"/>
      <c r="S679" s="378"/>
      <c r="T679" s="378"/>
      <c r="U679" s="378"/>
      <c r="V679" s="378"/>
      <c r="W679" s="378"/>
      <c r="X679" s="378"/>
      <c r="Y679" s="378"/>
      <c r="Z679" s="378"/>
      <c r="AA679" s="378"/>
      <c r="AB679" s="378"/>
      <c r="AC679" s="378"/>
      <c r="AD679" s="378"/>
      <c r="AE679" s="378"/>
      <c r="AF679" s="378"/>
      <c r="AG679" s="378"/>
    </row>
    <row r="680">
      <c r="A680" s="378"/>
      <c r="B680" s="464"/>
      <c r="C680" s="455"/>
      <c r="D680" s="435"/>
      <c r="E680" s="419"/>
      <c r="F680" s="419"/>
      <c r="G680" s="419"/>
      <c r="H680" s="429"/>
      <c r="I680" s="376"/>
      <c r="J680" s="467"/>
      <c r="K680" s="455"/>
      <c r="L680" s="435"/>
      <c r="M680" s="419"/>
      <c r="N680" s="431"/>
      <c r="O680" s="432"/>
      <c r="P680" s="429"/>
      <c r="Q680" s="378"/>
      <c r="R680" s="378"/>
      <c r="S680" s="378"/>
      <c r="T680" s="378"/>
      <c r="U680" s="378"/>
      <c r="V680" s="378"/>
      <c r="W680" s="378"/>
      <c r="X680" s="378"/>
      <c r="Y680" s="378"/>
      <c r="Z680" s="378"/>
      <c r="AA680" s="378"/>
      <c r="AB680" s="378"/>
      <c r="AC680" s="378"/>
      <c r="AD680" s="378"/>
      <c r="AE680" s="378"/>
      <c r="AF680" s="378"/>
      <c r="AG680" s="378"/>
    </row>
    <row r="681">
      <c r="A681" s="378"/>
      <c r="B681" s="464"/>
      <c r="C681" s="455"/>
      <c r="D681" s="435"/>
      <c r="E681" s="419"/>
      <c r="F681" s="419"/>
      <c r="G681" s="419"/>
      <c r="H681" s="429"/>
      <c r="I681" s="376"/>
      <c r="J681" s="467"/>
      <c r="K681" s="455"/>
      <c r="L681" s="435"/>
      <c r="M681" s="419"/>
      <c r="N681" s="431"/>
      <c r="O681" s="432"/>
      <c r="P681" s="429"/>
      <c r="Q681" s="378"/>
      <c r="R681" s="378"/>
      <c r="S681" s="378"/>
      <c r="T681" s="378"/>
      <c r="U681" s="378"/>
      <c r="V681" s="378"/>
      <c r="W681" s="378"/>
      <c r="X681" s="378"/>
      <c r="Y681" s="378"/>
      <c r="Z681" s="378"/>
      <c r="AA681" s="378"/>
      <c r="AB681" s="378"/>
      <c r="AC681" s="378"/>
      <c r="AD681" s="378"/>
      <c r="AE681" s="378"/>
      <c r="AF681" s="378"/>
      <c r="AG681" s="378"/>
    </row>
    <row r="682">
      <c r="A682" s="378"/>
      <c r="B682" s="454" t="s">
        <v>721</v>
      </c>
      <c r="C682" s="460">
        <f>SUM(C673:C681)</f>
        <v>3637.19</v>
      </c>
      <c r="D682" s="579"/>
      <c r="E682" s="580"/>
      <c r="F682" s="580"/>
      <c r="G682" s="580"/>
      <c r="H682" s="581"/>
      <c r="I682" s="376"/>
      <c r="J682" s="458" t="s">
        <v>721</v>
      </c>
      <c r="K682" s="460">
        <f>SUM(K673:K681)</f>
        <v>0</v>
      </c>
      <c r="L682" s="440"/>
      <c r="M682" s="419"/>
      <c r="N682" s="431"/>
      <c r="O682" s="432"/>
      <c r="P682" s="429"/>
      <c r="Q682" s="378"/>
      <c r="R682" s="378"/>
      <c r="S682" s="378"/>
      <c r="T682" s="378"/>
      <c r="U682" s="378"/>
      <c r="V682" s="378"/>
      <c r="W682" s="378"/>
      <c r="X682" s="378"/>
      <c r="Y682" s="378"/>
      <c r="Z682" s="378"/>
      <c r="AA682" s="378"/>
      <c r="AB682" s="378"/>
      <c r="AC682" s="378"/>
      <c r="AD682" s="378"/>
      <c r="AE682" s="378"/>
      <c r="AF682" s="378"/>
      <c r="AG682" s="378"/>
    </row>
    <row r="683">
      <c r="A683" s="378"/>
      <c r="B683" s="550"/>
      <c r="C683" s="463"/>
      <c r="D683" s="463"/>
      <c r="E683" s="463"/>
      <c r="F683" s="463"/>
      <c r="G683" s="463"/>
      <c r="H683" s="463"/>
      <c r="I683" s="376"/>
      <c r="J683" s="377"/>
      <c r="K683" s="378"/>
      <c r="L683" s="378"/>
      <c r="M683" s="378"/>
      <c r="N683" s="379"/>
      <c r="O683" s="380"/>
      <c r="P683" s="378"/>
      <c r="Q683" s="378"/>
      <c r="R683" s="378"/>
      <c r="S683" s="378"/>
      <c r="T683" s="378"/>
      <c r="U683" s="378"/>
      <c r="V683" s="378"/>
      <c r="W683" s="378"/>
      <c r="X683" s="378"/>
      <c r="Y683" s="378"/>
      <c r="Z683" s="378"/>
      <c r="AA683" s="378"/>
      <c r="AB683" s="378"/>
      <c r="AC683" s="378"/>
      <c r="AD683" s="378"/>
      <c r="AE683" s="378"/>
      <c r="AF683" s="378"/>
      <c r="AG683" s="378"/>
    </row>
    <row r="684">
      <c r="A684" s="378"/>
      <c r="B684" s="550"/>
      <c r="C684" s="463"/>
      <c r="D684" s="463"/>
      <c r="E684" s="463"/>
      <c r="F684" s="463"/>
      <c r="G684" s="463"/>
      <c r="H684" s="463"/>
      <c r="I684" s="376"/>
      <c r="J684" s="377"/>
      <c r="K684" s="378"/>
      <c r="L684" s="378"/>
      <c r="M684" s="378"/>
      <c r="N684" s="379"/>
      <c r="O684" s="380"/>
      <c r="P684" s="378"/>
      <c r="Q684" s="378"/>
      <c r="R684" s="378"/>
      <c r="S684" s="378"/>
      <c r="T684" s="378"/>
      <c r="U684" s="378"/>
      <c r="V684" s="378"/>
      <c r="W684" s="378"/>
      <c r="X684" s="378"/>
      <c r="Y684" s="378"/>
      <c r="Z684" s="378"/>
      <c r="AA684" s="378"/>
      <c r="AB684" s="378"/>
      <c r="AC684" s="378"/>
      <c r="AD684" s="378"/>
      <c r="AE684" s="378"/>
      <c r="AF684" s="378"/>
      <c r="AG684" s="378"/>
    </row>
    <row r="685">
      <c r="A685" s="378"/>
      <c r="B685" s="382"/>
      <c r="C685" s="383"/>
      <c r="D685" s="384"/>
      <c r="E685" s="385" t="s">
        <v>700</v>
      </c>
      <c r="F685" s="385" t="str">
        <f>Board!A2</f>
        <v>11.17.25-11.23.25</v>
      </c>
      <c r="G685" s="213"/>
      <c r="H685" s="211"/>
      <c r="I685" s="386">
        <v>23.0</v>
      </c>
      <c r="J685" s="387"/>
      <c r="K685" s="388"/>
      <c r="L685" s="384"/>
      <c r="M685" s="385" t="s">
        <v>700</v>
      </c>
      <c r="N685" s="385" t="str">
        <f>Board!A2</f>
        <v>11.17.25-11.23.25</v>
      </c>
      <c r="O685" s="213"/>
      <c r="P685" s="211"/>
      <c r="Q685" s="378"/>
      <c r="R685" s="389" t="s">
        <v>831</v>
      </c>
      <c r="S685" s="389" t="s">
        <v>652</v>
      </c>
      <c r="T685" s="390" t="s">
        <v>832</v>
      </c>
      <c r="U685" s="391" t="s">
        <v>833</v>
      </c>
      <c r="V685" s="389" t="s">
        <v>655</v>
      </c>
      <c r="W685" s="389" t="s">
        <v>8</v>
      </c>
      <c r="X685" s="389" t="s">
        <v>656</v>
      </c>
      <c r="Y685" s="390" t="s">
        <v>834</v>
      </c>
      <c r="Z685" s="392" t="s">
        <v>835</v>
      </c>
      <c r="AA685" s="390" t="s">
        <v>836</v>
      </c>
      <c r="AB685" s="390" t="s">
        <v>837</v>
      </c>
      <c r="AC685" s="393" t="s">
        <v>716</v>
      </c>
      <c r="AD685" s="393" t="s">
        <v>717</v>
      </c>
      <c r="AE685" s="393" t="s">
        <v>718</v>
      </c>
      <c r="AF685" s="394" t="s">
        <v>838</v>
      </c>
      <c r="AG685" s="394"/>
    </row>
    <row r="686">
      <c r="A686" s="378"/>
      <c r="B686" s="395"/>
      <c r="C686" s="372"/>
      <c r="D686" s="396"/>
      <c r="E686" s="385" t="s">
        <v>702</v>
      </c>
      <c r="F686" s="385" t="s">
        <v>897</v>
      </c>
      <c r="G686" s="213"/>
      <c r="H686" s="211"/>
      <c r="I686" s="376"/>
      <c r="J686" s="397"/>
      <c r="K686" s="372"/>
      <c r="L686" s="396"/>
      <c r="M686" s="385" t="s">
        <v>351</v>
      </c>
      <c r="N686" s="385" t="str">
        <f t="array" ref="N686">XLOOKUP(N687,Board!K:K,Board!J:J)</f>
        <v>TOUSSAINT BESANTO</v>
      </c>
      <c r="O686" s="213"/>
      <c r="P686" s="211"/>
      <c r="Q686" s="378"/>
      <c r="R686" s="398">
        <f>I685</f>
        <v>23</v>
      </c>
      <c r="S686" s="398">
        <f>F687</f>
        <v>7807</v>
      </c>
      <c r="T686" s="399">
        <f>G707</f>
        <v>3381.45</v>
      </c>
      <c r="U686" s="378" t="str">
        <f>N686</f>
        <v>TOUSSAINT BESANTO</v>
      </c>
      <c r="V686" s="380">
        <f>O707</f>
        <v>1921.4</v>
      </c>
      <c r="W686" s="399">
        <f>P695</f>
        <v>1921.4</v>
      </c>
      <c r="X686" s="399">
        <f>C706</f>
        <v>1727.09</v>
      </c>
      <c r="Y686" s="400">
        <f>N695</f>
        <v>2956</v>
      </c>
      <c r="Z686" s="399">
        <f>V687-V686</f>
        <v>1460.05</v>
      </c>
      <c r="AA686" s="378"/>
      <c r="AB686" s="378"/>
      <c r="AC686" s="401" t="str">
        <f>C703</f>
        <v/>
      </c>
      <c r="AD686" s="401" t="str">
        <f>C704</f>
        <v/>
      </c>
      <c r="AE686" s="401" t="str">
        <f>C705</f>
        <v/>
      </c>
      <c r="AF686" s="398">
        <f>C707+C708+C709+C710+C711</f>
        <v>0</v>
      </c>
      <c r="AG686" s="398"/>
    </row>
    <row r="687">
      <c r="A687" s="378"/>
      <c r="B687" s="395"/>
      <c r="C687" s="372"/>
      <c r="D687" s="402"/>
      <c r="E687" s="385" t="s">
        <v>703</v>
      </c>
      <c r="F687" s="385">
        <v>7807.0</v>
      </c>
      <c r="G687" s="213"/>
      <c r="H687" s="211"/>
      <c r="I687" s="376"/>
      <c r="J687" s="397"/>
      <c r="K687" s="372"/>
      <c r="L687" s="402"/>
      <c r="M687" s="385" t="s">
        <v>703</v>
      </c>
      <c r="N687" s="385">
        <f>F687</f>
        <v>7807</v>
      </c>
      <c r="O687" s="213"/>
      <c r="P687" s="211"/>
      <c r="Q687" s="378"/>
      <c r="R687" s="378"/>
      <c r="S687" s="378"/>
      <c r="T687" s="378"/>
      <c r="U687" s="378" t="str">
        <f>F686</f>
        <v>KOMO Logistics LLC</v>
      </c>
      <c r="V687" s="399">
        <f>G707</f>
        <v>3381.45</v>
      </c>
      <c r="W687" s="399">
        <f>H695</f>
        <v>4147.44</v>
      </c>
      <c r="X687" s="378"/>
      <c r="Y687" s="378"/>
      <c r="Z687" s="378"/>
      <c r="AA687" s="378"/>
      <c r="AB687" s="378"/>
      <c r="AC687" s="378"/>
      <c r="AD687" s="378"/>
      <c r="AE687" s="378"/>
      <c r="AF687" s="378"/>
      <c r="AG687" s="378"/>
    </row>
    <row r="688">
      <c r="A688" s="378"/>
      <c r="B688" s="403" t="s">
        <v>704</v>
      </c>
      <c r="C688" s="404" t="s">
        <v>5</v>
      </c>
      <c r="D688" s="405" t="s">
        <v>6</v>
      </c>
      <c r="E688" s="406" t="s">
        <v>7</v>
      </c>
      <c r="F688" s="404" t="s">
        <v>8</v>
      </c>
      <c r="G688" s="404" t="s">
        <v>706</v>
      </c>
      <c r="H688" s="404" t="s">
        <v>707</v>
      </c>
      <c r="I688" s="376"/>
      <c r="J688" s="407" t="s">
        <v>704</v>
      </c>
      <c r="K688" s="404" t="s">
        <v>5</v>
      </c>
      <c r="L688" s="405" t="s">
        <v>6</v>
      </c>
      <c r="M688" s="406" t="s">
        <v>7</v>
      </c>
      <c r="N688" s="404" t="s">
        <v>591</v>
      </c>
      <c r="O688" s="408" t="s">
        <v>839</v>
      </c>
      <c r="P688" s="404" t="s">
        <v>707</v>
      </c>
      <c r="Q688" s="378"/>
      <c r="R688" s="378"/>
      <c r="S688" s="378"/>
      <c r="T688" s="378"/>
      <c r="U688" s="378"/>
      <c r="V688" s="378"/>
      <c r="W688" s="378"/>
      <c r="X688" s="378"/>
      <c r="Y688" s="378"/>
      <c r="Z688" s="378"/>
      <c r="AA688" s="378"/>
      <c r="AB688" s="378"/>
      <c r="AC688" s="378"/>
      <c r="AD688" s="378"/>
      <c r="AE688" s="378"/>
      <c r="AF688" s="378"/>
      <c r="AG688" s="378"/>
    </row>
    <row r="689">
      <c r="A689" s="378"/>
      <c r="B689" s="555">
        <f>IFERROR(__xludf.DUMMYFUNCTION("FILTER(Board!C:G,Board!K:K=F687)"),45978.0)</f>
        <v>45978</v>
      </c>
      <c r="C689" s="404">
        <f>IFERROR(__xludf.DUMMYFUNCTION("""COMPUTED_VALUE"""),2.0599741E7)</f>
        <v>20599741</v>
      </c>
      <c r="D689" s="405" t="str">
        <f>IFERROR(__xludf.DUMMYFUNCTION("""COMPUTED_VALUE"""),"Bradenton, FL, 34208")</f>
        <v>Bradenton, FL, 34208</v>
      </c>
      <c r="E689" s="406" t="str">
        <f>IFERROR(__xludf.DUMMYFUNCTION("""COMPUTED_VALUE"""),"Rogers, AR, 72758")</f>
        <v>Rogers, AR, 72758</v>
      </c>
      <c r="F689" s="414">
        <f>IFERROR(__xludf.DUMMYFUNCTION("""COMPUTED_VALUE"""),1240.0)</f>
        <v>1240</v>
      </c>
      <c r="G689" s="413">
        <v>0.88</v>
      </c>
      <c r="H689" s="414">
        <f t="shared" ref="H689:H691" si="42">F689*G689</f>
        <v>1091.2</v>
      </c>
      <c r="I689" s="376"/>
      <c r="J689" s="415">
        <f>IFERROR(__xludf.DUMMYFUNCTION("FILTER(Board!C:F,Board!K:K=N687)"),45978.0)</f>
        <v>45978</v>
      </c>
      <c r="K689" s="411">
        <f>IFERROR(__xludf.DUMMYFUNCTION("""COMPUTED_VALUE"""),2.0599741E7)</f>
        <v>20599741</v>
      </c>
      <c r="L689" s="411" t="str">
        <f>IFERROR(__xludf.DUMMYFUNCTION("""COMPUTED_VALUE"""),"Bradenton, FL, 34208")</f>
        <v>Bradenton, FL, 34208</v>
      </c>
      <c r="M689" s="411" t="str">
        <f>IFERROR(__xludf.DUMMYFUNCTION("""COMPUTED_VALUE"""),"Rogers, AR, 72758")</f>
        <v>Rogers, AR, 72758</v>
      </c>
      <c r="N689" s="416">
        <f>IFERROR(__xludf.DUMMYFUNCTION("FILTER(Board!H:H,Board!K:K=N687)"),1275.0)</f>
        <v>1275</v>
      </c>
      <c r="O689" s="408">
        <v>0.65</v>
      </c>
      <c r="P689" s="414">
        <f t="shared" ref="P689:P691" si="43">N689*O689</f>
        <v>828.75</v>
      </c>
      <c r="Q689" s="378"/>
      <c r="R689" s="378"/>
      <c r="S689" s="378"/>
      <c r="T689" s="378"/>
      <c r="U689" s="378"/>
      <c r="V689" s="378"/>
      <c r="W689" s="378"/>
      <c r="X689" s="378"/>
      <c r="Y689" s="378"/>
      <c r="Z689" s="378"/>
      <c r="AA689" s="378"/>
      <c r="AB689" s="378"/>
      <c r="AC689" s="378"/>
      <c r="AD689" s="378"/>
      <c r="AE689" s="378"/>
      <c r="AF689" s="378"/>
      <c r="AG689" s="378"/>
    </row>
    <row r="690">
      <c r="A690" s="378"/>
      <c r="B690" s="555">
        <f>IFERROR(__xludf.DUMMYFUNCTION("""COMPUTED_VALUE"""),45980.0)</f>
        <v>45980</v>
      </c>
      <c r="C690" s="404">
        <f>IFERROR(__xludf.DUMMYFUNCTION("""COMPUTED_VALUE"""),2.0676852E7)</f>
        <v>20676852</v>
      </c>
      <c r="D690" s="405" t="str">
        <f>IFERROR(__xludf.DUMMYFUNCTION("""COMPUTED_VALUE"""),"Miami, OK, 74355")</f>
        <v>Miami, OK, 74355</v>
      </c>
      <c r="E690" s="406" t="str">
        <f>IFERROR(__xludf.DUMMYFUNCTION("""COMPUTED_VALUE"""),"Whitestown, IN, 46075")</f>
        <v>Whitestown, IN, 46075</v>
      </c>
      <c r="F690" s="414">
        <f>IFERROR(__xludf.DUMMYFUNCTION("""COMPUTED_VALUE"""),1023.0)</f>
        <v>1023</v>
      </c>
      <c r="G690" s="413">
        <v>0.88</v>
      </c>
      <c r="H690" s="414">
        <f t="shared" si="42"/>
        <v>900.24</v>
      </c>
      <c r="I690" s="376"/>
      <c r="J690" s="418">
        <f>IFERROR(__xludf.DUMMYFUNCTION("""COMPUTED_VALUE"""),45980.0)</f>
        <v>45980</v>
      </c>
      <c r="K690" s="411">
        <f>IFERROR(__xludf.DUMMYFUNCTION("""COMPUTED_VALUE"""),2.0676852E7)</f>
        <v>20676852</v>
      </c>
      <c r="L690" s="411" t="str">
        <f>IFERROR(__xludf.DUMMYFUNCTION("""COMPUTED_VALUE"""),"Miami, OK, 74355")</f>
        <v>Miami, OK, 74355</v>
      </c>
      <c r="M690" s="411" t="str">
        <f>IFERROR(__xludf.DUMMYFUNCTION("""COMPUTED_VALUE"""),"Whitestown, IN, 46075")</f>
        <v>Whitestown, IN, 46075</v>
      </c>
      <c r="N690" s="416">
        <f>IFERROR(__xludf.DUMMYFUNCTION("""COMPUTED_VALUE"""),655.0)</f>
        <v>655</v>
      </c>
      <c r="O690" s="408">
        <v>0.65</v>
      </c>
      <c r="P690" s="414">
        <f t="shared" si="43"/>
        <v>425.75</v>
      </c>
      <c r="Q690" s="378"/>
      <c r="R690" s="378"/>
      <c r="S690" s="378"/>
      <c r="T690" s="378"/>
      <c r="U690" s="378"/>
      <c r="V690" s="378"/>
      <c r="W690" s="378"/>
      <c r="X690" s="378"/>
      <c r="Y690" s="378"/>
      <c r="Z690" s="378"/>
      <c r="AA690" s="378"/>
      <c r="AB690" s="378"/>
      <c r="AC690" s="378"/>
      <c r="AD690" s="378"/>
      <c r="AE690" s="378"/>
      <c r="AF690" s="378"/>
      <c r="AG690" s="378"/>
    </row>
    <row r="691">
      <c r="A691" s="378"/>
      <c r="B691" s="499">
        <f>IFERROR(__xludf.DUMMYFUNCTION("""COMPUTED_VALUE"""),45982.0)</f>
        <v>45982</v>
      </c>
      <c r="C691" s="421">
        <f>IFERROR(__xludf.DUMMYFUNCTION("""COMPUTED_VALUE"""),2.0554704E7)</f>
        <v>20554704</v>
      </c>
      <c r="D691" s="422" t="str">
        <f>IFERROR(__xludf.DUMMYFUNCTION("""COMPUTED_VALUE"""),"Paw Paw, MI, 49079")</f>
        <v>Paw Paw, MI, 49079</v>
      </c>
      <c r="E691" s="423" t="str">
        <f>IFERROR(__xludf.DUMMYFUNCTION("""COMPUTED_VALUE"""),"Windsor, CT, 06095")</f>
        <v>Windsor, CT, 06095</v>
      </c>
      <c r="F691" s="500">
        <f>IFERROR(__xludf.DUMMYFUNCTION("""COMPUTED_VALUE"""),2450.0)</f>
        <v>2450</v>
      </c>
      <c r="G691" s="413">
        <v>0.88</v>
      </c>
      <c r="H691" s="414">
        <f t="shared" si="42"/>
        <v>2156</v>
      </c>
      <c r="I691" s="376"/>
      <c r="J691" s="545">
        <f>IFERROR(__xludf.DUMMYFUNCTION("""COMPUTED_VALUE"""),45982.0)</f>
        <v>45982</v>
      </c>
      <c r="K691" s="421">
        <f>IFERROR(__xludf.DUMMYFUNCTION("""COMPUTED_VALUE"""),2.0554704E7)</f>
        <v>20554704</v>
      </c>
      <c r="L691" s="422" t="str">
        <f>IFERROR(__xludf.DUMMYFUNCTION("""COMPUTED_VALUE"""),"Paw Paw, MI, 49079")</f>
        <v>Paw Paw, MI, 49079</v>
      </c>
      <c r="M691" s="423" t="str">
        <f>IFERROR(__xludf.DUMMYFUNCTION("""COMPUTED_VALUE"""),"Windsor, CT, 06095")</f>
        <v>Windsor, CT, 06095</v>
      </c>
      <c r="N691" s="546">
        <f>IFERROR(__xludf.DUMMYFUNCTION("""COMPUTED_VALUE"""),1026.0)</f>
        <v>1026</v>
      </c>
      <c r="O691" s="408">
        <v>0.65</v>
      </c>
      <c r="P691" s="414">
        <f t="shared" si="43"/>
        <v>666.9</v>
      </c>
      <c r="Q691" s="378"/>
      <c r="R691" s="378"/>
      <c r="S691" s="378"/>
      <c r="T691" s="378"/>
      <c r="U691" s="378"/>
      <c r="V691" s="378"/>
      <c r="W691" s="378"/>
      <c r="X691" s="378"/>
      <c r="Y691" s="378"/>
      <c r="Z691" s="378"/>
      <c r="AA691" s="378"/>
      <c r="AB691" s="378"/>
      <c r="AC691" s="378"/>
      <c r="AD691" s="378"/>
      <c r="AE691" s="378"/>
      <c r="AF691" s="378"/>
      <c r="AG691" s="378"/>
    </row>
    <row r="692">
      <c r="A692" s="378"/>
      <c r="B692" s="420"/>
      <c r="C692" s="421"/>
      <c r="D692" s="422"/>
      <c r="E692" s="423"/>
      <c r="F692" s="421"/>
      <c r="G692" s="413"/>
      <c r="H692" s="414"/>
      <c r="I692" s="376"/>
      <c r="J692" s="424"/>
      <c r="K692" s="421"/>
      <c r="L692" s="422"/>
      <c r="M692" s="423"/>
      <c r="N692" s="425"/>
      <c r="O692" s="408"/>
      <c r="P692" s="414"/>
      <c r="Q692" s="378"/>
      <c r="R692" s="378"/>
      <c r="S692" s="378"/>
      <c r="T692" s="378"/>
      <c r="U692" s="378"/>
      <c r="V692" s="378"/>
      <c r="W692" s="378"/>
      <c r="X692" s="378"/>
      <c r="Y692" s="378"/>
      <c r="Z692" s="378"/>
      <c r="AA692" s="378"/>
      <c r="AB692" s="378"/>
      <c r="AC692" s="378"/>
      <c r="AD692" s="378"/>
      <c r="AE692" s="378"/>
      <c r="AF692" s="378"/>
      <c r="AG692" s="378"/>
    </row>
    <row r="693">
      <c r="A693" s="378"/>
      <c r="B693" s="420"/>
      <c r="C693" s="421"/>
      <c r="D693" s="422"/>
      <c r="E693" s="423"/>
      <c r="F693" s="421"/>
      <c r="G693" s="413"/>
      <c r="H693" s="414"/>
      <c r="I693" s="376"/>
      <c r="J693" s="424"/>
      <c r="K693" s="421"/>
      <c r="L693" s="422"/>
      <c r="M693" s="423"/>
      <c r="N693" s="425"/>
      <c r="O693" s="408"/>
      <c r="P693" s="414"/>
      <c r="Q693" s="378"/>
      <c r="R693" s="378"/>
      <c r="S693" s="378"/>
      <c r="T693" s="378"/>
      <c r="U693" s="378"/>
      <c r="V693" s="378"/>
      <c r="W693" s="378"/>
      <c r="X693" s="378"/>
      <c r="Y693" s="378"/>
      <c r="Z693" s="378"/>
      <c r="AA693" s="378"/>
      <c r="AB693" s="378"/>
      <c r="AC693" s="378"/>
      <c r="AD693" s="378"/>
      <c r="AE693" s="378"/>
      <c r="AF693" s="378"/>
      <c r="AG693" s="378"/>
    </row>
    <row r="694">
      <c r="A694" s="378"/>
      <c r="B694" s="420"/>
      <c r="C694" s="421"/>
      <c r="D694" s="422"/>
      <c r="E694" s="423"/>
      <c r="F694" s="421"/>
      <c r="G694" s="413"/>
      <c r="H694" s="414"/>
      <c r="I694" s="376"/>
      <c r="J694" s="424"/>
      <c r="K694" s="421"/>
      <c r="L694" s="422"/>
      <c r="M694" s="423"/>
      <c r="N694" s="425"/>
      <c r="O694" s="408"/>
      <c r="P694" s="414"/>
      <c r="Q694" s="378"/>
      <c r="R694" s="378"/>
      <c r="S694" s="378"/>
      <c r="T694" s="378"/>
      <c r="U694" s="378"/>
      <c r="V694" s="378"/>
      <c r="W694" s="378"/>
      <c r="X694" s="378"/>
      <c r="Y694" s="378"/>
      <c r="Z694" s="378"/>
      <c r="AA694" s="378"/>
      <c r="AB694" s="378"/>
      <c r="AC694" s="378"/>
      <c r="AD694" s="378"/>
      <c r="AE694" s="378"/>
      <c r="AF694" s="378"/>
      <c r="AG694" s="378"/>
    </row>
    <row r="695">
      <c r="A695" s="378"/>
      <c r="B695" s="403" t="s">
        <v>711</v>
      </c>
      <c r="C695" s="224"/>
      <c r="D695" s="224"/>
      <c r="E695" s="222"/>
      <c r="F695" s="414">
        <f>SUM(F689:F694)</f>
        <v>4713</v>
      </c>
      <c r="G695" s="421"/>
      <c r="H695" s="414">
        <f>SUM(H689:H694)</f>
        <v>4147.44</v>
      </c>
      <c r="I695" s="376"/>
      <c r="J695" s="407" t="s">
        <v>711</v>
      </c>
      <c r="K695" s="224"/>
      <c r="L695" s="224"/>
      <c r="M695" s="222"/>
      <c r="N695" s="426">
        <f>SUM(N689:N694)</f>
        <v>2956</v>
      </c>
      <c r="O695" s="427"/>
      <c r="P695" s="414">
        <f>SUM(P689:P694)</f>
        <v>1921.4</v>
      </c>
      <c r="Q695" s="378"/>
      <c r="R695" s="378"/>
      <c r="S695" s="378"/>
      <c r="T695" s="378"/>
      <c r="U695" s="378"/>
      <c r="V695" s="378"/>
      <c r="W695" s="378"/>
      <c r="X695" s="378"/>
      <c r="Y695" s="378"/>
      <c r="Z695" s="378"/>
      <c r="AA695" s="378"/>
      <c r="AB695" s="378"/>
      <c r="AC695" s="378"/>
      <c r="AD695" s="378"/>
      <c r="AE695" s="378"/>
      <c r="AF695" s="378"/>
      <c r="AG695" s="378"/>
    </row>
    <row r="696">
      <c r="A696" s="378"/>
      <c r="B696" s="428"/>
      <c r="C696" s="419"/>
      <c r="D696" s="419"/>
      <c r="E696" s="419"/>
      <c r="F696" s="419"/>
      <c r="G696" s="419"/>
      <c r="H696" s="429"/>
      <c r="I696" s="376"/>
      <c r="J696" s="430"/>
      <c r="K696" s="419"/>
      <c r="L696" s="419"/>
      <c r="M696" s="419"/>
      <c r="N696" s="431"/>
      <c r="O696" s="432"/>
      <c r="P696" s="429"/>
      <c r="Q696" s="378"/>
      <c r="R696" s="378"/>
      <c r="S696" s="378"/>
      <c r="T696" s="378"/>
      <c r="U696" s="378"/>
      <c r="V696" s="378"/>
      <c r="W696" s="378"/>
      <c r="X696" s="378"/>
      <c r="Y696" s="378"/>
      <c r="Z696" s="378"/>
      <c r="AA696" s="378"/>
      <c r="AB696" s="378"/>
      <c r="AC696" s="378"/>
      <c r="AD696" s="378"/>
      <c r="AE696" s="378"/>
      <c r="AF696" s="378"/>
      <c r="AG696" s="378"/>
    </row>
    <row r="697">
      <c r="A697" s="378"/>
      <c r="B697" s="433" t="s">
        <v>712</v>
      </c>
      <c r="C697" s="434"/>
      <c r="D697" s="435"/>
      <c r="E697" s="419"/>
      <c r="F697" s="441">
        <v>828.75</v>
      </c>
      <c r="G697" s="442">
        <v>1.0</v>
      </c>
      <c r="H697" s="441">
        <v>828.75</v>
      </c>
      <c r="I697" s="376"/>
      <c r="J697" s="437" t="s">
        <v>712</v>
      </c>
      <c r="K697" s="434"/>
      <c r="L697" s="435"/>
      <c r="M697" s="419"/>
      <c r="N697" s="431"/>
      <c r="O697" s="432"/>
      <c r="P697" s="429"/>
      <c r="Q697" s="378"/>
      <c r="R697" s="378"/>
      <c r="S697" s="378"/>
      <c r="T697" s="378"/>
      <c r="U697" s="378"/>
      <c r="V697" s="378"/>
      <c r="W697" s="378"/>
      <c r="X697" s="378"/>
      <c r="Y697" s="378"/>
      <c r="Z697" s="378"/>
      <c r="AA697" s="378"/>
      <c r="AB697" s="378"/>
      <c r="AC697" s="378"/>
      <c r="AD697" s="378"/>
      <c r="AE697" s="378"/>
      <c r="AF697" s="378"/>
      <c r="AG697" s="378"/>
    </row>
    <row r="698">
      <c r="A698" s="378"/>
      <c r="B698" s="438" t="s">
        <v>657</v>
      </c>
      <c r="C698" s="439">
        <v>961.1</v>
      </c>
      <c r="D698" s="440"/>
      <c r="E698" s="419"/>
      <c r="F698" s="441">
        <v>425.75</v>
      </c>
      <c r="G698" s="442">
        <v>1.0</v>
      </c>
      <c r="H698" s="441">
        <v>425.75</v>
      </c>
      <c r="I698" s="376"/>
      <c r="J698" s="443" t="s">
        <v>713</v>
      </c>
      <c r="K698" s="439"/>
      <c r="L698" s="440"/>
      <c r="M698" s="419"/>
      <c r="N698" s="431"/>
      <c r="O698" s="432"/>
      <c r="P698" s="429"/>
      <c r="Q698" s="378"/>
      <c r="R698" s="378"/>
      <c r="S698" s="378"/>
      <c r="T698" s="378"/>
      <c r="U698" s="378"/>
      <c r="V698" s="378"/>
      <c r="W698" s="378"/>
      <c r="X698" s="378"/>
      <c r="Y698" s="378"/>
      <c r="Z698" s="378"/>
      <c r="AA698" s="378"/>
      <c r="AB698" s="378"/>
      <c r="AC698" s="378"/>
      <c r="AD698" s="378"/>
      <c r="AE698" s="378"/>
      <c r="AF698" s="378"/>
      <c r="AG698" s="378"/>
    </row>
    <row r="699">
      <c r="A699" s="378"/>
      <c r="B699" s="444"/>
      <c r="C699" s="434"/>
      <c r="D699" s="435"/>
      <c r="E699" s="419"/>
      <c r="F699" s="441">
        <v>666.9</v>
      </c>
      <c r="G699" s="442">
        <v>1.0</v>
      </c>
      <c r="H699" s="441">
        <v>666.9</v>
      </c>
      <c r="I699" s="376"/>
      <c r="J699" s="445"/>
      <c r="K699" s="434"/>
      <c r="L699" s="435"/>
      <c r="M699" s="419"/>
      <c r="N699" s="446"/>
      <c r="O699" s="447"/>
      <c r="P699" s="448"/>
      <c r="Q699" s="378"/>
      <c r="R699" s="378"/>
      <c r="S699" s="378"/>
      <c r="T699" s="378"/>
      <c r="U699" s="378"/>
      <c r="V699" s="378"/>
      <c r="W699" s="378"/>
      <c r="X699" s="378"/>
      <c r="Y699" s="378"/>
      <c r="Z699" s="378"/>
      <c r="AA699" s="378"/>
      <c r="AB699" s="378"/>
      <c r="AC699" s="378"/>
      <c r="AD699" s="378"/>
      <c r="AE699" s="378"/>
      <c r="AF699" s="378"/>
      <c r="AG699" s="378"/>
    </row>
    <row r="700">
      <c r="A700" s="378"/>
      <c r="B700" s="438" t="s">
        <v>714</v>
      </c>
      <c r="C700" s="439">
        <f>SUM(C698:C699)</f>
        <v>961.1</v>
      </c>
      <c r="D700" s="440"/>
      <c r="E700" s="419"/>
      <c r="F700" s="449"/>
      <c r="G700" s="442">
        <v>1.0</v>
      </c>
      <c r="H700" s="441">
        <v>0.0</v>
      </c>
      <c r="I700" s="376"/>
      <c r="J700" s="443" t="s">
        <v>714</v>
      </c>
      <c r="K700" s="439">
        <f>SUM(K698:K699)</f>
        <v>0</v>
      </c>
      <c r="L700" s="440"/>
      <c r="M700" s="419"/>
      <c r="N700" s="446"/>
      <c r="O700" s="447"/>
      <c r="P700" s="448"/>
      <c r="Q700" s="378"/>
      <c r="R700" s="378"/>
      <c r="S700" s="378"/>
      <c r="T700" s="378"/>
      <c r="U700" s="378"/>
      <c r="V700" s="378"/>
      <c r="W700" s="378"/>
      <c r="X700" s="378"/>
      <c r="Y700" s="378"/>
      <c r="Z700" s="378"/>
      <c r="AA700" s="378"/>
      <c r="AB700" s="378"/>
      <c r="AC700" s="378"/>
      <c r="AD700" s="378"/>
      <c r="AE700" s="378"/>
      <c r="AF700" s="378"/>
      <c r="AG700" s="378"/>
    </row>
    <row r="701">
      <c r="A701" s="378"/>
      <c r="B701" s="450"/>
      <c r="C701" s="451"/>
      <c r="D701" s="419"/>
      <c r="E701" s="419"/>
      <c r="F701" s="449"/>
      <c r="G701" s="449"/>
      <c r="H701" s="449"/>
      <c r="I701" s="376"/>
      <c r="J701" s="535"/>
      <c r="K701" s="451"/>
      <c r="L701" s="419"/>
      <c r="M701" s="419"/>
      <c r="N701" s="446"/>
      <c r="O701" s="447"/>
      <c r="P701" s="448"/>
      <c r="Q701" s="378"/>
      <c r="R701" s="378"/>
      <c r="S701" s="378"/>
      <c r="T701" s="378"/>
      <c r="U701" s="378"/>
      <c r="V701" s="378"/>
      <c r="W701" s="378"/>
      <c r="X701" s="378"/>
      <c r="Y701" s="378"/>
      <c r="Z701" s="378"/>
      <c r="AA701" s="378"/>
      <c r="AB701" s="378"/>
      <c r="AC701" s="378"/>
      <c r="AD701" s="378"/>
      <c r="AE701" s="378"/>
      <c r="AF701" s="378"/>
      <c r="AG701" s="378"/>
    </row>
    <row r="702">
      <c r="A702" s="378"/>
      <c r="B702" s="454" t="s">
        <v>715</v>
      </c>
      <c r="C702" s="455"/>
      <c r="D702" s="435"/>
      <c r="E702" s="419"/>
      <c r="F702" s="461">
        <v>1921.4</v>
      </c>
      <c r="G702" s="449"/>
      <c r="H702" s="461">
        <v>1921.4</v>
      </c>
      <c r="I702" s="376"/>
      <c r="J702" s="458" t="s">
        <v>715</v>
      </c>
      <c r="K702" s="455"/>
      <c r="L702" s="435"/>
      <c r="M702" s="419"/>
      <c r="N702" s="446"/>
      <c r="O702" s="447"/>
      <c r="P702" s="448"/>
      <c r="Q702" s="378"/>
      <c r="R702" s="378"/>
      <c r="S702" s="378"/>
      <c r="T702" s="378"/>
      <c r="U702" s="378"/>
      <c r="V702" s="378"/>
      <c r="W702" s="378"/>
      <c r="X702" s="378"/>
      <c r="Y702" s="378"/>
      <c r="Z702" s="378"/>
      <c r="AA702" s="378"/>
      <c r="AB702" s="378"/>
      <c r="AC702" s="378"/>
      <c r="AD702" s="378"/>
      <c r="AE702" s="378"/>
      <c r="AF702" s="378"/>
      <c r="AG702" s="378"/>
    </row>
    <row r="703">
      <c r="A703" s="378"/>
      <c r="B703" s="459" t="s">
        <v>716</v>
      </c>
      <c r="C703" s="460"/>
      <c r="D703" s="574" t="s">
        <v>865</v>
      </c>
      <c r="E703" s="419"/>
      <c r="F703" s="463"/>
      <c r="G703" s="463"/>
      <c r="H703" s="448"/>
      <c r="I703" s="376"/>
      <c r="J703" s="462"/>
      <c r="K703" s="460"/>
      <c r="L703" s="440"/>
      <c r="M703" s="419"/>
      <c r="N703" s="446"/>
      <c r="O703" s="447"/>
      <c r="P703" s="448"/>
      <c r="Q703" s="378"/>
      <c r="R703" s="378"/>
      <c r="S703" s="378"/>
      <c r="T703" s="378"/>
      <c r="U703" s="378"/>
      <c r="V703" s="378"/>
      <c r="W703" s="378"/>
      <c r="X703" s="378"/>
      <c r="Y703" s="378"/>
      <c r="Z703" s="378"/>
      <c r="AA703" s="378"/>
      <c r="AB703" s="378"/>
      <c r="AC703" s="378"/>
      <c r="AD703" s="378"/>
      <c r="AE703" s="378"/>
      <c r="AF703" s="378"/>
      <c r="AG703" s="378"/>
    </row>
    <row r="704">
      <c r="A704" s="378"/>
      <c r="B704" s="459" t="s">
        <v>717</v>
      </c>
      <c r="C704" s="460"/>
      <c r="D704" s="440"/>
      <c r="E704" s="419"/>
      <c r="F704" s="463"/>
      <c r="G704" s="463"/>
      <c r="H704" s="448"/>
      <c r="I704" s="376"/>
      <c r="J704" s="462"/>
      <c r="K704" s="460"/>
      <c r="L704" s="440"/>
      <c r="M704" s="419"/>
      <c r="N704" s="446"/>
      <c r="O704" s="447"/>
      <c r="P704" s="448"/>
      <c r="Q704" s="378"/>
      <c r="R704" s="378"/>
      <c r="S704" s="378"/>
      <c r="T704" s="378"/>
      <c r="U704" s="378"/>
      <c r="V704" s="378"/>
      <c r="W704" s="378"/>
      <c r="X704" s="378"/>
      <c r="Y704" s="378"/>
      <c r="Z704" s="378"/>
      <c r="AA704" s="378"/>
      <c r="AB704" s="378"/>
      <c r="AC704" s="378"/>
      <c r="AD704" s="378"/>
      <c r="AE704" s="378"/>
      <c r="AF704" s="378"/>
      <c r="AG704" s="378"/>
    </row>
    <row r="705">
      <c r="A705" s="378"/>
      <c r="B705" s="459" t="s">
        <v>718</v>
      </c>
      <c r="C705" s="460"/>
      <c r="D705" s="440"/>
      <c r="E705" s="419"/>
      <c r="F705" s="463"/>
      <c r="G705" s="463"/>
      <c r="H705" s="448"/>
      <c r="I705" s="376"/>
      <c r="J705" s="462"/>
      <c r="K705" s="460"/>
      <c r="L705" s="440"/>
      <c r="M705" s="419"/>
      <c r="N705" s="446"/>
      <c r="O705" s="447"/>
      <c r="P705" s="448"/>
      <c r="Q705" s="378"/>
      <c r="R705" s="378"/>
      <c r="S705" s="378"/>
      <c r="T705" s="378"/>
      <c r="U705" s="378"/>
      <c r="V705" s="378"/>
      <c r="W705" s="378"/>
      <c r="X705" s="378"/>
      <c r="Y705" s="378"/>
      <c r="Z705" s="378"/>
      <c r="AA705" s="378"/>
      <c r="AB705" s="378"/>
      <c r="AC705" s="378"/>
      <c r="AD705" s="378"/>
      <c r="AE705" s="378"/>
      <c r="AF705" s="378"/>
      <c r="AG705" s="378"/>
    </row>
    <row r="706">
      <c r="A706" s="378"/>
      <c r="B706" s="459" t="s">
        <v>656</v>
      </c>
      <c r="C706" s="460">
        <f>IFERROR(__xludf.DUMMYFUNCTION("FILTER(D967:D995,C967:C995=F687)"),1727.09)</f>
        <v>1727.09</v>
      </c>
      <c r="D706" s="440">
        <v>0.0</v>
      </c>
      <c r="E706" s="419"/>
      <c r="F706" s="463"/>
      <c r="G706" s="463"/>
      <c r="H706" s="582">
        <v>2882.5</v>
      </c>
      <c r="I706" s="376"/>
      <c r="J706" s="462"/>
      <c r="K706" s="460"/>
      <c r="L706" s="440"/>
      <c r="M706" s="419"/>
      <c r="N706" s="446"/>
      <c r="O706" s="447"/>
      <c r="P706" s="448"/>
      <c r="Q706" s="378"/>
      <c r="R706" s="378"/>
      <c r="S706" s="378"/>
      <c r="T706" s="378"/>
      <c r="U706" s="378"/>
      <c r="V706" s="378"/>
      <c r="W706" s="378"/>
      <c r="X706" s="378"/>
      <c r="Y706" s="378"/>
      <c r="Z706" s="378"/>
      <c r="AA706" s="378"/>
      <c r="AB706" s="378"/>
      <c r="AC706" s="378"/>
      <c r="AD706" s="378"/>
      <c r="AE706" s="378"/>
      <c r="AF706" s="378"/>
      <c r="AG706" s="378"/>
    </row>
    <row r="707">
      <c r="A707" s="378"/>
      <c r="B707" s="464"/>
      <c r="C707" s="455"/>
      <c r="D707" s="435"/>
      <c r="E707" s="419"/>
      <c r="F707" s="468" t="s">
        <v>842</v>
      </c>
      <c r="G707" s="466">
        <f>H695+C700-C712</f>
        <v>3381.45</v>
      </c>
      <c r="H707" s="211"/>
      <c r="I707" s="376"/>
      <c r="J707" s="467"/>
      <c r="K707" s="455"/>
      <c r="L707" s="435"/>
      <c r="M707" s="419"/>
      <c r="N707" s="468" t="s">
        <v>842</v>
      </c>
      <c r="O707" s="539">
        <f>P695+K700-K712</f>
        <v>1921.4</v>
      </c>
      <c r="P707" s="211"/>
      <c r="Q707" s="378"/>
      <c r="R707" s="378"/>
      <c r="S707" s="378"/>
      <c r="T707" s="378"/>
      <c r="U707" s="378"/>
      <c r="V707" s="378"/>
      <c r="W707" s="378"/>
      <c r="X707" s="378"/>
      <c r="Y707" s="378"/>
      <c r="Z707" s="378"/>
      <c r="AA707" s="378"/>
      <c r="AB707" s="378"/>
      <c r="AC707" s="378"/>
      <c r="AD707" s="378"/>
      <c r="AE707" s="378"/>
      <c r="AF707" s="378"/>
      <c r="AG707" s="378"/>
    </row>
    <row r="708">
      <c r="A708" s="378"/>
      <c r="B708" s="464"/>
      <c r="C708" s="455"/>
      <c r="D708" s="435"/>
      <c r="E708" s="419"/>
      <c r="F708" s="469" t="s">
        <v>843</v>
      </c>
      <c r="G708" s="278"/>
      <c r="H708" s="56"/>
      <c r="I708" s="376"/>
      <c r="J708" s="467"/>
      <c r="K708" s="455"/>
      <c r="L708" s="435"/>
      <c r="M708" s="419"/>
      <c r="N708" s="469" t="s">
        <v>854</v>
      </c>
      <c r="O708" s="278"/>
      <c r="P708" s="56"/>
      <c r="Q708" s="378"/>
      <c r="R708" s="378"/>
      <c r="S708" s="378"/>
      <c r="T708" s="378"/>
      <c r="U708" s="378"/>
      <c r="V708" s="378"/>
      <c r="W708" s="378"/>
      <c r="X708" s="378"/>
      <c r="Y708" s="378"/>
      <c r="Z708" s="378"/>
      <c r="AA708" s="378"/>
      <c r="AB708" s="378"/>
      <c r="AC708" s="378"/>
      <c r="AD708" s="378"/>
      <c r="AE708" s="378"/>
      <c r="AF708" s="378"/>
      <c r="AG708" s="378"/>
    </row>
    <row r="709">
      <c r="A709" s="378"/>
      <c r="B709" s="464"/>
      <c r="C709" s="455"/>
      <c r="D709" s="435"/>
      <c r="E709" s="419"/>
      <c r="F709" s="470"/>
      <c r="G709" s="215"/>
      <c r="H709" s="64"/>
      <c r="I709" s="376"/>
      <c r="J709" s="467"/>
      <c r="K709" s="455"/>
      <c r="L709" s="435"/>
      <c r="M709" s="419"/>
      <c r="N709" s="470"/>
      <c r="O709" s="215"/>
      <c r="P709" s="64"/>
      <c r="Q709" s="378"/>
      <c r="R709" s="378"/>
      <c r="S709" s="378"/>
      <c r="T709" s="378"/>
      <c r="U709" s="378"/>
      <c r="V709" s="378"/>
      <c r="W709" s="378"/>
      <c r="X709" s="378"/>
      <c r="Y709" s="378"/>
      <c r="Z709" s="378"/>
      <c r="AA709" s="378"/>
      <c r="AB709" s="378"/>
      <c r="AC709" s="378"/>
      <c r="AD709" s="378"/>
      <c r="AE709" s="378"/>
      <c r="AF709" s="378"/>
      <c r="AG709" s="378"/>
    </row>
    <row r="710">
      <c r="A710" s="378"/>
      <c r="B710" s="464"/>
      <c r="C710" s="455"/>
      <c r="D710" s="435"/>
      <c r="E710" s="419"/>
      <c r="F710" s="419"/>
      <c r="G710" s="419"/>
      <c r="H710" s="429"/>
      <c r="I710" s="376"/>
      <c r="J710" s="467"/>
      <c r="K710" s="455"/>
      <c r="L710" s="435"/>
      <c r="M710" s="419"/>
      <c r="N710" s="431"/>
      <c r="O710" s="432"/>
      <c r="P710" s="429"/>
      <c r="Q710" s="378"/>
      <c r="R710" s="378"/>
      <c r="S710" s="378"/>
      <c r="T710" s="378"/>
      <c r="U710" s="378"/>
      <c r="V710" s="378"/>
      <c r="W710" s="378"/>
      <c r="X710" s="378"/>
      <c r="Y710" s="378"/>
      <c r="Z710" s="378"/>
      <c r="AA710" s="378"/>
      <c r="AB710" s="378"/>
      <c r="AC710" s="378"/>
      <c r="AD710" s="378"/>
      <c r="AE710" s="378"/>
      <c r="AF710" s="378"/>
      <c r="AG710" s="378"/>
    </row>
    <row r="711">
      <c r="A711" s="378"/>
      <c r="B711" s="464"/>
      <c r="C711" s="455"/>
      <c r="D711" s="435"/>
      <c r="E711" s="419"/>
      <c r="F711" s="419"/>
      <c r="G711" s="419"/>
      <c r="H711" s="429"/>
      <c r="I711" s="376"/>
      <c r="J711" s="467"/>
      <c r="K711" s="455"/>
      <c r="L711" s="435"/>
      <c r="M711" s="419"/>
      <c r="N711" s="431"/>
      <c r="O711" s="432"/>
      <c r="P711" s="429"/>
      <c r="Q711" s="378"/>
      <c r="R711" s="378"/>
      <c r="S711" s="378"/>
      <c r="T711" s="378"/>
      <c r="U711" s="378"/>
      <c r="V711" s="378"/>
      <c r="W711" s="378"/>
      <c r="X711" s="378"/>
      <c r="Y711" s="378"/>
      <c r="Z711" s="378"/>
      <c r="AA711" s="378"/>
      <c r="AB711" s="378"/>
      <c r="AC711" s="378"/>
      <c r="AD711" s="378"/>
      <c r="AE711" s="378"/>
      <c r="AF711" s="378"/>
      <c r="AG711" s="378"/>
    </row>
    <row r="712">
      <c r="A712" s="378"/>
      <c r="B712" s="454" t="s">
        <v>721</v>
      </c>
      <c r="C712" s="460">
        <f>SUM(C703:C711)</f>
        <v>1727.09</v>
      </c>
      <c r="D712" s="440"/>
      <c r="E712" s="419"/>
      <c r="F712" s="419"/>
      <c r="G712" s="419"/>
      <c r="H712" s="429"/>
      <c r="I712" s="376"/>
      <c r="J712" s="458" t="s">
        <v>721</v>
      </c>
      <c r="K712" s="460">
        <f>SUM(K703:K711)</f>
        <v>0</v>
      </c>
      <c r="L712" s="440"/>
      <c r="M712" s="419"/>
      <c r="N712" s="431"/>
      <c r="O712" s="432"/>
      <c r="P712" s="429"/>
      <c r="Q712" s="378"/>
      <c r="R712" s="378"/>
      <c r="S712" s="378"/>
      <c r="T712" s="378"/>
      <c r="U712" s="378"/>
      <c r="V712" s="378"/>
      <c r="W712" s="378"/>
      <c r="X712" s="378"/>
      <c r="Y712" s="378"/>
      <c r="Z712" s="378"/>
      <c r="AA712" s="378"/>
      <c r="AB712" s="378"/>
      <c r="AC712" s="378"/>
      <c r="AD712" s="378"/>
      <c r="AE712" s="378"/>
      <c r="AF712" s="378"/>
      <c r="AG712" s="378"/>
    </row>
    <row r="713">
      <c r="A713" s="378"/>
      <c r="B713" s="471"/>
      <c r="C713" s="472"/>
      <c r="D713" s="472"/>
      <c r="E713" s="472"/>
      <c r="F713" s="472"/>
      <c r="G713" s="472"/>
      <c r="H713" s="473"/>
      <c r="I713" s="376"/>
      <c r="J713" s="474"/>
      <c r="K713" s="472"/>
      <c r="L713" s="472"/>
      <c r="M713" s="472"/>
      <c r="N713" s="475"/>
      <c r="O713" s="476"/>
      <c r="P713" s="473"/>
      <c r="Q713" s="378"/>
      <c r="R713" s="378"/>
      <c r="S713" s="378"/>
      <c r="T713" s="378"/>
      <c r="U713" s="378"/>
      <c r="V713" s="378"/>
      <c r="W713" s="378"/>
      <c r="X713" s="378"/>
      <c r="Y713" s="378"/>
      <c r="Z713" s="378"/>
      <c r="AA713" s="378"/>
      <c r="AB713" s="378"/>
      <c r="AC713" s="378"/>
      <c r="AD713" s="378"/>
      <c r="AE713" s="378"/>
      <c r="AF713" s="378"/>
      <c r="AG713" s="378"/>
    </row>
    <row r="714">
      <c r="A714" s="378"/>
      <c r="B714" s="550"/>
      <c r="C714" s="463"/>
      <c r="D714" s="463"/>
      <c r="E714" s="463"/>
      <c r="F714" s="463"/>
      <c r="G714" s="463"/>
      <c r="H714" s="463"/>
      <c r="I714" s="376"/>
      <c r="J714" s="377"/>
      <c r="K714" s="378"/>
      <c r="L714" s="378"/>
      <c r="M714" s="378"/>
      <c r="N714" s="379"/>
      <c r="O714" s="380"/>
      <c r="P714" s="378"/>
      <c r="Q714" s="378"/>
      <c r="R714" s="378"/>
      <c r="S714" s="378"/>
      <c r="T714" s="378"/>
      <c r="U714" s="378"/>
      <c r="V714" s="378"/>
      <c r="W714" s="378"/>
      <c r="X714" s="378"/>
      <c r="Y714" s="378"/>
      <c r="Z714" s="378"/>
      <c r="AA714" s="378"/>
      <c r="AB714" s="378"/>
      <c r="AC714" s="378"/>
      <c r="AD714" s="378"/>
      <c r="AE714" s="378"/>
      <c r="AF714" s="378"/>
      <c r="AG714" s="378"/>
    </row>
    <row r="715">
      <c r="A715" s="378"/>
      <c r="B715" s="550"/>
      <c r="C715" s="463"/>
      <c r="D715" s="463"/>
      <c r="E715" s="463"/>
      <c r="F715" s="478" t="s">
        <v>783</v>
      </c>
      <c r="H715" s="463"/>
      <c r="I715" s="376"/>
      <c r="J715" s="377"/>
      <c r="K715" s="378"/>
      <c r="L715" s="378"/>
      <c r="M715" s="378"/>
      <c r="N715" s="379"/>
      <c r="O715" s="380"/>
      <c r="P715" s="378"/>
      <c r="Q715" s="378"/>
      <c r="R715" s="378"/>
      <c r="S715" s="378"/>
      <c r="T715" s="378"/>
      <c r="U715" s="378"/>
      <c r="V715" s="378"/>
      <c r="W715" s="378"/>
      <c r="X715" s="378"/>
      <c r="Y715" s="378"/>
      <c r="Z715" s="378"/>
      <c r="AA715" s="378"/>
      <c r="AB715" s="378"/>
      <c r="AC715" s="378"/>
      <c r="AD715" s="378"/>
      <c r="AE715" s="378"/>
      <c r="AF715" s="378"/>
      <c r="AG715" s="378"/>
    </row>
    <row r="716">
      <c r="A716" s="378"/>
      <c r="B716" s="382"/>
      <c r="C716" s="388"/>
      <c r="D716" s="384"/>
      <c r="E716" s="385" t="s">
        <v>700</v>
      </c>
      <c r="F716" s="385" t="str">
        <f>Board!A2</f>
        <v>11.17.25-11.23.25</v>
      </c>
      <c r="G716" s="213"/>
      <c r="H716" s="211"/>
      <c r="I716" s="386">
        <v>24.0</v>
      </c>
      <c r="J716" s="387"/>
      <c r="K716" s="388"/>
      <c r="L716" s="384"/>
      <c r="M716" s="385" t="s">
        <v>700</v>
      </c>
      <c r="N716" s="385" t="str">
        <f>Board!A2</f>
        <v>11.17.25-11.23.25</v>
      </c>
      <c r="O716" s="213"/>
      <c r="P716" s="211"/>
      <c r="Q716" s="378"/>
      <c r="R716" s="389" t="s">
        <v>831</v>
      </c>
      <c r="S716" s="389" t="s">
        <v>652</v>
      </c>
      <c r="T716" s="390" t="s">
        <v>832</v>
      </c>
      <c r="U716" s="391" t="s">
        <v>833</v>
      </c>
      <c r="V716" s="389" t="s">
        <v>655</v>
      </c>
      <c r="W716" s="389" t="s">
        <v>8</v>
      </c>
      <c r="X716" s="389" t="s">
        <v>656</v>
      </c>
      <c r="Y716" s="390" t="s">
        <v>834</v>
      </c>
      <c r="Z716" s="392" t="s">
        <v>835</v>
      </c>
      <c r="AA716" s="390" t="s">
        <v>836</v>
      </c>
      <c r="AB716" s="390" t="s">
        <v>837</v>
      </c>
      <c r="AC716" s="393" t="s">
        <v>716</v>
      </c>
      <c r="AD716" s="393" t="s">
        <v>717</v>
      </c>
      <c r="AE716" s="393" t="s">
        <v>718</v>
      </c>
      <c r="AF716" s="394" t="s">
        <v>838</v>
      </c>
      <c r="AG716" s="394"/>
    </row>
    <row r="717">
      <c r="A717" s="378"/>
      <c r="B717" s="395"/>
      <c r="C717" s="372"/>
      <c r="D717" s="396"/>
      <c r="E717" s="385" t="s">
        <v>702</v>
      </c>
      <c r="F717" s="534" t="s">
        <v>898</v>
      </c>
      <c r="G717" s="213"/>
      <c r="H717" s="211"/>
      <c r="I717" s="376"/>
      <c r="J717" s="397"/>
      <c r="K717" s="372"/>
      <c r="L717" s="396"/>
      <c r="M717" s="385" t="s">
        <v>351</v>
      </c>
      <c r="N717" s="385" t="str">
        <f t="array" ref="N717">XLOOKUP(N718,Board!K:K,Board!J:J)</f>
        <v>Kimberly Monique Sowell</v>
      </c>
      <c r="O717" s="213"/>
      <c r="P717" s="211"/>
      <c r="Q717" s="378"/>
      <c r="R717" s="398">
        <f>I716</f>
        <v>24</v>
      </c>
      <c r="S717" s="398">
        <f>F718</f>
        <v>8479</v>
      </c>
      <c r="T717" s="399">
        <f>G738</f>
        <v>-1606.41</v>
      </c>
      <c r="U717" s="378" t="str">
        <f>N717</f>
        <v>Kimberly Monique Sowell</v>
      </c>
      <c r="V717" s="380">
        <f>O738</f>
        <v>725.4</v>
      </c>
      <c r="W717" s="399">
        <f>P726</f>
        <v>432.9</v>
      </c>
      <c r="X717" s="399">
        <f>C737</f>
        <v>1344.79</v>
      </c>
      <c r="Y717" s="400">
        <f>N726</f>
        <v>666</v>
      </c>
      <c r="Z717" s="399">
        <f>V718-V717</f>
        <v>-2331.81</v>
      </c>
      <c r="AA717" s="378"/>
      <c r="AB717" s="378"/>
      <c r="AC717" s="401">
        <f>C734</f>
        <v>150</v>
      </c>
      <c r="AD717" s="401">
        <f>C735</f>
        <v>400</v>
      </c>
      <c r="AE717" s="401">
        <f>C736</f>
        <v>0</v>
      </c>
      <c r="AF717" s="530">
        <f>C738+C739+C740+C741+C742</f>
        <v>899.62</v>
      </c>
      <c r="AG717" s="398"/>
    </row>
    <row r="718">
      <c r="A718" s="378"/>
      <c r="B718" s="395"/>
      <c r="C718" s="372"/>
      <c r="D718" s="402"/>
      <c r="E718" s="385" t="s">
        <v>703</v>
      </c>
      <c r="F718" s="385">
        <v>8479.0</v>
      </c>
      <c r="G718" s="532">
        <v>6338.0</v>
      </c>
      <c r="H718" s="533"/>
      <c r="I718" s="376"/>
      <c r="J718" s="397"/>
      <c r="K718" s="372"/>
      <c r="L718" s="402"/>
      <c r="M718" s="385" t="s">
        <v>703</v>
      </c>
      <c r="N718" s="385">
        <f>F718</f>
        <v>8479</v>
      </c>
      <c r="O718" s="532">
        <v>6338.0</v>
      </c>
      <c r="P718" s="533"/>
      <c r="Q718" s="378"/>
      <c r="R718" s="378"/>
      <c r="S718" s="378"/>
      <c r="T718" s="378"/>
      <c r="U718" s="378" t="str">
        <f>F717</f>
        <v>Fwziyes Place LLC Boss Trucking Equipment LLC</v>
      </c>
      <c r="V718" s="399">
        <f>G738</f>
        <v>-1606.41</v>
      </c>
      <c r="W718" s="399">
        <f>H726</f>
        <v>1188</v>
      </c>
      <c r="X718" s="378"/>
      <c r="Y718" s="378"/>
      <c r="Z718" s="378"/>
      <c r="AA718" s="378"/>
      <c r="AB718" s="378"/>
      <c r="AC718" s="378"/>
      <c r="AD718" s="378"/>
      <c r="AE718" s="378"/>
      <c r="AF718" s="378"/>
      <c r="AG718" s="378"/>
    </row>
    <row r="719">
      <c r="A719" s="378"/>
      <c r="B719" s="403" t="s">
        <v>704</v>
      </c>
      <c r="C719" s="404" t="s">
        <v>5</v>
      </c>
      <c r="D719" s="405" t="s">
        <v>6</v>
      </c>
      <c r="E719" s="406" t="s">
        <v>7</v>
      </c>
      <c r="F719" s="404" t="s">
        <v>8</v>
      </c>
      <c r="G719" s="404" t="s">
        <v>706</v>
      </c>
      <c r="H719" s="404" t="s">
        <v>707</v>
      </c>
      <c r="I719" s="376"/>
      <c r="J719" s="407" t="s">
        <v>704</v>
      </c>
      <c r="K719" s="404" t="s">
        <v>5</v>
      </c>
      <c r="L719" s="405" t="s">
        <v>6</v>
      </c>
      <c r="M719" s="406" t="s">
        <v>7</v>
      </c>
      <c r="N719" s="404" t="s">
        <v>591</v>
      </c>
      <c r="O719" s="408" t="s">
        <v>839</v>
      </c>
      <c r="P719" s="404" t="s">
        <v>707</v>
      </c>
      <c r="Q719" s="378"/>
      <c r="R719" s="378"/>
      <c r="S719" s="378"/>
      <c r="T719" s="378"/>
      <c r="U719" s="378"/>
      <c r="V719" s="378"/>
      <c r="W719" s="378"/>
      <c r="X719" s="378"/>
      <c r="Y719" s="378"/>
      <c r="Z719" s="378"/>
      <c r="AA719" s="378"/>
      <c r="AB719" s="378"/>
      <c r="AC719" s="378"/>
      <c r="AD719" s="378"/>
      <c r="AE719" s="378"/>
      <c r="AF719" s="378"/>
      <c r="AG719" s="378"/>
    </row>
    <row r="720">
      <c r="A720" s="378"/>
      <c r="B720" s="555">
        <f>IFERROR(__xludf.DUMMYFUNCTION("FILTER(Board!C:G,Board!K:K=F718)"),45981.0)</f>
        <v>45981</v>
      </c>
      <c r="C720" s="404">
        <f>IFERROR(__xludf.DUMMYFUNCTION("""COMPUTED_VALUE"""),2175253.0)</f>
        <v>2175253</v>
      </c>
      <c r="D720" s="405" t="str">
        <f>IFERROR(__xludf.DUMMYFUNCTION("""COMPUTED_VALUE"""),"Forsyth, GA, 31029")</f>
        <v>Forsyth, GA, 31029</v>
      </c>
      <c r="E720" s="406" t="str">
        <f>IFERROR(__xludf.DUMMYFUNCTION("""COMPUTED_VALUE"""),"Roanoke, VA, 24017")</f>
        <v>Roanoke, VA, 24017</v>
      </c>
      <c r="F720" s="414">
        <f>IFERROR(__xludf.DUMMYFUNCTION("""COMPUTED_VALUE"""),1350.0)</f>
        <v>1350</v>
      </c>
      <c r="G720" s="413">
        <v>0.88</v>
      </c>
      <c r="H720" s="414">
        <f>F720*G720</f>
        <v>1188</v>
      </c>
      <c r="I720" s="376"/>
      <c r="J720" s="415">
        <f>IFERROR(__xludf.DUMMYFUNCTION("FILTER(Board!C:F,Board!K:K=N718)"),45981.0)</f>
        <v>45981</v>
      </c>
      <c r="K720" s="411">
        <f>IFERROR(__xludf.DUMMYFUNCTION("""COMPUTED_VALUE"""),2175253.0)</f>
        <v>2175253</v>
      </c>
      <c r="L720" s="411" t="str">
        <f>IFERROR(__xludf.DUMMYFUNCTION("""COMPUTED_VALUE"""),"Forsyth, GA, 31029")</f>
        <v>Forsyth, GA, 31029</v>
      </c>
      <c r="M720" s="411" t="str">
        <f>IFERROR(__xludf.DUMMYFUNCTION("""COMPUTED_VALUE"""),"Roanoke, VA, 24017")</f>
        <v>Roanoke, VA, 24017</v>
      </c>
      <c r="N720" s="416">
        <f>IFERROR(__xludf.DUMMYFUNCTION("FILTER(Board!H:H,Board!K:K=N718)"),666.0)</f>
        <v>666</v>
      </c>
      <c r="O720" s="408">
        <v>0.65</v>
      </c>
      <c r="P720" s="414">
        <f>N720*O720</f>
        <v>432.9</v>
      </c>
      <c r="Q720" s="378"/>
      <c r="R720" s="378"/>
      <c r="S720" s="378"/>
      <c r="T720" s="378"/>
      <c r="U720" s="378"/>
      <c r="V720" s="378"/>
      <c r="W720" s="378"/>
      <c r="X720" s="378"/>
      <c r="Y720" s="378"/>
      <c r="Z720" s="378"/>
      <c r="AA720" s="378"/>
      <c r="AB720" s="378"/>
      <c r="AC720" s="378"/>
      <c r="AD720" s="378"/>
      <c r="AE720" s="378"/>
      <c r="AF720" s="378"/>
      <c r="AG720" s="378"/>
    </row>
    <row r="721">
      <c r="A721" s="378"/>
      <c r="B721" s="555"/>
      <c r="C721" s="404"/>
      <c r="D721" s="405"/>
      <c r="E721" s="406"/>
      <c r="F721" s="414"/>
      <c r="G721" s="413"/>
      <c r="H721" s="414"/>
      <c r="I721" s="376"/>
      <c r="J721" s="418"/>
      <c r="K721" s="411"/>
      <c r="L721" s="411"/>
      <c r="M721" s="411"/>
      <c r="N721" s="411"/>
      <c r="O721" s="408"/>
      <c r="P721" s="414"/>
      <c r="Q721" s="378"/>
      <c r="R721" s="378"/>
      <c r="S721" s="378"/>
      <c r="T721" s="378"/>
      <c r="U721" s="378"/>
      <c r="V721" s="378"/>
      <c r="W721" s="378"/>
      <c r="X721" s="378"/>
      <c r="Y721" s="378"/>
      <c r="Z721" s="378"/>
      <c r="AA721" s="378"/>
      <c r="AB721" s="378"/>
      <c r="AC721" s="378"/>
      <c r="AD721" s="378"/>
      <c r="AE721" s="378"/>
      <c r="AF721" s="378"/>
      <c r="AG721" s="378"/>
    </row>
    <row r="722">
      <c r="A722" s="378"/>
      <c r="B722" s="420"/>
      <c r="C722" s="421"/>
      <c r="D722" s="422"/>
      <c r="E722" s="423"/>
      <c r="F722" s="421"/>
      <c r="G722" s="413"/>
      <c r="H722" s="414"/>
      <c r="I722" s="376"/>
      <c r="J722" s="424"/>
      <c r="K722" s="421"/>
      <c r="L722" s="422"/>
      <c r="M722" s="423"/>
      <c r="N722" s="425"/>
      <c r="O722" s="408"/>
      <c r="P722" s="414"/>
      <c r="Q722" s="378"/>
      <c r="R722" s="378"/>
      <c r="S722" s="378"/>
      <c r="T722" s="378"/>
      <c r="U722" s="378"/>
      <c r="V722" s="378"/>
      <c r="W722" s="378"/>
      <c r="X722" s="378"/>
      <c r="Y722" s="378"/>
      <c r="Z722" s="378"/>
      <c r="AA722" s="378"/>
      <c r="AB722" s="378"/>
      <c r="AC722" s="378"/>
      <c r="AD722" s="378"/>
      <c r="AE722" s="378"/>
      <c r="AF722" s="378"/>
      <c r="AG722" s="378"/>
    </row>
    <row r="723">
      <c r="A723" s="378"/>
      <c r="B723" s="420"/>
      <c r="C723" s="421"/>
      <c r="D723" s="422"/>
      <c r="E723" s="423"/>
      <c r="F723" s="421"/>
      <c r="G723" s="413"/>
      <c r="H723" s="414"/>
      <c r="I723" s="376"/>
      <c r="J723" s="424"/>
      <c r="K723" s="421"/>
      <c r="L723" s="422"/>
      <c r="M723" s="423"/>
      <c r="N723" s="425"/>
      <c r="O723" s="408"/>
      <c r="P723" s="414"/>
      <c r="Q723" s="378"/>
      <c r="R723" s="378"/>
      <c r="S723" s="378"/>
      <c r="T723" s="378"/>
      <c r="U723" s="378"/>
      <c r="V723" s="378"/>
      <c r="W723" s="378"/>
      <c r="X723" s="378"/>
      <c r="Y723" s="378"/>
      <c r="Z723" s="378"/>
      <c r="AA723" s="378"/>
      <c r="AB723" s="378"/>
      <c r="AC723" s="378"/>
      <c r="AD723" s="378"/>
      <c r="AE723" s="378"/>
      <c r="AF723" s="378"/>
      <c r="AG723" s="378"/>
    </row>
    <row r="724">
      <c r="A724" s="378"/>
      <c r="B724" s="420"/>
      <c r="C724" s="421"/>
      <c r="D724" s="422"/>
      <c r="E724" s="423"/>
      <c r="F724" s="421"/>
      <c r="G724" s="413"/>
      <c r="H724" s="414"/>
      <c r="I724" s="376"/>
      <c r="J724" s="424"/>
      <c r="K724" s="421"/>
      <c r="L724" s="422"/>
      <c r="M724" s="423"/>
      <c r="N724" s="425"/>
      <c r="O724" s="408"/>
      <c r="P724" s="414"/>
      <c r="Q724" s="378"/>
      <c r="R724" s="378"/>
      <c r="S724" s="378"/>
      <c r="T724" s="378"/>
      <c r="U724" s="378"/>
      <c r="V724" s="378"/>
      <c r="W724" s="378"/>
      <c r="X724" s="378"/>
      <c r="Y724" s="378"/>
      <c r="Z724" s="378"/>
      <c r="AA724" s="378"/>
      <c r="AB724" s="378"/>
      <c r="AC724" s="378"/>
      <c r="AD724" s="378"/>
      <c r="AE724" s="378"/>
      <c r="AF724" s="378"/>
      <c r="AG724" s="378"/>
    </row>
    <row r="725">
      <c r="A725" s="378"/>
      <c r="B725" s="420"/>
      <c r="C725" s="421"/>
      <c r="D725" s="422"/>
      <c r="E725" s="423"/>
      <c r="F725" s="421"/>
      <c r="G725" s="413"/>
      <c r="H725" s="414"/>
      <c r="I725" s="376"/>
      <c r="J725" s="424"/>
      <c r="K725" s="421"/>
      <c r="L725" s="422"/>
      <c r="M725" s="423"/>
      <c r="N725" s="425"/>
      <c r="O725" s="408"/>
      <c r="P725" s="414"/>
      <c r="Q725" s="378"/>
      <c r="R725" s="378"/>
      <c r="S725" s="378"/>
      <c r="T725" s="378"/>
      <c r="U725" s="378"/>
      <c r="V725" s="378"/>
      <c r="W725" s="378"/>
      <c r="X725" s="378"/>
      <c r="Y725" s="378"/>
      <c r="Z725" s="378"/>
      <c r="AA725" s="378"/>
      <c r="AB725" s="378"/>
      <c r="AC725" s="378"/>
      <c r="AD725" s="378"/>
      <c r="AE725" s="378"/>
      <c r="AF725" s="378"/>
      <c r="AG725" s="378"/>
    </row>
    <row r="726">
      <c r="A726" s="378"/>
      <c r="B726" s="403" t="s">
        <v>711</v>
      </c>
      <c r="C726" s="224"/>
      <c r="D726" s="224"/>
      <c r="E726" s="222"/>
      <c r="F726" s="414">
        <f>SUM(F720:F725)</f>
        <v>1350</v>
      </c>
      <c r="G726" s="421"/>
      <c r="H726" s="414">
        <f>SUM(H720:H725)</f>
        <v>1188</v>
      </c>
      <c r="I726" s="376"/>
      <c r="J726" s="407" t="s">
        <v>711</v>
      </c>
      <c r="K726" s="224"/>
      <c r="L726" s="224"/>
      <c r="M726" s="222"/>
      <c r="N726" s="426">
        <f>SUM(N720:N725)</f>
        <v>666</v>
      </c>
      <c r="O726" s="427"/>
      <c r="P726" s="414">
        <f>SUM(P720:P725)</f>
        <v>432.9</v>
      </c>
      <c r="Q726" s="378"/>
      <c r="R726" s="378"/>
      <c r="S726" s="378"/>
      <c r="T726" s="378"/>
      <c r="U726" s="378"/>
      <c r="V726" s="378"/>
      <c r="W726" s="378"/>
      <c r="X726" s="378"/>
      <c r="Y726" s="378"/>
      <c r="Z726" s="378"/>
      <c r="AA726" s="378"/>
      <c r="AB726" s="378"/>
      <c r="AC726" s="378"/>
      <c r="AD726" s="378"/>
      <c r="AE726" s="378"/>
      <c r="AF726" s="378"/>
      <c r="AG726" s="378"/>
    </row>
    <row r="727">
      <c r="A727" s="378"/>
      <c r="B727" s="428"/>
      <c r="C727" s="419"/>
      <c r="D727" s="419"/>
      <c r="E727" s="419"/>
      <c r="F727" s="419"/>
      <c r="G727" s="419"/>
      <c r="H727" s="429"/>
      <c r="I727" s="376"/>
      <c r="J727" s="430"/>
      <c r="K727" s="419"/>
      <c r="L727" s="419"/>
      <c r="M727" s="419"/>
      <c r="N727" s="431"/>
      <c r="O727" s="432"/>
      <c r="P727" s="429"/>
      <c r="Q727" s="378"/>
      <c r="R727" s="378"/>
      <c r="S727" s="378"/>
      <c r="T727" s="378"/>
      <c r="U727" s="378"/>
      <c r="V727" s="378"/>
      <c r="W727" s="378"/>
      <c r="X727" s="378"/>
      <c r="Y727" s="378"/>
      <c r="Z727" s="378"/>
      <c r="AA727" s="378"/>
      <c r="AB727" s="378"/>
      <c r="AC727" s="378"/>
      <c r="AD727" s="378"/>
      <c r="AE727" s="378"/>
      <c r="AF727" s="378"/>
      <c r="AG727" s="378"/>
    </row>
    <row r="728">
      <c r="A728" s="378"/>
      <c r="B728" s="433" t="s">
        <v>712</v>
      </c>
      <c r="C728" s="434"/>
      <c r="D728" s="435"/>
      <c r="E728" s="419"/>
      <c r="F728" s="419"/>
      <c r="G728" s="419"/>
      <c r="H728" s="429"/>
      <c r="I728" s="376"/>
      <c r="J728" s="437" t="s">
        <v>712</v>
      </c>
      <c r="K728" s="434"/>
      <c r="L728" s="435"/>
      <c r="M728" s="419"/>
      <c r="N728" s="431"/>
      <c r="O728" s="432"/>
      <c r="P728" s="429"/>
      <c r="Q728" s="378"/>
      <c r="R728" s="378"/>
      <c r="S728" s="378"/>
      <c r="T728" s="378"/>
      <c r="U728" s="378"/>
      <c r="V728" s="378"/>
      <c r="W728" s="378"/>
      <c r="X728" s="378"/>
      <c r="Y728" s="378"/>
      <c r="Z728" s="378"/>
      <c r="AA728" s="378"/>
      <c r="AB728" s="378"/>
      <c r="AC728" s="378"/>
      <c r="AD728" s="378"/>
      <c r="AE728" s="378"/>
      <c r="AF728" s="378"/>
      <c r="AG728" s="378"/>
    </row>
    <row r="729">
      <c r="A729" s="378"/>
      <c r="B729" s="438" t="s">
        <v>713</v>
      </c>
      <c r="C729" s="439"/>
      <c r="D729" s="440"/>
      <c r="E729" s="419"/>
      <c r="F729" s="419"/>
      <c r="G729" s="419"/>
      <c r="H729" s="429"/>
      <c r="I729" s="376"/>
      <c r="J729" s="443" t="s">
        <v>899</v>
      </c>
      <c r="K729" s="439">
        <f>450*0.65</f>
        <v>292.5</v>
      </c>
      <c r="L729" s="440"/>
      <c r="M729" s="419"/>
      <c r="N729" s="431"/>
      <c r="O729" s="432"/>
      <c r="P729" s="429"/>
      <c r="Q729" s="378"/>
      <c r="R729" s="378"/>
      <c r="S729" s="378"/>
      <c r="T729" s="378"/>
      <c r="U729" s="378"/>
      <c r="V729" s="378"/>
      <c r="W729" s="378"/>
      <c r="X729" s="378"/>
      <c r="Y729" s="378"/>
      <c r="Z729" s="378"/>
      <c r="AA729" s="378"/>
      <c r="AB729" s="378"/>
      <c r="AC729" s="378"/>
      <c r="AD729" s="378"/>
      <c r="AE729" s="378"/>
      <c r="AF729" s="378"/>
      <c r="AG729" s="378"/>
    </row>
    <row r="730">
      <c r="A730" s="378"/>
      <c r="B730" s="444"/>
      <c r="C730" s="434"/>
      <c r="D730" s="435"/>
      <c r="E730" s="419"/>
      <c r="F730" s="463"/>
      <c r="G730" s="463"/>
      <c r="H730" s="448"/>
      <c r="I730" s="376"/>
      <c r="J730" s="445"/>
      <c r="K730" s="434"/>
      <c r="L730" s="435"/>
      <c r="M730" s="419"/>
      <c r="N730" s="446"/>
      <c r="O730" s="447"/>
      <c r="P730" s="448"/>
      <c r="Q730" s="378"/>
      <c r="R730" s="378"/>
      <c r="S730" s="378"/>
      <c r="T730" s="378"/>
      <c r="U730" s="378"/>
      <c r="V730" s="378"/>
      <c r="W730" s="378"/>
      <c r="X730" s="378"/>
      <c r="Y730" s="378"/>
      <c r="Z730" s="378"/>
      <c r="AA730" s="378"/>
      <c r="AB730" s="378"/>
      <c r="AC730" s="378"/>
      <c r="AD730" s="378"/>
      <c r="AE730" s="378"/>
      <c r="AF730" s="378"/>
      <c r="AG730" s="378"/>
    </row>
    <row r="731">
      <c r="A731" s="378"/>
      <c r="B731" s="438" t="s">
        <v>714</v>
      </c>
      <c r="C731" s="439">
        <f>SUM(C729:C730)</f>
        <v>0</v>
      </c>
      <c r="D731" s="440"/>
      <c r="E731" s="419"/>
      <c r="F731" s="463"/>
      <c r="G731" s="463"/>
      <c r="H731" s="448"/>
      <c r="I731" s="376"/>
      <c r="J731" s="443" t="s">
        <v>714</v>
      </c>
      <c r="K731" s="439">
        <f>SUM(K729:K730)</f>
        <v>292.5</v>
      </c>
      <c r="L731" s="440"/>
      <c r="M731" s="419"/>
      <c r="N731" s="446"/>
      <c r="O731" s="447"/>
      <c r="P731" s="448"/>
      <c r="Q731" s="378"/>
      <c r="R731" s="378"/>
      <c r="S731" s="378"/>
      <c r="T731" s="378"/>
      <c r="U731" s="378"/>
      <c r="V731" s="378"/>
      <c r="W731" s="378"/>
      <c r="X731" s="378"/>
      <c r="Y731" s="378"/>
      <c r="Z731" s="378"/>
      <c r="AA731" s="378"/>
      <c r="AB731" s="378"/>
      <c r="AC731" s="378"/>
      <c r="AD731" s="378"/>
      <c r="AE731" s="378"/>
      <c r="AF731" s="378"/>
      <c r="AG731" s="378"/>
    </row>
    <row r="732">
      <c r="A732" s="378"/>
      <c r="B732" s="450"/>
      <c r="C732" s="451"/>
      <c r="D732" s="419"/>
      <c r="E732" s="419"/>
      <c r="F732" s="463"/>
      <c r="G732" s="463"/>
      <c r="H732" s="448"/>
      <c r="I732" s="376"/>
      <c r="J732" s="535"/>
      <c r="K732" s="451"/>
      <c r="L732" s="419"/>
      <c r="M732" s="419"/>
      <c r="N732" s="446"/>
      <c r="O732" s="447"/>
      <c r="P732" s="448"/>
      <c r="Q732" s="378"/>
      <c r="R732" s="378"/>
      <c r="S732" s="378"/>
      <c r="T732" s="378"/>
      <c r="U732" s="378"/>
      <c r="V732" s="378"/>
      <c r="W732" s="378"/>
      <c r="X732" s="378"/>
      <c r="Y732" s="378"/>
      <c r="Z732" s="378"/>
      <c r="AA732" s="378"/>
      <c r="AB732" s="378"/>
      <c r="AC732" s="378"/>
      <c r="AD732" s="378"/>
      <c r="AE732" s="378"/>
      <c r="AF732" s="378"/>
      <c r="AG732" s="378"/>
    </row>
    <row r="733">
      <c r="A733" s="378"/>
      <c r="B733" s="454" t="s">
        <v>715</v>
      </c>
      <c r="C733" s="455"/>
      <c r="D733" s="435"/>
      <c r="E733" s="419"/>
      <c r="F733" s="463"/>
      <c r="G733" s="463"/>
      <c r="H733" s="448"/>
      <c r="I733" s="376"/>
      <c r="J733" s="458" t="s">
        <v>715</v>
      </c>
      <c r="K733" s="455"/>
      <c r="L733" s="435"/>
      <c r="M733" s="419"/>
      <c r="N733" s="446"/>
      <c r="O733" s="447"/>
      <c r="P733" s="448"/>
      <c r="Q733" s="378"/>
      <c r="R733" s="378"/>
      <c r="S733" s="378"/>
      <c r="T733" s="378"/>
      <c r="U733" s="378"/>
      <c r="V733" s="378"/>
      <c r="W733" s="378"/>
      <c r="X733" s="378"/>
      <c r="Y733" s="378"/>
      <c r="Z733" s="378"/>
      <c r="AA733" s="378"/>
      <c r="AB733" s="378"/>
      <c r="AC733" s="378"/>
      <c r="AD733" s="378"/>
      <c r="AE733" s="378"/>
      <c r="AF733" s="378"/>
      <c r="AG733" s="378"/>
    </row>
    <row r="734">
      <c r="A734" s="378"/>
      <c r="B734" s="459" t="s">
        <v>716</v>
      </c>
      <c r="C734" s="460">
        <v>150.0</v>
      </c>
      <c r="D734" s="440"/>
      <c r="E734" s="419"/>
      <c r="F734" s="463"/>
      <c r="G734" s="463"/>
      <c r="H734" s="448"/>
      <c r="I734" s="376"/>
      <c r="J734" s="462"/>
      <c r="K734" s="460"/>
      <c r="L734" s="440"/>
      <c r="M734" s="419"/>
      <c r="N734" s="446"/>
      <c r="O734" s="447"/>
      <c r="P734" s="448"/>
      <c r="Q734" s="378"/>
      <c r="R734" s="378"/>
      <c r="S734" s="378"/>
      <c r="T734" s="378"/>
      <c r="U734" s="378"/>
      <c r="V734" s="378"/>
      <c r="W734" s="378"/>
      <c r="X734" s="378"/>
      <c r="Y734" s="378"/>
      <c r="Z734" s="378"/>
      <c r="AA734" s="378"/>
      <c r="AB734" s="378"/>
      <c r="AC734" s="378"/>
      <c r="AD734" s="378"/>
      <c r="AE734" s="378"/>
      <c r="AF734" s="378"/>
      <c r="AG734" s="378"/>
    </row>
    <row r="735">
      <c r="A735" s="378"/>
      <c r="B735" s="459" t="s">
        <v>717</v>
      </c>
      <c r="C735" s="460">
        <v>400.0</v>
      </c>
      <c r="D735" s="440"/>
      <c r="E735" s="419"/>
      <c r="F735" s="463"/>
      <c r="G735" s="463"/>
      <c r="H735" s="448"/>
      <c r="I735" s="376"/>
      <c r="J735" s="462"/>
      <c r="K735" s="460"/>
      <c r="L735" s="440"/>
      <c r="M735" s="419"/>
      <c r="N735" s="446"/>
      <c r="O735" s="447"/>
      <c r="P735" s="448"/>
      <c r="Q735" s="378"/>
      <c r="R735" s="378"/>
      <c r="S735" s="378"/>
      <c r="T735" s="378"/>
      <c r="U735" s="378"/>
      <c r="V735" s="378"/>
      <c r="W735" s="378"/>
      <c r="X735" s="378"/>
      <c r="Y735" s="378"/>
      <c r="Z735" s="378"/>
      <c r="AA735" s="378"/>
      <c r="AB735" s="378"/>
      <c r="AC735" s="378"/>
      <c r="AD735" s="378"/>
      <c r="AE735" s="378"/>
      <c r="AF735" s="378"/>
      <c r="AG735" s="378"/>
    </row>
    <row r="736">
      <c r="A736" s="378"/>
      <c r="B736" s="459" t="s">
        <v>718</v>
      </c>
      <c r="C736" s="460">
        <v>0.0</v>
      </c>
      <c r="D736" s="440"/>
      <c r="E736" s="419"/>
      <c r="F736" s="463"/>
      <c r="G736" s="463"/>
      <c r="H736" s="448"/>
      <c r="I736" s="376"/>
      <c r="J736" s="462"/>
      <c r="K736" s="460"/>
      <c r="L736" s="440"/>
      <c r="M736" s="419"/>
      <c r="N736" s="446"/>
      <c r="O736" s="447"/>
      <c r="P736" s="448"/>
      <c r="Q736" s="378"/>
      <c r="R736" s="378"/>
      <c r="S736" s="378"/>
      <c r="T736" s="378"/>
      <c r="U736" s="378"/>
      <c r="V736" s="378"/>
      <c r="W736" s="378"/>
      <c r="X736" s="378"/>
      <c r="Y736" s="378"/>
      <c r="Z736" s="378"/>
      <c r="AA736" s="378"/>
      <c r="AB736" s="378"/>
      <c r="AC736" s="378"/>
      <c r="AD736" s="378"/>
      <c r="AE736" s="378"/>
      <c r="AF736" s="378"/>
      <c r="AG736" s="378"/>
    </row>
    <row r="737">
      <c r="A737" s="378"/>
      <c r="B737" s="459" t="s">
        <v>656</v>
      </c>
      <c r="C737" s="460">
        <f>IFERROR(__xludf.DUMMYFUNCTION("FILTER(D967:D995,C967:C995=G718)"),1344.79)</f>
        <v>1344.79</v>
      </c>
      <c r="D737" s="440"/>
      <c r="E737" s="419"/>
      <c r="F737" s="463"/>
      <c r="G737" s="463"/>
      <c r="H737" s="448"/>
      <c r="I737" s="376"/>
      <c r="J737" s="462"/>
      <c r="K737" s="460"/>
      <c r="L737" s="440"/>
      <c r="M737" s="419"/>
      <c r="N737" s="446"/>
      <c r="O737" s="447"/>
      <c r="P737" s="448"/>
      <c r="Q737" s="378"/>
      <c r="R737" s="378"/>
      <c r="S737" s="378"/>
      <c r="T737" s="378"/>
      <c r="U737" s="378"/>
      <c r="V737" s="378"/>
      <c r="W737" s="378"/>
      <c r="X737" s="378"/>
      <c r="Y737" s="378"/>
      <c r="Z737" s="378"/>
      <c r="AA737" s="378"/>
      <c r="AB737" s="378"/>
      <c r="AC737" s="378"/>
      <c r="AD737" s="378"/>
      <c r="AE737" s="378"/>
      <c r="AF737" s="378"/>
      <c r="AG737" s="378"/>
    </row>
    <row r="738">
      <c r="A738" s="378"/>
      <c r="B738" s="454" t="s">
        <v>900</v>
      </c>
      <c r="C738" s="537">
        <v>744.62</v>
      </c>
      <c r="D738" s="435"/>
      <c r="E738" s="419"/>
      <c r="F738" s="468" t="s">
        <v>842</v>
      </c>
      <c r="G738" s="538">
        <f>H726+C731-C743</f>
        <v>-1606.41</v>
      </c>
      <c r="H738" s="211"/>
      <c r="I738" s="376"/>
      <c r="J738" s="467"/>
      <c r="K738" s="455"/>
      <c r="L738" s="435"/>
      <c r="M738" s="419"/>
      <c r="N738" s="468" t="s">
        <v>842</v>
      </c>
      <c r="O738" s="539">
        <f>P726+K731-K743</f>
        <v>725.4</v>
      </c>
      <c r="P738" s="211"/>
      <c r="Q738" s="378"/>
      <c r="R738" s="378"/>
      <c r="S738" s="378"/>
      <c r="T738" s="378"/>
      <c r="U738" s="378"/>
      <c r="V738" s="378"/>
      <c r="W738" s="378"/>
      <c r="X738" s="378"/>
      <c r="Y738" s="378"/>
      <c r="Z738" s="378"/>
      <c r="AA738" s="378"/>
      <c r="AB738" s="378"/>
      <c r="AC738" s="378"/>
      <c r="AD738" s="378"/>
      <c r="AE738" s="378"/>
      <c r="AF738" s="378"/>
      <c r="AG738" s="378"/>
    </row>
    <row r="739">
      <c r="A739" s="378"/>
      <c r="B739" s="454" t="s">
        <v>901</v>
      </c>
      <c r="C739" s="537">
        <v>155.0</v>
      </c>
      <c r="D739" s="435"/>
      <c r="E739" s="419"/>
      <c r="F739" s="469" t="s">
        <v>843</v>
      </c>
      <c r="G739" s="278"/>
      <c r="H739" s="56"/>
      <c r="I739" s="376"/>
      <c r="J739" s="467"/>
      <c r="K739" s="455"/>
      <c r="L739" s="435"/>
      <c r="M739" s="419"/>
      <c r="N739" s="469" t="s">
        <v>854</v>
      </c>
      <c r="O739" s="278"/>
      <c r="P739" s="56"/>
      <c r="Q739" s="378"/>
      <c r="R739" s="378"/>
      <c r="S739" s="378"/>
      <c r="T739" s="378"/>
      <c r="U739" s="378"/>
      <c r="V739" s="378"/>
      <c r="W739" s="378"/>
      <c r="X739" s="378"/>
      <c r="Y739" s="378"/>
      <c r="Z739" s="378"/>
      <c r="AA739" s="378"/>
      <c r="AB739" s="378"/>
      <c r="AC739" s="378"/>
      <c r="AD739" s="378"/>
      <c r="AE739" s="378"/>
      <c r="AF739" s="378"/>
      <c r="AG739" s="378"/>
    </row>
    <row r="740">
      <c r="A740" s="378"/>
      <c r="B740" s="464"/>
      <c r="C740" s="455"/>
      <c r="D740" s="435"/>
      <c r="E740" s="419"/>
      <c r="F740" s="470"/>
      <c r="G740" s="215"/>
      <c r="H740" s="64"/>
      <c r="I740" s="376"/>
      <c r="J740" s="467"/>
      <c r="K740" s="455"/>
      <c r="L740" s="435"/>
      <c r="M740" s="419"/>
      <c r="N740" s="470"/>
      <c r="O740" s="215"/>
      <c r="P740" s="64"/>
      <c r="Q740" s="378"/>
      <c r="R740" s="378"/>
      <c r="S740" s="378"/>
      <c r="T740" s="378"/>
      <c r="U740" s="378"/>
      <c r="V740" s="378"/>
      <c r="W740" s="378"/>
      <c r="X740" s="378"/>
      <c r="Y740" s="378"/>
      <c r="Z740" s="378"/>
      <c r="AA740" s="378"/>
      <c r="AB740" s="378"/>
      <c r="AC740" s="378"/>
      <c r="AD740" s="378"/>
      <c r="AE740" s="378"/>
      <c r="AF740" s="378"/>
      <c r="AG740" s="378"/>
    </row>
    <row r="741">
      <c r="A741" s="378"/>
      <c r="B741" s="464"/>
      <c r="C741" s="455"/>
      <c r="D741" s="435"/>
      <c r="E741" s="419"/>
      <c r="F741" s="419"/>
      <c r="G741" s="419"/>
      <c r="H741" s="429"/>
      <c r="I741" s="376"/>
      <c r="J741" s="467"/>
      <c r="K741" s="455"/>
      <c r="L741" s="435"/>
      <c r="M741" s="419"/>
      <c r="N741" s="431"/>
      <c r="O741" s="432"/>
      <c r="P741" s="429"/>
      <c r="Q741" s="378"/>
      <c r="R741" s="378"/>
      <c r="S741" s="378"/>
      <c r="T741" s="378"/>
      <c r="U741" s="378"/>
      <c r="V741" s="378"/>
      <c r="W741" s="378"/>
      <c r="X741" s="378"/>
      <c r="Y741" s="378"/>
      <c r="Z741" s="378"/>
      <c r="AA741" s="378"/>
      <c r="AB741" s="378"/>
      <c r="AC741" s="378"/>
      <c r="AD741" s="378"/>
      <c r="AE741" s="378"/>
      <c r="AF741" s="378"/>
      <c r="AG741" s="378"/>
    </row>
    <row r="742">
      <c r="A742" s="378"/>
      <c r="B742" s="464"/>
      <c r="C742" s="455"/>
      <c r="D742" s="435"/>
      <c r="E742" s="419"/>
      <c r="F742" s="419"/>
      <c r="G742" s="419"/>
      <c r="H742" s="429"/>
      <c r="I742" s="376"/>
      <c r="J742" s="467"/>
      <c r="K742" s="455"/>
      <c r="L742" s="435"/>
      <c r="M742" s="419"/>
      <c r="N742" s="431"/>
      <c r="O742" s="432"/>
      <c r="P742" s="429"/>
      <c r="Q742" s="378"/>
      <c r="R742" s="378"/>
      <c r="S742" s="378"/>
      <c r="T742" s="378"/>
      <c r="U742" s="378"/>
      <c r="V742" s="378"/>
      <c r="W742" s="378"/>
      <c r="X742" s="378"/>
      <c r="Y742" s="378"/>
      <c r="Z742" s="378"/>
      <c r="AA742" s="378"/>
      <c r="AB742" s="378"/>
      <c r="AC742" s="378"/>
      <c r="AD742" s="378"/>
      <c r="AE742" s="378"/>
      <c r="AF742" s="378"/>
      <c r="AG742" s="378"/>
    </row>
    <row r="743">
      <c r="A743" s="378"/>
      <c r="B743" s="454" t="s">
        <v>721</v>
      </c>
      <c r="C743" s="460">
        <f>SUM(C734:C742)</f>
        <v>2794.41</v>
      </c>
      <c r="D743" s="440"/>
      <c r="E743" s="419"/>
      <c r="F743" s="419"/>
      <c r="G743" s="419"/>
      <c r="H743" s="429"/>
      <c r="I743" s="376"/>
      <c r="J743" s="458" t="s">
        <v>721</v>
      </c>
      <c r="K743" s="460">
        <f>SUM(K734:K742)</f>
        <v>0</v>
      </c>
      <c r="L743" s="440"/>
      <c r="M743" s="419"/>
      <c r="N743" s="431"/>
      <c r="O743" s="432"/>
      <c r="P743" s="429"/>
      <c r="Q743" s="378"/>
      <c r="R743" s="378"/>
      <c r="S743" s="378"/>
      <c r="T743" s="378"/>
      <c r="U743" s="378"/>
      <c r="V743" s="378"/>
      <c r="W743" s="378"/>
      <c r="X743" s="378"/>
      <c r="Y743" s="378"/>
      <c r="Z743" s="378"/>
      <c r="AA743" s="378"/>
      <c r="AB743" s="378"/>
      <c r="AC743" s="378"/>
      <c r="AD743" s="378"/>
      <c r="AE743" s="378"/>
      <c r="AF743" s="378"/>
      <c r="AG743" s="378"/>
    </row>
    <row r="744">
      <c r="A744" s="378"/>
      <c r="B744" s="471"/>
      <c r="C744" s="472"/>
      <c r="D744" s="472"/>
      <c r="E744" s="472"/>
      <c r="F744" s="472"/>
      <c r="G744" s="472"/>
      <c r="H744" s="473"/>
      <c r="I744" s="376"/>
      <c r="J744" s="474"/>
      <c r="K744" s="472"/>
      <c r="L744" s="472"/>
      <c r="M744" s="472"/>
      <c r="N744" s="475"/>
      <c r="O744" s="476"/>
      <c r="P744" s="473"/>
      <c r="Q744" s="378"/>
      <c r="R744" s="378"/>
      <c r="S744" s="378"/>
      <c r="T744" s="378"/>
      <c r="U744" s="378"/>
      <c r="V744" s="378"/>
      <c r="W744" s="378"/>
      <c r="X744" s="378"/>
      <c r="Y744" s="378"/>
      <c r="Z744" s="378"/>
      <c r="AA744" s="378"/>
      <c r="AB744" s="378"/>
      <c r="AC744" s="378"/>
      <c r="AD744" s="378"/>
      <c r="AE744" s="378"/>
      <c r="AF744" s="378"/>
      <c r="AG744" s="378"/>
    </row>
    <row r="745">
      <c r="A745" s="378"/>
      <c r="B745" s="550"/>
      <c r="C745" s="463"/>
      <c r="D745" s="463"/>
      <c r="E745" s="463"/>
      <c r="F745" s="463"/>
      <c r="G745" s="463"/>
      <c r="H745" s="463"/>
      <c r="I745" s="376"/>
      <c r="J745" s="377"/>
      <c r="K745" s="378"/>
      <c r="L745" s="378"/>
      <c r="M745" s="378"/>
      <c r="N745" s="379"/>
      <c r="O745" s="380"/>
      <c r="P745" s="378"/>
      <c r="Q745" s="378"/>
      <c r="R745" s="378"/>
      <c r="S745" s="378"/>
      <c r="T745" s="378"/>
      <c r="U745" s="378"/>
      <c r="V745" s="378"/>
      <c r="W745" s="378"/>
      <c r="X745" s="378"/>
      <c r="Y745" s="378"/>
      <c r="Z745" s="378"/>
      <c r="AA745" s="378"/>
      <c r="AB745" s="378"/>
      <c r="AC745" s="378"/>
      <c r="AD745" s="378"/>
      <c r="AE745" s="378"/>
      <c r="AF745" s="378"/>
      <c r="AG745" s="378"/>
    </row>
    <row r="746">
      <c r="A746" s="378"/>
      <c r="B746" s="550"/>
      <c r="C746" s="463"/>
      <c r="D746" s="463"/>
      <c r="E746" s="463"/>
      <c r="F746" s="463"/>
      <c r="G746" s="463"/>
      <c r="H746" s="463"/>
      <c r="I746" s="376"/>
      <c r="J746" s="377"/>
      <c r="K746" s="378"/>
      <c r="L746" s="378"/>
      <c r="M746" s="378"/>
      <c r="N746" s="379"/>
      <c r="O746" s="380"/>
      <c r="P746" s="378"/>
      <c r="Q746" s="378"/>
      <c r="R746" s="378"/>
      <c r="S746" s="378"/>
      <c r="T746" s="378"/>
      <c r="U746" s="378"/>
      <c r="V746" s="378"/>
      <c r="W746" s="378"/>
      <c r="X746" s="378"/>
      <c r="Y746" s="378"/>
      <c r="Z746" s="378"/>
      <c r="AA746" s="378"/>
      <c r="AB746" s="378"/>
      <c r="AC746" s="378"/>
      <c r="AD746" s="378"/>
      <c r="AE746" s="378"/>
      <c r="AF746" s="378"/>
      <c r="AG746" s="378"/>
    </row>
    <row r="747">
      <c r="A747" s="378"/>
      <c r="B747" s="382"/>
      <c r="C747" s="388"/>
      <c r="D747" s="384"/>
      <c r="E747" s="385" t="s">
        <v>700</v>
      </c>
      <c r="F747" s="385" t="str">
        <f>Board!A2</f>
        <v>11.17.25-11.23.25</v>
      </c>
      <c r="G747" s="213"/>
      <c r="H747" s="211"/>
      <c r="I747" s="386">
        <v>25.0</v>
      </c>
      <c r="J747" s="583"/>
      <c r="K747" s="584"/>
      <c r="L747" s="585"/>
      <c r="M747" s="586" t="s">
        <v>700</v>
      </c>
      <c r="N747" s="587" t="str">
        <f>Board!A2</f>
        <v>11.17.25-11.23.25</v>
      </c>
      <c r="O747" s="213"/>
      <c r="P747" s="211"/>
      <c r="Q747" s="378"/>
      <c r="R747" s="389" t="s">
        <v>831</v>
      </c>
      <c r="S747" s="389" t="s">
        <v>652</v>
      </c>
      <c r="T747" s="390" t="s">
        <v>832</v>
      </c>
      <c r="U747" s="391" t="s">
        <v>833</v>
      </c>
      <c r="V747" s="389" t="s">
        <v>655</v>
      </c>
      <c r="W747" s="389" t="s">
        <v>8</v>
      </c>
      <c r="X747" s="389" t="s">
        <v>656</v>
      </c>
      <c r="Y747" s="390" t="s">
        <v>834</v>
      </c>
      <c r="Z747" s="392" t="s">
        <v>835</v>
      </c>
      <c r="AA747" s="390" t="s">
        <v>836</v>
      </c>
      <c r="AB747" s="390" t="s">
        <v>837</v>
      </c>
      <c r="AC747" s="393" t="s">
        <v>716</v>
      </c>
      <c r="AD747" s="393" t="s">
        <v>717</v>
      </c>
      <c r="AE747" s="393" t="s">
        <v>718</v>
      </c>
      <c r="AF747" s="394" t="s">
        <v>838</v>
      </c>
      <c r="AG747" s="394"/>
    </row>
    <row r="748">
      <c r="A748" s="378"/>
      <c r="B748" s="395"/>
      <c r="C748" s="372"/>
      <c r="D748" s="396"/>
      <c r="E748" s="385" t="s">
        <v>702</v>
      </c>
      <c r="F748" s="385" t="s">
        <v>902</v>
      </c>
      <c r="G748" s="213"/>
      <c r="H748" s="211"/>
      <c r="I748" s="376"/>
      <c r="J748" s="588"/>
      <c r="K748" s="589"/>
      <c r="L748" s="590"/>
      <c r="M748" s="586" t="s">
        <v>351</v>
      </c>
      <c r="N748" s="587" t="str">
        <f t="array" ref="N748">XLOOKUP(N749,Board!K:K,Board!J:J)</f>
        <v>Bellane Stender</v>
      </c>
      <c r="O748" s="213"/>
      <c r="P748" s="211"/>
      <c r="Q748" s="378"/>
      <c r="R748" s="398">
        <f>I747</f>
        <v>25</v>
      </c>
      <c r="S748" s="398">
        <f>F749</f>
        <v>9334</v>
      </c>
      <c r="T748" s="399">
        <f>G769</f>
        <v>2957.64</v>
      </c>
      <c r="U748" s="378" t="str">
        <f>N748</f>
        <v>Bellane Stender</v>
      </c>
      <c r="V748" s="380">
        <f>O769</f>
        <v>2734.8945</v>
      </c>
      <c r="W748" s="399">
        <f>P757</f>
        <v>2734.8945</v>
      </c>
      <c r="X748" s="399">
        <f>C768</f>
        <v>2927.15</v>
      </c>
      <c r="Y748" s="400">
        <f>N757</f>
        <v>4207.53</v>
      </c>
      <c r="Z748" s="399">
        <f>V749-V748</f>
        <v>222.7455</v>
      </c>
      <c r="AA748" s="378"/>
      <c r="AB748" s="378"/>
      <c r="AC748" s="401">
        <f>C765</f>
        <v>150</v>
      </c>
      <c r="AD748" s="401">
        <f>C766</f>
        <v>400</v>
      </c>
      <c r="AE748" s="401">
        <f>C767</f>
        <v>200</v>
      </c>
      <c r="AF748" s="530">
        <f>C769+C770+C771+C772+C773</f>
        <v>141.21</v>
      </c>
      <c r="AG748" s="398"/>
    </row>
    <row r="749">
      <c r="A749" s="378"/>
      <c r="B749" s="395"/>
      <c r="C749" s="372"/>
      <c r="D749" s="402"/>
      <c r="E749" s="385" t="s">
        <v>703</v>
      </c>
      <c r="F749" s="385">
        <v>9334.0</v>
      </c>
      <c r="G749" s="213"/>
      <c r="H749" s="211"/>
      <c r="I749" s="376"/>
      <c r="J749" s="588"/>
      <c r="K749" s="589"/>
      <c r="L749" s="591"/>
      <c r="M749" s="586" t="s">
        <v>703</v>
      </c>
      <c r="N749" s="587">
        <f>F749</f>
        <v>9334</v>
      </c>
      <c r="O749" s="213"/>
      <c r="P749" s="211"/>
      <c r="Q749" s="378"/>
      <c r="R749" s="378"/>
      <c r="S749" s="378"/>
      <c r="T749" s="378"/>
      <c r="U749" s="378" t="str">
        <f>F748</f>
        <v>Neta Globbal Logistics LLC</v>
      </c>
      <c r="V749" s="399">
        <f>G769</f>
        <v>2957.64</v>
      </c>
      <c r="W749" s="399">
        <f>H757</f>
        <v>6776</v>
      </c>
      <c r="X749" s="378"/>
      <c r="Y749" s="378"/>
      <c r="Z749" s="378"/>
      <c r="AA749" s="378"/>
      <c r="AB749" s="378"/>
      <c r="AC749" s="378"/>
      <c r="AD749" s="378"/>
      <c r="AE749" s="378"/>
      <c r="AF749" s="378"/>
      <c r="AG749" s="378"/>
    </row>
    <row r="750">
      <c r="A750" s="378"/>
      <c r="B750" s="403" t="s">
        <v>704</v>
      </c>
      <c r="C750" s="404" t="s">
        <v>5</v>
      </c>
      <c r="D750" s="405" t="s">
        <v>6</v>
      </c>
      <c r="E750" s="406" t="s">
        <v>7</v>
      </c>
      <c r="F750" s="404" t="s">
        <v>8</v>
      </c>
      <c r="G750" s="404" t="s">
        <v>706</v>
      </c>
      <c r="H750" s="404" t="s">
        <v>707</v>
      </c>
      <c r="I750" s="376"/>
      <c r="J750" s="592" t="s">
        <v>704</v>
      </c>
      <c r="K750" s="593" t="s">
        <v>5</v>
      </c>
      <c r="L750" s="594" t="s">
        <v>6</v>
      </c>
      <c r="M750" s="595" t="s">
        <v>7</v>
      </c>
      <c r="N750" s="596" t="s">
        <v>591</v>
      </c>
      <c r="O750" s="597" t="s">
        <v>839</v>
      </c>
      <c r="P750" s="593" t="s">
        <v>707</v>
      </c>
      <c r="Q750" s="378"/>
      <c r="R750" s="378"/>
      <c r="S750" s="378"/>
      <c r="T750" s="378"/>
      <c r="U750" s="378"/>
      <c r="V750" s="378"/>
      <c r="W750" s="378"/>
      <c r="X750" s="378"/>
      <c r="Y750" s="378"/>
      <c r="Z750" s="378"/>
      <c r="AA750" s="378"/>
      <c r="AB750" s="378"/>
      <c r="AC750" s="378"/>
      <c r="AD750" s="378"/>
      <c r="AE750" s="378"/>
      <c r="AF750" s="378"/>
      <c r="AG750" s="378"/>
    </row>
    <row r="751">
      <c r="A751" s="378"/>
      <c r="B751" s="555">
        <f>IFERROR(__xludf.DUMMYFUNCTION("FILTER(Board!C:G,Board!K:K=F749)"),45978.0)</f>
        <v>45978</v>
      </c>
      <c r="C751" s="404" t="str">
        <f>IFERROR(__xludf.DUMMYFUNCTION("""COMPUTED_VALUE"""),"BG1049391825")</f>
        <v>BG1049391825</v>
      </c>
      <c r="D751" s="405" t="str">
        <f>IFERROR(__xludf.DUMMYFUNCTION("""COMPUTED_VALUE"""),"Ocala, FL, 34471")</f>
        <v>Ocala, FL, 34471</v>
      </c>
      <c r="E751" s="406" t="str">
        <f>IFERROR(__xludf.DUMMYFUNCTION("""COMPUTED_VALUE"""),"Brownsville, TX, 78526")</f>
        <v>Brownsville, TX, 78526</v>
      </c>
      <c r="F751" s="414">
        <f>IFERROR(__xludf.DUMMYFUNCTION("""COMPUTED_VALUE"""),1500.0)</f>
        <v>1500</v>
      </c>
      <c r="G751" s="413">
        <v>0.88</v>
      </c>
      <c r="H751" s="414">
        <f t="shared" ref="H751:H755" si="44">F751*G751</f>
        <v>1320</v>
      </c>
      <c r="I751" s="376"/>
      <c r="J751" s="598">
        <f>IFERROR(__xludf.DUMMYFUNCTION("FILTER(Board!C:F,Board!K:K=N749)"),45978.0)</f>
        <v>45978</v>
      </c>
      <c r="K751" s="593" t="str">
        <f>IFERROR(__xludf.DUMMYFUNCTION("""COMPUTED_VALUE"""),"BG1049391825")</f>
        <v>BG1049391825</v>
      </c>
      <c r="L751" s="593" t="str">
        <f>IFERROR(__xludf.DUMMYFUNCTION("""COMPUTED_VALUE"""),"Ocala, FL, 34471")</f>
        <v>Ocala, FL, 34471</v>
      </c>
      <c r="M751" s="593" t="str">
        <f>IFERROR(__xludf.DUMMYFUNCTION("""COMPUTED_VALUE"""),"Brownsville, TX, 78526")</f>
        <v>Brownsville, TX, 78526</v>
      </c>
      <c r="N751" s="599">
        <f>IFERROR(__xludf.DUMMYFUNCTION("FILTER(Board!H:H,Board!K:K=N749)"),1330.0)</f>
        <v>1330</v>
      </c>
      <c r="O751" s="597">
        <v>0.65</v>
      </c>
      <c r="P751" s="600">
        <f t="shared" ref="P751:P755" si="45">N751*O751</f>
        <v>864.5</v>
      </c>
      <c r="Q751" s="378"/>
      <c r="R751" s="378"/>
      <c r="S751" s="378"/>
      <c r="T751" s="378"/>
      <c r="U751" s="378"/>
      <c r="V751" s="378"/>
      <c r="W751" s="378"/>
      <c r="X751" s="378"/>
      <c r="Y751" s="378"/>
      <c r="Z751" s="378"/>
      <c r="AA751" s="378"/>
      <c r="AB751" s="378"/>
      <c r="AC751" s="378"/>
      <c r="AD751" s="378"/>
      <c r="AE751" s="378"/>
      <c r="AF751" s="378"/>
      <c r="AG751" s="378"/>
    </row>
    <row r="752">
      <c r="A752" s="378"/>
      <c r="B752" s="555">
        <f>IFERROR(__xludf.DUMMYFUNCTION("""COMPUTED_VALUE"""),45980.0)</f>
        <v>45980</v>
      </c>
      <c r="C752" s="404" t="str">
        <f>IFERROR(__xludf.DUMMYFUNCTION("""COMPUTED_VALUE"""),"TR-0000270191-01")</f>
        <v>TR-0000270191-01</v>
      </c>
      <c r="D752" s="405" t="str">
        <f>IFERROR(__xludf.DUMMYFUNCTION("""COMPUTED_VALUE"""),", TX, 78521")</f>
        <v>, TX, 78521</v>
      </c>
      <c r="E752" s="406" t="str">
        <f>IFERROR(__xludf.DUMMYFUNCTION("""COMPUTED_VALUE"""),"Baton Rouge, LA, 70806")</f>
        <v>Baton Rouge, LA, 70806</v>
      </c>
      <c r="F752" s="414">
        <f>IFERROR(__xludf.DUMMYFUNCTION("""COMPUTED_VALUE"""),1350.0)</f>
        <v>1350</v>
      </c>
      <c r="G752" s="413">
        <v>0.88</v>
      </c>
      <c r="H752" s="414">
        <f t="shared" si="44"/>
        <v>1188</v>
      </c>
      <c r="I752" s="376"/>
      <c r="J752" s="601">
        <f>IFERROR(__xludf.DUMMYFUNCTION("""COMPUTED_VALUE"""),45980.0)</f>
        <v>45980</v>
      </c>
      <c r="K752" s="593" t="str">
        <f>IFERROR(__xludf.DUMMYFUNCTION("""COMPUTED_VALUE"""),"TR-0000270191-01")</f>
        <v>TR-0000270191-01</v>
      </c>
      <c r="L752" s="593" t="str">
        <f>IFERROR(__xludf.DUMMYFUNCTION("""COMPUTED_VALUE"""),", TX, 78521")</f>
        <v>, TX, 78521</v>
      </c>
      <c r="M752" s="593" t="str">
        <f>IFERROR(__xludf.DUMMYFUNCTION("""COMPUTED_VALUE"""),"Baton Rouge, LA, 70806")</f>
        <v>Baton Rouge, LA, 70806</v>
      </c>
      <c r="N752" s="599">
        <f>IFERROR(__xludf.DUMMYFUNCTION("""COMPUTED_VALUE"""),632.0)</f>
        <v>632</v>
      </c>
      <c r="O752" s="597">
        <v>0.65</v>
      </c>
      <c r="P752" s="600">
        <f t="shared" si="45"/>
        <v>410.8</v>
      </c>
      <c r="Q752" s="378"/>
      <c r="R752" s="378"/>
      <c r="S752" s="378"/>
      <c r="T752" s="378"/>
      <c r="U752" s="378"/>
      <c r="V752" s="378"/>
      <c r="W752" s="378"/>
      <c r="X752" s="378"/>
      <c r="Y752" s="378"/>
      <c r="Z752" s="378"/>
      <c r="AA752" s="378"/>
      <c r="AB752" s="378"/>
      <c r="AC752" s="378"/>
      <c r="AD752" s="378"/>
      <c r="AE752" s="378"/>
      <c r="AF752" s="378"/>
      <c r="AG752" s="378"/>
    </row>
    <row r="753">
      <c r="A753" s="378"/>
      <c r="B753" s="499">
        <f>IFERROR(__xludf.DUMMYFUNCTION("""COMPUTED_VALUE"""),45981.0)</f>
        <v>45981</v>
      </c>
      <c r="C753" s="421">
        <f>IFERROR(__xludf.DUMMYFUNCTION("""COMPUTED_VALUE"""),1761383.0)</f>
        <v>1761383</v>
      </c>
      <c r="D753" s="422" t="str">
        <f>IFERROR(__xludf.DUMMYFUNCTION("""COMPUTED_VALUE"""),"Baton Rouge, LA, 70807")</f>
        <v>Baton Rouge, LA, 70807</v>
      </c>
      <c r="E753" s="423" t="str">
        <f>IFERROR(__xludf.DUMMYFUNCTION("""COMPUTED_VALUE"""),"High Point, NC, 27263")</f>
        <v>High Point, NC, 27263</v>
      </c>
      <c r="F753" s="500">
        <f>IFERROR(__xludf.DUMMYFUNCTION("""COMPUTED_VALUE"""),1850.0)</f>
        <v>1850</v>
      </c>
      <c r="G753" s="413">
        <v>0.88</v>
      </c>
      <c r="H753" s="414">
        <f t="shared" si="44"/>
        <v>1628</v>
      </c>
      <c r="I753" s="376"/>
      <c r="J753" s="601">
        <f>IFERROR(__xludf.DUMMYFUNCTION("""COMPUTED_VALUE"""),45981.0)</f>
        <v>45981</v>
      </c>
      <c r="K753" s="593">
        <f>IFERROR(__xludf.DUMMYFUNCTION("""COMPUTED_VALUE"""),1761383.0)</f>
        <v>1761383</v>
      </c>
      <c r="L753" s="593" t="str">
        <f>IFERROR(__xludf.DUMMYFUNCTION("""COMPUTED_VALUE"""),"Baton Rouge, LA, 70807")</f>
        <v>Baton Rouge, LA, 70807</v>
      </c>
      <c r="M753" s="593" t="str">
        <f>IFERROR(__xludf.DUMMYFUNCTION("""COMPUTED_VALUE"""),"High Point, NC, 27263")</f>
        <v>High Point, NC, 27263</v>
      </c>
      <c r="N753" s="599">
        <f>IFERROR(__xludf.DUMMYFUNCTION("""COMPUTED_VALUE"""),860.0)</f>
        <v>860</v>
      </c>
      <c r="O753" s="597">
        <v>0.65</v>
      </c>
      <c r="P753" s="600">
        <f t="shared" si="45"/>
        <v>559</v>
      </c>
      <c r="Q753" s="378"/>
      <c r="R753" s="378"/>
      <c r="S753" s="378"/>
      <c r="T753" s="378"/>
      <c r="U753" s="378"/>
      <c r="V753" s="378"/>
      <c r="W753" s="378"/>
      <c r="X753" s="378"/>
      <c r="Y753" s="378"/>
      <c r="Z753" s="378"/>
      <c r="AA753" s="378"/>
      <c r="AB753" s="378"/>
      <c r="AC753" s="378"/>
      <c r="AD753" s="378"/>
      <c r="AE753" s="378"/>
      <c r="AF753" s="378"/>
      <c r="AG753" s="378"/>
    </row>
    <row r="754">
      <c r="A754" s="378"/>
      <c r="B754" s="499">
        <f>IFERROR(__xludf.DUMMYFUNCTION("""COMPUTED_VALUE"""),45982.0)</f>
        <v>45982</v>
      </c>
      <c r="C754" s="421">
        <f>IFERROR(__xludf.DUMMYFUNCTION("""COMPUTED_VALUE"""),2233146.0)</f>
        <v>2233146</v>
      </c>
      <c r="D754" s="422" t="str">
        <f>IFERROR(__xludf.DUMMYFUNCTION("""COMPUTED_VALUE"""),"Lexington, NC, 27295")</f>
        <v>Lexington, NC, 27295</v>
      </c>
      <c r="E754" s="423" t="str">
        <f>IFERROR(__xludf.DUMMYFUNCTION("""COMPUTED_VALUE"""),"Albany, GA, 31705")</f>
        <v>Albany, GA, 31705</v>
      </c>
      <c r="F754" s="500">
        <f>IFERROR(__xludf.DUMMYFUNCTION("""COMPUTED_VALUE"""),1500.0)</f>
        <v>1500</v>
      </c>
      <c r="G754" s="413">
        <v>0.88</v>
      </c>
      <c r="H754" s="414">
        <f t="shared" si="44"/>
        <v>1320</v>
      </c>
      <c r="I754" s="376"/>
      <c r="J754" s="601">
        <f>IFERROR(__xludf.DUMMYFUNCTION("""COMPUTED_VALUE"""),45982.0)</f>
        <v>45982</v>
      </c>
      <c r="K754" s="593">
        <f>IFERROR(__xludf.DUMMYFUNCTION("""COMPUTED_VALUE"""),2233146.0)</f>
        <v>2233146</v>
      </c>
      <c r="L754" s="594" t="str">
        <f>IFERROR(__xludf.DUMMYFUNCTION("""COMPUTED_VALUE"""),"Lexington, NC, 27295")</f>
        <v>Lexington, NC, 27295</v>
      </c>
      <c r="M754" s="595" t="str">
        <f>IFERROR(__xludf.DUMMYFUNCTION("""COMPUTED_VALUE"""),"Albany, GA, 31705")</f>
        <v>Albany, GA, 31705</v>
      </c>
      <c r="N754" s="599">
        <f>IFERROR(__xludf.DUMMYFUNCTION("""COMPUTED_VALUE"""),446.0)</f>
        <v>446</v>
      </c>
      <c r="O754" s="597">
        <v>0.65</v>
      </c>
      <c r="P754" s="600">
        <f t="shared" si="45"/>
        <v>289.9</v>
      </c>
      <c r="Q754" s="378"/>
      <c r="R754" s="378"/>
      <c r="S754" s="378"/>
      <c r="T754" s="378"/>
      <c r="U754" s="378"/>
      <c r="V754" s="378"/>
      <c r="W754" s="378"/>
      <c r="X754" s="378"/>
      <c r="Y754" s="378"/>
      <c r="Z754" s="378"/>
      <c r="AA754" s="378"/>
      <c r="AB754" s="378"/>
      <c r="AC754" s="378"/>
      <c r="AD754" s="378"/>
      <c r="AE754" s="378"/>
      <c r="AF754" s="378"/>
      <c r="AG754" s="378"/>
    </row>
    <row r="755">
      <c r="A755" s="378"/>
      <c r="B755" s="499">
        <f>IFERROR(__xludf.DUMMYFUNCTION("""COMPUTED_VALUE"""),45983.0)</f>
        <v>45983</v>
      </c>
      <c r="C755" s="421">
        <f>IFERROR(__xludf.DUMMYFUNCTION("""COMPUTED_VALUE"""),1761581.0)</f>
        <v>1761581</v>
      </c>
      <c r="D755" s="422" t="str">
        <f>IFERROR(__xludf.DUMMYFUNCTION("""COMPUTED_VALUE"""),"Ochlocknee, GA, 31773")</f>
        <v>Ochlocknee, GA, 31773</v>
      </c>
      <c r="E755" s="423" t="str">
        <f>IFERROR(__xludf.DUMMYFUNCTION("""COMPUTED_VALUE"""),"Northlake, TX, 76262")</f>
        <v>Northlake, TX, 76262</v>
      </c>
      <c r="F755" s="500">
        <f>IFERROR(__xludf.DUMMYFUNCTION("""COMPUTED_VALUE"""),1500.0)</f>
        <v>1500</v>
      </c>
      <c r="G755" s="413">
        <v>0.88</v>
      </c>
      <c r="H755" s="414">
        <f t="shared" si="44"/>
        <v>1320</v>
      </c>
      <c r="I755" s="376"/>
      <c r="J755" s="601">
        <f>IFERROR(__xludf.DUMMYFUNCTION("""COMPUTED_VALUE"""),45983.0)</f>
        <v>45983</v>
      </c>
      <c r="K755" s="593">
        <f>IFERROR(__xludf.DUMMYFUNCTION("""COMPUTED_VALUE"""),1761581.0)</f>
        <v>1761581</v>
      </c>
      <c r="L755" s="594" t="str">
        <f>IFERROR(__xludf.DUMMYFUNCTION("""COMPUTED_VALUE"""),"Ochlocknee, GA, 31773")</f>
        <v>Ochlocknee, GA, 31773</v>
      </c>
      <c r="M755" s="595" t="str">
        <f>IFERROR(__xludf.DUMMYFUNCTION("""COMPUTED_VALUE"""),"Northlake, TX, 76262")</f>
        <v>Northlake, TX, 76262</v>
      </c>
      <c r="N755" s="599">
        <f>IFERROR(__xludf.DUMMYFUNCTION("""COMPUTED_VALUE"""),939.53)</f>
        <v>939.53</v>
      </c>
      <c r="O755" s="597">
        <v>0.65</v>
      </c>
      <c r="P755" s="600">
        <f t="shared" si="45"/>
        <v>610.6945</v>
      </c>
      <c r="Q755" s="378"/>
      <c r="R755" s="378"/>
      <c r="S755" s="378"/>
      <c r="T755" s="378"/>
      <c r="U755" s="378"/>
      <c r="V755" s="378"/>
      <c r="W755" s="378"/>
      <c r="X755" s="378"/>
      <c r="Y755" s="378"/>
      <c r="Z755" s="378"/>
      <c r="AA755" s="378"/>
      <c r="AB755" s="378"/>
      <c r="AC755" s="378"/>
      <c r="AD755" s="378"/>
      <c r="AE755" s="378"/>
      <c r="AF755" s="378"/>
      <c r="AG755" s="378"/>
    </row>
    <row r="756">
      <c r="A756" s="378"/>
      <c r="B756" s="420"/>
      <c r="C756" s="421"/>
      <c r="D756" s="422"/>
      <c r="E756" s="423"/>
      <c r="F756" s="421"/>
      <c r="G756" s="413"/>
      <c r="H756" s="414"/>
      <c r="I756" s="376"/>
      <c r="J756" s="602"/>
      <c r="K756" s="593"/>
      <c r="L756" s="594"/>
      <c r="M756" s="595"/>
      <c r="N756" s="596"/>
      <c r="O756" s="597"/>
      <c r="P756" s="600"/>
      <c r="Q756" s="378"/>
      <c r="R756" s="378"/>
      <c r="S756" s="378"/>
      <c r="T756" s="378"/>
      <c r="U756" s="378"/>
      <c r="V756" s="378"/>
      <c r="W756" s="378"/>
      <c r="X756" s="378"/>
      <c r="Y756" s="378"/>
      <c r="Z756" s="378"/>
      <c r="AA756" s="378"/>
      <c r="AB756" s="378"/>
      <c r="AC756" s="378"/>
      <c r="AD756" s="378"/>
      <c r="AE756" s="378"/>
      <c r="AF756" s="378"/>
      <c r="AG756" s="378"/>
    </row>
    <row r="757">
      <c r="A757" s="378"/>
      <c r="B757" s="403" t="s">
        <v>711</v>
      </c>
      <c r="C757" s="224"/>
      <c r="D757" s="224"/>
      <c r="E757" s="222"/>
      <c r="F757" s="414">
        <f>SUM(F751:F756)</f>
        <v>7700</v>
      </c>
      <c r="G757" s="421"/>
      <c r="H757" s="414">
        <f>SUM(H751:H756)</f>
        <v>6776</v>
      </c>
      <c r="I757" s="376"/>
      <c r="J757" s="603" t="s">
        <v>711</v>
      </c>
      <c r="K757" s="224"/>
      <c r="L757" s="224"/>
      <c r="M757" s="222"/>
      <c r="N757" s="599">
        <f>SUM(N751:N756)</f>
        <v>4207.53</v>
      </c>
      <c r="O757" s="597"/>
      <c r="P757" s="600">
        <f>SUM(P751:P756)</f>
        <v>2734.8945</v>
      </c>
      <c r="Q757" s="378"/>
      <c r="R757" s="378"/>
      <c r="S757" s="378"/>
      <c r="T757" s="378"/>
      <c r="U757" s="378"/>
      <c r="V757" s="378"/>
      <c r="W757" s="378"/>
      <c r="X757" s="378"/>
      <c r="Y757" s="378"/>
      <c r="Z757" s="378"/>
      <c r="AA757" s="378"/>
      <c r="AB757" s="378"/>
      <c r="AC757" s="378"/>
      <c r="AD757" s="378"/>
      <c r="AE757" s="378"/>
      <c r="AF757" s="378"/>
      <c r="AG757" s="378"/>
    </row>
    <row r="758">
      <c r="A758" s="378"/>
      <c r="B758" s="428"/>
      <c r="C758" s="419"/>
      <c r="D758" s="419"/>
      <c r="E758" s="419"/>
      <c r="F758" s="419"/>
      <c r="G758" s="419"/>
      <c r="H758" s="429"/>
      <c r="I758" s="376"/>
      <c r="J758" s="604"/>
      <c r="K758" s="605"/>
      <c r="L758" s="605"/>
      <c r="M758" s="605"/>
      <c r="N758" s="606"/>
      <c r="O758" s="607"/>
      <c r="P758" s="608"/>
      <c r="Q758" s="378"/>
      <c r="R758" s="378"/>
      <c r="S758" s="378"/>
      <c r="T758" s="378"/>
      <c r="U758" s="378"/>
      <c r="V758" s="378"/>
      <c r="W758" s="378"/>
      <c r="X758" s="378"/>
      <c r="Y758" s="378"/>
      <c r="Z758" s="378"/>
      <c r="AA758" s="378"/>
      <c r="AB758" s="378"/>
      <c r="AC758" s="378"/>
      <c r="AD758" s="378"/>
      <c r="AE758" s="378"/>
      <c r="AF758" s="378"/>
      <c r="AG758" s="378"/>
    </row>
    <row r="759">
      <c r="A759" s="378"/>
      <c r="B759" s="433" t="s">
        <v>712</v>
      </c>
      <c r="C759" s="434"/>
      <c r="D759" s="435"/>
      <c r="E759" s="419"/>
      <c r="F759" s="419"/>
      <c r="G759" s="419"/>
      <c r="H759" s="429"/>
      <c r="I759" s="376"/>
      <c r="J759" s="437" t="s">
        <v>712</v>
      </c>
      <c r="K759" s="609"/>
      <c r="L759" s="610"/>
      <c r="M759" s="605"/>
      <c r="N759" s="606"/>
      <c r="O759" s="607"/>
      <c r="P759" s="608"/>
      <c r="Q759" s="378"/>
      <c r="R759" s="378"/>
      <c r="S759" s="378"/>
      <c r="T759" s="378"/>
      <c r="U759" s="378"/>
      <c r="V759" s="378"/>
      <c r="W759" s="378"/>
      <c r="X759" s="378"/>
      <c r="Y759" s="378"/>
      <c r="Z759" s="378"/>
      <c r="AA759" s="378"/>
      <c r="AB759" s="378"/>
      <c r="AC759" s="378"/>
      <c r="AD759" s="378"/>
      <c r="AE759" s="378"/>
      <c r="AF759" s="378"/>
      <c r="AG759" s="378"/>
    </row>
    <row r="760">
      <c r="A760" s="378"/>
      <c r="B760" s="438"/>
      <c r="C760" s="439"/>
      <c r="D760" s="440"/>
      <c r="E760" s="419"/>
      <c r="F760" s="419"/>
      <c r="G760" s="419"/>
      <c r="H760" s="429"/>
      <c r="I760" s="376"/>
      <c r="J760" s="443"/>
      <c r="K760" s="611"/>
      <c r="L760" s="612"/>
      <c r="M760" s="605"/>
      <c r="N760" s="606"/>
      <c r="O760" s="607"/>
      <c r="P760" s="608"/>
      <c r="Q760" s="378"/>
      <c r="R760" s="378"/>
      <c r="S760" s="378"/>
      <c r="T760" s="378"/>
      <c r="U760" s="378"/>
      <c r="V760" s="378"/>
      <c r="W760" s="378"/>
      <c r="X760" s="378"/>
      <c r="Y760" s="378"/>
      <c r="Z760" s="378"/>
      <c r="AA760" s="378"/>
      <c r="AB760" s="378"/>
      <c r="AC760" s="378"/>
      <c r="AD760" s="378"/>
      <c r="AE760" s="378"/>
      <c r="AF760" s="378"/>
      <c r="AG760" s="378"/>
    </row>
    <row r="761">
      <c r="A761" s="378"/>
      <c r="B761" s="444"/>
      <c r="C761" s="434"/>
      <c r="D761" s="435"/>
      <c r="E761" s="419"/>
      <c r="F761" s="463"/>
      <c r="G761" s="463"/>
      <c r="H761" s="448"/>
      <c r="I761" s="376"/>
      <c r="J761" s="445"/>
      <c r="K761" s="609"/>
      <c r="L761" s="610"/>
      <c r="M761" s="605"/>
      <c r="N761" s="606"/>
      <c r="O761" s="607"/>
      <c r="P761" s="608"/>
      <c r="Q761" s="378"/>
      <c r="R761" s="378"/>
      <c r="S761" s="378"/>
      <c r="T761" s="378"/>
      <c r="U761" s="378"/>
      <c r="V761" s="378"/>
      <c r="W761" s="378"/>
      <c r="X761" s="378"/>
      <c r="Y761" s="378"/>
      <c r="Z761" s="378"/>
      <c r="AA761" s="378"/>
      <c r="AB761" s="378"/>
      <c r="AC761" s="378"/>
      <c r="AD761" s="378"/>
      <c r="AE761" s="378"/>
      <c r="AF761" s="378"/>
      <c r="AG761" s="378"/>
    </row>
    <row r="762">
      <c r="A762" s="378"/>
      <c r="B762" s="438" t="s">
        <v>714</v>
      </c>
      <c r="C762" s="439">
        <f>SUM(C760:C761)</f>
        <v>0</v>
      </c>
      <c r="D762" s="440"/>
      <c r="E762" s="419"/>
      <c r="F762" s="463"/>
      <c r="G762" s="463"/>
      <c r="H762" s="448"/>
      <c r="I762" s="376"/>
      <c r="J762" s="443" t="s">
        <v>714</v>
      </c>
      <c r="K762" s="611">
        <f>SUM(K760:K761)</f>
        <v>0</v>
      </c>
      <c r="L762" s="612"/>
      <c r="M762" s="605"/>
      <c r="N762" s="606"/>
      <c r="O762" s="607"/>
      <c r="P762" s="608"/>
      <c r="Q762" s="378"/>
      <c r="R762" s="378"/>
      <c r="S762" s="378"/>
      <c r="T762" s="378"/>
      <c r="U762" s="378"/>
      <c r="V762" s="378"/>
      <c r="W762" s="378"/>
      <c r="X762" s="378"/>
      <c r="Y762" s="378"/>
      <c r="Z762" s="378"/>
      <c r="AA762" s="378"/>
      <c r="AB762" s="378"/>
      <c r="AC762" s="378"/>
      <c r="AD762" s="378"/>
      <c r="AE762" s="378"/>
      <c r="AF762" s="378"/>
      <c r="AG762" s="378"/>
    </row>
    <row r="763">
      <c r="A763" s="378"/>
      <c r="B763" s="450"/>
      <c r="C763" s="451"/>
      <c r="D763" s="419"/>
      <c r="E763" s="419"/>
      <c r="F763" s="463"/>
      <c r="G763" s="463"/>
      <c r="H763" s="448"/>
      <c r="I763" s="376"/>
      <c r="J763" s="613"/>
      <c r="K763" s="614"/>
      <c r="L763" s="605"/>
      <c r="M763" s="605"/>
      <c r="N763" s="606"/>
      <c r="O763" s="607"/>
      <c r="P763" s="608"/>
      <c r="Q763" s="378"/>
      <c r="R763" s="378"/>
      <c r="S763" s="378"/>
      <c r="T763" s="378"/>
      <c r="U763" s="378"/>
      <c r="V763" s="378"/>
      <c r="W763" s="378"/>
      <c r="X763" s="378"/>
      <c r="Y763" s="378"/>
      <c r="Z763" s="378"/>
      <c r="AA763" s="378"/>
      <c r="AB763" s="378"/>
      <c r="AC763" s="378"/>
      <c r="AD763" s="378"/>
      <c r="AE763" s="378"/>
      <c r="AF763" s="378"/>
      <c r="AG763" s="378"/>
    </row>
    <row r="764">
      <c r="A764" s="378"/>
      <c r="B764" s="454" t="s">
        <v>715</v>
      </c>
      <c r="C764" s="455"/>
      <c r="D764" s="435"/>
      <c r="E764" s="419"/>
      <c r="F764" s="463"/>
      <c r="G764" s="463"/>
      <c r="H764" s="448"/>
      <c r="I764" s="376"/>
      <c r="J764" s="615" t="s">
        <v>715</v>
      </c>
      <c r="K764" s="616"/>
      <c r="L764" s="610"/>
      <c r="M764" s="605"/>
      <c r="N764" s="606"/>
      <c r="O764" s="607"/>
      <c r="P764" s="608"/>
      <c r="Q764" s="378"/>
      <c r="R764" s="378"/>
      <c r="S764" s="378"/>
      <c r="T764" s="378"/>
      <c r="U764" s="378"/>
      <c r="V764" s="378"/>
      <c r="W764" s="378"/>
      <c r="X764" s="378"/>
      <c r="Y764" s="378"/>
      <c r="Z764" s="378"/>
      <c r="AA764" s="378"/>
      <c r="AB764" s="378"/>
      <c r="AC764" s="378"/>
      <c r="AD764" s="378"/>
      <c r="AE764" s="378"/>
      <c r="AF764" s="378"/>
      <c r="AG764" s="378"/>
    </row>
    <row r="765">
      <c r="A765" s="378"/>
      <c r="B765" s="459" t="s">
        <v>716</v>
      </c>
      <c r="C765" s="460">
        <v>150.0</v>
      </c>
      <c r="D765" s="440"/>
      <c r="E765" s="419"/>
      <c r="F765" s="463"/>
      <c r="G765" s="463"/>
      <c r="H765" s="448"/>
      <c r="I765" s="376"/>
      <c r="J765" s="617"/>
      <c r="K765" s="618"/>
      <c r="L765" s="612"/>
      <c r="M765" s="605"/>
      <c r="N765" s="606"/>
      <c r="O765" s="607"/>
      <c r="P765" s="608"/>
      <c r="Q765" s="378"/>
      <c r="R765" s="378"/>
      <c r="S765" s="378"/>
      <c r="T765" s="378"/>
      <c r="U765" s="378"/>
      <c r="V765" s="378"/>
      <c r="W765" s="378"/>
      <c r="X765" s="378"/>
      <c r="Y765" s="378"/>
      <c r="Z765" s="378"/>
      <c r="AA765" s="378"/>
      <c r="AB765" s="378"/>
      <c r="AC765" s="378"/>
      <c r="AD765" s="378"/>
      <c r="AE765" s="378"/>
      <c r="AF765" s="378"/>
      <c r="AG765" s="378"/>
    </row>
    <row r="766">
      <c r="A766" s="378"/>
      <c r="B766" s="459" t="s">
        <v>717</v>
      </c>
      <c r="C766" s="460">
        <v>400.0</v>
      </c>
      <c r="D766" s="440"/>
      <c r="E766" s="419"/>
      <c r="F766" s="463"/>
      <c r="G766" s="463"/>
      <c r="H766" s="448"/>
      <c r="I766" s="376"/>
      <c r="J766" s="617"/>
      <c r="K766" s="618"/>
      <c r="L766" s="612"/>
      <c r="M766" s="605"/>
      <c r="N766" s="606"/>
      <c r="O766" s="607"/>
      <c r="P766" s="608"/>
      <c r="Q766" s="378"/>
      <c r="R766" s="378"/>
      <c r="S766" s="378"/>
      <c r="T766" s="378"/>
      <c r="U766" s="378"/>
      <c r="V766" s="378"/>
      <c r="W766" s="378"/>
      <c r="X766" s="378"/>
      <c r="Y766" s="378"/>
      <c r="Z766" s="378"/>
      <c r="AA766" s="378"/>
      <c r="AB766" s="378"/>
      <c r="AC766" s="378"/>
      <c r="AD766" s="378"/>
      <c r="AE766" s="378"/>
      <c r="AF766" s="378"/>
      <c r="AG766" s="378"/>
    </row>
    <row r="767">
      <c r="A767" s="378"/>
      <c r="B767" s="459" t="s">
        <v>718</v>
      </c>
      <c r="C767" s="460">
        <v>200.0</v>
      </c>
      <c r="D767" s="440"/>
      <c r="E767" s="419"/>
      <c r="F767" s="463"/>
      <c r="G767" s="463"/>
      <c r="H767" s="448"/>
      <c r="I767" s="376"/>
      <c r="J767" s="617"/>
      <c r="K767" s="618"/>
      <c r="L767" s="612"/>
      <c r="M767" s="605"/>
      <c r="N767" s="606"/>
      <c r="O767" s="607"/>
      <c r="P767" s="608"/>
      <c r="Q767" s="378"/>
      <c r="R767" s="378"/>
      <c r="S767" s="378"/>
      <c r="T767" s="378"/>
      <c r="U767" s="378"/>
      <c r="V767" s="378"/>
      <c r="W767" s="378"/>
      <c r="X767" s="378"/>
      <c r="Y767" s="378"/>
      <c r="Z767" s="378"/>
      <c r="AA767" s="378"/>
      <c r="AB767" s="378"/>
      <c r="AC767" s="378"/>
      <c r="AD767" s="378"/>
      <c r="AE767" s="378"/>
      <c r="AF767" s="378"/>
      <c r="AG767" s="378"/>
    </row>
    <row r="768">
      <c r="A768" s="378"/>
      <c r="B768" s="459" t="s">
        <v>656</v>
      </c>
      <c r="C768" s="460">
        <f>IFERROR(__xludf.DUMMYFUNCTION("FILTER(D967:D995,C967:C995=F749)"),2927.15)</f>
        <v>2927.15</v>
      </c>
      <c r="D768" s="440"/>
      <c r="E768" s="419"/>
      <c r="F768" s="463"/>
      <c r="G768" s="463"/>
      <c r="H768" s="448"/>
      <c r="I768" s="376"/>
      <c r="J768" s="617"/>
      <c r="K768" s="618"/>
      <c r="L768" s="612"/>
      <c r="M768" s="605"/>
      <c r="N768" s="606"/>
      <c r="O768" s="607"/>
      <c r="P768" s="608"/>
      <c r="Q768" s="378"/>
      <c r="R768" s="378"/>
      <c r="S768" s="378"/>
      <c r="T768" s="378"/>
      <c r="U768" s="378"/>
      <c r="V768" s="378"/>
      <c r="W768" s="378"/>
      <c r="X768" s="378"/>
      <c r="Y768" s="378"/>
      <c r="Z768" s="378"/>
      <c r="AA768" s="378"/>
      <c r="AB768" s="378"/>
      <c r="AC768" s="378"/>
      <c r="AD768" s="378"/>
      <c r="AE768" s="378"/>
      <c r="AF768" s="378"/>
      <c r="AG768" s="378"/>
    </row>
    <row r="769">
      <c r="A769" s="378"/>
      <c r="B769" s="454" t="s">
        <v>903</v>
      </c>
      <c r="C769" s="537">
        <v>141.21</v>
      </c>
      <c r="D769" s="435"/>
      <c r="E769" s="419"/>
      <c r="F769" s="468" t="s">
        <v>842</v>
      </c>
      <c r="G769" s="466">
        <f>H757+C762-C774</f>
        <v>2957.64</v>
      </c>
      <c r="H769" s="211"/>
      <c r="I769" s="376"/>
      <c r="J769" s="615"/>
      <c r="K769" s="616"/>
      <c r="L769" s="610"/>
      <c r="M769" s="605"/>
      <c r="N769" s="619" t="s">
        <v>842</v>
      </c>
      <c r="O769" s="620">
        <f>P757+K762-K774</f>
        <v>2734.8945</v>
      </c>
      <c r="P769" s="211"/>
      <c r="Q769" s="378"/>
      <c r="R769" s="378"/>
      <c r="S769" s="378"/>
      <c r="T769" s="378"/>
      <c r="U769" s="378"/>
      <c r="V769" s="378"/>
      <c r="W769" s="378"/>
      <c r="X769" s="378"/>
      <c r="Y769" s="378"/>
      <c r="Z769" s="378"/>
      <c r="AA769" s="378"/>
      <c r="AB769" s="378"/>
      <c r="AC769" s="378"/>
      <c r="AD769" s="378"/>
      <c r="AE769" s="378"/>
      <c r="AF769" s="378"/>
      <c r="AG769" s="378"/>
    </row>
    <row r="770">
      <c r="A770" s="378"/>
      <c r="B770" s="464"/>
      <c r="C770" s="455"/>
      <c r="D770" s="435"/>
      <c r="E770" s="419"/>
      <c r="F770" s="469" t="s">
        <v>843</v>
      </c>
      <c r="G770" s="278"/>
      <c r="H770" s="56"/>
      <c r="I770" s="376"/>
      <c r="J770" s="615"/>
      <c r="K770" s="616"/>
      <c r="L770" s="610"/>
      <c r="M770" s="605"/>
      <c r="N770" s="621" t="s">
        <v>854</v>
      </c>
      <c r="O770" s="278"/>
      <c r="P770" s="56"/>
      <c r="Q770" s="378"/>
      <c r="R770" s="378"/>
      <c r="S770" s="378"/>
      <c r="T770" s="378"/>
      <c r="U770" s="378"/>
      <c r="V770" s="378"/>
      <c r="W770" s="378"/>
      <c r="X770" s="378"/>
      <c r="Y770" s="378"/>
      <c r="Z770" s="378"/>
      <c r="AA770" s="378"/>
      <c r="AB770" s="378"/>
      <c r="AC770" s="378"/>
      <c r="AD770" s="378"/>
      <c r="AE770" s="378"/>
      <c r="AF770" s="378"/>
      <c r="AG770" s="378"/>
    </row>
    <row r="771">
      <c r="A771" s="378"/>
      <c r="B771" s="464"/>
      <c r="C771" s="455"/>
      <c r="D771" s="435"/>
      <c r="E771" s="419"/>
      <c r="F771" s="470"/>
      <c r="G771" s="215"/>
      <c r="H771" s="64"/>
      <c r="I771" s="376"/>
      <c r="J771" s="615"/>
      <c r="K771" s="616"/>
      <c r="L771" s="610"/>
      <c r="M771" s="605"/>
      <c r="N771" s="622"/>
      <c r="O771" s="215"/>
      <c r="P771" s="64"/>
      <c r="Q771" s="378"/>
      <c r="R771" s="378"/>
      <c r="S771" s="378"/>
      <c r="T771" s="378"/>
      <c r="U771" s="378"/>
      <c r="V771" s="378"/>
      <c r="W771" s="378"/>
      <c r="X771" s="378"/>
      <c r="Y771" s="378"/>
      <c r="Z771" s="378"/>
      <c r="AA771" s="378"/>
      <c r="AB771" s="378"/>
      <c r="AC771" s="378"/>
      <c r="AD771" s="378"/>
      <c r="AE771" s="378"/>
      <c r="AF771" s="378"/>
      <c r="AG771" s="378"/>
    </row>
    <row r="772">
      <c r="A772" s="378"/>
      <c r="B772" s="464"/>
      <c r="C772" s="455"/>
      <c r="D772" s="435"/>
      <c r="E772" s="419"/>
      <c r="F772" s="419"/>
      <c r="G772" s="419"/>
      <c r="H772" s="429"/>
      <c r="I772" s="376"/>
      <c r="J772" s="615"/>
      <c r="K772" s="616"/>
      <c r="L772" s="610"/>
      <c r="M772" s="605"/>
      <c r="N772" s="606"/>
      <c r="O772" s="607"/>
      <c r="P772" s="608"/>
      <c r="Q772" s="378"/>
      <c r="R772" s="378"/>
      <c r="S772" s="378"/>
      <c r="T772" s="378"/>
      <c r="U772" s="378"/>
      <c r="V772" s="378"/>
      <c r="W772" s="378"/>
      <c r="X772" s="378"/>
      <c r="Y772" s="378"/>
      <c r="Z772" s="378"/>
      <c r="AA772" s="378"/>
      <c r="AB772" s="378"/>
      <c r="AC772" s="378"/>
      <c r="AD772" s="378"/>
      <c r="AE772" s="378"/>
      <c r="AF772" s="378"/>
      <c r="AG772" s="378"/>
    </row>
    <row r="773">
      <c r="A773" s="378"/>
      <c r="B773" s="464"/>
      <c r="C773" s="455"/>
      <c r="D773" s="435"/>
      <c r="E773" s="419"/>
      <c r="F773" s="419"/>
      <c r="G773" s="419"/>
      <c r="H773" s="429"/>
      <c r="I773" s="376"/>
      <c r="J773" s="615"/>
      <c r="K773" s="616"/>
      <c r="L773" s="610"/>
      <c r="M773" s="605"/>
      <c r="N773" s="606"/>
      <c r="O773" s="607"/>
      <c r="P773" s="608"/>
      <c r="Q773" s="378"/>
      <c r="R773" s="378"/>
      <c r="S773" s="378"/>
      <c r="T773" s="378"/>
      <c r="U773" s="378"/>
      <c r="V773" s="378"/>
      <c r="W773" s="378"/>
      <c r="X773" s="378"/>
      <c r="Y773" s="378"/>
      <c r="Z773" s="378"/>
      <c r="AA773" s="378"/>
      <c r="AB773" s="378"/>
      <c r="AC773" s="378"/>
      <c r="AD773" s="378"/>
      <c r="AE773" s="378"/>
      <c r="AF773" s="378"/>
      <c r="AG773" s="378"/>
    </row>
    <row r="774">
      <c r="A774" s="378"/>
      <c r="B774" s="454" t="s">
        <v>721</v>
      </c>
      <c r="C774" s="460">
        <f>SUM(C765:C773)</f>
        <v>3818.36</v>
      </c>
      <c r="D774" s="440"/>
      <c r="E774" s="419"/>
      <c r="F774" s="419"/>
      <c r="G774" s="419"/>
      <c r="H774" s="429"/>
      <c r="I774" s="376"/>
      <c r="J774" s="615" t="s">
        <v>721</v>
      </c>
      <c r="K774" s="618">
        <f>SUM(K765:K773)</f>
        <v>0</v>
      </c>
      <c r="L774" s="612"/>
      <c r="M774" s="605"/>
      <c r="N774" s="606"/>
      <c r="O774" s="607"/>
      <c r="P774" s="608"/>
      <c r="Q774" s="378"/>
      <c r="R774" s="378"/>
      <c r="S774" s="378"/>
      <c r="T774" s="378"/>
      <c r="U774" s="378"/>
      <c r="V774" s="378"/>
      <c r="W774" s="378"/>
      <c r="X774" s="378"/>
      <c r="Y774" s="378"/>
      <c r="Z774" s="378"/>
      <c r="AA774" s="378"/>
      <c r="AB774" s="378"/>
      <c r="AC774" s="378"/>
      <c r="AD774" s="378"/>
      <c r="AE774" s="378"/>
      <c r="AF774" s="378"/>
      <c r="AG774" s="378"/>
    </row>
    <row r="775">
      <c r="A775" s="378"/>
      <c r="B775" s="471"/>
      <c r="C775" s="472"/>
      <c r="D775" s="472"/>
      <c r="E775" s="472"/>
      <c r="F775" s="472"/>
      <c r="G775" s="472"/>
      <c r="H775" s="473"/>
      <c r="I775" s="376"/>
      <c r="J775" s="623"/>
      <c r="K775" s="624"/>
      <c r="L775" s="624"/>
      <c r="M775" s="624"/>
      <c r="N775" s="625"/>
      <c r="O775" s="626"/>
      <c r="P775" s="627"/>
      <c r="Q775" s="378"/>
      <c r="R775" s="378"/>
      <c r="S775" s="378"/>
      <c r="T775" s="378"/>
      <c r="U775" s="378"/>
      <c r="V775" s="378"/>
      <c r="W775" s="378"/>
      <c r="X775" s="378"/>
      <c r="Y775" s="378"/>
      <c r="Z775" s="378"/>
      <c r="AA775" s="378"/>
      <c r="AB775" s="378"/>
      <c r="AC775" s="378"/>
      <c r="AD775" s="378"/>
      <c r="AE775" s="378"/>
      <c r="AF775" s="378"/>
      <c r="AG775" s="378"/>
    </row>
    <row r="776">
      <c r="A776" s="378"/>
      <c r="B776" s="550"/>
      <c r="C776" s="463"/>
      <c r="D776" s="463"/>
      <c r="E776" s="463"/>
      <c r="F776" s="463"/>
      <c r="G776" s="463"/>
      <c r="H776" s="463"/>
      <c r="I776" s="376"/>
      <c r="J776" s="377"/>
      <c r="K776" s="378"/>
      <c r="L776" s="378"/>
      <c r="M776" s="378"/>
      <c r="N776" s="379"/>
      <c r="O776" s="380"/>
      <c r="P776" s="378"/>
      <c r="Q776" s="378"/>
      <c r="R776" s="378"/>
      <c r="S776" s="378"/>
      <c r="T776" s="378"/>
      <c r="U776" s="378"/>
      <c r="V776" s="378"/>
      <c r="W776" s="378"/>
      <c r="X776" s="378"/>
      <c r="Y776" s="378"/>
      <c r="Z776" s="378"/>
      <c r="AA776" s="378"/>
      <c r="AB776" s="378"/>
      <c r="AC776" s="378"/>
      <c r="AD776" s="378"/>
      <c r="AE776" s="378"/>
      <c r="AF776" s="378"/>
      <c r="AG776" s="378"/>
    </row>
    <row r="777">
      <c r="A777" s="378"/>
      <c r="B777" s="550"/>
      <c r="C777" s="463"/>
      <c r="D777" s="463"/>
      <c r="E777" s="463"/>
      <c r="F777" s="463"/>
      <c r="G777" s="463"/>
      <c r="H777" s="463"/>
      <c r="I777" s="376"/>
      <c r="J777" s="377"/>
      <c r="K777" s="378"/>
      <c r="L777" s="378"/>
      <c r="M777" s="378"/>
      <c r="N777" s="379"/>
      <c r="O777" s="380"/>
      <c r="P777" s="378"/>
      <c r="Q777" s="378"/>
      <c r="R777" s="378"/>
      <c r="S777" s="378"/>
      <c r="T777" s="378"/>
      <c r="U777" s="378"/>
      <c r="V777" s="378"/>
      <c r="W777" s="378"/>
      <c r="X777" s="378"/>
      <c r="Y777" s="378"/>
      <c r="Z777" s="378"/>
      <c r="AA777" s="378"/>
      <c r="AB777" s="378"/>
      <c r="AC777" s="378"/>
      <c r="AD777" s="378"/>
      <c r="AE777" s="378"/>
      <c r="AF777" s="378"/>
      <c r="AG777" s="378"/>
    </row>
    <row r="778">
      <c r="A778" s="378"/>
      <c r="B778" s="382"/>
      <c r="C778" s="383"/>
      <c r="D778" s="384"/>
      <c r="E778" s="385" t="s">
        <v>700</v>
      </c>
      <c r="F778" s="385" t="str">
        <f>Board!A2</f>
        <v>11.17.25-11.23.25</v>
      </c>
      <c r="G778" s="213"/>
      <c r="H778" s="211"/>
      <c r="I778" s="386">
        <v>26.0</v>
      </c>
      <c r="J778" s="583"/>
      <c r="K778" s="584"/>
      <c r="L778" s="585"/>
      <c r="M778" s="586" t="s">
        <v>700</v>
      </c>
      <c r="N778" s="587" t="str">
        <f>Board!A2</f>
        <v>11.17.25-11.23.25</v>
      </c>
      <c r="O778" s="213"/>
      <c r="P778" s="211"/>
      <c r="Q778" s="378"/>
      <c r="R778" s="389" t="s">
        <v>831</v>
      </c>
      <c r="S778" s="389" t="s">
        <v>652</v>
      </c>
      <c r="T778" s="390" t="s">
        <v>832</v>
      </c>
      <c r="U778" s="391" t="s">
        <v>833</v>
      </c>
      <c r="V778" s="389" t="s">
        <v>655</v>
      </c>
      <c r="W778" s="389" t="s">
        <v>8</v>
      </c>
      <c r="X778" s="389" t="s">
        <v>656</v>
      </c>
      <c r="Y778" s="390" t="s">
        <v>834</v>
      </c>
      <c r="Z778" s="392" t="s">
        <v>835</v>
      </c>
      <c r="AA778" s="390" t="s">
        <v>836</v>
      </c>
      <c r="AB778" s="390" t="s">
        <v>837</v>
      </c>
      <c r="AC778" s="393" t="s">
        <v>716</v>
      </c>
      <c r="AD778" s="393" t="s">
        <v>717</v>
      </c>
      <c r="AE778" s="393" t="s">
        <v>718</v>
      </c>
      <c r="AF778" s="394" t="s">
        <v>838</v>
      </c>
      <c r="AG778" s="394"/>
    </row>
    <row r="779">
      <c r="A779" s="378"/>
      <c r="B779" s="395"/>
      <c r="C779" s="372"/>
      <c r="D779" s="396"/>
      <c r="E779" s="385" t="s">
        <v>702</v>
      </c>
      <c r="F779" s="385" t="s">
        <v>664</v>
      </c>
      <c r="G779" s="213"/>
      <c r="H779" s="211"/>
      <c r="I779" s="376"/>
      <c r="J779" s="588"/>
      <c r="K779" s="589"/>
      <c r="L779" s="590"/>
      <c r="M779" s="586" t="s">
        <v>351</v>
      </c>
      <c r="N779" s="587" t="str">
        <f t="array" ref="N779">XLOOKUP(N780,Board!K:K,Board!J:J)</f>
        <v>WOODBENS JOSIL</v>
      </c>
      <c r="O779" s="213"/>
      <c r="P779" s="211"/>
      <c r="Q779" s="378"/>
      <c r="R779" s="398">
        <f>I778</f>
        <v>26</v>
      </c>
      <c r="S779" s="398">
        <f>F780</f>
        <v>9348</v>
      </c>
      <c r="T779" s="399">
        <f>G800</f>
        <v>5011.83</v>
      </c>
      <c r="U779" s="378" t="str">
        <f>N779</f>
        <v>WOODBENS JOSIL</v>
      </c>
      <c r="V779" s="380">
        <f>O800</f>
        <v>2469.85</v>
      </c>
      <c r="W779" s="399">
        <f>P788</f>
        <v>2319.85</v>
      </c>
      <c r="X779" s="399">
        <f>C799</f>
        <v>2159.82</v>
      </c>
      <c r="Y779" s="400">
        <f>N788</f>
        <v>3569</v>
      </c>
      <c r="Z779" s="399">
        <f>V780-V779</f>
        <v>2541.98</v>
      </c>
      <c r="AA779" s="378"/>
      <c r="AB779" s="378"/>
      <c r="AC779" s="401">
        <f>C796</f>
        <v>150</v>
      </c>
      <c r="AD779" s="401">
        <f>C797</f>
        <v>400</v>
      </c>
      <c r="AE779" s="401">
        <f>C798</f>
        <v>200</v>
      </c>
      <c r="AF779" s="398">
        <f>C800+C801+C802+C803+C804</f>
        <v>0</v>
      </c>
      <c r="AG779" s="398"/>
    </row>
    <row r="780">
      <c r="A780" s="378"/>
      <c r="B780" s="395"/>
      <c r="C780" s="372"/>
      <c r="D780" s="402"/>
      <c r="E780" s="385" t="s">
        <v>703</v>
      </c>
      <c r="F780" s="385">
        <v>9348.0</v>
      </c>
      <c r="G780" s="213"/>
      <c r="H780" s="211"/>
      <c r="I780" s="376"/>
      <c r="J780" s="588"/>
      <c r="K780" s="589"/>
      <c r="L780" s="591"/>
      <c r="M780" s="586" t="s">
        <v>703</v>
      </c>
      <c r="N780" s="587">
        <f>F780</f>
        <v>9348</v>
      </c>
      <c r="O780" s="213"/>
      <c r="P780" s="211"/>
      <c r="Q780" s="378"/>
      <c r="R780" s="378"/>
      <c r="S780" s="378"/>
      <c r="T780" s="378"/>
      <c r="U780" s="378" t="str">
        <f>F779</f>
        <v>Ada Fleet LLC</v>
      </c>
      <c r="V780" s="399">
        <f>G800</f>
        <v>5011.83</v>
      </c>
      <c r="W780" s="399">
        <f>H788</f>
        <v>6105</v>
      </c>
      <c r="X780" s="378"/>
      <c r="Y780" s="378"/>
      <c r="Z780" s="378"/>
      <c r="AA780" s="378"/>
      <c r="AB780" s="378"/>
      <c r="AC780" s="378"/>
      <c r="AD780" s="378"/>
      <c r="AE780" s="378"/>
      <c r="AF780" s="378"/>
      <c r="AG780" s="378"/>
    </row>
    <row r="781">
      <c r="A781" s="378"/>
      <c r="B781" s="403" t="s">
        <v>704</v>
      </c>
      <c r="C781" s="404" t="s">
        <v>5</v>
      </c>
      <c r="D781" s="405" t="s">
        <v>6</v>
      </c>
      <c r="E781" s="406" t="s">
        <v>7</v>
      </c>
      <c r="F781" s="404" t="s">
        <v>8</v>
      </c>
      <c r="G781" s="404" t="s">
        <v>706</v>
      </c>
      <c r="H781" s="404" t="s">
        <v>707</v>
      </c>
      <c r="I781" s="376"/>
      <c r="J781" s="592" t="s">
        <v>704</v>
      </c>
      <c r="K781" s="593" t="s">
        <v>5</v>
      </c>
      <c r="L781" s="594" t="s">
        <v>6</v>
      </c>
      <c r="M781" s="595" t="s">
        <v>7</v>
      </c>
      <c r="N781" s="596" t="s">
        <v>591</v>
      </c>
      <c r="O781" s="597" t="s">
        <v>839</v>
      </c>
      <c r="P781" s="593" t="s">
        <v>707</v>
      </c>
      <c r="Q781" s="378"/>
      <c r="R781" s="378"/>
      <c r="S781" s="378"/>
      <c r="T781" s="378"/>
      <c r="U781" s="378"/>
      <c r="V781" s="378"/>
      <c r="W781" s="378"/>
      <c r="X781" s="378"/>
      <c r="Y781" s="378"/>
      <c r="Z781" s="378"/>
      <c r="AA781" s="378"/>
      <c r="AB781" s="378"/>
      <c r="AC781" s="378"/>
      <c r="AD781" s="378"/>
      <c r="AE781" s="378"/>
      <c r="AF781" s="378"/>
      <c r="AG781" s="378"/>
    </row>
    <row r="782">
      <c r="A782" s="378"/>
      <c r="B782" s="555">
        <f>IFERROR(__xludf.DUMMYFUNCTION("FILTER(Board!C:G,Board!K:K=F780)"),45978.0)</f>
        <v>45978</v>
      </c>
      <c r="C782" s="404">
        <f>IFERROR(__xludf.DUMMYFUNCTION("""COMPUTED_VALUE"""),4922736.0)</f>
        <v>4922736</v>
      </c>
      <c r="D782" s="405" t="str">
        <f>IFERROR(__xludf.DUMMYFUNCTION("""COMPUTED_VALUE"""),"Weston, FL, 33331")</f>
        <v>Weston, FL, 33331</v>
      </c>
      <c r="E782" s="406" t="str">
        <f>IFERROR(__xludf.DUMMYFUNCTION("""COMPUTED_VALUE"""),"Portland, TN, 37148")</f>
        <v>Portland, TN, 37148</v>
      </c>
      <c r="F782" s="414">
        <f>IFERROR(__xludf.DUMMYFUNCTION("""COMPUTED_VALUE"""),1285.0)</f>
        <v>1285</v>
      </c>
      <c r="G782" s="413">
        <v>1.0</v>
      </c>
      <c r="H782" s="414">
        <f t="shared" ref="H782:H785" si="46">F782*G782</f>
        <v>1285</v>
      </c>
      <c r="I782" s="376"/>
      <c r="J782" s="598">
        <f>IFERROR(__xludf.DUMMYFUNCTION("FILTER(Board!C:F,Board!K:K=N780)"),45978.0)</f>
        <v>45978</v>
      </c>
      <c r="K782" s="593">
        <f>IFERROR(__xludf.DUMMYFUNCTION("""COMPUTED_VALUE"""),4922736.0)</f>
        <v>4922736</v>
      </c>
      <c r="L782" s="593" t="str">
        <f>IFERROR(__xludf.DUMMYFUNCTION("""COMPUTED_VALUE"""),"Weston, FL, 33331")</f>
        <v>Weston, FL, 33331</v>
      </c>
      <c r="M782" s="593" t="str">
        <f>IFERROR(__xludf.DUMMYFUNCTION("""COMPUTED_VALUE"""),"Portland, TN, 37148")</f>
        <v>Portland, TN, 37148</v>
      </c>
      <c r="N782" s="599">
        <f>IFERROR(__xludf.DUMMYFUNCTION("FILTER(Board!H:H,Board!K:K=N780)"),959.0)</f>
        <v>959</v>
      </c>
      <c r="O782" s="597">
        <v>0.65</v>
      </c>
      <c r="P782" s="628">
        <f t="shared" ref="P782:P785" si="47">N782*O782</f>
        <v>623.35</v>
      </c>
      <c r="Q782" s="378"/>
      <c r="R782" s="378"/>
      <c r="S782" s="378"/>
      <c r="T782" s="378"/>
      <c r="U782" s="378"/>
      <c r="V782" s="378"/>
      <c r="W782" s="378"/>
      <c r="X782" s="378"/>
      <c r="Y782" s="378"/>
      <c r="Z782" s="378"/>
      <c r="AA782" s="378"/>
      <c r="AB782" s="378"/>
      <c r="AC782" s="378"/>
      <c r="AD782" s="378"/>
      <c r="AE782" s="378"/>
      <c r="AF782" s="378"/>
      <c r="AG782" s="378"/>
    </row>
    <row r="783">
      <c r="A783" s="378"/>
      <c r="B783" s="555">
        <f>IFERROR(__xludf.DUMMYFUNCTION("""COMPUTED_VALUE"""),45980.0)</f>
        <v>45980</v>
      </c>
      <c r="C783" s="404">
        <f>IFERROR(__xludf.DUMMYFUNCTION("""COMPUTED_VALUE"""),1333390.0)</f>
        <v>1333390</v>
      </c>
      <c r="D783" s="405" t="str">
        <f>IFERROR(__xludf.DUMMYFUNCTION("""COMPUTED_VALUE"""),"Smyrna, TN, 37167")</f>
        <v>Smyrna, TN, 37167</v>
      </c>
      <c r="E783" s="406" t="str">
        <f>IFERROR(__xludf.DUMMYFUNCTION("""COMPUTED_VALUE"""),"New Baltimore, MI, 48047")</f>
        <v>New Baltimore, MI, 48047</v>
      </c>
      <c r="F783" s="414">
        <f>IFERROR(__xludf.DUMMYFUNCTION("""COMPUTED_VALUE"""),1500.0)</f>
        <v>1500</v>
      </c>
      <c r="G783" s="413">
        <v>1.0</v>
      </c>
      <c r="H783" s="414">
        <f t="shared" si="46"/>
        <v>1500</v>
      </c>
      <c r="I783" s="376"/>
      <c r="J783" s="601">
        <f>IFERROR(__xludf.DUMMYFUNCTION("""COMPUTED_VALUE"""),45980.0)</f>
        <v>45980</v>
      </c>
      <c r="K783" s="593">
        <f>IFERROR(__xludf.DUMMYFUNCTION("""COMPUTED_VALUE"""),1333390.0)</f>
        <v>1333390</v>
      </c>
      <c r="L783" s="593" t="str">
        <f>IFERROR(__xludf.DUMMYFUNCTION("""COMPUTED_VALUE"""),"Smyrna, TN, 37167")</f>
        <v>Smyrna, TN, 37167</v>
      </c>
      <c r="M783" s="593" t="str">
        <f>IFERROR(__xludf.DUMMYFUNCTION("""COMPUTED_VALUE"""),"New Baltimore, MI, 48047")</f>
        <v>New Baltimore, MI, 48047</v>
      </c>
      <c r="N783" s="599">
        <f>IFERROR(__xludf.DUMMYFUNCTION("""COMPUTED_VALUE"""),799.0)</f>
        <v>799</v>
      </c>
      <c r="O783" s="597">
        <v>0.65</v>
      </c>
      <c r="P783" s="628">
        <f t="shared" si="47"/>
        <v>519.35</v>
      </c>
      <c r="Q783" s="378"/>
      <c r="R783" s="378"/>
      <c r="S783" s="378"/>
      <c r="T783" s="378"/>
      <c r="U783" s="378"/>
      <c r="V783" s="378"/>
      <c r="W783" s="378"/>
      <c r="X783" s="378"/>
      <c r="Y783" s="378"/>
      <c r="Z783" s="378"/>
      <c r="AA783" s="378"/>
      <c r="AB783" s="378"/>
      <c r="AC783" s="378"/>
      <c r="AD783" s="378"/>
      <c r="AE783" s="378"/>
      <c r="AF783" s="378"/>
      <c r="AG783" s="378"/>
    </row>
    <row r="784">
      <c r="A784" s="378"/>
      <c r="B784" s="499">
        <f>IFERROR(__xludf.DUMMYFUNCTION("""COMPUTED_VALUE"""),45981.0)</f>
        <v>45981</v>
      </c>
      <c r="C784" s="421">
        <f>IFERROR(__xludf.DUMMYFUNCTION("""COMPUTED_VALUE"""),259927.0)</f>
        <v>259927</v>
      </c>
      <c r="D784" s="422" t="str">
        <f>IFERROR(__xludf.DUMMYFUNCTION("""COMPUTED_VALUE"""),"Pontiac, MI, 48342")</f>
        <v>Pontiac, MI, 48342</v>
      </c>
      <c r="E784" s="423" t="str">
        <f>IFERROR(__xludf.DUMMYFUNCTION("""COMPUTED_VALUE"""),"East Liberty, OH, 43319")</f>
        <v>East Liberty, OH, 43319</v>
      </c>
      <c r="F784" s="500">
        <f>IFERROR(__xludf.DUMMYFUNCTION("""COMPUTED_VALUE"""),420.0)</f>
        <v>420</v>
      </c>
      <c r="G784" s="413">
        <v>1.0</v>
      </c>
      <c r="H784" s="414">
        <f t="shared" si="46"/>
        <v>420</v>
      </c>
      <c r="I784" s="376"/>
      <c r="J784" s="601">
        <f>IFERROR(__xludf.DUMMYFUNCTION("""COMPUTED_VALUE"""),45981.0)</f>
        <v>45981</v>
      </c>
      <c r="K784" s="593">
        <f>IFERROR(__xludf.DUMMYFUNCTION("""COMPUTED_VALUE"""),259927.0)</f>
        <v>259927</v>
      </c>
      <c r="L784" s="594" t="str">
        <f>IFERROR(__xludf.DUMMYFUNCTION("""COMPUTED_VALUE"""),"Pontiac, MI, 48342")</f>
        <v>Pontiac, MI, 48342</v>
      </c>
      <c r="M784" s="595" t="str">
        <f>IFERROR(__xludf.DUMMYFUNCTION("""COMPUTED_VALUE"""),"East Liberty, OH, 43319")</f>
        <v>East Liberty, OH, 43319</v>
      </c>
      <c r="N784" s="599">
        <f>IFERROR(__xludf.DUMMYFUNCTION("""COMPUTED_VALUE"""),222.0)</f>
        <v>222</v>
      </c>
      <c r="O784" s="597">
        <v>0.65</v>
      </c>
      <c r="P784" s="628">
        <f t="shared" si="47"/>
        <v>144.3</v>
      </c>
      <c r="Q784" s="378"/>
      <c r="R784" s="378"/>
      <c r="S784" s="378"/>
      <c r="T784" s="378"/>
      <c r="U784" s="378"/>
      <c r="V784" s="378"/>
      <c r="W784" s="378"/>
      <c r="X784" s="378"/>
      <c r="Y784" s="378"/>
      <c r="Z784" s="378"/>
      <c r="AA784" s="378"/>
      <c r="AB784" s="378"/>
      <c r="AC784" s="378"/>
      <c r="AD784" s="378"/>
      <c r="AE784" s="378"/>
      <c r="AF784" s="378"/>
      <c r="AG784" s="378"/>
    </row>
    <row r="785">
      <c r="A785" s="378"/>
      <c r="B785" s="499">
        <f>IFERROR(__xludf.DUMMYFUNCTION("""COMPUTED_VALUE"""),45982.0)</f>
        <v>45982</v>
      </c>
      <c r="C785" s="421">
        <f>IFERROR(__xludf.DUMMYFUNCTION("""COMPUTED_VALUE"""),164911.0)</f>
        <v>164911</v>
      </c>
      <c r="D785" s="422" t="str">
        <f>IFERROR(__xludf.DUMMYFUNCTION("""COMPUTED_VALUE"""),"Athens, OH, 45701")</f>
        <v>Athens, OH, 45701</v>
      </c>
      <c r="E785" s="423" t="str">
        <f>IFERROR(__xludf.DUMMYFUNCTION("""COMPUTED_VALUE"""),"Aurora, CO, 80011")</f>
        <v>Aurora, CO, 80011</v>
      </c>
      <c r="F785" s="500">
        <f>IFERROR(__xludf.DUMMYFUNCTION("""COMPUTED_VALUE"""),2900.0)</f>
        <v>2900</v>
      </c>
      <c r="G785" s="413">
        <v>1.0</v>
      </c>
      <c r="H785" s="414">
        <f t="shared" si="46"/>
        <v>2900</v>
      </c>
      <c r="I785" s="376"/>
      <c r="J785" s="601">
        <f>IFERROR(__xludf.DUMMYFUNCTION("""COMPUTED_VALUE"""),45982.0)</f>
        <v>45982</v>
      </c>
      <c r="K785" s="593">
        <f>IFERROR(__xludf.DUMMYFUNCTION("""COMPUTED_VALUE"""),164911.0)</f>
        <v>164911</v>
      </c>
      <c r="L785" s="594" t="str">
        <f>IFERROR(__xludf.DUMMYFUNCTION("""COMPUTED_VALUE"""),"Athens, OH, 45701")</f>
        <v>Athens, OH, 45701</v>
      </c>
      <c r="M785" s="595" t="str">
        <f>IFERROR(__xludf.DUMMYFUNCTION("""COMPUTED_VALUE"""),"Aurora, CO, 80011")</f>
        <v>Aurora, CO, 80011</v>
      </c>
      <c r="N785" s="599">
        <f>IFERROR(__xludf.DUMMYFUNCTION("""COMPUTED_VALUE"""),1589.0)</f>
        <v>1589</v>
      </c>
      <c r="O785" s="597">
        <v>0.65</v>
      </c>
      <c r="P785" s="628">
        <f t="shared" si="47"/>
        <v>1032.85</v>
      </c>
      <c r="Q785" s="378"/>
      <c r="R785" s="378"/>
      <c r="S785" s="378"/>
      <c r="T785" s="378"/>
      <c r="U785" s="378"/>
      <c r="V785" s="378"/>
      <c r="W785" s="378"/>
      <c r="X785" s="378"/>
      <c r="Y785" s="378"/>
      <c r="Z785" s="378"/>
      <c r="AA785" s="378"/>
      <c r="AB785" s="378"/>
      <c r="AC785" s="378"/>
      <c r="AD785" s="378"/>
      <c r="AE785" s="378"/>
      <c r="AF785" s="378"/>
      <c r="AG785" s="378"/>
    </row>
    <row r="786">
      <c r="A786" s="378"/>
      <c r="B786" s="420"/>
      <c r="C786" s="421"/>
      <c r="D786" s="422"/>
      <c r="E786" s="423"/>
      <c r="F786" s="421"/>
      <c r="G786" s="413"/>
      <c r="H786" s="414"/>
      <c r="I786" s="376"/>
      <c r="J786" s="602"/>
      <c r="K786" s="593"/>
      <c r="L786" s="594"/>
      <c r="M786" s="595"/>
      <c r="N786" s="596"/>
      <c r="O786" s="597"/>
      <c r="P786" s="628"/>
      <c r="Q786" s="378"/>
      <c r="R786" s="378"/>
      <c r="S786" s="378"/>
      <c r="T786" s="378"/>
      <c r="U786" s="378"/>
      <c r="V786" s="378"/>
      <c r="W786" s="378"/>
      <c r="X786" s="378"/>
      <c r="Y786" s="378"/>
      <c r="Z786" s="378"/>
      <c r="AA786" s="378"/>
      <c r="AB786" s="378"/>
      <c r="AC786" s="378"/>
      <c r="AD786" s="378"/>
      <c r="AE786" s="378"/>
      <c r="AF786" s="378"/>
      <c r="AG786" s="378"/>
    </row>
    <row r="787">
      <c r="A787" s="378"/>
      <c r="B787" s="420"/>
      <c r="C787" s="421"/>
      <c r="D787" s="422"/>
      <c r="E787" s="423"/>
      <c r="F787" s="421"/>
      <c r="G787" s="413"/>
      <c r="H787" s="414"/>
      <c r="I787" s="376"/>
      <c r="J787" s="602"/>
      <c r="K787" s="593"/>
      <c r="L787" s="594"/>
      <c r="M787" s="595"/>
      <c r="N787" s="596"/>
      <c r="O787" s="597"/>
      <c r="P787" s="628"/>
      <c r="Q787" s="378"/>
      <c r="R787" s="378"/>
      <c r="S787" s="378"/>
      <c r="T787" s="378"/>
      <c r="U787" s="378"/>
      <c r="V787" s="378"/>
      <c r="W787" s="378"/>
      <c r="X787" s="378"/>
      <c r="Y787" s="378"/>
      <c r="Z787" s="378"/>
      <c r="AA787" s="378"/>
      <c r="AB787" s="378"/>
      <c r="AC787" s="378"/>
      <c r="AD787" s="378"/>
      <c r="AE787" s="378"/>
      <c r="AF787" s="378"/>
      <c r="AG787" s="378"/>
    </row>
    <row r="788">
      <c r="A788" s="378"/>
      <c r="B788" s="403" t="s">
        <v>711</v>
      </c>
      <c r="C788" s="224"/>
      <c r="D788" s="224"/>
      <c r="E788" s="222"/>
      <c r="F788" s="414">
        <f>SUM(F782:F787)</f>
        <v>6105</v>
      </c>
      <c r="G788" s="421"/>
      <c r="H788" s="414">
        <f>SUM(H782:H787)</f>
        <v>6105</v>
      </c>
      <c r="I788" s="376"/>
      <c r="J788" s="603" t="s">
        <v>711</v>
      </c>
      <c r="K788" s="224"/>
      <c r="L788" s="224"/>
      <c r="M788" s="222"/>
      <c r="N788" s="599">
        <f>SUM(N782:N787)</f>
        <v>3569</v>
      </c>
      <c r="O788" s="597"/>
      <c r="P788" s="628">
        <f>SUM(P782:P787)</f>
        <v>2319.85</v>
      </c>
      <c r="Q788" s="378"/>
      <c r="R788" s="378"/>
      <c r="S788" s="378"/>
      <c r="T788" s="378"/>
      <c r="U788" s="378"/>
      <c r="V788" s="378"/>
      <c r="W788" s="378"/>
      <c r="X788" s="378"/>
      <c r="Y788" s="378"/>
      <c r="Z788" s="378"/>
      <c r="AA788" s="378"/>
      <c r="AB788" s="378"/>
      <c r="AC788" s="378"/>
      <c r="AD788" s="378"/>
      <c r="AE788" s="378"/>
      <c r="AF788" s="378"/>
      <c r="AG788" s="378"/>
    </row>
    <row r="789">
      <c r="A789" s="378"/>
      <c r="B789" s="428"/>
      <c r="C789" s="419"/>
      <c r="D789" s="419"/>
      <c r="E789" s="419"/>
      <c r="F789" s="419"/>
      <c r="G789" s="419"/>
      <c r="H789" s="429"/>
      <c r="I789" s="376"/>
      <c r="J789" s="604"/>
      <c r="K789" s="605"/>
      <c r="L789" s="605"/>
      <c r="M789" s="605"/>
      <c r="N789" s="606"/>
      <c r="O789" s="607"/>
      <c r="P789" s="608"/>
      <c r="Q789" s="378"/>
      <c r="R789" s="378"/>
      <c r="S789" s="378"/>
      <c r="T789" s="378"/>
      <c r="U789" s="378"/>
      <c r="V789" s="378"/>
      <c r="W789" s="378"/>
      <c r="X789" s="378"/>
      <c r="Y789" s="378"/>
      <c r="Z789" s="378"/>
      <c r="AA789" s="378"/>
      <c r="AB789" s="378"/>
      <c r="AC789" s="378"/>
      <c r="AD789" s="378"/>
      <c r="AE789" s="378"/>
      <c r="AF789" s="378"/>
      <c r="AG789" s="378"/>
    </row>
    <row r="790">
      <c r="A790" s="378"/>
      <c r="B790" s="433" t="s">
        <v>712</v>
      </c>
      <c r="C790" s="434"/>
      <c r="D790" s="435"/>
      <c r="E790" s="419"/>
      <c r="F790" s="237">
        <v>623.35</v>
      </c>
      <c r="G790" s="365">
        <v>1.0</v>
      </c>
      <c r="H790" s="237">
        <v>623.35</v>
      </c>
      <c r="I790" s="376"/>
      <c r="J790" s="437" t="s">
        <v>712</v>
      </c>
      <c r="K790" s="609"/>
      <c r="L790" s="610"/>
      <c r="M790" s="605"/>
      <c r="N790" s="606"/>
      <c r="O790" s="607"/>
      <c r="P790" s="608"/>
      <c r="Q790" s="378"/>
      <c r="R790" s="378"/>
      <c r="S790" s="378"/>
      <c r="T790" s="378"/>
      <c r="U790" s="378"/>
      <c r="V790" s="378"/>
      <c r="W790" s="378"/>
      <c r="X790" s="378"/>
      <c r="Y790" s="378"/>
      <c r="Z790" s="378"/>
      <c r="AA790" s="378"/>
      <c r="AB790" s="378"/>
      <c r="AC790" s="378"/>
      <c r="AD790" s="378"/>
      <c r="AE790" s="378"/>
      <c r="AF790" s="378"/>
      <c r="AG790" s="378"/>
    </row>
    <row r="791">
      <c r="A791" s="378"/>
      <c r="B791" s="438" t="s">
        <v>657</v>
      </c>
      <c r="C791" s="439">
        <v>1666.65</v>
      </c>
      <c r="D791" s="440"/>
      <c r="E791" s="419"/>
      <c r="F791" s="237">
        <v>519.35</v>
      </c>
      <c r="G791" s="365">
        <v>1.0</v>
      </c>
      <c r="H791" s="237">
        <v>519.35</v>
      </c>
      <c r="I791" s="376"/>
      <c r="J791" s="443" t="s">
        <v>904</v>
      </c>
      <c r="K791" s="629" t="s">
        <v>905</v>
      </c>
      <c r="L791" s="630" t="s">
        <v>905</v>
      </c>
      <c r="M791" s="605"/>
      <c r="N791" s="606"/>
      <c r="O791" s="607"/>
      <c r="P791" s="608"/>
      <c r="Q791" s="378"/>
      <c r="R791" s="378"/>
      <c r="S791" s="378"/>
      <c r="T791" s="378"/>
      <c r="U791" s="378"/>
      <c r="V791" s="378"/>
      <c r="W791" s="378"/>
      <c r="X791" s="378"/>
      <c r="Y791" s="378"/>
      <c r="Z791" s="378"/>
      <c r="AA791" s="378"/>
      <c r="AB791" s="378"/>
      <c r="AC791" s="378"/>
      <c r="AD791" s="378"/>
      <c r="AE791" s="378"/>
      <c r="AF791" s="378"/>
      <c r="AG791" s="378"/>
    </row>
    <row r="792">
      <c r="A792" s="378"/>
      <c r="B792" s="438" t="s">
        <v>906</v>
      </c>
      <c r="C792" s="631">
        <v>150.0</v>
      </c>
      <c r="D792" s="435"/>
      <c r="E792" s="419"/>
      <c r="F792" s="237">
        <v>144.3</v>
      </c>
      <c r="G792" s="365">
        <v>1.0</v>
      </c>
      <c r="H792" s="237">
        <v>144.3</v>
      </c>
      <c r="I792" s="376"/>
      <c r="J792" s="443" t="s">
        <v>907</v>
      </c>
      <c r="K792" s="629">
        <v>150.0</v>
      </c>
      <c r="L792" s="632"/>
      <c r="M792" s="605"/>
      <c r="N792" s="606"/>
      <c r="O792" s="607"/>
      <c r="P792" s="608"/>
      <c r="Q792" s="378"/>
      <c r="R792" s="378"/>
      <c r="S792" s="378"/>
      <c r="T792" s="378"/>
      <c r="U792" s="378"/>
      <c r="V792" s="378"/>
      <c r="W792" s="378"/>
      <c r="X792" s="378"/>
      <c r="Y792" s="378"/>
      <c r="Z792" s="378"/>
      <c r="AA792" s="378"/>
      <c r="AB792" s="378"/>
      <c r="AC792" s="378"/>
      <c r="AD792" s="378"/>
      <c r="AE792" s="378"/>
      <c r="AF792" s="378"/>
      <c r="AG792" s="378"/>
    </row>
    <row r="793">
      <c r="A793" s="378"/>
      <c r="B793" s="438" t="s">
        <v>714</v>
      </c>
      <c r="C793" s="439">
        <f>SUM(C791:C792)</f>
        <v>1816.65</v>
      </c>
      <c r="D793" s="440"/>
      <c r="E793" s="419"/>
      <c r="F793" s="237">
        <v>1032.85</v>
      </c>
      <c r="G793" s="365">
        <v>1.0</v>
      </c>
      <c r="H793" s="237">
        <v>1032.85</v>
      </c>
      <c r="I793" s="376"/>
      <c r="J793" s="443" t="s">
        <v>714</v>
      </c>
      <c r="K793" s="611">
        <f>SUM(K791:K792)</f>
        <v>150</v>
      </c>
      <c r="L793" s="612"/>
      <c r="M793" s="605"/>
      <c r="N793" s="606"/>
      <c r="O793" s="607"/>
      <c r="P793" s="608"/>
      <c r="Q793" s="378"/>
      <c r="R793" s="378"/>
      <c r="S793" s="378"/>
      <c r="T793" s="378"/>
      <c r="U793" s="378"/>
      <c r="V793" s="378"/>
      <c r="W793" s="378"/>
      <c r="X793" s="378"/>
      <c r="Y793" s="378"/>
      <c r="Z793" s="378"/>
      <c r="AA793" s="378"/>
      <c r="AB793" s="378"/>
      <c r="AC793" s="378"/>
      <c r="AD793" s="378"/>
      <c r="AE793" s="378"/>
      <c r="AF793" s="378"/>
      <c r="AG793" s="378"/>
    </row>
    <row r="794">
      <c r="A794" s="378"/>
      <c r="B794" s="450"/>
      <c r="C794" s="451"/>
      <c r="D794" s="419"/>
      <c r="E794" s="419"/>
      <c r="F794" s="244"/>
      <c r="G794" s="244"/>
      <c r="H794" s="244"/>
      <c r="I794" s="376"/>
      <c r="J794" s="613"/>
      <c r="K794" s="614"/>
      <c r="L794" s="605"/>
      <c r="M794" s="605"/>
      <c r="N794" s="606"/>
      <c r="O794" s="607"/>
      <c r="P794" s="608"/>
      <c r="Q794" s="378"/>
      <c r="R794" s="378"/>
      <c r="S794" s="378"/>
      <c r="T794" s="378"/>
      <c r="U794" s="378"/>
      <c r="V794" s="378"/>
      <c r="W794" s="378"/>
      <c r="X794" s="378"/>
      <c r="Y794" s="378"/>
      <c r="Z794" s="378"/>
      <c r="AA794" s="378"/>
      <c r="AB794" s="378"/>
      <c r="AC794" s="378"/>
      <c r="AD794" s="378"/>
      <c r="AE794" s="378"/>
      <c r="AF794" s="378"/>
      <c r="AG794" s="378"/>
    </row>
    <row r="795">
      <c r="A795" s="378"/>
      <c r="B795" s="454" t="s">
        <v>715</v>
      </c>
      <c r="C795" s="455"/>
      <c r="D795" s="435"/>
      <c r="E795" s="419"/>
      <c r="F795" s="633">
        <v>2319.85</v>
      </c>
      <c r="G795" s="244"/>
      <c r="H795" s="633">
        <v>2319.85</v>
      </c>
      <c r="I795" s="376"/>
      <c r="J795" s="615" t="s">
        <v>715</v>
      </c>
      <c r="K795" s="616"/>
      <c r="L795" s="610"/>
      <c r="M795" s="605"/>
      <c r="N795" s="606"/>
      <c r="O795" s="607"/>
      <c r="P795" s="608"/>
      <c r="Q795" s="378"/>
      <c r="R795" s="378"/>
      <c r="S795" s="378"/>
      <c r="T795" s="378"/>
      <c r="U795" s="378"/>
      <c r="V795" s="378"/>
      <c r="W795" s="378"/>
      <c r="X795" s="378"/>
      <c r="Y795" s="378"/>
      <c r="Z795" s="378"/>
      <c r="AA795" s="378"/>
      <c r="AB795" s="378"/>
      <c r="AC795" s="378"/>
      <c r="AD795" s="378"/>
      <c r="AE795" s="378"/>
      <c r="AF795" s="378"/>
      <c r="AG795" s="378"/>
    </row>
    <row r="796">
      <c r="A796" s="378"/>
      <c r="B796" s="459" t="s">
        <v>716</v>
      </c>
      <c r="C796" s="460">
        <v>150.0</v>
      </c>
      <c r="D796" s="440">
        <v>0.0</v>
      </c>
      <c r="E796" s="419"/>
      <c r="F796" s="463"/>
      <c r="G796" s="463"/>
      <c r="H796" s="448"/>
      <c r="I796" s="376"/>
      <c r="J796" s="617"/>
      <c r="K796" s="618"/>
      <c r="L796" s="612"/>
      <c r="M796" s="605"/>
      <c r="N796" s="606"/>
      <c r="O796" s="607"/>
      <c r="P796" s="608"/>
      <c r="Q796" s="378"/>
      <c r="R796" s="378"/>
      <c r="S796" s="378"/>
      <c r="T796" s="378"/>
      <c r="U796" s="378"/>
      <c r="V796" s="378"/>
      <c r="W796" s="378"/>
      <c r="X796" s="378"/>
      <c r="Y796" s="378"/>
      <c r="Z796" s="378"/>
      <c r="AA796" s="378"/>
      <c r="AB796" s="378"/>
      <c r="AC796" s="378"/>
      <c r="AD796" s="378"/>
      <c r="AE796" s="378"/>
      <c r="AF796" s="378"/>
      <c r="AG796" s="378"/>
    </row>
    <row r="797">
      <c r="A797" s="378"/>
      <c r="B797" s="459" t="s">
        <v>717</v>
      </c>
      <c r="C797" s="460">
        <v>400.0</v>
      </c>
      <c r="D797" s="440">
        <v>0.0</v>
      </c>
      <c r="E797" s="419"/>
      <c r="F797" s="463"/>
      <c r="G797" s="463"/>
      <c r="H797" s="448"/>
      <c r="I797" s="376"/>
      <c r="J797" s="617"/>
      <c r="K797" s="618"/>
      <c r="L797" s="612"/>
      <c r="M797" s="605"/>
      <c r="N797" s="606"/>
      <c r="O797" s="607"/>
      <c r="P797" s="608"/>
      <c r="Q797" s="378"/>
      <c r="R797" s="378"/>
      <c r="S797" s="378"/>
      <c r="T797" s="378"/>
      <c r="U797" s="378"/>
      <c r="V797" s="378"/>
      <c r="W797" s="378"/>
      <c r="X797" s="378"/>
      <c r="Y797" s="378"/>
      <c r="Z797" s="378"/>
      <c r="AA797" s="378"/>
      <c r="AB797" s="378"/>
      <c r="AC797" s="378"/>
      <c r="AD797" s="378"/>
      <c r="AE797" s="378"/>
      <c r="AF797" s="378"/>
      <c r="AG797" s="378"/>
    </row>
    <row r="798">
      <c r="A798" s="378"/>
      <c r="B798" s="459" t="s">
        <v>718</v>
      </c>
      <c r="C798" s="460">
        <v>200.0</v>
      </c>
      <c r="D798" s="440">
        <v>0.0</v>
      </c>
      <c r="E798" s="419"/>
      <c r="F798" s="463"/>
      <c r="G798" s="463"/>
      <c r="H798" s="448"/>
      <c r="I798" s="376"/>
      <c r="J798" s="617"/>
      <c r="K798" s="618"/>
      <c r="L798" s="612"/>
      <c r="M798" s="605"/>
      <c r="N798" s="606"/>
      <c r="O798" s="607"/>
      <c r="P798" s="608"/>
      <c r="Q798" s="378"/>
      <c r="R798" s="378"/>
      <c r="S798" s="378"/>
      <c r="T798" s="378"/>
      <c r="U798" s="378"/>
      <c r="V798" s="378"/>
      <c r="W798" s="378"/>
      <c r="X798" s="378"/>
      <c r="Y798" s="378"/>
      <c r="Z798" s="378"/>
      <c r="AA798" s="378"/>
      <c r="AB798" s="378"/>
      <c r="AC798" s="378"/>
      <c r="AD798" s="378"/>
      <c r="AE798" s="378"/>
      <c r="AF798" s="378"/>
      <c r="AG798" s="378"/>
    </row>
    <row r="799">
      <c r="A799" s="378"/>
      <c r="B799" s="459" t="s">
        <v>656</v>
      </c>
      <c r="C799" s="460">
        <f>IFERROR(__xludf.DUMMYFUNCTION("FILTER(D967:D995,C967:C995=F780)"),2159.82)</f>
        <v>2159.82</v>
      </c>
      <c r="D799" s="440">
        <v>0.0</v>
      </c>
      <c r="E799" s="419"/>
      <c r="F799" s="463"/>
      <c r="G799" s="463"/>
      <c r="H799" s="582">
        <v>4136.5</v>
      </c>
      <c r="I799" s="376"/>
      <c r="J799" s="617"/>
      <c r="K799" s="618"/>
      <c r="L799" s="612"/>
      <c r="M799" s="605"/>
      <c r="N799" s="606"/>
      <c r="O799" s="607"/>
      <c r="P799" s="608"/>
      <c r="Q799" s="378"/>
      <c r="R799" s="378"/>
      <c r="S799" s="378"/>
      <c r="T799" s="378"/>
      <c r="U799" s="378"/>
      <c r="V799" s="378"/>
      <c r="W799" s="378"/>
      <c r="X799" s="378"/>
      <c r="Y799" s="378"/>
      <c r="Z799" s="378"/>
      <c r="AA799" s="378"/>
      <c r="AB799" s="378"/>
      <c r="AC799" s="378"/>
      <c r="AD799" s="378"/>
      <c r="AE799" s="378"/>
      <c r="AF799" s="378"/>
      <c r="AG799" s="378"/>
    </row>
    <row r="800">
      <c r="A800" s="378"/>
      <c r="B800" s="464"/>
      <c r="C800" s="455"/>
      <c r="D800" s="435"/>
      <c r="E800" s="419"/>
      <c r="F800" s="468" t="s">
        <v>842</v>
      </c>
      <c r="G800" s="466">
        <f>H788+C793-C805</f>
        <v>5011.83</v>
      </c>
      <c r="H800" s="211"/>
      <c r="I800" s="376"/>
      <c r="J800" s="615"/>
      <c r="K800" s="616"/>
      <c r="L800" s="610"/>
      <c r="M800" s="605"/>
      <c r="N800" s="619" t="s">
        <v>842</v>
      </c>
      <c r="O800" s="620">
        <f>P788+K793-K805</f>
        <v>2469.85</v>
      </c>
      <c r="P800" s="211"/>
      <c r="Q800" s="378"/>
      <c r="R800" s="378"/>
      <c r="S800" s="378"/>
      <c r="T800" s="378"/>
      <c r="U800" s="378"/>
      <c r="V800" s="378"/>
      <c r="W800" s="378"/>
      <c r="X800" s="378"/>
      <c r="Y800" s="378"/>
      <c r="Z800" s="378"/>
      <c r="AA800" s="378"/>
      <c r="AB800" s="378"/>
      <c r="AC800" s="378"/>
      <c r="AD800" s="378"/>
      <c r="AE800" s="378"/>
      <c r="AF800" s="378"/>
      <c r="AG800" s="378"/>
    </row>
    <row r="801">
      <c r="A801" s="378"/>
      <c r="B801" s="464"/>
      <c r="C801" s="455"/>
      <c r="D801" s="435"/>
      <c r="E801" s="419"/>
      <c r="F801" s="469" t="s">
        <v>843</v>
      </c>
      <c r="G801" s="278"/>
      <c r="H801" s="56"/>
      <c r="I801" s="376"/>
      <c r="J801" s="615"/>
      <c r="K801" s="616"/>
      <c r="L801" s="610"/>
      <c r="M801" s="605"/>
      <c r="N801" s="621" t="s">
        <v>854</v>
      </c>
      <c r="O801" s="278"/>
      <c r="P801" s="56"/>
      <c r="Q801" s="378"/>
      <c r="R801" s="378"/>
      <c r="S801" s="378"/>
      <c r="T801" s="378"/>
      <c r="U801" s="378"/>
      <c r="V801" s="378"/>
      <c r="W801" s="378"/>
      <c r="X801" s="378"/>
      <c r="Y801" s="378"/>
      <c r="Z801" s="378"/>
      <c r="AA801" s="378"/>
      <c r="AB801" s="378"/>
      <c r="AC801" s="378"/>
      <c r="AD801" s="378"/>
      <c r="AE801" s="378"/>
      <c r="AF801" s="378"/>
      <c r="AG801" s="378"/>
    </row>
    <row r="802">
      <c r="A802" s="378"/>
      <c r="B802" s="464"/>
      <c r="C802" s="455"/>
      <c r="D802" s="435"/>
      <c r="E802" s="419"/>
      <c r="F802" s="470"/>
      <c r="G802" s="215"/>
      <c r="H802" s="64"/>
      <c r="I802" s="376"/>
      <c r="J802" s="615"/>
      <c r="K802" s="616"/>
      <c r="L802" s="610"/>
      <c r="M802" s="605"/>
      <c r="N802" s="622"/>
      <c r="O802" s="215"/>
      <c r="P802" s="64"/>
      <c r="Q802" s="378"/>
      <c r="R802" s="378"/>
      <c r="S802" s="378"/>
      <c r="T802" s="378"/>
      <c r="U802" s="378"/>
      <c r="V802" s="378"/>
      <c r="W802" s="378"/>
      <c r="X802" s="378"/>
      <c r="Y802" s="378"/>
      <c r="Z802" s="378"/>
      <c r="AA802" s="378"/>
      <c r="AB802" s="378"/>
      <c r="AC802" s="378"/>
      <c r="AD802" s="378"/>
      <c r="AE802" s="378"/>
      <c r="AF802" s="378"/>
      <c r="AG802" s="378"/>
    </row>
    <row r="803">
      <c r="A803" s="378"/>
      <c r="B803" s="464"/>
      <c r="C803" s="455"/>
      <c r="D803" s="435"/>
      <c r="E803" s="419"/>
      <c r="F803" s="419"/>
      <c r="G803" s="419"/>
      <c r="H803" s="429"/>
      <c r="I803" s="376"/>
      <c r="J803" s="615"/>
      <c r="K803" s="616"/>
      <c r="L803" s="610"/>
      <c r="M803" s="605"/>
      <c r="N803" s="606"/>
      <c r="O803" s="607"/>
      <c r="P803" s="608"/>
      <c r="Q803" s="378"/>
      <c r="R803" s="378"/>
      <c r="S803" s="378"/>
      <c r="T803" s="378"/>
      <c r="U803" s="378"/>
      <c r="V803" s="378"/>
      <c r="W803" s="378"/>
      <c r="X803" s="378"/>
      <c r="Y803" s="378"/>
      <c r="Z803" s="378"/>
      <c r="AA803" s="378"/>
      <c r="AB803" s="378"/>
      <c r="AC803" s="378"/>
      <c r="AD803" s="378"/>
      <c r="AE803" s="378"/>
      <c r="AF803" s="378"/>
      <c r="AG803" s="378"/>
    </row>
    <row r="804">
      <c r="A804" s="378"/>
      <c r="B804" s="464"/>
      <c r="C804" s="455"/>
      <c r="D804" s="435"/>
      <c r="E804" s="419"/>
      <c r="F804" s="419"/>
      <c r="G804" s="419"/>
      <c r="H804" s="429"/>
      <c r="I804" s="376"/>
      <c r="J804" s="615"/>
      <c r="K804" s="616"/>
      <c r="L804" s="610"/>
      <c r="M804" s="605"/>
      <c r="N804" s="606"/>
      <c r="O804" s="607"/>
      <c r="P804" s="608"/>
      <c r="Q804" s="378"/>
      <c r="R804" s="378"/>
      <c r="S804" s="378"/>
      <c r="T804" s="378"/>
      <c r="U804" s="378"/>
      <c r="V804" s="378"/>
      <c r="W804" s="378"/>
      <c r="X804" s="378"/>
      <c r="Y804" s="378"/>
      <c r="Z804" s="378"/>
      <c r="AA804" s="378"/>
      <c r="AB804" s="378"/>
      <c r="AC804" s="378"/>
      <c r="AD804" s="378"/>
      <c r="AE804" s="378"/>
      <c r="AF804" s="378"/>
      <c r="AG804" s="378"/>
    </row>
    <row r="805">
      <c r="A805" s="378"/>
      <c r="B805" s="454" t="s">
        <v>721</v>
      </c>
      <c r="C805" s="460">
        <f>SUM(C796:C804)</f>
        <v>2909.82</v>
      </c>
      <c r="D805" s="440"/>
      <c r="E805" s="419"/>
      <c r="F805" s="419"/>
      <c r="G805" s="419"/>
      <c r="H805" s="429"/>
      <c r="I805" s="376"/>
      <c r="J805" s="615" t="s">
        <v>721</v>
      </c>
      <c r="K805" s="618">
        <f>SUM(K796:K804)</f>
        <v>0</v>
      </c>
      <c r="L805" s="612"/>
      <c r="M805" s="605"/>
      <c r="N805" s="606"/>
      <c r="O805" s="607"/>
      <c r="P805" s="608"/>
      <c r="Q805" s="378"/>
      <c r="R805" s="378"/>
      <c r="S805" s="378"/>
      <c r="T805" s="378"/>
      <c r="U805" s="378"/>
      <c r="V805" s="378"/>
      <c r="W805" s="378"/>
      <c r="X805" s="378"/>
      <c r="Y805" s="378"/>
      <c r="Z805" s="378"/>
      <c r="AA805" s="378"/>
      <c r="AB805" s="378"/>
      <c r="AC805" s="378"/>
      <c r="AD805" s="378"/>
      <c r="AE805" s="378"/>
      <c r="AF805" s="378"/>
      <c r="AG805" s="378"/>
    </row>
    <row r="806">
      <c r="A806" s="378"/>
      <c r="B806" s="471"/>
      <c r="C806" s="472"/>
      <c r="D806" s="472"/>
      <c r="E806" s="472"/>
      <c r="F806" s="472"/>
      <c r="G806" s="472"/>
      <c r="H806" s="473"/>
      <c r="I806" s="376"/>
      <c r="J806" s="623"/>
      <c r="K806" s="624"/>
      <c r="L806" s="624"/>
      <c r="M806" s="624"/>
      <c r="N806" s="625"/>
      <c r="O806" s="626"/>
      <c r="P806" s="627"/>
      <c r="Q806" s="378"/>
      <c r="R806" s="378"/>
      <c r="S806" s="378"/>
      <c r="T806" s="378"/>
      <c r="U806" s="378"/>
      <c r="V806" s="378"/>
      <c r="W806" s="378"/>
      <c r="X806" s="378"/>
      <c r="Y806" s="378"/>
      <c r="Z806" s="378"/>
      <c r="AA806" s="378"/>
      <c r="AB806" s="378"/>
      <c r="AC806" s="378"/>
      <c r="AD806" s="378"/>
      <c r="AE806" s="378"/>
      <c r="AF806" s="378"/>
      <c r="AG806" s="378"/>
    </row>
    <row r="807">
      <c r="A807" s="378"/>
      <c r="B807" s="550"/>
      <c r="C807" s="463"/>
      <c r="D807" s="463"/>
      <c r="E807" s="463"/>
      <c r="F807" s="463"/>
      <c r="G807" s="463"/>
      <c r="H807" s="463"/>
      <c r="I807" s="376"/>
      <c r="J807" s="377"/>
      <c r="K807" s="378"/>
      <c r="L807" s="378"/>
      <c r="M807" s="378"/>
      <c r="N807" s="379"/>
      <c r="O807" s="380"/>
      <c r="P807" s="378"/>
      <c r="Q807" s="378"/>
      <c r="R807" s="378"/>
      <c r="S807" s="378"/>
      <c r="T807" s="378"/>
      <c r="U807" s="378"/>
      <c r="V807" s="378"/>
      <c r="W807" s="378"/>
      <c r="X807" s="378"/>
      <c r="Y807" s="378"/>
      <c r="Z807" s="378"/>
      <c r="AA807" s="378"/>
      <c r="AB807" s="378"/>
      <c r="AC807" s="378"/>
      <c r="AD807" s="378"/>
      <c r="AE807" s="378"/>
      <c r="AF807" s="378"/>
      <c r="AG807" s="378"/>
    </row>
    <row r="808">
      <c r="A808" s="378"/>
      <c r="B808" s="634"/>
      <c r="C808" s="635"/>
      <c r="D808" s="635"/>
      <c r="E808" s="635"/>
      <c r="F808" s="635"/>
      <c r="G808" s="635"/>
      <c r="H808" s="635"/>
      <c r="I808" s="376"/>
      <c r="J808" s="377"/>
      <c r="K808" s="378"/>
      <c r="L808" s="378"/>
      <c r="M808" s="378"/>
      <c r="N808" s="379"/>
      <c r="O808" s="380"/>
      <c r="P808" s="378"/>
      <c r="Q808" s="378"/>
      <c r="R808" s="378"/>
      <c r="S808" s="378"/>
      <c r="T808" s="378"/>
      <c r="U808" s="378"/>
      <c r="V808" s="378"/>
      <c r="W808" s="378"/>
      <c r="X808" s="378"/>
      <c r="Y808" s="378"/>
      <c r="Z808" s="378"/>
      <c r="AA808" s="378"/>
      <c r="AB808" s="378"/>
      <c r="AC808" s="378"/>
      <c r="AD808" s="378"/>
      <c r="AE808" s="378"/>
      <c r="AF808" s="378"/>
      <c r="AG808" s="378"/>
    </row>
    <row r="809">
      <c r="A809" s="378"/>
      <c r="B809" s="382"/>
      <c r="C809" s="388"/>
      <c r="D809" s="384"/>
      <c r="E809" s="385" t="s">
        <v>700</v>
      </c>
      <c r="F809" s="385" t="str">
        <f>Board!A2</f>
        <v>11.17.25-11.23.25</v>
      </c>
      <c r="G809" s="213"/>
      <c r="H809" s="211"/>
      <c r="I809" s="386">
        <v>27.0</v>
      </c>
      <c r="J809" s="583"/>
      <c r="K809" s="584"/>
      <c r="L809" s="585"/>
      <c r="M809" s="586" t="s">
        <v>700</v>
      </c>
      <c r="N809" s="587" t="str">
        <f>Board!A2</f>
        <v>11.17.25-11.23.25</v>
      </c>
      <c r="O809" s="213"/>
      <c r="P809" s="211"/>
      <c r="Q809" s="378"/>
      <c r="R809" s="389" t="s">
        <v>831</v>
      </c>
      <c r="S809" s="389" t="s">
        <v>652</v>
      </c>
      <c r="T809" s="390" t="s">
        <v>832</v>
      </c>
      <c r="U809" s="391" t="s">
        <v>833</v>
      </c>
      <c r="V809" s="389" t="s">
        <v>655</v>
      </c>
      <c r="W809" s="389" t="s">
        <v>8</v>
      </c>
      <c r="X809" s="389" t="s">
        <v>656</v>
      </c>
      <c r="Y809" s="390" t="s">
        <v>834</v>
      </c>
      <c r="Z809" s="392" t="s">
        <v>835</v>
      </c>
      <c r="AA809" s="390" t="s">
        <v>836</v>
      </c>
      <c r="AB809" s="390" t="s">
        <v>837</v>
      </c>
      <c r="AC809" s="393" t="s">
        <v>716</v>
      </c>
      <c r="AD809" s="393" t="s">
        <v>717</v>
      </c>
      <c r="AE809" s="393" t="s">
        <v>718</v>
      </c>
      <c r="AF809" s="394" t="s">
        <v>838</v>
      </c>
      <c r="AG809" s="394"/>
    </row>
    <row r="810">
      <c r="A810" s="378"/>
      <c r="B810" s="395"/>
      <c r="C810" s="372"/>
      <c r="D810" s="396"/>
      <c r="E810" s="385" t="s">
        <v>702</v>
      </c>
      <c r="F810" s="385" t="s">
        <v>673</v>
      </c>
      <c r="G810" s="213"/>
      <c r="H810" s="211"/>
      <c r="I810" s="376"/>
      <c r="J810" s="588"/>
      <c r="K810" s="589"/>
      <c r="L810" s="590"/>
      <c r="M810" s="586" t="s">
        <v>351</v>
      </c>
      <c r="N810" s="587" t="str">
        <f t="array" ref="N810">XLOOKUP(N811,Board!K:K,Board!J:J)</f>
        <v>EMMANUEL MULLER</v>
      </c>
      <c r="O810" s="213"/>
      <c r="P810" s="211"/>
      <c r="Q810" s="378"/>
      <c r="R810" s="398">
        <f>I809</f>
        <v>27</v>
      </c>
      <c r="S810" s="398">
        <f>F811</f>
        <v>9617</v>
      </c>
      <c r="T810" s="399">
        <f>G831</f>
        <v>5612.32</v>
      </c>
      <c r="U810" s="378" t="str">
        <f>N810</f>
        <v>EMMANUEL MULLER</v>
      </c>
      <c r="V810" s="380">
        <f>O831</f>
        <v>3588.65</v>
      </c>
      <c r="W810" s="399">
        <f>P819</f>
        <v>3588.65</v>
      </c>
      <c r="X810" s="399">
        <f>C830</f>
        <v>2789.68</v>
      </c>
      <c r="Y810" s="400">
        <f>N819</f>
        <v>5521</v>
      </c>
      <c r="Z810" s="399">
        <f>V811-V810</f>
        <v>2023.67</v>
      </c>
      <c r="AA810" s="378"/>
      <c r="AB810" s="378"/>
      <c r="AC810" s="401">
        <f>C827</f>
        <v>150</v>
      </c>
      <c r="AD810" s="401">
        <f>C828</f>
        <v>400</v>
      </c>
      <c r="AE810" s="401">
        <f>C829</f>
        <v>200</v>
      </c>
      <c r="AF810" s="398">
        <f>C831+C832+C833+C834+C835</f>
        <v>0</v>
      </c>
      <c r="AG810" s="398"/>
    </row>
    <row r="811">
      <c r="A811" s="378"/>
      <c r="B811" s="395"/>
      <c r="C811" s="372"/>
      <c r="D811" s="402"/>
      <c r="E811" s="385" t="s">
        <v>703</v>
      </c>
      <c r="F811" s="385">
        <v>9617.0</v>
      </c>
      <c r="G811" s="213"/>
      <c r="H811" s="211"/>
      <c r="I811" s="376"/>
      <c r="J811" s="588"/>
      <c r="K811" s="589"/>
      <c r="L811" s="591"/>
      <c r="M811" s="586" t="s">
        <v>703</v>
      </c>
      <c r="N811" s="587">
        <f>F811</f>
        <v>9617</v>
      </c>
      <c r="O811" s="213"/>
      <c r="P811" s="211"/>
      <c r="Q811" s="378"/>
      <c r="R811" s="378"/>
      <c r="S811" s="378"/>
      <c r="T811" s="378"/>
      <c r="U811" s="378" t="str">
        <f>F810</f>
        <v>Nationwide LLC</v>
      </c>
      <c r="V811" s="399">
        <f>G831</f>
        <v>5612.32</v>
      </c>
      <c r="W811" s="399">
        <f>H819</f>
        <v>9152</v>
      </c>
      <c r="X811" s="378"/>
      <c r="Y811" s="378"/>
      <c r="Z811" s="378"/>
      <c r="AA811" s="378"/>
      <c r="AB811" s="378"/>
      <c r="AC811" s="378"/>
      <c r="AD811" s="378"/>
      <c r="AE811" s="378"/>
      <c r="AF811" s="378"/>
      <c r="AG811" s="378"/>
    </row>
    <row r="812">
      <c r="A812" s="378"/>
      <c r="B812" s="403" t="s">
        <v>704</v>
      </c>
      <c r="C812" s="404" t="s">
        <v>5</v>
      </c>
      <c r="D812" s="405" t="s">
        <v>6</v>
      </c>
      <c r="E812" s="406" t="s">
        <v>7</v>
      </c>
      <c r="F812" s="404" t="s">
        <v>8</v>
      </c>
      <c r="G812" s="404" t="s">
        <v>706</v>
      </c>
      <c r="H812" s="404" t="s">
        <v>707</v>
      </c>
      <c r="I812" s="376"/>
      <c r="J812" s="592" t="s">
        <v>704</v>
      </c>
      <c r="K812" s="593" t="s">
        <v>5</v>
      </c>
      <c r="L812" s="594" t="s">
        <v>6</v>
      </c>
      <c r="M812" s="595" t="s">
        <v>7</v>
      </c>
      <c r="N812" s="596" t="s">
        <v>591</v>
      </c>
      <c r="O812" s="597" t="s">
        <v>839</v>
      </c>
      <c r="P812" s="593" t="s">
        <v>707</v>
      </c>
      <c r="Q812" s="378"/>
      <c r="R812" s="378"/>
      <c r="S812" s="378"/>
      <c r="T812" s="378"/>
      <c r="U812" s="378"/>
      <c r="V812" s="378"/>
      <c r="W812" s="378"/>
      <c r="X812" s="378"/>
      <c r="Y812" s="378"/>
      <c r="Z812" s="378"/>
      <c r="AA812" s="378"/>
      <c r="AB812" s="378"/>
      <c r="AC812" s="378"/>
      <c r="AD812" s="378"/>
      <c r="AE812" s="378"/>
      <c r="AF812" s="378"/>
      <c r="AG812" s="378"/>
    </row>
    <row r="813">
      <c r="A813" s="378"/>
      <c r="B813" s="555">
        <f>IFERROR(__xludf.DUMMYFUNCTION("FILTER(Board!C:G,Board!K:K=F811)"),45978.0)</f>
        <v>45978</v>
      </c>
      <c r="C813" s="404">
        <f>IFERROR(__xludf.DUMMYFUNCTION("""COMPUTED_VALUE"""),227339.0)</f>
        <v>227339</v>
      </c>
      <c r="D813" s="405" t="str">
        <f>IFERROR(__xludf.DUMMYFUNCTION("""COMPUTED_VALUE"""),"Waldwick, NJ, 07463")</f>
        <v>Waldwick, NJ, 07463</v>
      </c>
      <c r="E813" s="406" t="str">
        <f>IFERROR(__xludf.DUMMYFUNCTION("""COMPUTED_VALUE"""),"Selah, WA, 98942")</f>
        <v>Selah, WA, 98942</v>
      </c>
      <c r="F813" s="414">
        <f>IFERROR(__xludf.DUMMYFUNCTION("""COMPUTED_VALUE"""),5000.0)</f>
        <v>5000</v>
      </c>
      <c r="G813" s="413">
        <v>0.88</v>
      </c>
      <c r="H813" s="414">
        <f t="shared" ref="H813:H814" si="48">F813*G813</f>
        <v>4400</v>
      </c>
      <c r="I813" s="376"/>
      <c r="J813" s="598">
        <f>IFERROR(__xludf.DUMMYFUNCTION("FILTER(Board!C:F,Board!K:K=N811)"),45978.0)</f>
        <v>45978</v>
      </c>
      <c r="K813" s="593">
        <f>IFERROR(__xludf.DUMMYFUNCTION("""COMPUTED_VALUE"""),227339.0)</f>
        <v>227339</v>
      </c>
      <c r="L813" s="593" t="str">
        <f>IFERROR(__xludf.DUMMYFUNCTION("""COMPUTED_VALUE"""),"Waldwick, NJ, 07463")</f>
        <v>Waldwick, NJ, 07463</v>
      </c>
      <c r="M813" s="593" t="str">
        <f>IFERROR(__xludf.DUMMYFUNCTION("""COMPUTED_VALUE"""),"Selah, WA, 98942")</f>
        <v>Selah, WA, 98942</v>
      </c>
      <c r="N813" s="636">
        <f>IFERROR(__xludf.DUMMYFUNCTION("FILTER(Board!H:H,Board!K:K=N811)"),2811.0)</f>
        <v>2811</v>
      </c>
      <c r="O813" s="597">
        <v>0.65</v>
      </c>
      <c r="P813" s="600">
        <f t="shared" ref="P813:P816" si="49">N813*O813</f>
        <v>1827.15</v>
      </c>
      <c r="Q813" s="378"/>
      <c r="R813" s="378"/>
      <c r="S813" s="378"/>
      <c r="T813" s="378"/>
      <c r="U813" s="378"/>
      <c r="V813" s="378"/>
      <c r="W813" s="378"/>
      <c r="X813" s="378"/>
      <c r="Y813" s="378"/>
      <c r="Z813" s="378"/>
      <c r="AA813" s="378"/>
      <c r="AB813" s="378"/>
      <c r="AC813" s="378"/>
      <c r="AD813" s="378"/>
      <c r="AE813" s="378"/>
      <c r="AF813" s="378"/>
      <c r="AG813" s="378"/>
    </row>
    <row r="814">
      <c r="A814" s="378"/>
      <c r="B814" s="555">
        <f>IFERROR(__xludf.DUMMYFUNCTION("""COMPUTED_VALUE"""),45981.0)</f>
        <v>45981</v>
      </c>
      <c r="C814" s="404">
        <f>IFERROR(__xludf.DUMMYFUNCTION("""COMPUTED_VALUE"""),1.5467599E7)</f>
        <v>15467599</v>
      </c>
      <c r="D814" s="405" t="str">
        <f>IFERROR(__xludf.DUMMYFUNCTION("""COMPUTED_VALUE"""),"Yakima, WA, 98902")</f>
        <v>Yakima, WA, 98902</v>
      </c>
      <c r="E814" s="406" t="str">
        <f>IFERROR(__xludf.DUMMYFUNCTION("""COMPUTED_VALUE"""),", DE, 19720")</f>
        <v>, DE, 19720</v>
      </c>
      <c r="F814" s="414">
        <f>IFERROR(__xludf.DUMMYFUNCTION("""COMPUTED_VALUE"""),5400.0)</f>
        <v>5400</v>
      </c>
      <c r="G814" s="413">
        <v>0.88</v>
      </c>
      <c r="H814" s="414">
        <f t="shared" si="48"/>
        <v>4752</v>
      </c>
      <c r="I814" s="376"/>
      <c r="J814" s="601">
        <f>IFERROR(__xludf.DUMMYFUNCTION("""COMPUTED_VALUE"""),45981.0)</f>
        <v>45981</v>
      </c>
      <c r="K814" s="593">
        <f>IFERROR(__xludf.DUMMYFUNCTION("""COMPUTED_VALUE"""),1.5467599E7)</f>
        <v>15467599</v>
      </c>
      <c r="L814" s="593" t="str">
        <f>IFERROR(__xludf.DUMMYFUNCTION("""COMPUTED_VALUE"""),"Yakima, WA, 98902")</f>
        <v>Yakima, WA, 98902</v>
      </c>
      <c r="M814" s="593" t="str">
        <f>IFERROR(__xludf.DUMMYFUNCTION("""COMPUTED_VALUE"""),", DE, 19720")</f>
        <v>, DE, 19720</v>
      </c>
      <c r="N814" s="599">
        <f>IFERROR(__xludf.DUMMYFUNCTION("""COMPUTED_VALUE"""),2710.0)</f>
        <v>2710</v>
      </c>
      <c r="O814" s="597">
        <v>0.65</v>
      </c>
      <c r="P814" s="600">
        <f t="shared" si="49"/>
        <v>1761.5</v>
      </c>
      <c r="Q814" s="378"/>
      <c r="R814" s="378"/>
      <c r="S814" s="378"/>
      <c r="T814" s="378"/>
      <c r="U814" s="378"/>
      <c r="V814" s="378"/>
      <c r="W814" s="378"/>
      <c r="X814" s="378"/>
      <c r="Y814" s="378"/>
      <c r="Z814" s="378"/>
      <c r="AA814" s="378"/>
      <c r="AB814" s="378"/>
      <c r="AC814" s="378"/>
      <c r="AD814" s="378"/>
      <c r="AE814" s="378"/>
      <c r="AF814" s="378"/>
      <c r="AG814" s="378"/>
    </row>
    <row r="815">
      <c r="A815" s="378"/>
      <c r="B815" s="420"/>
      <c r="C815" s="421"/>
      <c r="D815" s="422"/>
      <c r="E815" s="423"/>
      <c r="F815" s="421"/>
      <c r="G815" s="413"/>
      <c r="H815" s="414"/>
      <c r="I815" s="376"/>
      <c r="J815" s="601"/>
      <c r="K815" s="593"/>
      <c r="L815" s="594"/>
      <c r="M815" s="595"/>
      <c r="N815" s="599"/>
      <c r="O815" s="597">
        <v>0.65</v>
      </c>
      <c r="P815" s="600">
        <f t="shared" si="49"/>
        <v>0</v>
      </c>
      <c r="Q815" s="378"/>
      <c r="R815" s="378"/>
      <c r="S815" s="378"/>
      <c r="T815" s="378"/>
      <c r="U815" s="378"/>
      <c r="V815" s="378"/>
      <c r="W815" s="378"/>
      <c r="X815" s="378"/>
      <c r="Y815" s="378"/>
      <c r="Z815" s="378"/>
      <c r="AA815" s="378"/>
      <c r="AB815" s="378"/>
      <c r="AC815" s="378"/>
      <c r="AD815" s="378"/>
      <c r="AE815" s="378"/>
      <c r="AF815" s="378"/>
      <c r="AG815" s="378"/>
    </row>
    <row r="816">
      <c r="A816" s="378"/>
      <c r="B816" s="420"/>
      <c r="C816" s="421"/>
      <c r="D816" s="422"/>
      <c r="E816" s="423"/>
      <c r="F816" s="421"/>
      <c r="G816" s="413"/>
      <c r="H816" s="414"/>
      <c r="I816" s="376"/>
      <c r="J816" s="601"/>
      <c r="K816" s="593"/>
      <c r="L816" s="594"/>
      <c r="M816" s="595"/>
      <c r="N816" s="599"/>
      <c r="O816" s="597">
        <v>0.65</v>
      </c>
      <c r="P816" s="600">
        <f t="shared" si="49"/>
        <v>0</v>
      </c>
      <c r="Q816" s="378"/>
      <c r="R816" s="378"/>
      <c r="S816" s="378"/>
      <c r="T816" s="378"/>
      <c r="U816" s="378"/>
      <c r="V816" s="378"/>
      <c r="W816" s="378"/>
      <c r="X816" s="378"/>
      <c r="Y816" s="378"/>
      <c r="Z816" s="378"/>
      <c r="AA816" s="378"/>
      <c r="AB816" s="378"/>
      <c r="AC816" s="378"/>
      <c r="AD816" s="378"/>
      <c r="AE816" s="378"/>
      <c r="AF816" s="378"/>
      <c r="AG816" s="378"/>
    </row>
    <row r="817">
      <c r="A817" s="378"/>
      <c r="B817" s="420"/>
      <c r="C817" s="421"/>
      <c r="D817" s="422"/>
      <c r="E817" s="423"/>
      <c r="F817" s="421"/>
      <c r="G817" s="413"/>
      <c r="H817" s="414"/>
      <c r="I817" s="376"/>
      <c r="J817" s="602"/>
      <c r="K817" s="593"/>
      <c r="L817" s="594"/>
      <c r="M817" s="595"/>
      <c r="N817" s="596"/>
      <c r="O817" s="597"/>
      <c r="P817" s="600"/>
      <c r="Q817" s="378"/>
      <c r="R817" s="378"/>
      <c r="S817" s="378"/>
      <c r="T817" s="378"/>
      <c r="U817" s="378"/>
      <c r="V817" s="378"/>
      <c r="W817" s="378"/>
      <c r="X817" s="378"/>
      <c r="Y817" s="378"/>
      <c r="Z817" s="378"/>
      <c r="AA817" s="378"/>
      <c r="AB817" s="378"/>
      <c r="AC817" s="378"/>
      <c r="AD817" s="378"/>
      <c r="AE817" s="378"/>
      <c r="AF817" s="378"/>
      <c r="AG817" s="378"/>
    </row>
    <row r="818">
      <c r="A818" s="378"/>
      <c r="B818" s="420"/>
      <c r="C818" s="421"/>
      <c r="D818" s="422"/>
      <c r="E818" s="423"/>
      <c r="F818" s="421"/>
      <c r="G818" s="413"/>
      <c r="H818" s="414"/>
      <c r="I818" s="376"/>
      <c r="J818" s="602"/>
      <c r="K818" s="593"/>
      <c r="L818" s="594"/>
      <c r="M818" s="595"/>
      <c r="N818" s="596"/>
      <c r="O818" s="597"/>
      <c r="P818" s="600"/>
      <c r="Q818" s="378"/>
      <c r="R818" s="378"/>
      <c r="S818" s="378"/>
      <c r="T818" s="378"/>
      <c r="U818" s="378"/>
      <c r="V818" s="378"/>
      <c r="W818" s="378"/>
      <c r="X818" s="378"/>
      <c r="Y818" s="378"/>
      <c r="Z818" s="378"/>
      <c r="AA818" s="378"/>
      <c r="AB818" s="378"/>
      <c r="AC818" s="378"/>
      <c r="AD818" s="378"/>
      <c r="AE818" s="378"/>
      <c r="AF818" s="378"/>
      <c r="AG818" s="378"/>
    </row>
    <row r="819">
      <c r="A819" s="378"/>
      <c r="B819" s="403" t="s">
        <v>711</v>
      </c>
      <c r="C819" s="224"/>
      <c r="D819" s="224"/>
      <c r="E819" s="222"/>
      <c r="F819" s="414">
        <f>SUM(F813:F818)</f>
        <v>10400</v>
      </c>
      <c r="G819" s="421"/>
      <c r="H819" s="414">
        <f>SUM(H813:H818)</f>
        <v>9152</v>
      </c>
      <c r="I819" s="376"/>
      <c r="J819" s="603" t="s">
        <v>711</v>
      </c>
      <c r="K819" s="224"/>
      <c r="L819" s="224"/>
      <c r="M819" s="222"/>
      <c r="N819" s="599">
        <f>SUM(N813:N818)</f>
        <v>5521</v>
      </c>
      <c r="O819" s="597"/>
      <c r="P819" s="600">
        <f>SUM(P813:P818)</f>
        <v>3588.65</v>
      </c>
      <c r="Q819" s="378"/>
      <c r="R819" s="378"/>
      <c r="S819" s="378"/>
      <c r="T819" s="378"/>
      <c r="U819" s="378"/>
      <c r="V819" s="378"/>
      <c r="W819" s="378"/>
      <c r="X819" s="378"/>
      <c r="Y819" s="378"/>
      <c r="Z819" s="378"/>
      <c r="AA819" s="378"/>
      <c r="AB819" s="378"/>
      <c r="AC819" s="378"/>
      <c r="AD819" s="378"/>
      <c r="AE819" s="378"/>
      <c r="AF819" s="378"/>
      <c r="AG819" s="378"/>
    </row>
    <row r="820">
      <c r="A820" s="378"/>
      <c r="B820" s="428"/>
      <c r="C820" s="419"/>
      <c r="D820" s="419"/>
      <c r="E820" s="419"/>
      <c r="F820" s="419"/>
      <c r="G820" s="419"/>
      <c r="H820" s="429"/>
      <c r="I820" s="376"/>
      <c r="J820" s="604"/>
      <c r="K820" s="605"/>
      <c r="L820" s="605"/>
      <c r="M820" s="605"/>
      <c r="N820" s="606"/>
      <c r="O820" s="607"/>
      <c r="P820" s="608"/>
      <c r="Q820" s="378"/>
      <c r="R820" s="378"/>
      <c r="S820" s="378"/>
      <c r="T820" s="378"/>
      <c r="U820" s="378"/>
      <c r="V820" s="378"/>
      <c r="W820" s="378"/>
      <c r="X820" s="378"/>
      <c r="Y820" s="378"/>
      <c r="Z820" s="378"/>
      <c r="AA820" s="378"/>
      <c r="AB820" s="378"/>
      <c r="AC820" s="378"/>
      <c r="AD820" s="378"/>
      <c r="AE820" s="378"/>
      <c r="AF820" s="378"/>
      <c r="AG820" s="378"/>
    </row>
    <row r="821">
      <c r="A821" s="378"/>
      <c r="B821" s="433" t="s">
        <v>712</v>
      </c>
      <c r="C821" s="434"/>
      <c r="D821" s="435"/>
      <c r="E821" s="419"/>
      <c r="F821" s="419"/>
      <c r="G821" s="419"/>
      <c r="H821" s="429"/>
      <c r="I821" s="376"/>
      <c r="J821" s="437" t="s">
        <v>712</v>
      </c>
      <c r="K821" s="609"/>
      <c r="L821" s="610"/>
      <c r="M821" s="605"/>
      <c r="N821" s="606"/>
      <c r="O821" s="607"/>
      <c r="P821" s="608"/>
      <c r="Q821" s="378"/>
      <c r="R821" s="378"/>
      <c r="S821" s="378"/>
      <c r="T821" s="378"/>
      <c r="U821" s="378"/>
      <c r="V821" s="378"/>
      <c r="W821" s="378"/>
      <c r="X821" s="378"/>
      <c r="Y821" s="378"/>
      <c r="Z821" s="378"/>
      <c r="AA821" s="378"/>
      <c r="AB821" s="378"/>
      <c r="AC821" s="378"/>
      <c r="AD821" s="378"/>
      <c r="AE821" s="378"/>
      <c r="AF821" s="378"/>
      <c r="AG821" s="378"/>
    </row>
    <row r="822">
      <c r="A822" s="378"/>
      <c r="B822" s="438"/>
      <c r="C822" s="439"/>
      <c r="D822" s="440"/>
      <c r="E822" s="419"/>
      <c r="F822" s="419"/>
      <c r="G822" s="419"/>
      <c r="H822" s="429"/>
      <c r="I822" s="376"/>
      <c r="J822" s="443"/>
      <c r="K822" s="611"/>
      <c r="L822" s="612"/>
      <c r="M822" s="605"/>
      <c r="N822" s="606"/>
      <c r="O822" s="607"/>
      <c r="P822" s="608"/>
      <c r="Q822" s="378"/>
      <c r="R822" s="378"/>
      <c r="S822" s="378"/>
      <c r="T822" s="378"/>
      <c r="U822" s="378"/>
      <c r="V822" s="378"/>
      <c r="W822" s="378"/>
      <c r="X822" s="378"/>
      <c r="Y822" s="378"/>
      <c r="Z822" s="378"/>
      <c r="AA822" s="378"/>
      <c r="AB822" s="378"/>
      <c r="AC822" s="378"/>
      <c r="AD822" s="378"/>
      <c r="AE822" s="378"/>
      <c r="AF822" s="378"/>
      <c r="AG822" s="378"/>
    </row>
    <row r="823">
      <c r="A823" s="378"/>
      <c r="B823" s="444"/>
      <c r="C823" s="434"/>
      <c r="D823" s="435"/>
      <c r="E823" s="419"/>
      <c r="F823" s="463"/>
      <c r="G823" s="463"/>
      <c r="H823" s="448"/>
      <c r="I823" s="376"/>
      <c r="J823" s="445"/>
      <c r="K823" s="609"/>
      <c r="L823" s="610"/>
      <c r="M823" s="605"/>
      <c r="N823" s="606"/>
      <c r="O823" s="607"/>
      <c r="P823" s="608"/>
      <c r="Q823" s="378"/>
      <c r="R823" s="378"/>
      <c r="S823" s="378"/>
      <c r="T823" s="378"/>
      <c r="U823" s="378"/>
      <c r="V823" s="378"/>
      <c r="W823" s="378"/>
      <c r="X823" s="378"/>
      <c r="Y823" s="378"/>
      <c r="Z823" s="378"/>
      <c r="AA823" s="378"/>
      <c r="AB823" s="378"/>
      <c r="AC823" s="378"/>
      <c r="AD823" s="378"/>
      <c r="AE823" s="378"/>
      <c r="AF823" s="378"/>
      <c r="AG823" s="378"/>
    </row>
    <row r="824">
      <c r="A824" s="378"/>
      <c r="B824" s="438" t="s">
        <v>714</v>
      </c>
      <c r="C824" s="439">
        <f>SUM(C822:C823)</f>
        <v>0</v>
      </c>
      <c r="D824" s="440"/>
      <c r="E824" s="419"/>
      <c r="F824" s="463"/>
      <c r="G824" s="463"/>
      <c r="H824" s="448"/>
      <c r="I824" s="376"/>
      <c r="J824" s="443" t="s">
        <v>714</v>
      </c>
      <c r="K824" s="611">
        <f>SUM(K822:K823)</f>
        <v>0</v>
      </c>
      <c r="L824" s="612"/>
      <c r="M824" s="605"/>
      <c r="N824" s="606"/>
      <c r="O824" s="607"/>
      <c r="P824" s="608"/>
      <c r="Q824" s="378"/>
      <c r="R824" s="378"/>
      <c r="S824" s="378"/>
      <c r="T824" s="378"/>
      <c r="U824" s="378"/>
      <c r="V824" s="378"/>
      <c r="W824" s="378"/>
      <c r="X824" s="378"/>
      <c r="Y824" s="378"/>
      <c r="Z824" s="378"/>
      <c r="AA824" s="378"/>
      <c r="AB824" s="378"/>
      <c r="AC824" s="378"/>
      <c r="AD824" s="378"/>
      <c r="AE824" s="378"/>
      <c r="AF824" s="378"/>
      <c r="AG824" s="378"/>
    </row>
    <row r="825">
      <c r="A825" s="378"/>
      <c r="B825" s="450"/>
      <c r="C825" s="451"/>
      <c r="D825" s="419"/>
      <c r="E825" s="419"/>
      <c r="F825" s="463"/>
      <c r="G825" s="463"/>
      <c r="H825" s="448"/>
      <c r="I825" s="376"/>
      <c r="J825" s="613"/>
      <c r="K825" s="614"/>
      <c r="L825" s="605"/>
      <c r="M825" s="605"/>
      <c r="N825" s="606"/>
      <c r="O825" s="607"/>
      <c r="P825" s="608"/>
      <c r="Q825" s="378"/>
      <c r="R825" s="378"/>
      <c r="S825" s="378"/>
      <c r="T825" s="378"/>
      <c r="U825" s="378"/>
      <c r="V825" s="378"/>
      <c r="W825" s="378"/>
      <c r="X825" s="378"/>
      <c r="Y825" s="378"/>
      <c r="Z825" s="378"/>
      <c r="AA825" s="378"/>
      <c r="AB825" s="378"/>
      <c r="AC825" s="378"/>
      <c r="AD825" s="378"/>
      <c r="AE825" s="378"/>
      <c r="AF825" s="378"/>
      <c r="AG825" s="378"/>
    </row>
    <row r="826">
      <c r="A826" s="378"/>
      <c r="B826" s="454" t="s">
        <v>715</v>
      </c>
      <c r="C826" s="455"/>
      <c r="D826" s="435"/>
      <c r="E826" s="419"/>
      <c r="F826" s="463"/>
      <c r="G826" s="463"/>
      <c r="H826" s="448"/>
      <c r="I826" s="376"/>
      <c r="J826" s="615" t="s">
        <v>715</v>
      </c>
      <c r="K826" s="616"/>
      <c r="L826" s="610"/>
      <c r="M826" s="605"/>
      <c r="N826" s="606"/>
      <c r="O826" s="607"/>
      <c r="P826" s="608"/>
      <c r="Q826" s="378"/>
      <c r="R826" s="378"/>
      <c r="S826" s="378"/>
      <c r="T826" s="378"/>
      <c r="U826" s="378"/>
      <c r="V826" s="378"/>
      <c r="W826" s="378"/>
      <c r="X826" s="378"/>
      <c r="Y826" s="378"/>
      <c r="Z826" s="378"/>
      <c r="AA826" s="378"/>
      <c r="AB826" s="378"/>
      <c r="AC826" s="378"/>
      <c r="AD826" s="378"/>
      <c r="AE826" s="378"/>
      <c r="AF826" s="378"/>
      <c r="AG826" s="378"/>
    </row>
    <row r="827">
      <c r="A827" s="378"/>
      <c r="B827" s="459" t="s">
        <v>716</v>
      </c>
      <c r="C827" s="460">
        <v>150.0</v>
      </c>
      <c r="D827" s="440"/>
      <c r="E827" s="419"/>
      <c r="F827" s="463"/>
      <c r="G827" s="463"/>
      <c r="H827" s="448"/>
      <c r="I827" s="376"/>
      <c r="J827" s="617"/>
      <c r="K827" s="618"/>
      <c r="L827" s="612"/>
      <c r="M827" s="605"/>
      <c r="N827" s="606"/>
      <c r="O827" s="607"/>
      <c r="P827" s="608"/>
      <c r="Q827" s="378"/>
      <c r="R827" s="378"/>
      <c r="S827" s="378"/>
      <c r="T827" s="378"/>
      <c r="U827" s="378"/>
      <c r="V827" s="378"/>
      <c r="W827" s="378"/>
      <c r="X827" s="378"/>
      <c r="Y827" s="378"/>
      <c r="Z827" s="378"/>
      <c r="AA827" s="378"/>
      <c r="AB827" s="378"/>
      <c r="AC827" s="378"/>
      <c r="AD827" s="378"/>
      <c r="AE827" s="378"/>
      <c r="AF827" s="378"/>
      <c r="AG827" s="378"/>
    </row>
    <row r="828">
      <c r="A828" s="378"/>
      <c r="B828" s="459" t="s">
        <v>717</v>
      </c>
      <c r="C828" s="460">
        <v>400.0</v>
      </c>
      <c r="D828" s="440"/>
      <c r="E828" s="419"/>
      <c r="F828" s="463"/>
      <c r="G828" s="463"/>
      <c r="H828" s="448"/>
      <c r="I828" s="376"/>
      <c r="J828" s="617"/>
      <c r="K828" s="618"/>
      <c r="L828" s="612"/>
      <c r="M828" s="605"/>
      <c r="N828" s="606"/>
      <c r="O828" s="607"/>
      <c r="P828" s="608"/>
      <c r="Q828" s="378"/>
      <c r="R828" s="378"/>
      <c r="S828" s="378"/>
      <c r="T828" s="378"/>
      <c r="U828" s="378"/>
      <c r="V828" s="378"/>
      <c r="W828" s="378"/>
      <c r="X828" s="378"/>
      <c r="Y828" s="378"/>
      <c r="Z828" s="378"/>
      <c r="AA828" s="378"/>
      <c r="AB828" s="378"/>
      <c r="AC828" s="378"/>
      <c r="AD828" s="378"/>
      <c r="AE828" s="378"/>
      <c r="AF828" s="378"/>
      <c r="AG828" s="378"/>
    </row>
    <row r="829">
      <c r="A829" s="378"/>
      <c r="B829" s="459" t="s">
        <v>718</v>
      </c>
      <c r="C829" s="460">
        <v>200.0</v>
      </c>
      <c r="D829" s="440"/>
      <c r="E829" s="419"/>
      <c r="F829" s="463"/>
      <c r="G829" s="463"/>
      <c r="H829" s="448"/>
      <c r="I829" s="376"/>
      <c r="J829" s="617"/>
      <c r="K829" s="618"/>
      <c r="L829" s="612"/>
      <c r="M829" s="605"/>
      <c r="N829" s="606"/>
      <c r="O829" s="607"/>
      <c r="P829" s="608"/>
      <c r="Q829" s="378"/>
      <c r="R829" s="378"/>
      <c r="S829" s="378"/>
      <c r="T829" s="378"/>
      <c r="U829" s="378"/>
      <c r="V829" s="378"/>
      <c r="W829" s="378"/>
      <c r="X829" s="378"/>
      <c r="Y829" s="378"/>
      <c r="Z829" s="378"/>
      <c r="AA829" s="378"/>
      <c r="AB829" s="378"/>
      <c r="AC829" s="378"/>
      <c r="AD829" s="378"/>
      <c r="AE829" s="378"/>
      <c r="AF829" s="378"/>
      <c r="AG829" s="378"/>
    </row>
    <row r="830">
      <c r="A830" s="378"/>
      <c r="B830" s="459" t="s">
        <v>656</v>
      </c>
      <c r="C830" s="460">
        <f>IFERROR(__xludf.DUMMYFUNCTION("FILTER(D967:D995,C967:C995=F811)"),2789.68)</f>
        <v>2789.68</v>
      </c>
      <c r="D830" s="440"/>
      <c r="E830" s="419"/>
      <c r="F830" s="463"/>
      <c r="G830" s="463"/>
      <c r="H830" s="448"/>
      <c r="I830" s="376"/>
      <c r="J830" s="617"/>
      <c r="K830" s="618"/>
      <c r="L830" s="612"/>
      <c r="M830" s="605"/>
      <c r="N830" s="606"/>
      <c r="O830" s="607"/>
      <c r="P830" s="608"/>
      <c r="Q830" s="378"/>
      <c r="R830" s="378"/>
      <c r="S830" s="378"/>
      <c r="T830" s="378"/>
      <c r="U830" s="378"/>
      <c r="V830" s="378"/>
      <c r="W830" s="378"/>
      <c r="X830" s="378"/>
      <c r="Y830" s="378"/>
      <c r="Z830" s="378"/>
      <c r="AA830" s="378"/>
      <c r="AB830" s="378"/>
      <c r="AC830" s="378"/>
      <c r="AD830" s="378"/>
      <c r="AE830" s="378"/>
      <c r="AF830" s="378"/>
      <c r="AG830" s="378"/>
    </row>
    <row r="831">
      <c r="A831" s="378"/>
      <c r="B831" s="464"/>
      <c r="C831" s="455"/>
      <c r="D831" s="435"/>
      <c r="E831" s="419"/>
      <c r="F831" s="468" t="s">
        <v>842</v>
      </c>
      <c r="G831" s="466">
        <f>H819+C824-C836</f>
        <v>5612.32</v>
      </c>
      <c r="H831" s="211"/>
      <c r="I831" s="376"/>
      <c r="J831" s="615"/>
      <c r="K831" s="616"/>
      <c r="L831" s="610"/>
      <c r="M831" s="605"/>
      <c r="N831" s="619" t="s">
        <v>842</v>
      </c>
      <c r="O831" s="620">
        <f>P819+K824-K836</f>
        <v>3588.65</v>
      </c>
      <c r="P831" s="211"/>
      <c r="Q831" s="378"/>
      <c r="R831" s="378"/>
      <c r="S831" s="378"/>
      <c r="T831" s="378"/>
      <c r="U831" s="378"/>
      <c r="V831" s="378"/>
      <c r="W831" s="378"/>
      <c r="X831" s="378"/>
      <c r="Y831" s="378"/>
      <c r="Z831" s="378"/>
      <c r="AA831" s="378"/>
      <c r="AB831" s="378"/>
      <c r="AC831" s="378"/>
      <c r="AD831" s="378"/>
      <c r="AE831" s="378"/>
      <c r="AF831" s="378"/>
      <c r="AG831" s="378"/>
    </row>
    <row r="832">
      <c r="A832" s="378"/>
      <c r="B832" s="464"/>
      <c r="C832" s="455"/>
      <c r="D832" s="435"/>
      <c r="E832" s="419"/>
      <c r="F832" s="469" t="s">
        <v>843</v>
      </c>
      <c r="G832" s="278"/>
      <c r="H832" s="56"/>
      <c r="I832" s="376"/>
      <c r="J832" s="615"/>
      <c r="K832" s="616"/>
      <c r="L832" s="610"/>
      <c r="M832" s="605"/>
      <c r="N832" s="621" t="s">
        <v>854</v>
      </c>
      <c r="O832" s="278"/>
      <c r="P832" s="56"/>
      <c r="Q832" s="378"/>
      <c r="R832" s="378"/>
      <c r="S832" s="378"/>
      <c r="T832" s="378"/>
      <c r="U832" s="378"/>
      <c r="V832" s="378"/>
      <c r="W832" s="378"/>
      <c r="X832" s="378"/>
      <c r="Y832" s="378"/>
      <c r="Z832" s="378"/>
      <c r="AA832" s="378"/>
      <c r="AB832" s="378"/>
      <c r="AC832" s="378"/>
      <c r="AD832" s="378"/>
      <c r="AE832" s="378"/>
      <c r="AF832" s="378"/>
      <c r="AG832" s="378"/>
    </row>
    <row r="833">
      <c r="A833" s="378"/>
      <c r="B833" s="464"/>
      <c r="C833" s="455"/>
      <c r="D833" s="435"/>
      <c r="E833" s="419"/>
      <c r="F833" s="470"/>
      <c r="G833" s="215"/>
      <c r="H833" s="64"/>
      <c r="I833" s="376"/>
      <c r="J833" s="615"/>
      <c r="K833" s="616"/>
      <c r="L833" s="610"/>
      <c r="M833" s="605"/>
      <c r="N833" s="622"/>
      <c r="O833" s="215"/>
      <c r="P833" s="64"/>
      <c r="Q833" s="378"/>
      <c r="R833" s="378"/>
      <c r="S833" s="378"/>
      <c r="T833" s="378"/>
      <c r="U833" s="378"/>
      <c r="V833" s="378"/>
      <c r="W833" s="378"/>
      <c r="X833" s="378"/>
      <c r="Y833" s="378"/>
      <c r="Z833" s="378"/>
      <c r="AA833" s="378"/>
      <c r="AB833" s="378"/>
      <c r="AC833" s="378"/>
      <c r="AD833" s="378"/>
      <c r="AE833" s="378"/>
      <c r="AF833" s="378"/>
      <c r="AG833" s="378"/>
    </row>
    <row r="834">
      <c r="A834" s="378"/>
      <c r="B834" s="464"/>
      <c r="C834" s="455"/>
      <c r="D834" s="435"/>
      <c r="E834" s="419"/>
      <c r="F834" s="419"/>
      <c r="G834" s="419"/>
      <c r="H834" s="429"/>
      <c r="I834" s="376"/>
      <c r="J834" s="615"/>
      <c r="K834" s="616"/>
      <c r="L834" s="610"/>
      <c r="M834" s="605"/>
      <c r="N834" s="606"/>
      <c r="O834" s="607"/>
      <c r="P834" s="608"/>
      <c r="Q834" s="378"/>
      <c r="R834" s="378"/>
      <c r="S834" s="378"/>
      <c r="T834" s="378"/>
      <c r="U834" s="378"/>
      <c r="V834" s="378"/>
      <c r="W834" s="378"/>
      <c r="X834" s="378"/>
      <c r="Y834" s="378"/>
      <c r="Z834" s="378"/>
      <c r="AA834" s="378"/>
      <c r="AB834" s="378"/>
      <c r="AC834" s="378"/>
      <c r="AD834" s="378"/>
      <c r="AE834" s="378"/>
      <c r="AF834" s="378"/>
      <c r="AG834" s="378"/>
    </row>
    <row r="835">
      <c r="A835" s="378"/>
      <c r="B835" s="464"/>
      <c r="C835" s="455"/>
      <c r="D835" s="435"/>
      <c r="E835" s="419"/>
      <c r="F835" s="419"/>
      <c r="G835" s="419"/>
      <c r="H835" s="429"/>
      <c r="I835" s="376"/>
      <c r="J835" s="615"/>
      <c r="K835" s="616"/>
      <c r="L835" s="610"/>
      <c r="M835" s="605"/>
      <c r="N835" s="606"/>
      <c r="O835" s="607"/>
      <c r="P835" s="608"/>
      <c r="Q835" s="378"/>
      <c r="R835" s="378"/>
      <c r="S835" s="378"/>
      <c r="T835" s="378"/>
      <c r="U835" s="378"/>
      <c r="V835" s="378"/>
      <c r="W835" s="378"/>
      <c r="X835" s="378"/>
      <c r="Y835" s="378"/>
      <c r="Z835" s="378"/>
      <c r="AA835" s="378"/>
      <c r="AB835" s="378"/>
      <c r="AC835" s="378"/>
      <c r="AD835" s="378"/>
      <c r="AE835" s="378"/>
      <c r="AF835" s="378"/>
      <c r="AG835" s="378"/>
    </row>
    <row r="836">
      <c r="A836" s="378"/>
      <c r="B836" s="454" t="s">
        <v>721</v>
      </c>
      <c r="C836" s="460">
        <f>SUM(C827:C835)</f>
        <v>3539.68</v>
      </c>
      <c r="D836" s="440"/>
      <c r="E836" s="419"/>
      <c r="F836" s="419"/>
      <c r="G836" s="419"/>
      <c r="H836" s="429"/>
      <c r="I836" s="376"/>
      <c r="J836" s="615" t="s">
        <v>721</v>
      </c>
      <c r="K836" s="618">
        <f>SUM(K827:K835)</f>
        <v>0</v>
      </c>
      <c r="L836" s="612"/>
      <c r="M836" s="605"/>
      <c r="N836" s="606"/>
      <c r="O836" s="607"/>
      <c r="P836" s="608"/>
      <c r="Q836" s="378"/>
      <c r="R836" s="378"/>
      <c r="S836" s="378"/>
      <c r="T836" s="378"/>
      <c r="U836" s="378"/>
      <c r="V836" s="378"/>
      <c r="W836" s="378"/>
      <c r="X836" s="378"/>
      <c r="Y836" s="378"/>
      <c r="Z836" s="378"/>
      <c r="AA836" s="378"/>
      <c r="AB836" s="378"/>
      <c r="AC836" s="378"/>
      <c r="AD836" s="378"/>
      <c r="AE836" s="378"/>
      <c r="AF836" s="378"/>
      <c r="AG836" s="378"/>
    </row>
    <row r="837">
      <c r="A837" s="378"/>
      <c r="B837" s="471"/>
      <c r="C837" s="472"/>
      <c r="D837" s="472"/>
      <c r="E837" s="472"/>
      <c r="F837" s="472"/>
      <c r="G837" s="472"/>
      <c r="H837" s="473"/>
      <c r="I837" s="376"/>
      <c r="J837" s="623"/>
      <c r="K837" s="624"/>
      <c r="L837" s="624"/>
      <c r="M837" s="624"/>
      <c r="N837" s="625"/>
      <c r="O837" s="626"/>
      <c r="P837" s="627"/>
      <c r="Q837" s="378"/>
      <c r="R837" s="378"/>
      <c r="S837" s="378"/>
      <c r="T837" s="378"/>
      <c r="U837" s="378"/>
      <c r="V837" s="378"/>
      <c r="W837" s="378"/>
      <c r="X837" s="378"/>
      <c r="Y837" s="378"/>
      <c r="Z837" s="378"/>
      <c r="AA837" s="378"/>
      <c r="AB837" s="378"/>
      <c r="AC837" s="378"/>
      <c r="AD837" s="378"/>
      <c r="AE837" s="378"/>
      <c r="AF837" s="378"/>
      <c r="AG837" s="378"/>
    </row>
    <row r="838">
      <c r="A838" s="378"/>
      <c r="B838" s="477"/>
      <c r="C838" s="378"/>
      <c r="D838" s="378"/>
      <c r="E838" s="378"/>
      <c r="F838" s="378"/>
      <c r="G838" s="378"/>
      <c r="H838" s="378"/>
      <c r="I838" s="376"/>
      <c r="J838" s="377"/>
      <c r="K838" s="378"/>
      <c r="L838" s="378"/>
      <c r="M838" s="378"/>
      <c r="N838" s="379"/>
      <c r="O838" s="380"/>
      <c r="P838" s="378"/>
      <c r="Q838" s="378"/>
      <c r="R838" s="378"/>
      <c r="S838" s="378"/>
      <c r="T838" s="378"/>
      <c r="U838" s="378"/>
      <c r="V838" s="378"/>
      <c r="W838" s="378"/>
      <c r="X838" s="378"/>
      <c r="Y838" s="378"/>
      <c r="Z838" s="378"/>
      <c r="AA838" s="378"/>
      <c r="AB838" s="378"/>
      <c r="AC838" s="378"/>
      <c r="AD838" s="378"/>
      <c r="AE838" s="378"/>
      <c r="AF838" s="378"/>
      <c r="AG838" s="378"/>
    </row>
    <row r="839">
      <c r="A839" s="378"/>
      <c r="B839" s="477"/>
      <c r="C839" s="378"/>
      <c r="D839" s="378"/>
      <c r="E839" s="378"/>
      <c r="F839" s="378"/>
      <c r="G839" s="378"/>
      <c r="H839" s="378"/>
      <c r="I839" s="376"/>
      <c r="J839" s="377"/>
      <c r="K839" s="378"/>
      <c r="L839" s="378"/>
      <c r="M839" s="378"/>
      <c r="N839" s="379"/>
      <c r="O839" s="380"/>
      <c r="P839" s="378"/>
      <c r="Q839" s="378"/>
      <c r="R839" s="378"/>
      <c r="S839" s="378"/>
      <c r="T839" s="378"/>
      <c r="U839" s="378"/>
      <c r="V839" s="378"/>
      <c r="W839" s="378"/>
      <c r="X839" s="378"/>
      <c r="Y839" s="378"/>
      <c r="Z839" s="378"/>
      <c r="AA839" s="378"/>
      <c r="AB839" s="378"/>
      <c r="AC839" s="378"/>
      <c r="AD839" s="378"/>
      <c r="AE839" s="378"/>
      <c r="AF839" s="378"/>
      <c r="AG839" s="378"/>
    </row>
    <row r="840">
      <c r="A840" s="378"/>
      <c r="B840" s="382"/>
      <c r="C840" s="388"/>
      <c r="D840" s="384"/>
      <c r="E840" s="385" t="s">
        <v>700</v>
      </c>
      <c r="F840" s="385" t="str">
        <f>Board!A2</f>
        <v>11.17.25-11.23.25</v>
      </c>
      <c r="G840" s="213"/>
      <c r="H840" s="211"/>
      <c r="I840" s="386">
        <v>28.0</v>
      </c>
      <c r="J840" s="583"/>
      <c r="K840" s="637" t="s">
        <v>908</v>
      </c>
      <c r="L840" s="585"/>
      <c r="M840" s="586" t="s">
        <v>700</v>
      </c>
      <c r="N840" s="587" t="str">
        <f>Board!A2</f>
        <v>11.17.25-11.23.25</v>
      </c>
      <c r="O840" s="213"/>
      <c r="P840" s="211"/>
      <c r="Q840" s="378"/>
      <c r="R840" s="389" t="s">
        <v>831</v>
      </c>
      <c r="S840" s="389" t="s">
        <v>652</v>
      </c>
      <c r="T840" s="390" t="s">
        <v>832</v>
      </c>
      <c r="U840" s="391" t="s">
        <v>833</v>
      </c>
      <c r="V840" s="389" t="s">
        <v>655</v>
      </c>
      <c r="W840" s="389" t="s">
        <v>8</v>
      </c>
      <c r="X840" s="389" t="s">
        <v>656</v>
      </c>
      <c r="Y840" s="390" t="s">
        <v>834</v>
      </c>
      <c r="Z840" s="392" t="s">
        <v>835</v>
      </c>
      <c r="AA840" s="390" t="s">
        <v>836</v>
      </c>
      <c r="AB840" s="390" t="s">
        <v>837</v>
      </c>
      <c r="AC840" s="393" t="s">
        <v>716</v>
      </c>
      <c r="AD840" s="393" t="s">
        <v>717</v>
      </c>
      <c r="AE840" s="393" t="s">
        <v>718</v>
      </c>
      <c r="AF840" s="394" t="s">
        <v>838</v>
      </c>
      <c r="AG840" s="394"/>
    </row>
    <row r="841">
      <c r="A841" s="378"/>
      <c r="B841" s="395"/>
      <c r="C841" s="372"/>
      <c r="D841" s="396"/>
      <c r="E841" s="385" t="s">
        <v>702</v>
      </c>
      <c r="F841" s="385" t="s">
        <v>660</v>
      </c>
      <c r="G841" s="213"/>
      <c r="H841" s="211"/>
      <c r="I841" s="376"/>
      <c r="J841" s="588"/>
      <c r="K841" s="589"/>
      <c r="L841" s="590"/>
      <c r="M841" s="586" t="s">
        <v>351</v>
      </c>
      <c r="N841" s="587" t="str">
        <f t="array" ref="N841">XLOOKUP(N842,Board!K:K,Board!J:J)</f>
        <v>ROUDELINE ZEPHIRIN</v>
      </c>
      <c r="O841" s="213"/>
      <c r="P841" s="211"/>
      <c r="Q841" s="638" t="s">
        <v>909</v>
      </c>
      <c r="R841" s="398">
        <f>I840</f>
        <v>28</v>
      </c>
      <c r="S841" s="398">
        <f>F842</f>
        <v>6960</v>
      </c>
      <c r="T841" s="399">
        <f>G862</f>
        <v>7395.84</v>
      </c>
      <c r="U841" s="378" t="str">
        <f>N841</f>
        <v>ROUDELINE ZEPHIRIN</v>
      </c>
      <c r="V841" s="380">
        <f>O862</f>
        <v>5562.808</v>
      </c>
      <c r="W841" s="399">
        <f>P850</f>
        <v>946.808</v>
      </c>
      <c r="X841" s="399">
        <f>C862</f>
        <v>4854.16</v>
      </c>
      <c r="Y841" s="400">
        <f>N850</f>
        <v>1183.51</v>
      </c>
      <c r="Z841" s="399">
        <f>V842-V841</f>
        <v>1833.032</v>
      </c>
      <c r="AA841" s="378"/>
      <c r="AB841" s="378"/>
      <c r="AC841" s="401">
        <f>C859</f>
        <v>150</v>
      </c>
      <c r="AD841" s="401">
        <f>C860</f>
        <v>400</v>
      </c>
      <c r="AE841" s="401">
        <f>C861</f>
        <v>200</v>
      </c>
      <c r="AF841" s="398"/>
      <c r="AG841" s="398"/>
    </row>
    <row r="842">
      <c r="A842" s="378"/>
      <c r="B842" s="395"/>
      <c r="C842" s="372"/>
      <c r="D842" s="402"/>
      <c r="E842" s="385" t="s">
        <v>703</v>
      </c>
      <c r="F842" s="385">
        <v>6960.0</v>
      </c>
      <c r="G842" s="213"/>
      <c r="H842" s="211"/>
      <c r="I842" s="376"/>
      <c r="J842" s="588"/>
      <c r="K842" s="589"/>
      <c r="L842" s="591"/>
      <c r="M842" s="586" t="s">
        <v>703</v>
      </c>
      <c r="N842" s="639">
        <v>6960.0</v>
      </c>
      <c r="O842" s="213"/>
      <c r="P842" s="211"/>
      <c r="Q842" s="378"/>
      <c r="R842" s="378"/>
      <c r="S842" s="378"/>
      <c r="T842" s="378"/>
      <c r="U842" s="378" t="str">
        <f>F841</f>
        <v>Arba Express LLC</v>
      </c>
      <c r="V842" s="399">
        <f>G862</f>
        <v>7395.84</v>
      </c>
      <c r="W842" s="399">
        <f>H850</f>
        <v>2000</v>
      </c>
      <c r="X842" s="378"/>
      <c r="Y842" s="378"/>
      <c r="Z842" s="378"/>
      <c r="AA842" s="378"/>
      <c r="AB842" s="378"/>
      <c r="AC842" s="378"/>
      <c r="AD842" s="378"/>
      <c r="AE842" s="378"/>
      <c r="AF842" s="378"/>
      <c r="AG842" s="378"/>
    </row>
    <row r="843">
      <c r="A843" s="378"/>
      <c r="B843" s="403" t="s">
        <v>704</v>
      </c>
      <c r="C843" s="404" t="s">
        <v>5</v>
      </c>
      <c r="D843" s="405" t="s">
        <v>6</v>
      </c>
      <c r="E843" s="406" t="s">
        <v>7</v>
      </c>
      <c r="F843" s="404" t="s">
        <v>8</v>
      </c>
      <c r="G843" s="404" t="s">
        <v>706</v>
      </c>
      <c r="H843" s="404" t="s">
        <v>707</v>
      </c>
      <c r="I843" s="376"/>
      <c r="J843" s="592" t="s">
        <v>704</v>
      </c>
      <c r="K843" s="593" t="s">
        <v>5</v>
      </c>
      <c r="L843" s="594" t="s">
        <v>6</v>
      </c>
      <c r="M843" s="595" t="s">
        <v>7</v>
      </c>
      <c r="N843" s="596" t="s">
        <v>591</v>
      </c>
      <c r="O843" s="597" t="s">
        <v>839</v>
      </c>
      <c r="P843" s="593" t="s">
        <v>707</v>
      </c>
      <c r="Q843" s="378"/>
      <c r="R843" s="378"/>
      <c r="S843" s="378"/>
      <c r="T843" s="378"/>
      <c r="U843" s="378"/>
      <c r="V843" s="378"/>
      <c r="W843" s="378"/>
      <c r="X843" s="378"/>
      <c r="Y843" s="378"/>
      <c r="Z843" s="378"/>
      <c r="AA843" s="378"/>
      <c r="AB843" s="378"/>
      <c r="AC843" s="378"/>
      <c r="AD843" s="378"/>
      <c r="AE843" s="378"/>
      <c r="AF843" s="378"/>
      <c r="AG843" s="378"/>
    </row>
    <row r="844">
      <c r="A844" s="378"/>
      <c r="B844" s="555">
        <f>IFERROR(__xludf.DUMMYFUNCTION("FILTER(Board!C:G,Board!K:K=F842)"),45978.0)</f>
        <v>45978</v>
      </c>
      <c r="C844" s="404">
        <f>IFERROR(__xludf.DUMMYFUNCTION("""COMPUTED_VALUE"""),211032.0)</f>
        <v>211032</v>
      </c>
      <c r="D844" s="405" t="str">
        <f>IFERROR(__xludf.DUMMYFUNCTION("""COMPUTED_VALUE"""),"Fayetteville, NC, 28306")</f>
        <v>Fayetteville, NC, 28306</v>
      </c>
      <c r="E844" s="406" t="str">
        <f>IFERROR(__xludf.DUMMYFUNCTION("""COMPUTED_VALUE"""),", VA, 24553")</f>
        <v>, VA, 24553</v>
      </c>
      <c r="F844" s="414">
        <f>IFERROR(__xludf.DUMMYFUNCTION("""COMPUTED_VALUE"""),600.0)</f>
        <v>600</v>
      </c>
      <c r="G844" s="413">
        <v>1.0</v>
      </c>
      <c r="H844" s="414">
        <f t="shared" ref="H844:H850" si="50">F844*G844</f>
        <v>600</v>
      </c>
      <c r="I844" s="376"/>
      <c r="J844" s="598">
        <f>IFERROR(__xludf.DUMMYFUNCTION("FILTER(Board!C:F,Board!K:K=N842)"),45978.0)</f>
        <v>45978</v>
      </c>
      <c r="K844" s="593">
        <f>IFERROR(__xludf.DUMMYFUNCTION("""COMPUTED_VALUE"""),211032.0)</f>
        <v>211032</v>
      </c>
      <c r="L844" s="593" t="str">
        <f>IFERROR(__xludf.DUMMYFUNCTION("""COMPUTED_VALUE"""),"Fayetteville, NC, 28306")</f>
        <v>Fayetteville, NC, 28306</v>
      </c>
      <c r="M844" s="593" t="str">
        <f>IFERROR(__xludf.DUMMYFUNCTION("""COMPUTED_VALUE"""),", VA, 24553")</f>
        <v>, VA, 24553</v>
      </c>
      <c r="N844" s="599">
        <f>IFERROR(__xludf.DUMMYFUNCTION("FILTER(Board!H:H,Board!K:K=N842)"),496.0)</f>
        <v>496</v>
      </c>
      <c r="O844" s="640">
        <v>0.8</v>
      </c>
      <c r="P844" s="600">
        <f t="shared" ref="P844:P850" si="51">N844*O844</f>
        <v>396.8</v>
      </c>
      <c r="Q844" s="378"/>
      <c r="R844" s="378"/>
      <c r="S844" s="378"/>
      <c r="T844" s="378"/>
      <c r="U844" s="378"/>
      <c r="V844" s="378"/>
      <c r="W844" s="378"/>
      <c r="X844" s="378"/>
      <c r="Y844" s="378"/>
      <c r="Z844" s="378"/>
      <c r="AA844" s="378"/>
      <c r="AB844" s="378"/>
      <c r="AC844" s="378"/>
      <c r="AD844" s="378"/>
      <c r="AE844" s="378"/>
      <c r="AF844" s="378"/>
      <c r="AG844" s="378"/>
    </row>
    <row r="845">
      <c r="A845" s="378"/>
      <c r="B845" s="555">
        <f>IFERROR(__xludf.DUMMYFUNCTION("""COMPUTED_VALUE"""),45978.0)</f>
        <v>45978</v>
      </c>
      <c r="C845" s="404">
        <f>IFERROR(__xludf.DUMMYFUNCTION("""COMPUTED_VALUE"""),210961.0)</f>
        <v>210961</v>
      </c>
      <c r="D845" s="405" t="str">
        <f>IFERROR(__xludf.DUMMYFUNCTION("""COMPUTED_VALUE"""),"Gladstone, VA, 24553")</f>
        <v>Gladstone, VA, 24553</v>
      </c>
      <c r="E845" s="406" t="str">
        <f>IFERROR(__xludf.DUMMYFUNCTION("""COMPUTED_VALUE"""),"Clay, NY, 13088")</f>
        <v>Clay, NY, 13088</v>
      </c>
      <c r="F845" s="414">
        <f>IFERROR(__xludf.DUMMYFUNCTION("""COMPUTED_VALUE"""),1200.0)</f>
        <v>1200</v>
      </c>
      <c r="G845" s="413">
        <v>1.0</v>
      </c>
      <c r="H845" s="414">
        <f t="shared" si="50"/>
        <v>1200</v>
      </c>
      <c r="I845" s="376"/>
      <c r="J845" s="601">
        <f>IFERROR(__xludf.DUMMYFUNCTION("""COMPUTED_VALUE"""),45978.0)</f>
        <v>45978</v>
      </c>
      <c r="K845" s="593">
        <f>IFERROR(__xludf.DUMMYFUNCTION("""COMPUTED_VALUE"""),210961.0)</f>
        <v>210961</v>
      </c>
      <c r="L845" s="593" t="str">
        <f>IFERROR(__xludf.DUMMYFUNCTION("""COMPUTED_VALUE"""),"Gladstone, VA, 24553")</f>
        <v>Gladstone, VA, 24553</v>
      </c>
      <c r="M845" s="593" t="str">
        <f>IFERROR(__xludf.DUMMYFUNCTION("""COMPUTED_VALUE"""),"Clay, NY, 13088")</f>
        <v>Clay, NY, 13088</v>
      </c>
      <c r="N845" s="599">
        <f>IFERROR(__xludf.DUMMYFUNCTION("""COMPUTED_VALUE"""),523.0)</f>
        <v>523</v>
      </c>
      <c r="O845" s="640">
        <v>0.8</v>
      </c>
      <c r="P845" s="600">
        <f t="shared" si="51"/>
        <v>418.4</v>
      </c>
      <c r="Q845" s="378"/>
      <c r="R845" s="378"/>
      <c r="S845" s="378"/>
      <c r="T845" s="378"/>
      <c r="U845" s="378"/>
      <c r="V845" s="378"/>
      <c r="W845" s="378"/>
      <c r="X845" s="378"/>
      <c r="Y845" s="378"/>
      <c r="Z845" s="378"/>
      <c r="AA845" s="378"/>
      <c r="AB845" s="378"/>
      <c r="AC845" s="378"/>
      <c r="AD845" s="378"/>
      <c r="AE845" s="378"/>
      <c r="AF845" s="378"/>
      <c r="AG845" s="378"/>
    </row>
    <row r="846">
      <c r="A846" s="378"/>
      <c r="B846" s="499">
        <f>IFERROR(__xludf.DUMMYFUNCTION("""COMPUTED_VALUE"""),45979.0)</f>
        <v>45979</v>
      </c>
      <c r="C846" s="421">
        <f>IFERROR(__xludf.DUMMYFUNCTION("""COMPUTED_VALUE"""),8948393.0)</f>
        <v>8948393</v>
      </c>
      <c r="D846" s="422" t="str">
        <f>IFERROR(__xludf.DUMMYFUNCTION("""COMPUTED_VALUE"""),"Munsons Corners, NY, 13045")</f>
        <v>Munsons Corners, NY, 13045</v>
      </c>
      <c r="E846" s="423" t="str">
        <f>IFERROR(__xludf.DUMMYFUNCTION("""COMPUTED_VALUE"""),"Muscatine, IA, 52761")</f>
        <v>Muscatine, IA, 52761</v>
      </c>
      <c r="F846" s="500">
        <f>IFERROR(__xludf.DUMMYFUNCTION("""COMPUTED_VALUE"""),1800.0)</f>
        <v>1800</v>
      </c>
      <c r="G846" s="413">
        <v>1.0</v>
      </c>
      <c r="H846" s="414">
        <f t="shared" si="50"/>
        <v>1800</v>
      </c>
      <c r="I846" s="376"/>
      <c r="J846" s="601">
        <f>IFERROR(__xludf.DUMMYFUNCTION("""COMPUTED_VALUE"""),45979.0)</f>
        <v>45979</v>
      </c>
      <c r="K846" s="593">
        <f>IFERROR(__xludf.DUMMYFUNCTION("""COMPUTED_VALUE"""),8948393.0)</f>
        <v>8948393</v>
      </c>
      <c r="L846" s="594" t="str">
        <f>IFERROR(__xludf.DUMMYFUNCTION("""COMPUTED_VALUE"""),"Munsons Corners, NY, 13045")</f>
        <v>Munsons Corners, NY, 13045</v>
      </c>
      <c r="M846" s="595" t="str">
        <f>IFERROR(__xludf.DUMMYFUNCTION("""COMPUTED_VALUE"""),"Muscatine, IA, 52761")</f>
        <v>Muscatine, IA, 52761</v>
      </c>
      <c r="N846" s="599">
        <f>IFERROR(__xludf.DUMMYFUNCTION("""COMPUTED_VALUE"""),959.0)</f>
        <v>959</v>
      </c>
      <c r="O846" s="640">
        <v>0.8</v>
      </c>
      <c r="P846" s="600">
        <f t="shared" si="51"/>
        <v>767.2</v>
      </c>
      <c r="Q846" s="378"/>
      <c r="R846" s="378"/>
      <c r="S846" s="378"/>
      <c r="T846" s="378"/>
      <c r="U846" s="378"/>
      <c r="V846" s="378"/>
      <c r="W846" s="378"/>
      <c r="X846" s="378"/>
      <c r="Y846" s="378"/>
      <c r="Z846" s="378"/>
      <c r="AA846" s="378"/>
      <c r="AB846" s="378"/>
      <c r="AC846" s="378"/>
      <c r="AD846" s="378"/>
      <c r="AE846" s="378"/>
      <c r="AF846" s="378"/>
      <c r="AG846" s="378"/>
    </row>
    <row r="847">
      <c r="A847" s="378"/>
      <c r="B847" s="499">
        <f>IFERROR(__xludf.DUMMYFUNCTION("""COMPUTED_VALUE"""),45980.0)</f>
        <v>45980</v>
      </c>
      <c r="C847" s="421">
        <f>IFERROR(__xludf.DUMMYFUNCTION("""COMPUTED_VALUE"""),216982.0)</f>
        <v>216982</v>
      </c>
      <c r="D847" s="422" t="str">
        <f>IFERROR(__xludf.DUMMYFUNCTION("""COMPUTED_VALUE"""),"Forest Park, IL, 60130")</f>
        <v>Forest Park, IL, 60130</v>
      </c>
      <c r="E847" s="423" t="str">
        <f>IFERROR(__xludf.DUMMYFUNCTION("""COMPUTED_VALUE"""),"Irving, TX, 75059")</f>
        <v>Irving, TX, 75059</v>
      </c>
      <c r="F847" s="500">
        <f>IFERROR(__xludf.DUMMYFUNCTION("""COMPUTED_VALUE"""),2800.0)</f>
        <v>2800</v>
      </c>
      <c r="G847" s="413">
        <v>1.0</v>
      </c>
      <c r="H847" s="414">
        <f t="shared" si="50"/>
        <v>2800</v>
      </c>
      <c r="I847" s="376"/>
      <c r="J847" s="601">
        <f>IFERROR(__xludf.DUMMYFUNCTION("""COMPUTED_VALUE"""),45980.0)</f>
        <v>45980</v>
      </c>
      <c r="K847" s="593">
        <f>IFERROR(__xludf.DUMMYFUNCTION("""COMPUTED_VALUE"""),216982.0)</f>
        <v>216982</v>
      </c>
      <c r="L847" s="594" t="str">
        <f>IFERROR(__xludf.DUMMYFUNCTION("""COMPUTED_VALUE"""),"Forest Park, IL, 60130")</f>
        <v>Forest Park, IL, 60130</v>
      </c>
      <c r="M847" s="595" t="str">
        <f>IFERROR(__xludf.DUMMYFUNCTION("""COMPUTED_VALUE"""),"Irving, TX, 75059")</f>
        <v>Irving, TX, 75059</v>
      </c>
      <c r="N847" s="599">
        <f>IFERROR(__xludf.DUMMYFUNCTION("""COMPUTED_VALUE"""),1147.0)</f>
        <v>1147</v>
      </c>
      <c r="O847" s="640">
        <v>0.8</v>
      </c>
      <c r="P847" s="600">
        <f t="shared" si="51"/>
        <v>917.6</v>
      </c>
      <c r="Q847" s="378"/>
      <c r="R847" s="378"/>
      <c r="S847" s="378"/>
      <c r="T847" s="378"/>
      <c r="U847" s="378"/>
      <c r="V847" s="378"/>
      <c r="W847" s="378"/>
      <c r="X847" s="378"/>
      <c r="Y847" s="378"/>
      <c r="Z847" s="378"/>
      <c r="AA847" s="378"/>
      <c r="AB847" s="378"/>
      <c r="AC847" s="378"/>
      <c r="AD847" s="378"/>
      <c r="AE847" s="378"/>
      <c r="AF847" s="378"/>
      <c r="AG847" s="378"/>
    </row>
    <row r="848">
      <c r="A848" s="378"/>
      <c r="B848" s="499">
        <f>IFERROR(__xludf.DUMMYFUNCTION("""COMPUTED_VALUE"""),45981.0)</f>
        <v>45981</v>
      </c>
      <c r="C848" s="421">
        <f>IFERROR(__xludf.DUMMYFUNCTION("""COMPUTED_VALUE"""),1.5460173E7)</f>
        <v>15460173</v>
      </c>
      <c r="D848" s="422" t="str">
        <f>IFERROR(__xludf.DUMMYFUNCTION("""COMPUTED_VALUE"""),"Tyler, TX, 75702")</f>
        <v>Tyler, TX, 75702</v>
      </c>
      <c r="E848" s="423" t="str">
        <f>IFERROR(__xludf.DUMMYFUNCTION("""COMPUTED_VALUE"""),"Fredericksburg, VA, 22406")</f>
        <v>Fredericksburg, VA, 22406</v>
      </c>
      <c r="F848" s="500">
        <f>IFERROR(__xludf.DUMMYFUNCTION("""COMPUTED_VALUE"""),2300.0)</f>
        <v>2300</v>
      </c>
      <c r="G848" s="413">
        <v>1.0</v>
      </c>
      <c r="H848" s="414">
        <f t="shared" si="50"/>
        <v>2300</v>
      </c>
      <c r="I848" s="376"/>
      <c r="J848" s="601">
        <f>IFERROR(__xludf.DUMMYFUNCTION("""COMPUTED_VALUE"""),45981.0)</f>
        <v>45981</v>
      </c>
      <c r="K848" s="593">
        <f>IFERROR(__xludf.DUMMYFUNCTION("""COMPUTED_VALUE"""),1.5460173E7)</f>
        <v>15460173</v>
      </c>
      <c r="L848" s="594" t="str">
        <f>IFERROR(__xludf.DUMMYFUNCTION("""COMPUTED_VALUE"""),"Tyler, TX, 75702")</f>
        <v>Tyler, TX, 75702</v>
      </c>
      <c r="M848" s="595" t="str">
        <f>IFERROR(__xludf.DUMMYFUNCTION("""COMPUTED_VALUE"""),"Fredericksburg, VA, 22406")</f>
        <v>Fredericksburg, VA, 22406</v>
      </c>
      <c r="N848" s="599">
        <f>IFERROR(__xludf.DUMMYFUNCTION("""COMPUTED_VALUE"""),1350.0)</f>
        <v>1350</v>
      </c>
      <c r="O848" s="640">
        <v>0.8</v>
      </c>
      <c r="P848" s="600">
        <f t="shared" si="51"/>
        <v>1080</v>
      </c>
      <c r="Q848" s="378"/>
      <c r="R848" s="378"/>
      <c r="S848" s="378"/>
      <c r="T848" s="378"/>
      <c r="U848" s="378"/>
      <c r="V848" s="378"/>
      <c r="W848" s="378"/>
      <c r="X848" s="378"/>
      <c r="Y848" s="378"/>
      <c r="Z848" s="378"/>
      <c r="AA848" s="378"/>
      <c r="AB848" s="378"/>
      <c r="AC848" s="378"/>
      <c r="AD848" s="378"/>
      <c r="AE848" s="378"/>
      <c r="AF848" s="378"/>
      <c r="AG848" s="378"/>
    </row>
    <row r="849">
      <c r="A849" s="378"/>
      <c r="B849" s="499">
        <f>IFERROR(__xludf.DUMMYFUNCTION("""COMPUTED_VALUE"""),45982.0)</f>
        <v>45982</v>
      </c>
      <c r="C849" s="421">
        <f>IFERROR(__xludf.DUMMYFUNCTION("""COMPUTED_VALUE"""),5925917.0)</f>
        <v>5925917</v>
      </c>
      <c r="D849" s="422" t="str">
        <f>IFERROR(__xludf.DUMMYFUNCTION("""COMPUTED_VALUE"""),"Lynchburg, VA, 24502")</f>
        <v>Lynchburg, VA, 24502</v>
      </c>
      <c r="E849" s="423" t="str">
        <f>IFERROR(__xludf.DUMMYFUNCTION("""COMPUTED_VALUE"""),"Lakeville, MN,")</f>
        <v>Lakeville, MN,</v>
      </c>
      <c r="F849" s="500">
        <f>IFERROR(__xludf.DUMMYFUNCTION("""COMPUTED_VALUE"""),2300.0)</f>
        <v>2300</v>
      </c>
      <c r="G849" s="413">
        <v>1.0</v>
      </c>
      <c r="H849" s="414">
        <f t="shared" si="50"/>
        <v>2300</v>
      </c>
      <c r="I849" s="376"/>
      <c r="J849" s="601">
        <f>IFERROR(__xludf.DUMMYFUNCTION("""COMPUTED_VALUE"""),45982.0)</f>
        <v>45982</v>
      </c>
      <c r="K849" s="593">
        <f>IFERROR(__xludf.DUMMYFUNCTION("""COMPUTED_VALUE"""),5925917.0)</f>
        <v>5925917</v>
      </c>
      <c r="L849" s="594" t="str">
        <f>IFERROR(__xludf.DUMMYFUNCTION("""COMPUTED_VALUE"""),"Lynchburg, VA, 24502")</f>
        <v>Lynchburg, VA, 24502</v>
      </c>
      <c r="M849" s="595" t="str">
        <f>IFERROR(__xludf.DUMMYFUNCTION("""COMPUTED_VALUE"""),"Lakeville, MN,")</f>
        <v>Lakeville, MN,</v>
      </c>
      <c r="N849" s="599">
        <f>IFERROR(__xludf.DUMMYFUNCTION("""COMPUTED_VALUE"""),1295.0)</f>
        <v>1295</v>
      </c>
      <c r="O849" s="640">
        <v>0.8</v>
      </c>
      <c r="P849" s="600">
        <f t="shared" si="51"/>
        <v>1036</v>
      </c>
      <c r="Q849" s="378"/>
      <c r="R849" s="378"/>
      <c r="S849" s="378"/>
      <c r="T849" s="378"/>
      <c r="U849" s="378"/>
      <c r="V849" s="378"/>
      <c r="W849" s="378"/>
      <c r="X849" s="378"/>
      <c r="Y849" s="378"/>
      <c r="Z849" s="378"/>
      <c r="AA849" s="378"/>
      <c r="AB849" s="378"/>
      <c r="AC849" s="378"/>
      <c r="AD849" s="378"/>
      <c r="AE849" s="378"/>
      <c r="AF849" s="378"/>
      <c r="AG849" s="378"/>
    </row>
    <row r="850">
      <c r="A850" s="378"/>
      <c r="B850" s="499">
        <f>IFERROR(__xludf.DUMMYFUNCTION("""COMPUTED_VALUE"""),45983.0)</f>
        <v>45983</v>
      </c>
      <c r="C850" s="421" t="str">
        <f>IFERROR(__xludf.DUMMYFUNCTION("""COMPUTED_VALUE"""),"3937417-1")</f>
        <v>3937417-1</v>
      </c>
      <c r="D850" s="422" t="str">
        <f>IFERROR(__xludf.DUMMYFUNCTION("""COMPUTED_VALUE"""),"Lakeville, MN, 55044")</f>
        <v>Lakeville, MN, 55044</v>
      </c>
      <c r="E850" s="423" t="str">
        <f>IFERROR(__xludf.DUMMYFUNCTION("""COMPUTED_VALUE"""),"Lafayette, LA, 70508")</f>
        <v>Lafayette, LA, 70508</v>
      </c>
      <c r="F850" s="500">
        <f>IFERROR(__xludf.DUMMYFUNCTION("""COMPUTED_VALUE"""),2000.0)</f>
        <v>2000</v>
      </c>
      <c r="G850" s="413">
        <v>1.0</v>
      </c>
      <c r="H850" s="414">
        <f t="shared" si="50"/>
        <v>2000</v>
      </c>
      <c r="I850" s="376"/>
      <c r="J850" s="601">
        <f>IFERROR(__xludf.DUMMYFUNCTION("""COMPUTED_VALUE"""),45983.0)</f>
        <v>45983</v>
      </c>
      <c r="K850" s="593" t="str">
        <f>IFERROR(__xludf.DUMMYFUNCTION("""COMPUTED_VALUE"""),"3937417-1")</f>
        <v>3937417-1</v>
      </c>
      <c r="L850" s="594" t="str">
        <f>IFERROR(__xludf.DUMMYFUNCTION("""COMPUTED_VALUE"""),"Lakeville, MN, 55044")</f>
        <v>Lakeville, MN, 55044</v>
      </c>
      <c r="M850" s="595" t="str">
        <f>IFERROR(__xludf.DUMMYFUNCTION("""COMPUTED_VALUE"""),"Lafayette, LA, 70508")</f>
        <v>Lafayette, LA, 70508</v>
      </c>
      <c r="N850" s="599">
        <f>IFERROR(__xludf.DUMMYFUNCTION("""COMPUTED_VALUE"""),1183.51)</f>
        <v>1183.51</v>
      </c>
      <c r="O850" s="640">
        <v>0.8</v>
      </c>
      <c r="P850" s="600">
        <f t="shared" si="51"/>
        <v>946.808</v>
      </c>
      <c r="Q850" s="378"/>
      <c r="R850" s="378"/>
      <c r="S850" s="378"/>
      <c r="T850" s="378"/>
      <c r="U850" s="378"/>
      <c r="V850" s="378"/>
      <c r="W850" s="378"/>
      <c r="X850" s="378"/>
      <c r="Y850" s="378"/>
      <c r="Z850" s="378"/>
      <c r="AA850" s="378"/>
      <c r="AB850" s="378"/>
      <c r="AC850" s="378"/>
      <c r="AD850" s="378"/>
      <c r="AE850" s="378"/>
      <c r="AF850" s="378"/>
      <c r="AG850" s="378"/>
    </row>
    <row r="851">
      <c r="A851" s="378"/>
      <c r="B851" s="499"/>
      <c r="C851" s="421"/>
      <c r="D851" s="422"/>
      <c r="E851" s="423"/>
      <c r="F851" s="421"/>
      <c r="G851" s="413"/>
      <c r="H851" s="414"/>
      <c r="I851" s="376"/>
      <c r="J851" s="601"/>
      <c r="K851" s="593"/>
      <c r="L851" s="594"/>
      <c r="M851" s="595"/>
      <c r="N851" s="596"/>
      <c r="O851" s="597"/>
      <c r="P851" s="600"/>
      <c r="Q851" s="378"/>
      <c r="R851" s="378"/>
      <c r="S851" s="378"/>
      <c r="T851" s="378"/>
      <c r="U851" s="378"/>
      <c r="V851" s="378"/>
      <c r="W851" s="378"/>
      <c r="X851" s="378"/>
      <c r="Y851" s="378"/>
      <c r="Z851" s="378"/>
      <c r="AA851" s="378"/>
      <c r="AB851" s="378"/>
      <c r="AC851" s="378"/>
      <c r="AD851" s="378"/>
      <c r="AE851" s="378"/>
      <c r="AF851" s="378"/>
      <c r="AG851" s="378"/>
    </row>
    <row r="852">
      <c r="A852" s="378"/>
      <c r="B852" s="403" t="s">
        <v>711</v>
      </c>
      <c r="C852" s="224"/>
      <c r="D852" s="224"/>
      <c r="E852" s="222"/>
      <c r="F852" s="414">
        <f>SUM(F844:F851)</f>
        <v>13000</v>
      </c>
      <c r="G852" s="421"/>
      <c r="H852" s="414">
        <f>SUM(H844:H850)</f>
        <v>13000</v>
      </c>
      <c r="I852" s="376"/>
      <c r="J852" s="603" t="s">
        <v>711</v>
      </c>
      <c r="K852" s="224"/>
      <c r="L852" s="224"/>
      <c r="M852" s="222"/>
      <c r="N852" s="599">
        <f>SUM(N844:N850)</f>
        <v>6953.51</v>
      </c>
      <c r="O852" s="597"/>
      <c r="P852" s="600">
        <f>SUM(P844:P850)</f>
        <v>5562.808</v>
      </c>
      <c r="Q852" s="378"/>
      <c r="R852" s="378"/>
      <c r="S852" s="378"/>
      <c r="T852" s="378"/>
      <c r="U852" s="378"/>
      <c r="V852" s="378"/>
      <c r="W852" s="378"/>
      <c r="X852" s="378"/>
      <c r="Y852" s="378"/>
      <c r="Z852" s="378"/>
      <c r="AA852" s="378"/>
      <c r="AB852" s="378"/>
      <c r="AC852" s="378"/>
      <c r="AD852" s="378"/>
      <c r="AE852" s="378"/>
      <c r="AF852" s="378"/>
      <c r="AG852" s="378"/>
    </row>
    <row r="853">
      <c r="A853" s="378"/>
      <c r="B853" s="433" t="s">
        <v>712</v>
      </c>
      <c r="C853" s="434"/>
      <c r="D853" s="440"/>
      <c r="E853" s="419"/>
      <c r="F853" s="419"/>
      <c r="G853" s="419"/>
      <c r="H853" s="429"/>
      <c r="I853" s="376"/>
      <c r="J853" s="437" t="s">
        <v>712</v>
      </c>
      <c r="K853" s="609"/>
      <c r="L853" s="612"/>
      <c r="M853" s="605"/>
      <c r="N853" s="606"/>
      <c r="O853" s="607"/>
      <c r="P853" s="608"/>
      <c r="Q853" s="378"/>
      <c r="R853" s="378"/>
      <c r="S853" s="378"/>
      <c r="T853" s="378"/>
      <c r="U853" s="378"/>
      <c r="V853" s="378"/>
      <c r="W853" s="378"/>
      <c r="X853" s="378"/>
      <c r="Y853" s="378"/>
      <c r="Z853" s="378"/>
      <c r="AA853" s="378"/>
      <c r="AB853" s="378"/>
      <c r="AC853" s="378"/>
      <c r="AD853" s="378"/>
      <c r="AE853" s="378"/>
      <c r="AF853" s="378"/>
      <c r="AG853" s="378"/>
    </row>
    <row r="854">
      <c r="A854" s="378"/>
      <c r="B854" s="438"/>
      <c r="C854" s="439"/>
      <c r="D854" s="435"/>
      <c r="E854" s="419"/>
      <c r="F854" s="463"/>
      <c r="G854" s="463"/>
      <c r="H854" s="448"/>
      <c r="I854" s="376"/>
      <c r="J854" s="443"/>
      <c r="K854" s="611"/>
      <c r="L854" s="610"/>
      <c r="M854" s="605"/>
      <c r="N854" s="641">
        <f>N852/2</f>
        <v>3476.755</v>
      </c>
      <c r="O854" s="641"/>
      <c r="P854" s="642">
        <f>P852/2</f>
        <v>2781.404</v>
      </c>
      <c r="Q854" s="378"/>
      <c r="R854" s="378"/>
      <c r="S854" s="378"/>
      <c r="T854" s="378"/>
      <c r="U854" s="378"/>
      <c r="V854" s="378"/>
      <c r="W854" s="378"/>
      <c r="X854" s="378"/>
      <c r="Y854" s="378"/>
      <c r="Z854" s="378"/>
      <c r="AA854" s="378"/>
      <c r="AB854" s="378"/>
      <c r="AC854" s="378"/>
      <c r="AD854" s="378"/>
      <c r="AE854" s="378"/>
      <c r="AF854" s="378"/>
      <c r="AG854" s="378"/>
    </row>
    <row r="855">
      <c r="A855" s="378"/>
      <c r="B855" s="444"/>
      <c r="C855" s="434"/>
      <c r="D855" s="440"/>
      <c r="E855" s="419"/>
      <c r="F855" s="463"/>
      <c r="G855" s="463"/>
      <c r="H855" s="448"/>
      <c r="I855" s="376"/>
      <c r="J855" s="445"/>
      <c r="K855" s="609"/>
      <c r="L855" s="612"/>
      <c r="M855" s="605"/>
      <c r="N855" s="606"/>
      <c r="O855" s="607"/>
      <c r="P855" s="608"/>
      <c r="Q855" s="378"/>
      <c r="R855" s="378"/>
      <c r="S855" s="378"/>
      <c r="T855" s="378"/>
      <c r="U855" s="378"/>
      <c r="V855" s="378"/>
      <c r="W855" s="378"/>
      <c r="X855" s="378"/>
      <c r="Y855" s="378"/>
      <c r="Z855" s="378"/>
      <c r="AA855" s="378"/>
      <c r="AB855" s="378"/>
      <c r="AC855" s="378"/>
      <c r="AD855" s="378"/>
      <c r="AE855" s="378"/>
      <c r="AF855" s="378"/>
      <c r="AG855" s="378"/>
    </row>
    <row r="856">
      <c r="A856" s="378"/>
      <c r="B856" s="438" t="s">
        <v>714</v>
      </c>
      <c r="C856" s="439">
        <f>SUM(C854:C855)</f>
        <v>0</v>
      </c>
      <c r="D856" s="419"/>
      <c r="E856" s="419"/>
      <c r="F856" s="463"/>
      <c r="G856" s="463"/>
      <c r="H856" s="448"/>
      <c r="I856" s="376"/>
      <c r="J856" s="443" t="s">
        <v>714</v>
      </c>
      <c r="K856" s="611">
        <f>SUM(K854:K855)</f>
        <v>0</v>
      </c>
      <c r="L856" s="605"/>
      <c r="M856" s="605"/>
      <c r="N856" s="606"/>
      <c r="O856" s="607"/>
      <c r="P856" s="608"/>
      <c r="Q856" s="378"/>
      <c r="R856" s="378"/>
      <c r="S856" s="378"/>
      <c r="T856" s="378"/>
      <c r="U856" s="378"/>
      <c r="V856" s="378"/>
      <c r="W856" s="378"/>
      <c r="X856" s="378"/>
      <c r="Y856" s="378"/>
      <c r="Z856" s="378"/>
      <c r="AA856" s="378"/>
      <c r="AB856" s="378"/>
      <c r="AC856" s="378"/>
      <c r="AD856" s="378"/>
      <c r="AE856" s="378"/>
      <c r="AF856" s="378"/>
      <c r="AG856" s="378"/>
    </row>
    <row r="857">
      <c r="A857" s="378"/>
      <c r="B857" s="643"/>
      <c r="C857" s="423"/>
      <c r="D857" s="435"/>
      <c r="E857" s="419"/>
      <c r="F857" s="463"/>
      <c r="G857" s="463"/>
      <c r="H857" s="448"/>
      <c r="I857" s="376"/>
      <c r="J857" s="602"/>
      <c r="K857" s="595"/>
      <c r="L857" s="610"/>
      <c r="M857" s="605"/>
      <c r="N857" s="606"/>
      <c r="O857" s="607"/>
      <c r="P857" s="608"/>
      <c r="Q857" s="378"/>
      <c r="R857" s="378"/>
      <c r="S857" s="378"/>
      <c r="T857" s="378"/>
      <c r="U857" s="378"/>
      <c r="V857" s="378"/>
      <c r="W857" s="378"/>
      <c r="X857" s="378"/>
      <c r="Y857" s="378"/>
      <c r="Z857" s="378"/>
      <c r="AA857" s="378"/>
      <c r="AB857" s="378"/>
      <c r="AC857" s="378"/>
      <c r="AD857" s="378"/>
      <c r="AE857" s="378"/>
      <c r="AF857" s="378"/>
      <c r="AG857" s="378"/>
    </row>
    <row r="858">
      <c r="A858" s="378"/>
      <c r="B858" s="454" t="s">
        <v>715</v>
      </c>
      <c r="C858" s="455"/>
      <c r="D858" s="440"/>
      <c r="E858" s="419"/>
      <c r="F858" s="463"/>
      <c r="G858" s="463"/>
      <c r="H858" s="448"/>
      <c r="I858" s="376"/>
      <c r="J858" s="615" t="s">
        <v>715</v>
      </c>
      <c r="K858" s="616"/>
      <c r="L858" s="612"/>
      <c r="M858" s="605"/>
      <c r="N858" s="606"/>
      <c r="O858" s="607"/>
      <c r="P858" s="608"/>
      <c r="Q858" s="378"/>
      <c r="R858" s="378"/>
      <c r="S858" s="378"/>
      <c r="T858" s="378"/>
      <c r="U858" s="378"/>
      <c r="V858" s="378"/>
      <c r="W858" s="378"/>
      <c r="X858" s="378"/>
      <c r="Y858" s="378"/>
      <c r="Z858" s="378"/>
      <c r="AA858" s="378"/>
      <c r="AB858" s="378"/>
      <c r="AC858" s="378"/>
      <c r="AD858" s="378"/>
      <c r="AE858" s="378"/>
      <c r="AF858" s="378"/>
      <c r="AG858" s="378"/>
    </row>
    <row r="859">
      <c r="A859" s="378"/>
      <c r="B859" s="459" t="s">
        <v>716</v>
      </c>
      <c r="C859" s="460">
        <v>150.0</v>
      </c>
      <c r="D859" s="440"/>
      <c r="E859" s="419"/>
      <c r="F859" s="463"/>
      <c r="G859" s="463"/>
      <c r="H859" s="448"/>
      <c r="I859" s="376"/>
      <c r="J859" s="617"/>
      <c r="K859" s="618"/>
      <c r="L859" s="612"/>
      <c r="M859" s="605"/>
      <c r="N859" s="606"/>
      <c r="O859" s="607"/>
      <c r="P859" s="608"/>
      <c r="Q859" s="378"/>
      <c r="R859" s="378"/>
      <c r="S859" s="378"/>
      <c r="T859" s="378"/>
      <c r="U859" s="378"/>
      <c r="V859" s="378"/>
      <c r="W859" s="378"/>
      <c r="X859" s="378"/>
      <c r="Y859" s="378"/>
      <c r="Z859" s="378"/>
      <c r="AA859" s="378"/>
      <c r="AB859" s="378"/>
      <c r="AC859" s="378"/>
      <c r="AD859" s="378"/>
      <c r="AE859" s="378"/>
      <c r="AF859" s="378"/>
      <c r="AG859" s="378"/>
    </row>
    <row r="860">
      <c r="A860" s="378"/>
      <c r="B860" s="459" t="s">
        <v>717</v>
      </c>
      <c r="C860" s="460">
        <v>400.0</v>
      </c>
      <c r="D860" s="440"/>
      <c r="E860" s="419"/>
      <c r="F860" s="463"/>
      <c r="G860" s="463"/>
      <c r="H860" s="448"/>
      <c r="I860" s="376"/>
      <c r="J860" s="617"/>
      <c r="K860" s="618"/>
      <c r="L860" s="612"/>
      <c r="M860" s="605"/>
      <c r="N860" s="606"/>
      <c r="O860" s="607"/>
      <c r="P860" s="608"/>
      <c r="Q860" s="378"/>
      <c r="R860" s="378"/>
      <c r="S860" s="378"/>
      <c r="T860" s="378"/>
      <c r="U860" s="378"/>
      <c r="V860" s="378"/>
      <c r="W860" s="378"/>
      <c r="X860" s="378"/>
      <c r="Y860" s="378"/>
      <c r="Z860" s="378"/>
      <c r="AA860" s="378"/>
      <c r="AB860" s="378"/>
      <c r="AC860" s="378"/>
      <c r="AD860" s="378"/>
      <c r="AE860" s="378"/>
      <c r="AF860" s="378"/>
      <c r="AG860" s="378"/>
    </row>
    <row r="861">
      <c r="A861" s="378"/>
      <c r="B861" s="459" t="s">
        <v>718</v>
      </c>
      <c r="C861" s="460">
        <v>200.0</v>
      </c>
      <c r="D861" s="440"/>
      <c r="E861" s="419"/>
      <c r="F861" s="463"/>
      <c r="G861" s="463"/>
      <c r="H861" s="448"/>
      <c r="I861" s="376"/>
      <c r="J861" s="617"/>
      <c r="K861" s="618"/>
      <c r="L861" s="612"/>
      <c r="M861" s="605"/>
      <c r="N861" s="606"/>
      <c r="O861" s="607"/>
      <c r="P861" s="608"/>
      <c r="Q861" s="378"/>
      <c r="R861" s="378"/>
      <c r="S861" s="378"/>
      <c r="T861" s="378"/>
      <c r="U861" s="378"/>
      <c r="V861" s="378"/>
      <c r="W861" s="378"/>
      <c r="X861" s="378"/>
      <c r="Y861" s="378"/>
      <c r="Z861" s="378"/>
      <c r="AA861" s="378"/>
      <c r="AB861" s="378"/>
      <c r="AC861" s="378"/>
      <c r="AD861" s="378"/>
      <c r="AE861" s="378"/>
      <c r="AF861" s="378"/>
      <c r="AG861" s="378"/>
    </row>
    <row r="862">
      <c r="A862" s="378"/>
      <c r="B862" s="459" t="s">
        <v>656</v>
      </c>
      <c r="C862" s="460">
        <f>IFERROR(__xludf.DUMMYFUNCTION("FILTER(D968:D996,C968:C996=F842)"),4854.16)</f>
        <v>4854.16</v>
      </c>
      <c r="D862" s="435"/>
      <c r="E862" s="419"/>
      <c r="F862" s="468" t="s">
        <v>842</v>
      </c>
      <c r="G862" s="466">
        <f>H852+C856-C867</f>
        <v>7395.84</v>
      </c>
      <c r="H862" s="211"/>
      <c r="I862" s="376"/>
      <c r="J862" s="617"/>
      <c r="K862" s="618"/>
      <c r="L862" s="610"/>
      <c r="M862" s="605"/>
      <c r="N862" s="619" t="s">
        <v>842</v>
      </c>
      <c r="O862" s="620">
        <f>P852+K856-K867</f>
        <v>5562.808</v>
      </c>
      <c r="P862" s="211"/>
      <c r="Q862" s="378"/>
      <c r="R862" s="378"/>
      <c r="S862" s="378"/>
      <c r="T862" s="378"/>
      <c r="U862" s="378"/>
      <c r="V862" s="378"/>
      <c r="W862" s="378"/>
      <c r="X862" s="378"/>
      <c r="Y862" s="378"/>
      <c r="Z862" s="378"/>
      <c r="AA862" s="378"/>
      <c r="AB862" s="378"/>
      <c r="AC862" s="378"/>
      <c r="AD862" s="378"/>
      <c r="AE862" s="378"/>
      <c r="AF862" s="378"/>
      <c r="AG862" s="378"/>
    </row>
    <row r="863">
      <c r="A863" s="378"/>
      <c r="B863" s="464"/>
      <c r="C863" s="455"/>
      <c r="D863" s="435"/>
      <c r="E863" s="419"/>
      <c r="F863" s="469" t="s">
        <v>843</v>
      </c>
      <c r="G863" s="278"/>
      <c r="H863" s="56"/>
      <c r="I863" s="376"/>
      <c r="J863" s="615"/>
      <c r="K863" s="616"/>
      <c r="L863" s="610"/>
      <c r="M863" s="605"/>
      <c r="N863" s="621" t="s">
        <v>854</v>
      </c>
      <c r="O863" s="278"/>
      <c r="P863" s="56"/>
      <c r="Q863" s="378"/>
      <c r="R863" s="378"/>
      <c r="S863" s="378"/>
      <c r="T863" s="378"/>
      <c r="U863" s="378"/>
      <c r="V863" s="378"/>
      <c r="W863" s="378"/>
      <c r="X863" s="378"/>
      <c r="Y863" s="378"/>
      <c r="Z863" s="378"/>
      <c r="AA863" s="378"/>
      <c r="AB863" s="378"/>
      <c r="AC863" s="378"/>
      <c r="AD863" s="378"/>
      <c r="AE863" s="378"/>
      <c r="AF863" s="378"/>
      <c r="AG863" s="378"/>
    </row>
    <row r="864">
      <c r="A864" s="378"/>
      <c r="B864" s="464"/>
      <c r="C864" s="455"/>
      <c r="D864" s="435"/>
      <c r="E864" s="419"/>
      <c r="F864" s="470"/>
      <c r="G864" s="215"/>
      <c r="H864" s="64"/>
      <c r="I864" s="376"/>
      <c r="J864" s="615"/>
      <c r="K864" s="616"/>
      <c r="L864" s="610"/>
      <c r="M864" s="605"/>
      <c r="N864" s="622"/>
      <c r="O864" s="215"/>
      <c r="P864" s="64"/>
      <c r="Q864" s="378"/>
      <c r="R864" s="378"/>
      <c r="S864" s="378"/>
      <c r="T864" s="378"/>
      <c r="U864" s="378"/>
      <c r="V864" s="378"/>
      <c r="W864" s="378"/>
      <c r="X864" s="378"/>
      <c r="Y864" s="378"/>
      <c r="Z864" s="378"/>
      <c r="AA864" s="378"/>
      <c r="AB864" s="378"/>
      <c r="AC864" s="378"/>
      <c r="AD864" s="378"/>
      <c r="AE864" s="378"/>
      <c r="AF864" s="378"/>
      <c r="AG864" s="378"/>
    </row>
    <row r="865">
      <c r="A865" s="378"/>
      <c r="B865" s="464"/>
      <c r="C865" s="455"/>
      <c r="D865" s="435"/>
      <c r="E865" s="419"/>
      <c r="F865" s="419"/>
      <c r="G865" s="419"/>
      <c r="H865" s="429"/>
      <c r="I865" s="376"/>
      <c r="J865" s="615"/>
      <c r="K865" s="616"/>
      <c r="L865" s="610"/>
      <c r="M865" s="605"/>
      <c r="N865" s="606"/>
      <c r="O865" s="607"/>
      <c r="P865" s="608"/>
      <c r="Q865" s="378"/>
      <c r="R865" s="378"/>
      <c r="S865" s="378"/>
      <c r="T865" s="378"/>
      <c r="U865" s="378"/>
      <c r="V865" s="378"/>
      <c r="W865" s="378"/>
      <c r="X865" s="378"/>
      <c r="Y865" s="378"/>
      <c r="Z865" s="378"/>
      <c r="AA865" s="378"/>
      <c r="AB865" s="378"/>
      <c r="AC865" s="378"/>
      <c r="AD865" s="378"/>
      <c r="AE865" s="378"/>
      <c r="AF865" s="378"/>
      <c r="AG865" s="378"/>
    </row>
    <row r="866">
      <c r="A866" s="378"/>
      <c r="B866" s="464"/>
      <c r="C866" s="455"/>
      <c r="D866" s="435"/>
      <c r="E866" s="419"/>
      <c r="F866" s="419"/>
      <c r="G866" s="419"/>
      <c r="H866" s="429"/>
      <c r="I866" s="376"/>
      <c r="J866" s="615"/>
      <c r="K866" s="616"/>
      <c r="L866" s="610"/>
      <c r="M866" s="605"/>
      <c r="N866" s="606"/>
      <c r="O866" s="607"/>
      <c r="P866" s="608"/>
      <c r="Q866" s="378"/>
      <c r="R866" s="378"/>
      <c r="S866" s="378"/>
      <c r="T866" s="378"/>
      <c r="U866" s="378"/>
      <c r="V866" s="378"/>
      <c r="W866" s="378"/>
      <c r="X866" s="378"/>
      <c r="Y866" s="378"/>
      <c r="Z866" s="378"/>
      <c r="AA866" s="378"/>
      <c r="AB866" s="378"/>
      <c r="AC866" s="378"/>
      <c r="AD866" s="378"/>
      <c r="AE866" s="378"/>
      <c r="AF866" s="378"/>
      <c r="AG866" s="378"/>
    </row>
    <row r="867">
      <c r="A867" s="378"/>
      <c r="B867" s="454" t="s">
        <v>721</v>
      </c>
      <c r="C867" s="460">
        <f>SUM(C859:C866)</f>
        <v>5604.16</v>
      </c>
      <c r="D867" s="440"/>
      <c r="E867" s="419"/>
      <c r="F867" s="419"/>
      <c r="G867" s="419"/>
      <c r="H867" s="429"/>
      <c r="I867" s="376"/>
      <c r="J867" s="615" t="s">
        <v>721</v>
      </c>
      <c r="K867" s="618">
        <f>SUM(K859:K866)</f>
        <v>0</v>
      </c>
      <c r="L867" s="612"/>
      <c r="M867" s="605"/>
      <c r="N867" s="606"/>
      <c r="O867" s="607"/>
      <c r="P867" s="608"/>
      <c r="Q867" s="378"/>
      <c r="R867" s="378"/>
      <c r="S867" s="378"/>
      <c r="T867" s="378"/>
      <c r="U867" s="378"/>
      <c r="V867" s="378"/>
      <c r="W867" s="378"/>
      <c r="X867" s="378"/>
      <c r="Y867" s="378"/>
      <c r="Z867" s="378"/>
      <c r="AA867" s="378"/>
      <c r="AB867" s="378"/>
      <c r="AC867" s="378"/>
      <c r="AD867" s="378"/>
      <c r="AE867" s="378"/>
      <c r="AF867" s="378"/>
      <c r="AG867" s="378"/>
    </row>
    <row r="868">
      <c r="A868" s="378"/>
      <c r="B868" s="471"/>
      <c r="C868" s="472"/>
      <c r="D868" s="472"/>
      <c r="E868" s="472"/>
      <c r="F868" s="472"/>
      <c r="G868" s="472"/>
      <c r="H868" s="473"/>
      <c r="I868" s="376"/>
      <c r="J868" s="623"/>
      <c r="K868" s="624"/>
      <c r="L868" s="624"/>
      <c r="M868" s="624"/>
      <c r="N868" s="625"/>
      <c r="O868" s="626"/>
      <c r="P868" s="627"/>
      <c r="Q868" s="378"/>
      <c r="R868" s="378"/>
      <c r="S868" s="378"/>
      <c r="T868" s="378"/>
      <c r="U868" s="378"/>
      <c r="V868" s="378"/>
      <c r="W868" s="378"/>
      <c r="X868" s="378"/>
      <c r="Y868" s="378"/>
      <c r="Z868" s="378"/>
      <c r="AA868" s="378"/>
      <c r="AB868" s="378"/>
      <c r="AC868" s="378"/>
      <c r="AD868" s="378"/>
      <c r="AE868" s="378"/>
      <c r="AF868" s="378"/>
      <c r="AG868" s="378"/>
    </row>
    <row r="869">
      <c r="A869" s="378"/>
      <c r="B869" s="477"/>
      <c r="C869" s="378"/>
      <c r="D869" s="378"/>
      <c r="E869" s="378"/>
      <c r="F869" s="378"/>
      <c r="G869" s="378"/>
      <c r="H869" s="378"/>
      <c r="I869" s="376"/>
      <c r="J869" s="377"/>
      <c r="K869" s="378"/>
      <c r="L869" s="378"/>
      <c r="M869" s="378"/>
      <c r="N869" s="379"/>
      <c r="O869" s="380"/>
      <c r="P869" s="378"/>
      <c r="Q869" s="378"/>
      <c r="R869" s="378"/>
      <c r="S869" s="378"/>
      <c r="T869" s="378"/>
      <c r="U869" s="378"/>
      <c r="V869" s="378"/>
      <c r="W869" s="378"/>
      <c r="X869" s="378"/>
      <c r="Y869" s="378"/>
      <c r="Z869" s="378"/>
      <c r="AA869" s="378"/>
      <c r="AB869" s="378"/>
      <c r="AC869" s="378"/>
      <c r="AD869" s="378"/>
      <c r="AE869" s="378"/>
      <c r="AF869" s="378"/>
      <c r="AG869" s="378"/>
    </row>
    <row r="870">
      <c r="A870" s="378"/>
      <c r="B870" s="477"/>
      <c r="C870" s="378"/>
      <c r="D870" s="378"/>
      <c r="E870" s="378"/>
      <c r="F870" s="378"/>
      <c r="G870" s="378"/>
      <c r="H870" s="378"/>
      <c r="I870" s="376"/>
      <c r="J870" s="377"/>
      <c r="K870" s="378"/>
      <c r="L870" s="378"/>
      <c r="M870" s="378"/>
      <c r="N870" s="379"/>
      <c r="O870" s="380"/>
      <c r="P870" s="378"/>
      <c r="Q870" s="378"/>
      <c r="R870" s="378"/>
      <c r="S870" s="378"/>
      <c r="T870" s="378"/>
      <c r="U870" s="378"/>
      <c r="V870" s="378"/>
      <c r="W870" s="378"/>
      <c r="X870" s="378"/>
      <c r="Y870" s="378"/>
      <c r="Z870" s="378"/>
      <c r="AA870" s="378"/>
      <c r="AB870" s="378"/>
      <c r="AC870" s="378"/>
      <c r="AD870" s="378"/>
      <c r="AE870" s="378"/>
      <c r="AF870" s="378"/>
      <c r="AG870" s="378"/>
    </row>
    <row r="871">
      <c r="A871" s="378"/>
      <c r="B871" s="382"/>
      <c r="C871" s="479"/>
      <c r="D871" s="384"/>
      <c r="E871" s="385" t="s">
        <v>700</v>
      </c>
      <c r="F871" s="385" t="str">
        <f>Board!A2</f>
        <v>11.17.25-11.23.25</v>
      </c>
      <c r="G871" s="213"/>
      <c r="H871" s="211"/>
      <c r="I871" s="386">
        <v>29.0</v>
      </c>
      <c r="J871" s="387"/>
      <c r="K871" s="479"/>
      <c r="L871" s="384"/>
      <c r="M871" s="385" t="s">
        <v>700</v>
      </c>
      <c r="N871" s="385" t="str">
        <f>Board!A2</f>
        <v>11.17.25-11.23.25</v>
      </c>
      <c r="O871" s="213"/>
      <c r="P871" s="211"/>
      <c r="Q871" s="378"/>
      <c r="R871" s="389" t="s">
        <v>831</v>
      </c>
      <c r="S871" s="389" t="s">
        <v>652</v>
      </c>
      <c r="T871" s="390" t="s">
        <v>832</v>
      </c>
      <c r="U871" s="391" t="s">
        <v>833</v>
      </c>
      <c r="V871" s="389" t="s">
        <v>655</v>
      </c>
      <c r="W871" s="389" t="s">
        <v>8</v>
      </c>
      <c r="X871" s="389" t="s">
        <v>656</v>
      </c>
      <c r="Y871" s="390" t="s">
        <v>834</v>
      </c>
      <c r="Z871" s="392" t="s">
        <v>835</v>
      </c>
      <c r="AA871" s="390" t="s">
        <v>836</v>
      </c>
      <c r="AB871" s="390" t="s">
        <v>837</v>
      </c>
      <c r="AC871" s="393" t="s">
        <v>716</v>
      </c>
      <c r="AD871" s="393" t="s">
        <v>717</v>
      </c>
      <c r="AE871" s="393" t="s">
        <v>718</v>
      </c>
      <c r="AF871" s="394" t="s">
        <v>838</v>
      </c>
      <c r="AG871" s="394"/>
    </row>
    <row r="872">
      <c r="A872" s="378"/>
      <c r="B872" s="395"/>
      <c r="C872" s="372"/>
      <c r="D872" s="396"/>
      <c r="E872" s="385" t="s">
        <v>702</v>
      </c>
      <c r="F872" s="644"/>
      <c r="G872" s="213"/>
      <c r="H872" s="211"/>
      <c r="I872" s="376"/>
      <c r="J872" s="397"/>
      <c r="K872" s="372"/>
      <c r="L872" s="396"/>
      <c r="M872" s="385" t="s">
        <v>351</v>
      </c>
      <c r="N872" s="385"/>
      <c r="O872" s="213"/>
      <c r="P872" s="211"/>
      <c r="Q872" s="378"/>
      <c r="R872" s="398">
        <f>I871</f>
        <v>29</v>
      </c>
      <c r="S872" s="398" t="str">
        <f>F873</f>
        <v/>
      </c>
      <c r="T872" s="399" t="str">
        <f>G893</f>
        <v>#N/A</v>
      </c>
      <c r="U872" s="378" t="str">
        <f>N872</f>
        <v/>
      </c>
      <c r="V872" s="380" t="str">
        <f>O893</f>
        <v>#REF!</v>
      </c>
      <c r="W872" s="399" t="str">
        <f>P881</f>
        <v>#REF!</v>
      </c>
      <c r="X872" s="399" t="str">
        <f>C892</f>
        <v>#N/A</v>
      </c>
      <c r="Y872" s="378" t="str">
        <f>N881</f>
        <v>#REF!</v>
      </c>
      <c r="Z872" s="378" t="str">
        <f>V873-V872</f>
        <v>#N/A</v>
      </c>
      <c r="AA872" s="378"/>
      <c r="AB872" s="378"/>
      <c r="AC872" s="401" t="str">
        <f>C889</f>
        <v/>
      </c>
      <c r="AD872" s="401" t="str">
        <f>C890</f>
        <v/>
      </c>
      <c r="AE872" s="401" t="str">
        <f>C891</f>
        <v/>
      </c>
      <c r="AF872" s="398">
        <f>C893+C894+C895+C896+C897</f>
        <v>0</v>
      </c>
      <c r="AG872" s="398"/>
    </row>
    <row r="873">
      <c r="A873" s="378"/>
      <c r="B873" s="395"/>
      <c r="C873" s="372"/>
      <c r="D873" s="402"/>
      <c r="E873" s="385" t="s">
        <v>703</v>
      </c>
      <c r="F873" s="385"/>
      <c r="G873" s="213"/>
      <c r="H873" s="211"/>
      <c r="I873" s="376"/>
      <c r="J873" s="397"/>
      <c r="K873" s="372"/>
      <c r="L873" s="402"/>
      <c r="M873" s="385" t="s">
        <v>703</v>
      </c>
      <c r="N873" s="385"/>
      <c r="O873" s="213"/>
      <c r="P873" s="211"/>
      <c r="Q873" s="378"/>
      <c r="R873" s="378"/>
      <c r="S873" s="378"/>
      <c r="T873" s="378"/>
      <c r="U873" s="378" t="str">
        <f>F872</f>
        <v/>
      </c>
      <c r="V873" s="399" t="str">
        <f>G893</f>
        <v>#N/A</v>
      </c>
      <c r="W873" s="399">
        <f>H881</f>
        <v>0</v>
      </c>
      <c r="X873" s="378"/>
      <c r="Y873" s="378"/>
      <c r="Z873" s="378"/>
      <c r="AA873" s="378"/>
      <c r="AB873" s="378"/>
      <c r="AC873" s="378"/>
      <c r="AD873" s="378"/>
      <c r="AE873" s="378"/>
      <c r="AF873" s="378"/>
      <c r="AG873" s="378"/>
    </row>
    <row r="874">
      <c r="A874" s="378"/>
      <c r="B874" s="403" t="s">
        <v>704</v>
      </c>
      <c r="C874" s="404" t="s">
        <v>5</v>
      </c>
      <c r="D874" s="405" t="s">
        <v>6</v>
      </c>
      <c r="E874" s="406" t="s">
        <v>7</v>
      </c>
      <c r="F874" s="404" t="s">
        <v>8</v>
      </c>
      <c r="G874" s="404" t="s">
        <v>706</v>
      </c>
      <c r="H874" s="404" t="s">
        <v>707</v>
      </c>
      <c r="I874" s="376"/>
      <c r="J874" s="407" t="s">
        <v>704</v>
      </c>
      <c r="K874" s="404" t="s">
        <v>5</v>
      </c>
      <c r="L874" s="405" t="s">
        <v>6</v>
      </c>
      <c r="M874" s="406" t="s">
        <v>7</v>
      </c>
      <c r="N874" s="404" t="s">
        <v>591</v>
      </c>
      <c r="O874" s="408" t="s">
        <v>708</v>
      </c>
      <c r="P874" s="404" t="s">
        <v>707</v>
      </c>
      <c r="Q874" s="378"/>
      <c r="R874" s="378"/>
      <c r="S874" s="378"/>
      <c r="T874" s="378"/>
      <c r="U874" s="378"/>
      <c r="V874" s="378"/>
      <c r="W874" s="378"/>
      <c r="X874" s="378"/>
      <c r="Y874" s="378"/>
      <c r="Z874" s="378"/>
      <c r="AA874" s="378"/>
      <c r="AB874" s="378"/>
      <c r="AC874" s="378"/>
      <c r="AD874" s="378"/>
      <c r="AE874" s="378"/>
      <c r="AF874" s="378"/>
      <c r="AG874" s="378"/>
    </row>
    <row r="875">
      <c r="A875" s="378"/>
      <c r="B875" s="555" t="str">
        <f>IFERROR(__xludf.DUMMYFUNCTION("FILTER(Board!C:G,Board!K:K=F873)"),"#REF!")</f>
        <v>#REF!</v>
      </c>
      <c r="C875" s="404"/>
      <c r="D875" s="405"/>
      <c r="E875" s="406"/>
      <c r="F875" s="414"/>
      <c r="G875" s="413">
        <v>0.88</v>
      </c>
      <c r="H875" s="414">
        <f>F875*G875</f>
        <v>0</v>
      </c>
      <c r="I875" s="376"/>
      <c r="J875" s="645" t="str">
        <f>IFERROR(__xludf.DUMMYFUNCTION("FILTER(Board!C:F,Board!K:K=N873)"),"#REF!")</f>
        <v>#REF!</v>
      </c>
      <c r="K875" s="404"/>
      <c r="L875" s="405"/>
      <c r="M875" s="406"/>
      <c r="N875" s="426" t="str">
        <f>IFERROR(__xludf.DUMMYFUNCTION("FILTER(Board!H:H,Board!K:K=N873)"),"#REF!")</f>
        <v>#REF!</v>
      </c>
      <c r="O875" s="408">
        <v>0.65</v>
      </c>
      <c r="P875" s="414" t="str">
        <f>N875*O875</f>
        <v>#REF!</v>
      </c>
      <c r="Q875" s="378"/>
      <c r="R875" s="378"/>
      <c r="S875" s="378"/>
      <c r="T875" s="378"/>
      <c r="U875" s="378"/>
      <c r="V875" s="378"/>
      <c r="W875" s="378"/>
      <c r="X875" s="378"/>
      <c r="Y875" s="378"/>
      <c r="Z875" s="378"/>
      <c r="AA875" s="378"/>
      <c r="AB875" s="378"/>
      <c r="AC875" s="378"/>
      <c r="AD875" s="378"/>
      <c r="AE875" s="378"/>
      <c r="AF875" s="378"/>
      <c r="AG875" s="378"/>
    </row>
    <row r="876">
      <c r="A876" s="378"/>
      <c r="B876" s="555"/>
      <c r="C876" s="404"/>
      <c r="D876" s="405"/>
      <c r="E876" s="406"/>
      <c r="F876" s="414"/>
      <c r="G876" s="413"/>
      <c r="H876" s="414"/>
      <c r="I876" s="376"/>
      <c r="J876" s="645"/>
      <c r="K876" s="404"/>
      <c r="L876" s="405"/>
      <c r="M876" s="406"/>
      <c r="N876" s="404"/>
      <c r="O876" s="408"/>
      <c r="P876" s="414"/>
      <c r="Q876" s="378"/>
      <c r="R876" s="378"/>
      <c r="S876" s="378"/>
      <c r="T876" s="378"/>
      <c r="U876" s="378"/>
      <c r="V876" s="378"/>
      <c r="W876" s="378"/>
      <c r="X876" s="378"/>
      <c r="Y876" s="378"/>
      <c r="Z876" s="378"/>
      <c r="AA876" s="378"/>
      <c r="AB876" s="378"/>
      <c r="AC876" s="378"/>
      <c r="AD876" s="378"/>
      <c r="AE876" s="378"/>
      <c r="AF876" s="378"/>
      <c r="AG876" s="378"/>
    </row>
    <row r="877">
      <c r="A877" s="378"/>
      <c r="B877" s="420"/>
      <c r="C877" s="421"/>
      <c r="D877" s="422"/>
      <c r="E877" s="423"/>
      <c r="F877" s="421"/>
      <c r="G877" s="413"/>
      <c r="H877" s="414"/>
      <c r="I877" s="376"/>
      <c r="J877" s="424"/>
      <c r="K877" s="421"/>
      <c r="L877" s="422"/>
      <c r="M877" s="423"/>
      <c r="N877" s="425"/>
      <c r="O877" s="408"/>
      <c r="P877" s="414"/>
      <c r="Q877" s="378"/>
      <c r="R877" s="378"/>
      <c r="S877" s="378"/>
      <c r="T877" s="378"/>
      <c r="U877" s="378"/>
      <c r="V877" s="378"/>
      <c r="W877" s="378"/>
      <c r="X877" s="378"/>
      <c r="Y877" s="378"/>
      <c r="Z877" s="378"/>
      <c r="AA877" s="378"/>
      <c r="AB877" s="378"/>
      <c r="AC877" s="378"/>
      <c r="AD877" s="378"/>
      <c r="AE877" s="378"/>
      <c r="AF877" s="378"/>
      <c r="AG877" s="378"/>
    </row>
    <row r="878">
      <c r="A878" s="378"/>
      <c r="B878" s="420"/>
      <c r="C878" s="421"/>
      <c r="D878" s="422"/>
      <c r="E878" s="423"/>
      <c r="F878" s="421"/>
      <c r="G878" s="413"/>
      <c r="H878" s="414"/>
      <c r="I878" s="376"/>
      <c r="J878" s="424"/>
      <c r="K878" s="421"/>
      <c r="L878" s="422"/>
      <c r="M878" s="423"/>
      <c r="N878" s="425"/>
      <c r="O878" s="408"/>
      <c r="P878" s="414"/>
      <c r="Q878" s="378"/>
      <c r="R878" s="378"/>
      <c r="S878" s="378"/>
      <c r="T878" s="378"/>
      <c r="U878" s="378"/>
      <c r="V878" s="378"/>
      <c r="W878" s="378"/>
      <c r="X878" s="378"/>
      <c r="Y878" s="378"/>
      <c r="Z878" s="378"/>
      <c r="AA878" s="378"/>
      <c r="AB878" s="378"/>
      <c r="AC878" s="378"/>
      <c r="AD878" s="378"/>
      <c r="AE878" s="378"/>
      <c r="AF878" s="378"/>
      <c r="AG878" s="378"/>
    </row>
    <row r="879">
      <c r="A879" s="378"/>
      <c r="B879" s="420"/>
      <c r="C879" s="421"/>
      <c r="D879" s="422"/>
      <c r="E879" s="423"/>
      <c r="F879" s="421"/>
      <c r="G879" s="413"/>
      <c r="H879" s="414"/>
      <c r="I879" s="376"/>
      <c r="J879" s="424"/>
      <c r="K879" s="421"/>
      <c r="L879" s="422"/>
      <c r="M879" s="423"/>
      <c r="N879" s="425"/>
      <c r="O879" s="408"/>
      <c r="P879" s="414"/>
      <c r="Q879" s="378"/>
      <c r="R879" s="378"/>
      <c r="S879" s="378"/>
      <c r="T879" s="378"/>
      <c r="U879" s="378"/>
      <c r="V879" s="378"/>
      <c r="W879" s="378"/>
      <c r="X879" s="378"/>
      <c r="Y879" s="378"/>
      <c r="Z879" s="378"/>
      <c r="AA879" s="378"/>
      <c r="AB879" s="378"/>
      <c r="AC879" s="378"/>
      <c r="AD879" s="378"/>
      <c r="AE879" s="378"/>
      <c r="AF879" s="378"/>
      <c r="AG879" s="378"/>
    </row>
    <row r="880">
      <c r="A880" s="378"/>
      <c r="B880" s="420"/>
      <c r="C880" s="421"/>
      <c r="D880" s="422"/>
      <c r="E880" s="423"/>
      <c r="F880" s="421"/>
      <c r="G880" s="413"/>
      <c r="H880" s="414"/>
      <c r="I880" s="376"/>
      <c r="J880" s="424"/>
      <c r="K880" s="421"/>
      <c r="L880" s="422"/>
      <c r="M880" s="423"/>
      <c r="N880" s="425"/>
      <c r="O880" s="408"/>
      <c r="P880" s="414"/>
      <c r="Q880" s="378"/>
      <c r="R880" s="378"/>
      <c r="S880" s="378"/>
      <c r="T880" s="378"/>
      <c r="U880" s="378"/>
      <c r="V880" s="378"/>
      <c r="W880" s="378"/>
      <c r="X880" s="378"/>
      <c r="Y880" s="378"/>
      <c r="Z880" s="378"/>
      <c r="AA880" s="378"/>
      <c r="AB880" s="378"/>
      <c r="AC880" s="378"/>
      <c r="AD880" s="378"/>
      <c r="AE880" s="378"/>
      <c r="AF880" s="378"/>
      <c r="AG880" s="378"/>
    </row>
    <row r="881">
      <c r="A881" s="378"/>
      <c r="B881" s="403" t="s">
        <v>711</v>
      </c>
      <c r="C881" s="224"/>
      <c r="D881" s="224"/>
      <c r="E881" s="222"/>
      <c r="F881" s="414">
        <f>SUM(F875:F880)</f>
        <v>0</v>
      </c>
      <c r="G881" s="421"/>
      <c r="H881" s="414">
        <f>SUM(H875:H880)</f>
        <v>0</v>
      </c>
      <c r="I881" s="376"/>
      <c r="J881" s="407" t="s">
        <v>711</v>
      </c>
      <c r="K881" s="224"/>
      <c r="L881" s="224"/>
      <c r="M881" s="222"/>
      <c r="N881" s="404" t="str">
        <f>SUM(N875:N880)</f>
        <v>#REF!</v>
      </c>
      <c r="O881" s="427"/>
      <c r="P881" s="414" t="str">
        <f>SUM(P875:P880)</f>
        <v>#REF!</v>
      </c>
      <c r="Q881" s="378"/>
      <c r="R881" s="378"/>
      <c r="S881" s="378"/>
      <c r="T881" s="378"/>
      <c r="U881" s="378"/>
      <c r="V881" s="378"/>
      <c r="W881" s="378"/>
      <c r="X881" s="378"/>
      <c r="Y881" s="378"/>
      <c r="Z881" s="378"/>
      <c r="AA881" s="378"/>
      <c r="AB881" s="378"/>
      <c r="AC881" s="378"/>
      <c r="AD881" s="378"/>
      <c r="AE881" s="378"/>
      <c r="AF881" s="378"/>
      <c r="AG881" s="378"/>
    </row>
    <row r="882">
      <c r="A882" s="378"/>
      <c r="B882" s="428"/>
      <c r="C882" s="419"/>
      <c r="D882" s="419"/>
      <c r="E882" s="419"/>
      <c r="F882" s="419"/>
      <c r="G882" s="419"/>
      <c r="H882" s="429"/>
      <c r="I882" s="376"/>
      <c r="J882" s="430"/>
      <c r="K882" s="419"/>
      <c r="L882" s="419"/>
      <c r="M882" s="419"/>
      <c r="N882" s="431"/>
      <c r="O882" s="432"/>
      <c r="P882" s="429"/>
      <c r="Q882" s="378"/>
      <c r="R882" s="378"/>
      <c r="S882" s="378"/>
      <c r="T882" s="378"/>
      <c r="U882" s="378"/>
      <c r="V882" s="378"/>
      <c r="W882" s="378"/>
      <c r="X882" s="378"/>
      <c r="Y882" s="378"/>
      <c r="Z882" s="378"/>
      <c r="AA882" s="378"/>
      <c r="AB882" s="378"/>
      <c r="AC882" s="378"/>
      <c r="AD882" s="378"/>
      <c r="AE882" s="378"/>
      <c r="AF882" s="378"/>
      <c r="AG882" s="378"/>
    </row>
    <row r="883">
      <c r="A883" s="378"/>
      <c r="B883" s="433" t="s">
        <v>712</v>
      </c>
      <c r="C883" s="434"/>
      <c r="D883" s="435"/>
      <c r="E883" s="419"/>
      <c r="F883" s="419"/>
      <c r="G883" s="419"/>
      <c r="H883" s="429"/>
      <c r="I883" s="376"/>
      <c r="J883" s="437" t="s">
        <v>712</v>
      </c>
      <c r="K883" s="434"/>
      <c r="L883" s="435"/>
      <c r="M883" s="419"/>
      <c r="N883" s="431"/>
      <c r="O883" s="432"/>
      <c r="P883" s="429"/>
      <c r="Q883" s="378"/>
      <c r="R883" s="378"/>
      <c r="S883" s="378"/>
      <c r="T883" s="378"/>
      <c r="U883" s="378"/>
      <c r="V883" s="378"/>
      <c r="W883" s="378"/>
      <c r="X883" s="378"/>
      <c r="Y883" s="378"/>
      <c r="Z883" s="378"/>
      <c r="AA883" s="378"/>
      <c r="AB883" s="378"/>
      <c r="AC883" s="378"/>
      <c r="AD883" s="378"/>
      <c r="AE883" s="378"/>
      <c r="AF883" s="378"/>
      <c r="AG883" s="378"/>
    </row>
    <row r="884">
      <c r="A884" s="378"/>
      <c r="B884" s="438" t="s">
        <v>713</v>
      </c>
      <c r="C884" s="439"/>
      <c r="D884" s="440"/>
      <c r="E884" s="419"/>
      <c r="F884" s="419"/>
      <c r="G884" s="419"/>
      <c r="H884" s="429"/>
      <c r="I884" s="376"/>
      <c r="J884" s="443"/>
      <c r="K884" s="439"/>
      <c r="L884" s="440"/>
      <c r="M884" s="419"/>
      <c r="N884" s="431"/>
      <c r="O884" s="432"/>
      <c r="P884" s="429"/>
      <c r="Q884" s="378"/>
      <c r="R884" s="378"/>
      <c r="S884" s="378"/>
      <c r="T884" s="378"/>
      <c r="U884" s="378"/>
      <c r="V884" s="378"/>
      <c r="W884" s="378"/>
      <c r="X884" s="378"/>
      <c r="Y884" s="378"/>
      <c r="Z884" s="378"/>
      <c r="AA884" s="378"/>
      <c r="AB884" s="378"/>
      <c r="AC884" s="378"/>
      <c r="AD884" s="378"/>
      <c r="AE884" s="378"/>
      <c r="AF884" s="378"/>
      <c r="AG884" s="378"/>
    </row>
    <row r="885">
      <c r="A885" s="378"/>
      <c r="B885" s="444"/>
      <c r="C885" s="434"/>
      <c r="D885" s="435"/>
      <c r="E885" s="419"/>
      <c r="F885" s="463"/>
      <c r="G885" s="463"/>
      <c r="H885" s="448"/>
      <c r="I885" s="376"/>
      <c r="J885" s="445"/>
      <c r="K885" s="434"/>
      <c r="L885" s="435"/>
      <c r="M885" s="419"/>
      <c r="N885" s="446"/>
      <c r="O885" s="447"/>
      <c r="P885" s="448"/>
      <c r="Q885" s="378"/>
      <c r="R885" s="378"/>
      <c r="S885" s="378"/>
      <c r="T885" s="378"/>
      <c r="U885" s="378"/>
      <c r="V885" s="378"/>
      <c r="W885" s="378"/>
      <c r="X885" s="378"/>
      <c r="Y885" s="378"/>
      <c r="Z885" s="378"/>
      <c r="AA885" s="378"/>
      <c r="AB885" s="378"/>
      <c r="AC885" s="378"/>
      <c r="AD885" s="378"/>
      <c r="AE885" s="378"/>
      <c r="AF885" s="378"/>
      <c r="AG885" s="378"/>
    </row>
    <row r="886">
      <c r="A886" s="378"/>
      <c r="B886" s="438" t="s">
        <v>714</v>
      </c>
      <c r="C886" s="439">
        <f>SUM(C884:C885)</f>
        <v>0</v>
      </c>
      <c r="D886" s="440"/>
      <c r="E886" s="419"/>
      <c r="F886" s="463"/>
      <c r="G886" s="463"/>
      <c r="H886" s="448"/>
      <c r="I886" s="376"/>
      <c r="J886" s="443" t="s">
        <v>714</v>
      </c>
      <c r="K886" s="439">
        <f>SUM(K884:K885)</f>
        <v>0</v>
      </c>
      <c r="L886" s="440"/>
      <c r="M886" s="419"/>
      <c r="N886" s="446"/>
      <c r="O886" s="447"/>
      <c r="P886" s="448"/>
      <c r="Q886" s="378"/>
      <c r="R886" s="378"/>
      <c r="S886" s="378"/>
      <c r="T886" s="378"/>
      <c r="U886" s="378"/>
      <c r="V886" s="378"/>
      <c r="W886" s="378"/>
      <c r="X886" s="378"/>
      <c r="Y886" s="378"/>
      <c r="Z886" s="378"/>
      <c r="AA886" s="378"/>
      <c r="AB886" s="378"/>
      <c r="AC886" s="378"/>
      <c r="AD886" s="378"/>
      <c r="AE886" s="378"/>
      <c r="AF886" s="378"/>
      <c r="AG886" s="378"/>
    </row>
    <row r="887">
      <c r="A887" s="378"/>
      <c r="B887" s="450"/>
      <c r="C887" s="451"/>
      <c r="D887" s="419"/>
      <c r="E887" s="419"/>
      <c r="F887" s="463"/>
      <c r="G887" s="463"/>
      <c r="H887" s="448"/>
      <c r="I887" s="376"/>
      <c r="J887" s="535"/>
      <c r="K887" s="451"/>
      <c r="L887" s="419"/>
      <c r="M887" s="419"/>
      <c r="N887" s="446"/>
      <c r="O887" s="447"/>
      <c r="P887" s="448"/>
      <c r="Q887" s="378"/>
      <c r="R887" s="378"/>
      <c r="S887" s="378"/>
      <c r="T887" s="378"/>
      <c r="U887" s="378"/>
      <c r="V887" s="378"/>
      <c r="W887" s="378"/>
      <c r="X887" s="378"/>
      <c r="Y887" s="378"/>
      <c r="Z887" s="378"/>
      <c r="AA887" s="378"/>
      <c r="AB887" s="378"/>
      <c r="AC887" s="378"/>
      <c r="AD887" s="378"/>
      <c r="AE887" s="378"/>
      <c r="AF887" s="378"/>
      <c r="AG887" s="378"/>
    </row>
    <row r="888">
      <c r="A888" s="378"/>
      <c r="B888" s="454" t="s">
        <v>715</v>
      </c>
      <c r="C888" s="455"/>
      <c r="D888" s="435"/>
      <c r="E888" s="419"/>
      <c r="F888" s="463"/>
      <c r="G888" s="463"/>
      <c r="H888" s="448"/>
      <c r="I888" s="376"/>
      <c r="J888" s="458" t="s">
        <v>715</v>
      </c>
      <c r="K888" s="455"/>
      <c r="L888" s="435"/>
      <c r="M888" s="419"/>
      <c r="N888" s="446"/>
      <c r="O888" s="447"/>
      <c r="P888" s="448"/>
      <c r="Q888" s="378"/>
      <c r="R888" s="378"/>
      <c r="S888" s="378"/>
      <c r="T888" s="378"/>
      <c r="U888" s="378"/>
      <c r="V888" s="378"/>
      <c r="W888" s="378"/>
      <c r="X888" s="378"/>
      <c r="Y888" s="378"/>
      <c r="Z888" s="378"/>
      <c r="AA888" s="378"/>
      <c r="AB888" s="378"/>
      <c r="AC888" s="378"/>
      <c r="AD888" s="378"/>
      <c r="AE888" s="378"/>
      <c r="AF888" s="378"/>
      <c r="AG888" s="378"/>
    </row>
    <row r="889">
      <c r="A889" s="378"/>
      <c r="B889" s="459" t="s">
        <v>716</v>
      </c>
      <c r="C889" s="460"/>
      <c r="D889" s="440"/>
      <c r="E889" s="419"/>
      <c r="F889" s="463"/>
      <c r="G889" s="463"/>
      <c r="H889" s="448"/>
      <c r="I889" s="376"/>
      <c r="J889" s="462"/>
      <c r="K889" s="460"/>
      <c r="L889" s="440"/>
      <c r="M889" s="419"/>
      <c r="N889" s="446"/>
      <c r="O889" s="447"/>
      <c r="P889" s="448"/>
      <c r="Q889" s="378"/>
      <c r="R889" s="378"/>
      <c r="S889" s="378"/>
      <c r="T889" s="378"/>
      <c r="U889" s="378"/>
      <c r="V889" s="378"/>
      <c r="W889" s="378"/>
      <c r="X889" s="378"/>
      <c r="Y889" s="378"/>
      <c r="Z889" s="378"/>
      <c r="AA889" s="378"/>
      <c r="AB889" s="378"/>
      <c r="AC889" s="378"/>
      <c r="AD889" s="378"/>
      <c r="AE889" s="378"/>
      <c r="AF889" s="378"/>
      <c r="AG889" s="378"/>
    </row>
    <row r="890">
      <c r="A890" s="378"/>
      <c r="B890" s="459" t="s">
        <v>717</v>
      </c>
      <c r="C890" s="460"/>
      <c r="D890" s="440"/>
      <c r="E890" s="419"/>
      <c r="F890" s="463"/>
      <c r="G890" s="463"/>
      <c r="H890" s="448"/>
      <c r="I890" s="376"/>
      <c r="J890" s="462"/>
      <c r="K890" s="460"/>
      <c r="L890" s="440"/>
      <c r="M890" s="419"/>
      <c r="N890" s="446"/>
      <c r="O890" s="447"/>
      <c r="P890" s="448"/>
      <c r="Q890" s="378"/>
      <c r="R890" s="378"/>
      <c r="S890" s="378"/>
      <c r="T890" s="378"/>
      <c r="U890" s="378"/>
      <c r="V890" s="378"/>
      <c r="W890" s="378"/>
      <c r="X890" s="378"/>
      <c r="Y890" s="378"/>
      <c r="Z890" s="378"/>
      <c r="AA890" s="378"/>
      <c r="AB890" s="378"/>
      <c r="AC890" s="378"/>
      <c r="AD890" s="378"/>
      <c r="AE890" s="378"/>
      <c r="AF890" s="378"/>
      <c r="AG890" s="378"/>
    </row>
    <row r="891">
      <c r="A891" s="378"/>
      <c r="B891" s="459" t="s">
        <v>718</v>
      </c>
      <c r="C891" s="460"/>
      <c r="D891" s="440"/>
      <c r="E891" s="419"/>
      <c r="F891" s="463"/>
      <c r="G891" s="463"/>
      <c r="H891" s="448"/>
      <c r="I891" s="376"/>
      <c r="J891" s="462"/>
      <c r="K891" s="460"/>
      <c r="L891" s="440"/>
      <c r="M891" s="419"/>
      <c r="N891" s="446"/>
      <c r="O891" s="447"/>
      <c r="P891" s="448"/>
      <c r="Q891" s="378"/>
      <c r="R891" s="378"/>
      <c r="S891" s="378"/>
      <c r="T891" s="378"/>
      <c r="U891" s="378"/>
      <c r="V891" s="378"/>
      <c r="W891" s="378"/>
      <c r="X891" s="378"/>
      <c r="Y891" s="378"/>
      <c r="Z891" s="378"/>
      <c r="AA891" s="378"/>
      <c r="AB891" s="378"/>
      <c r="AC891" s="378"/>
      <c r="AD891" s="378"/>
      <c r="AE891" s="378"/>
      <c r="AF891" s="378"/>
      <c r="AG891" s="378"/>
    </row>
    <row r="892">
      <c r="A892" s="378"/>
      <c r="B892" s="459" t="s">
        <v>656</v>
      </c>
      <c r="C892" s="460" t="str">
        <f>IFERROR(__xludf.DUMMYFUNCTION("FILTER(D967:D995,C967:C995=F873)"),"#N/A")</f>
        <v>#N/A</v>
      </c>
      <c r="D892" s="440"/>
      <c r="E892" s="419"/>
      <c r="F892" s="463"/>
      <c r="G892" s="463"/>
      <c r="H892" s="448"/>
      <c r="I892" s="376"/>
      <c r="J892" s="462"/>
      <c r="K892" s="460"/>
      <c r="L892" s="440"/>
      <c r="M892" s="419"/>
      <c r="N892" s="446"/>
      <c r="O892" s="447"/>
      <c r="P892" s="448"/>
      <c r="Q892" s="378"/>
      <c r="R892" s="378"/>
      <c r="S892" s="378"/>
      <c r="T892" s="378"/>
      <c r="U892" s="378"/>
      <c r="V892" s="378"/>
      <c r="W892" s="378"/>
      <c r="X892" s="378"/>
      <c r="Y892" s="378"/>
      <c r="Z892" s="378"/>
      <c r="AA892" s="378"/>
      <c r="AB892" s="378"/>
      <c r="AC892" s="378"/>
      <c r="AD892" s="378"/>
      <c r="AE892" s="378"/>
      <c r="AF892" s="378"/>
      <c r="AG892" s="378"/>
    </row>
    <row r="893">
      <c r="A893" s="378"/>
      <c r="B893" s="464"/>
      <c r="C893" s="455"/>
      <c r="D893" s="435"/>
      <c r="E893" s="419"/>
      <c r="F893" s="468" t="s">
        <v>842</v>
      </c>
      <c r="G893" s="466" t="str">
        <f>H881+C886-C898</f>
        <v>#N/A</v>
      </c>
      <c r="H893" s="211"/>
      <c r="I893" s="376"/>
      <c r="J893" s="467"/>
      <c r="K893" s="455"/>
      <c r="L893" s="435"/>
      <c r="M893" s="419"/>
      <c r="N893" s="568" t="s">
        <v>910</v>
      </c>
      <c r="O893" s="539" t="str">
        <f>P881+K886-K898</f>
        <v>#REF!</v>
      </c>
      <c r="P893" s="211"/>
      <c r="Q893" s="378"/>
      <c r="R893" s="378"/>
      <c r="S893" s="378"/>
      <c r="T893" s="378"/>
      <c r="U893" s="378"/>
      <c r="V893" s="378"/>
      <c r="W893" s="378"/>
      <c r="X893" s="378"/>
      <c r="Y893" s="378"/>
      <c r="Z893" s="378"/>
      <c r="AA893" s="378"/>
      <c r="AB893" s="378"/>
      <c r="AC893" s="378"/>
      <c r="AD893" s="378"/>
      <c r="AE893" s="378"/>
      <c r="AF893" s="378"/>
      <c r="AG893" s="378"/>
    </row>
    <row r="894">
      <c r="A894" s="378"/>
      <c r="B894" s="464"/>
      <c r="C894" s="455"/>
      <c r="D894" s="435"/>
      <c r="E894" s="419"/>
      <c r="F894" s="469" t="s">
        <v>843</v>
      </c>
      <c r="G894" s="278"/>
      <c r="H894" s="56"/>
      <c r="I894" s="376"/>
      <c r="J894" s="467"/>
      <c r="K894" s="455"/>
      <c r="L894" s="435"/>
      <c r="M894" s="419"/>
      <c r="N894" s="55"/>
      <c r="O894" s="278"/>
      <c r="P894" s="56"/>
      <c r="Q894" s="378"/>
      <c r="R894" s="378"/>
      <c r="S894" s="378"/>
      <c r="T894" s="378"/>
      <c r="U894" s="378"/>
      <c r="V894" s="378"/>
      <c r="W894" s="378"/>
      <c r="X894" s="378"/>
      <c r="Y894" s="378"/>
      <c r="Z894" s="378"/>
      <c r="AA894" s="378"/>
      <c r="AB894" s="378"/>
      <c r="AC894" s="378"/>
      <c r="AD894" s="378"/>
      <c r="AE894" s="378"/>
      <c r="AF894" s="378"/>
      <c r="AG894" s="378"/>
    </row>
    <row r="895">
      <c r="A895" s="378"/>
      <c r="B895" s="464"/>
      <c r="C895" s="455"/>
      <c r="D895" s="435"/>
      <c r="E895" s="419"/>
      <c r="F895" s="470"/>
      <c r="G895" s="215"/>
      <c r="H895" s="64"/>
      <c r="I895" s="376"/>
      <c r="J895" s="467"/>
      <c r="K895" s="455"/>
      <c r="L895" s="435"/>
      <c r="M895" s="419"/>
      <c r="N895" s="60"/>
      <c r="O895" s="215"/>
      <c r="P895" s="64"/>
      <c r="Q895" s="378"/>
      <c r="R895" s="378"/>
      <c r="S895" s="378"/>
      <c r="T895" s="378"/>
      <c r="U895" s="378"/>
      <c r="V895" s="378"/>
      <c r="W895" s="378"/>
      <c r="X895" s="378"/>
      <c r="Y895" s="378"/>
      <c r="Z895" s="378"/>
      <c r="AA895" s="378"/>
      <c r="AB895" s="378"/>
      <c r="AC895" s="378"/>
      <c r="AD895" s="378"/>
      <c r="AE895" s="378"/>
      <c r="AF895" s="378"/>
      <c r="AG895" s="378"/>
    </row>
    <row r="896">
      <c r="A896" s="378"/>
      <c r="B896" s="464"/>
      <c r="C896" s="455"/>
      <c r="D896" s="435"/>
      <c r="E896" s="419"/>
      <c r="F896" s="419"/>
      <c r="G896" s="419"/>
      <c r="H896" s="429"/>
      <c r="I896" s="376"/>
      <c r="J896" s="467"/>
      <c r="K896" s="455"/>
      <c r="L896" s="435"/>
      <c r="M896" s="419"/>
      <c r="N896" s="431"/>
      <c r="O896" s="432"/>
      <c r="P896" s="429"/>
      <c r="Q896" s="378"/>
      <c r="R896" s="378"/>
      <c r="S896" s="378"/>
      <c r="T896" s="378"/>
      <c r="U896" s="378"/>
      <c r="V896" s="378"/>
      <c r="W896" s="378"/>
      <c r="X896" s="378"/>
      <c r="Y896" s="378"/>
      <c r="Z896" s="378"/>
      <c r="AA896" s="378"/>
      <c r="AB896" s="378"/>
      <c r="AC896" s="378"/>
      <c r="AD896" s="378"/>
      <c r="AE896" s="378"/>
      <c r="AF896" s="378"/>
      <c r="AG896" s="378"/>
    </row>
    <row r="897">
      <c r="A897" s="378"/>
      <c r="B897" s="464"/>
      <c r="C897" s="455"/>
      <c r="D897" s="435"/>
      <c r="E897" s="419"/>
      <c r="F897" s="419"/>
      <c r="G897" s="419"/>
      <c r="H897" s="429"/>
      <c r="I897" s="376"/>
      <c r="J897" s="467"/>
      <c r="K897" s="455"/>
      <c r="L897" s="435"/>
      <c r="M897" s="419"/>
      <c r="N897" s="431"/>
      <c r="O897" s="432"/>
      <c r="P897" s="429"/>
      <c r="Q897" s="378"/>
      <c r="R897" s="378"/>
      <c r="S897" s="378"/>
      <c r="T897" s="378"/>
      <c r="U897" s="378"/>
      <c r="V897" s="378"/>
      <c r="W897" s="378"/>
      <c r="X897" s="378"/>
      <c r="Y897" s="378"/>
      <c r="Z897" s="378"/>
      <c r="AA897" s="378"/>
      <c r="AB897" s="378"/>
      <c r="AC897" s="378"/>
      <c r="AD897" s="378"/>
      <c r="AE897" s="378"/>
      <c r="AF897" s="378"/>
      <c r="AG897" s="378"/>
    </row>
    <row r="898">
      <c r="A898" s="378"/>
      <c r="B898" s="454" t="s">
        <v>721</v>
      </c>
      <c r="C898" s="460" t="str">
        <f>SUM(C889:C897)</f>
        <v>#N/A</v>
      </c>
      <c r="D898" s="440"/>
      <c r="E898" s="419"/>
      <c r="F898" s="419"/>
      <c r="G898" s="419"/>
      <c r="H898" s="429"/>
      <c r="I898" s="376"/>
      <c r="J898" s="458" t="s">
        <v>721</v>
      </c>
      <c r="K898" s="460">
        <f>SUM(K889:K897)</f>
        <v>0</v>
      </c>
      <c r="L898" s="440"/>
      <c r="M898" s="419"/>
      <c r="N898" s="431"/>
      <c r="O898" s="432"/>
      <c r="P898" s="429"/>
      <c r="Q898" s="378"/>
      <c r="R898" s="378"/>
      <c r="S898" s="378"/>
      <c r="T898" s="378"/>
      <c r="U898" s="378"/>
      <c r="V898" s="378"/>
      <c r="W898" s="378"/>
      <c r="X898" s="378"/>
      <c r="Y898" s="378"/>
      <c r="Z898" s="378"/>
      <c r="AA898" s="378"/>
      <c r="AB898" s="378"/>
      <c r="AC898" s="378"/>
      <c r="AD898" s="378"/>
      <c r="AE898" s="378"/>
      <c r="AF898" s="378"/>
      <c r="AG898" s="378"/>
    </row>
    <row r="899">
      <c r="A899" s="378"/>
      <c r="B899" s="471"/>
      <c r="C899" s="472"/>
      <c r="D899" s="472"/>
      <c r="E899" s="472"/>
      <c r="F899" s="472"/>
      <c r="G899" s="472"/>
      <c r="H899" s="473"/>
      <c r="I899" s="376"/>
      <c r="J899" s="474"/>
      <c r="K899" s="472"/>
      <c r="L899" s="472"/>
      <c r="M899" s="472"/>
      <c r="N899" s="475"/>
      <c r="O899" s="476"/>
      <c r="P899" s="473"/>
      <c r="Q899" s="378"/>
      <c r="R899" s="378"/>
      <c r="S899" s="378"/>
      <c r="T899" s="378"/>
      <c r="U899" s="378"/>
      <c r="V899" s="378"/>
      <c r="W899" s="378"/>
      <c r="X899" s="378"/>
      <c r="Y899" s="378"/>
      <c r="Z899" s="378"/>
      <c r="AA899" s="378"/>
      <c r="AB899" s="378"/>
      <c r="AC899" s="378"/>
      <c r="AD899" s="378"/>
      <c r="AE899" s="378"/>
      <c r="AF899" s="378"/>
      <c r="AG899" s="378"/>
    </row>
    <row r="900">
      <c r="A900" s="378"/>
      <c r="B900" s="477"/>
      <c r="C900" s="378"/>
      <c r="D900" s="378"/>
      <c r="E900" s="378"/>
      <c r="F900" s="378"/>
      <c r="G900" s="378"/>
      <c r="H900" s="378"/>
      <c r="I900" s="376"/>
      <c r="J900" s="377"/>
      <c r="K900" s="378"/>
      <c r="L900" s="378"/>
      <c r="M900" s="378"/>
      <c r="N900" s="379"/>
      <c r="O900" s="380"/>
      <c r="P900" s="378"/>
      <c r="Q900" s="378"/>
    </row>
    <row r="901">
      <c r="A901" s="378"/>
      <c r="B901" s="477"/>
      <c r="C901" s="378"/>
      <c r="D901" s="378"/>
      <c r="E901" s="378"/>
      <c r="F901" s="378"/>
      <c r="G901" s="378"/>
      <c r="H901" s="378"/>
      <c r="I901" s="376"/>
      <c r="J901" s="377"/>
      <c r="K901" s="378"/>
      <c r="L901" s="378"/>
      <c r="M901" s="378"/>
      <c r="N901" s="379"/>
      <c r="O901" s="380"/>
      <c r="P901" s="378"/>
      <c r="Q901" s="398"/>
    </row>
    <row r="902">
      <c r="A902" s="378"/>
      <c r="B902" s="382"/>
      <c r="C902" s="383"/>
      <c r="D902" s="384"/>
      <c r="E902" s="385" t="s">
        <v>700</v>
      </c>
      <c r="F902" s="385" t="str">
        <f>Board!A2</f>
        <v>11.17.25-11.23.25</v>
      </c>
      <c r="G902" s="213"/>
      <c r="H902" s="211"/>
      <c r="I902" s="386">
        <v>30.0</v>
      </c>
      <c r="J902" s="387"/>
      <c r="K902" s="388"/>
      <c r="L902" s="384"/>
      <c r="M902" s="385" t="s">
        <v>700</v>
      </c>
      <c r="N902" s="385" t="str">
        <f>Board!A33</f>
        <v>11.17.25-11.23.25</v>
      </c>
      <c r="O902" s="213"/>
      <c r="P902" s="211"/>
      <c r="Q902" s="378"/>
      <c r="R902" s="389" t="s">
        <v>831</v>
      </c>
      <c r="S902" s="389" t="s">
        <v>652</v>
      </c>
      <c r="T902" s="390" t="s">
        <v>832</v>
      </c>
      <c r="U902" s="391" t="s">
        <v>833</v>
      </c>
      <c r="V902" s="389" t="s">
        <v>655</v>
      </c>
      <c r="W902" s="389" t="s">
        <v>8</v>
      </c>
      <c r="X902" s="389" t="s">
        <v>656</v>
      </c>
      <c r="Y902" s="390" t="s">
        <v>834</v>
      </c>
      <c r="Z902" s="392" t="s">
        <v>835</v>
      </c>
      <c r="AA902" s="390" t="s">
        <v>836</v>
      </c>
      <c r="AB902" s="390" t="s">
        <v>837</v>
      </c>
      <c r="AC902" s="393" t="s">
        <v>716</v>
      </c>
      <c r="AD902" s="393" t="s">
        <v>717</v>
      </c>
      <c r="AE902" s="393" t="s">
        <v>718</v>
      </c>
      <c r="AF902" s="394" t="s">
        <v>838</v>
      </c>
      <c r="AG902" s="394"/>
    </row>
    <row r="903">
      <c r="A903" s="378"/>
      <c r="B903" s="395"/>
      <c r="C903" s="372"/>
      <c r="D903" s="396"/>
      <c r="E903" s="385" t="s">
        <v>702</v>
      </c>
      <c r="F903" s="385" t="s">
        <v>911</v>
      </c>
      <c r="G903" s="213"/>
      <c r="H903" s="211"/>
      <c r="I903" s="376"/>
      <c r="J903" s="397"/>
      <c r="K903" s="372"/>
      <c r="L903" s="396"/>
      <c r="M903" s="385" t="s">
        <v>351</v>
      </c>
      <c r="N903" s="385" t="s">
        <v>630</v>
      </c>
      <c r="O903" s="213"/>
      <c r="P903" s="211"/>
      <c r="Q903" s="398"/>
      <c r="R903" s="398">
        <f>I902</f>
        <v>30</v>
      </c>
      <c r="S903" s="398">
        <f>F904</f>
        <v>913</v>
      </c>
      <c r="T903" s="399">
        <f>G924</f>
        <v>3800</v>
      </c>
      <c r="U903" s="378" t="str">
        <f>N903</f>
        <v>Jeremy Potter</v>
      </c>
      <c r="V903" s="380">
        <f>O924</f>
        <v>1221.35</v>
      </c>
      <c r="W903" s="399">
        <f>P912</f>
        <v>1221.35</v>
      </c>
      <c r="X903" s="399">
        <f>C923</f>
        <v>1105.64</v>
      </c>
      <c r="Y903" s="400">
        <f>N912</f>
        <v>1879</v>
      </c>
      <c r="Z903" s="399">
        <f>V904-V903</f>
        <v>2578.65</v>
      </c>
      <c r="AA903" s="378"/>
      <c r="AB903" s="378"/>
      <c r="AC903" s="401" t="str">
        <f>C920</f>
        <v/>
      </c>
      <c r="AD903" s="401" t="str">
        <f>C921</f>
        <v/>
      </c>
      <c r="AE903" s="401" t="str">
        <f>C922</f>
        <v/>
      </c>
      <c r="AF903" s="398">
        <f>C924+C925+C926+C927+C928</f>
        <v>0</v>
      </c>
      <c r="AG903" s="398"/>
    </row>
    <row r="904">
      <c r="A904" s="378"/>
      <c r="B904" s="395"/>
      <c r="C904" s="372"/>
      <c r="D904" s="402"/>
      <c r="E904" s="385" t="s">
        <v>703</v>
      </c>
      <c r="F904" s="385">
        <v>913.0</v>
      </c>
      <c r="G904" s="213"/>
      <c r="H904" s="211"/>
      <c r="I904" s="376"/>
      <c r="J904" s="397"/>
      <c r="K904" s="372"/>
      <c r="L904" s="402"/>
      <c r="M904" s="385" t="s">
        <v>703</v>
      </c>
      <c r="N904" s="385">
        <v>913.0</v>
      </c>
      <c r="O904" s="213"/>
      <c r="P904" s="211"/>
      <c r="Q904" s="378"/>
      <c r="R904" s="378"/>
      <c r="S904" s="378"/>
      <c r="T904" s="378"/>
      <c r="U904" s="378" t="str">
        <f>F903</f>
        <v>Perli Ovio LLC</v>
      </c>
      <c r="V904" s="399">
        <f>G924</f>
        <v>3800</v>
      </c>
      <c r="W904" s="399">
        <f>H912</f>
        <v>3800</v>
      </c>
      <c r="X904" s="378"/>
      <c r="Y904" s="378"/>
      <c r="Z904" s="378"/>
      <c r="AA904" s="378"/>
      <c r="AB904" s="378"/>
      <c r="AC904" s="378"/>
      <c r="AD904" s="378"/>
      <c r="AE904" s="378"/>
      <c r="AF904" s="378"/>
      <c r="AG904" s="378"/>
    </row>
    <row r="905">
      <c r="A905" s="378"/>
      <c r="B905" s="403" t="s">
        <v>704</v>
      </c>
      <c r="C905" s="404" t="s">
        <v>5</v>
      </c>
      <c r="D905" s="405" t="s">
        <v>6</v>
      </c>
      <c r="E905" s="406" t="s">
        <v>7</v>
      </c>
      <c r="F905" s="404" t="s">
        <v>8</v>
      </c>
      <c r="G905" s="404" t="s">
        <v>706</v>
      </c>
      <c r="H905" s="404" t="s">
        <v>707</v>
      </c>
      <c r="I905" s="376"/>
      <c r="J905" s="407" t="s">
        <v>704</v>
      </c>
      <c r="K905" s="404" t="s">
        <v>5</v>
      </c>
      <c r="L905" s="405" t="s">
        <v>6</v>
      </c>
      <c r="M905" s="406" t="s">
        <v>7</v>
      </c>
      <c r="N905" s="404" t="s">
        <v>591</v>
      </c>
      <c r="O905" s="408" t="s">
        <v>708</v>
      </c>
      <c r="P905" s="404" t="s">
        <v>707</v>
      </c>
      <c r="Q905" s="398"/>
    </row>
    <row r="906">
      <c r="A906" s="378"/>
      <c r="B906" s="555">
        <f>IFERROR(__xludf.DUMMYFUNCTION("FILTER(Board!C:G,Board!K:K=F904)"),45982.0)</f>
        <v>45982</v>
      </c>
      <c r="C906" s="404">
        <f>IFERROR(__xludf.DUMMYFUNCTION("""COMPUTED_VALUE"""),1054.0)</f>
        <v>1054</v>
      </c>
      <c r="D906" s="405" t="str">
        <f>IFERROR(__xludf.DUMMYFUNCTION("""COMPUTED_VALUE"""),"La Junta, CO, 81050")</f>
        <v>La Junta, CO, 81050</v>
      </c>
      <c r="E906" s="406" t="str">
        <f>IFERROR(__xludf.DUMMYFUNCTION("""COMPUTED_VALUE"""),"La Junta, CO, 81050")</f>
        <v>La Junta, CO, 81050</v>
      </c>
      <c r="F906" s="417">
        <f>IFERROR(__xludf.DUMMYFUNCTION("""COMPUTED_VALUE"""),3800.0)</f>
        <v>3800</v>
      </c>
      <c r="G906" s="413">
        <v>1.0</v>
      </c>
      <c r="H906" s="414">
        <f>F906*G906</f>
        <v>3800</v>
      </c>
      <c r="I906" s="376"/>
      <c r="J906" s="645">
        <f>IFERROR(__xludf.DUMMYFUNCTION("FILTER(Board!C:F,Board!K:K=N904)"),45982.0)</f>
        <v>45982</v>
      </c>
      <c r="K906" s="404">
        <f>IFERROR(__xludf.DUMMYFUNCTION("""COMPUTED_VALUE"""),1054.0)</f>
        <v>1054</v>
      </c>
      <c r="L906" s="405" t="str">
        <f>IFERROR(__xludf.DUMMYFUNCTION("""COMPUTED_VALUE"""),"La Junta, CO, 81050")</f>
        <v>La Junta, CO, 81050</v>
      </c>
      <c r="M906" s="406" t="str">
        <f>IFERROR(__xludf.DUMMYFUNCTION("""COMPUTED_VALUE"""),"La Junta, CO, 81050")</f>
        <v>La Junta, CO, 81050</v>
      </c>
      <c r="N906" s="426">
        <f>IFERROR(__xludf.DUMMYFUNCTION("FILTER(Board!H:H,Board!K:K=N904)"),1879.0)</f>
        <v>1879</v>
      </c>
      <c r="O906" s="408">
        <v>0.65</v>
      </c>
      <c r="P906" s="417">
        <f>N906*O906</f>
        <v>1221.35</v>
      </c>
      <c r="Q906" s="378"/>
    </row>
    <row r="907">
      <c r="A907" s="378"/>
      <c r="B907" s="555"/>
      <c r="C907" s="404"/>
      <c r="D907" s="405"/>
      <c r="E907" s="406"/>
      <c r="F907" s="414"/>
      <c r="G907" s="413"/>
      <c r="H907" s="414"/>
      <c r="I907" s="376"/>
      <c r="J907" s="645"/>
      <c r="K907" s="404"/>
      <c r="L907" s="405"/>
      <c r="M907" s="406"/>
      <c r="N907" s="404"/>
      <c r="O907" s="408"/>
      <c r="P907" s="414"/>
      <c r="Q907" s="398"/>
    </row>
    <row r="908">
      <c r="A908" s="378"/>
      <c r="B908" s="420"/>
      <c r="C908" s="421"/>
      <c r="D908" s="422"/>
      <c r="E908" s="423"/>
      <c r="F908" s="421"/>
      <c r="G908" s="413"/>
      <c r="H908" s="414"/>
      <c r="I908" s="376"/>
      <c r="J908" s="424"/>
      <c r="K908" s="421"/>
      <c r="L908" s="422"/>
      <c r="M908" s="423"/>
      <c r="N908" s="425"/>
      <c r="O908" s="408"/>
      <c r="P908" s="414"/>
      <c r="Q908" s="378"/>
    </row>
    <row r="909">
      <c r="A909" s="378"/>
      <c r="B909" s="420"/>
      <c r="C909" s="421"/>
      <c r="D909" s="422"/>
      <c r="E909" s="423"/>
      <c r="F909" s="421"/>
      <c r="G909" s="413"/>
      <c r="H909" s="414"/>
      <c r="I909" s="376"/>
      <c r="J909" s="424"/>
      <c r="K909" s="421"/>
      <c r="L909" s="422"/>
      <c r="M909" s="423"/>
      <c r="N909" s="425"/>
      <c r="O909" s="408"/>
      <c r="P909" s="414"/>
      <c r="Q909" s="398"/>
    </row>
    <row r="910">
      <c r="A910" s="378"/>
      <c r="B910" s="420"/>
      <c r="C910" s="421"/>
      <c r="D910" s="422"/>
      <c r="E910" s="423"/>
      <c r="F910" s="421"/>
      <c r="G910" s="413"/>
      <c r="H910" s="414"/>
      <c r="I910" s="376"/>
      <c r="J910" s="424"/>
      <c r="K910" s="421"/>
      <c r="L910" s="422"/>
      <c r="M910" s="423"/>
      <c r="N910" s="425"/>
      <c r="O910" s="408"/>
      <c r="P910" s="414"/>
      <c r="Q910" s="378"/>
    </row>
    <row r="911">
      <c r="A911" s="378"/>
      <c r="B911" s="420"/>
      <c r="C911" s="421"/>
      <c r="D911" s="422"/>
      <c r="E911" s="423"/>
      <c r="F911" s="421"/>
      <c r="G911" s="413"/>
      <c r="H911" s="414"/>
      <c r="I911" s="376"/>
      <c r="J911" s="424"/>
      <c r="K911" s="421"/>
      <c r="L911" s="422"/>
      <c r="M911" s="423"/>
      <c r="N911" s="425"/>
      <c r="O911" s="408"/>
      <c r="P911" s="414"/>
      <c r="Q911" s="378"/>
    </row>
    <row r="912">
      <c r="A912" s="378"/>
      <c r="B912" s="403" t="s">
        <v>711</v>
      </c>
      <c r="C912" s="224"/>
      <c r="D912" s="224"/>
      <c r="E912" s="222"/>
      <c r="F912" s="414">
        <f>SUM(F906:F911)</f>
        <v>3800</v>
      </c>
      <c r="G912" s="421"/>
      <c r="H912" s="414">
        <f>SUM(H906:H911)</f>
        <v>3800</v>
      </c>
      <c r="I912" s="376"/>
      <c r="J912" s="407" t="s">
        <v>711</v>
      </c>
      <c r="K912" s="224"/>
      <c r="L912" s="224"/>
      <c r="M912" s="222"/>
      <c r="N912" s="426">
        <f>SUM(N906:N911)</f>
        <v>1879</v>
      </c>
      <c r="O912" s="427"/>
      <c r="P912" s="414">
        <f>SUM(P906:P911)</f>
        <v>1221.35</v>
      </c>
      <c r="Q912" s="378"/>
    </row>
    <row r="913">
      <c r="A913" s="378"/>
      <c r="B913" s="428"/>
      <c r="C913" s="419"/>
      <c r="D913" s="419"/>
      <c r="E913" s="419"/>
      <c r="F913" s="419"/>
      <c r="G913" s="419"/>
      <c r="H913" s="429"/>
      <c r="I913" s="376"/>
      <c r="J913" s="430"/>
      <c r="K913" s="419"/>
      <c r="L913" s="419"/>
      <c r="M913" s="419"/>
      <c r="N913" s="431"/>
      <c r="O913" s="432"/>
      <c r="P913" s="429"/>
      <c r="Q913" s="378"/>
    </row>
    <row r="914">
      <c r="A914" s="378"/>
      <c r="B914" s="433" t="s">
        <v>712</v>
      </c>
      <c r="C914" s="434"/>
      <c r="D914" s="435"/>
      <c r="E914" s="419"/>
      <c r="F914" s="441">
        <v>1221.35</v>
      </c>
      <c r="G914" s="442">
        <v>1.0</v>
      </c>
      <c r="H914" s="441">
        <v>1221.35</v>
      </c>
      <c r="I914" s="376"/>
      <c r="J914" s="437" t="s">
        <v>712</v>
      </c>
      <c r="K914" s="434"/>
      <c r="L914" s="435"/>
      <c r="M914" s="419"/>
      <c r="N914" s="431"/>
      <c r="O914" s="432"/>
      <c r="P914" s="429"/>
      <c r="Q914" s="378"/>
    </row>
    <row r="915">
      <c r="A915" s="378"/>
      <c r="B915" s="438" t="s">
        <v>912</v>
      </c>
      <c r="C915" s="439"/>
      <c r="D915" s="646" t="s">
        <v>913</v>
      </c>
      <c r="E915" s="419"/>
      <c r="F915" s="449"/>
      <c r="G915" s="442">
        <v>1.0</v>
      </c>
      <c r="H915" s="441">
        <v>0.0</v>
      </c>
      <c r="I915" s="376"/>
      <c r="J915" s="443"/>
      <c r="K915" s="439"/>
      <c r="L915" s="440"/>
      <c r="M915" s="419"/>
      <c r="N915" s="431"/>
      <c r="O915" s="432"/>
      <c r="P915" s="429"/>
      <c r="Q915" s="378"/>
    </row>
    <row r="916">
      <c r="A916" s="378"/>
      <c r="B916" s="444"/>
      <c r="C916" s="434"/>
      <c r="D916" s="435"/>
      <c r="E916" s="419"/>
      <c r="F916" s="449"/>
      <c r="G916" s="442">
        <v>1.0</v>
      </c>
      <c r="H916" s="441">
        <v>0.0</v>
      </c>
      <c r="I916" s="376"/>
      <c r="J916" s="445"/>
      <c r="K916" s="434"/>
      <c r="L916" s="435"/>
      <c r="M916" s="419"/>
      <c r="N916" s="446"/>
      <c r="O916" s="447"/>
      <c r="P916" s="448"/>
      <c r="Q916" s="378"/>
    </row>
    <row r="917">
      <c r="A917" s="378"/>
      <c r="B917" s="438" t="s">
        <v>714</v>
      </c>
      <c r="C917" s="439">
        <f>SUM(C915:C916)</f>
        <v>0</v>
      </c>
      <c r="D917" s="440"/>
      <c r="E917" s="419"/>
      <c r="F917" s="449"/>
      <c r="G917" s="442">
        <v>1.0</v>
      </c>
      <c r="H917" s="441">
        <v>0.0</v>
      </c>
      <c r="I917" s="376"/>
      <c r="J917" s="443" t="s">
        <v>714</v>
      </c>
      <c r="K917" s="439">
        <f>SUM(K915:K916)</f>
        <v>0</v>
      </c>
      <c r="L917" s="440"/>
      <c r="M917" s="419"/>
      <c r="N917" s="446"/>
      <c r="O917" s="447"/>
      <c r="P917" s="448"/>
      <c r="Q917" s="378"/>
    </row>
    <row r="918">
      <c r="A918" s="378"/>
      <c r="B918" s="450"/>
      <c r="C918" s="451"/>
      <c r="D918" s="419"/>
      <c r="E918" s="419"/>
      <c r="F918" s="463"/>
      <c r="G918" s="463"/>
      <c r="H918" s="448"/>
      <c r="I918" s="376"/>
      <c r="J918" s="535"/>
      <c r="K918" s="451"/>
      <c r="L918" s="419"/>
      <c r="M918" s="419"/>
      <c r="N918" s="446"/>
      <c r="O918" s="447"/>
      <c r="P918" s="448"/>
      <c r="Q918" s="378"/>
    </row>
    <row r="919">
      <c r="A919" s="378"/>
      <c r="B919" s="454" t="s">
        <v>715</v>
      </c>
      <c r="C919" s="455"/>
      <c r="D919" s="435"/>
      <c r="E919" s="419"/>
      <c r="F919" s="463"/>
      <c r="G919" s="463"/>
      <c r="H919" s="448"/>
      <c r="I919" s="376"/>
      <c r="J919" s="458" t="s">
        <v>715</v>
      </c>
      <c r="K919" s="455"/>
      <c r="L919" s="435"/>
      <c r="M919" s="419"/>
      <c r="N919" s="446"/>
      <c r="O919" s="447"/>
      <c r="P919" s="448"/>
      <c r="Q919" s="378"/>
    </row>
    <row r="920">
      <c r="A920" s="378"/>
      <c r="B920" s="459" t="s">
        <v>716</v>
      </c>
      <c r="C920" s="460"/>
      <c r="D920" s="440"/>
      <c r="E920" s="419"/>
      <c r="F920" s="463"/>
      <c r="G920" s="463"/>
      <c r="H920" s="448"/>
      <c r="I920" s="376"/>
      <c r="J920" s="462"/>
      <c r="K920" s="460"/>
      <c r="L920" s="440"/>
      <c r="M920" s="419"/>
      <c r="N920" s="446"/>
      <c r="O920" s="447"/>
      <c r="P920" s="448"/>
      <c r="Q920" s="378"/>
    </row>
    <row r="921">
      <c r="A921" s="378"/>
      <c r="B921" s="459" t="s">
        <v>717</v>
      </c>
      <c r="C921" s="460"/>
      <c r="D921" s="440"/>
      <c r="E921" s="419"/>
      <c r="F921" s="463"/>
      <c r="G921" s="463"/>
      <c r="H921" s="448"/>
      <c r="I921" s="376"/>
      <c r="J921" s="462"/>
      <c r="K921" s="460"/>
      <c r="L921" s="440"/>
      <c r="M921" s="419"/>
      <c r="N921" s="446"/>
      <c r="O921" s="447"/>
      <c r="P921" s="448"/>
      <c r="Q921" s="378"/>
    </row>
    <row r="922">
      <c r="A922" s="378"/>
      <c r="B922" s="459" t="s">
        <v>718</v>
      </c>
      <c r="C922" s="460"/>
      <c r="D922" s="440"/>
      <c r="E922" s="419"/>
      <c r="F922" s="463"/>
      <c r="G922" s="463"/>
      <c r="H922" s="448"/>
      <c r="I922" s="376"/>
      <c r="J922" s="462"/>
      <c r="K922" s="460"/>
      <c r="L922" s="440"/>
      <c r="M922" s="419"/>
      <c r="N922" s="446"/>
      <c r="O922" s="447"/>
      <c r="P922" s="448"/>
      <c r="Q922" s="378"/>
    </row>
    <row r="923">
      <c r="A923" s="378"/>
      <c r="B923" s="459" t="s">
        <v>656</v>
      </c>
      <c r="C923" s="460">
        <f>IFERROR(__xludf.DUMMYFUNCTION("FILTER(D968:D996,C968:C996=F904)"),1105.64)</f>
        <v>1105.64</v>
      </c>
      <c r="D923" s="440"/>
      <c r="E923" s="419"/>
      <c r="F923" s="463"/>
      <c r="G923" s="463"/>
      <c r="H923" s="448"/>
      <c r="I923" s="376"/>
      <c r="J923" s="462"/>
      <c r="K923" s="460"/>
      <c r="L923" s="440"/>
      <c r="M923" s="419"/>
      <c r="N923" s="446"/>
      <c r="O923" s="447"/>
      <c r="P923" s="448"/>
      <c r="Q923" s="378"/>
    </row>
    <row r="924">
      <c r="A924" s="378"/>
      <c r="B924" s="464"/>
      <c r="C924" s="455"/>
      <c r="D924" s="435"/>
      <c r="E924" s="419"/>
      <c r="F924" s="468" t="s">
        <v>842</v>
      </c>
      <c r="G924" s="466">
        <f>H912+C917-C929</f>
        <v>3800</v>
      </c>
      <c r="H924" s="211"/>
      <c r="I924" s="376"/>
      <c r="J924" s="467"/>
      <c r="K924" s="455"/>
      <c r="L924" s="435"/>
      <c r="M924" s="419"/>
      <c r="N924" s="568" t="s">
        <v>910</v>
      </c>
      <c r="O924" s="539">
        <f>P912+K917-K929</f>
        <v>1221.35</v>
      </c>
      <c r="P924" s="211"/>
      <c r="Q924" s="378"/>
    </row>
    <row r="925">
      <c r="A925" s="378"/>
      <c r="B925" s="464"/>
      <c r="C925" s="455"/>
      <c r="D925" s="435"/>
      <c r="E925" s="419"/>
      <c r="F925" s="469" t="s">
        <v>843</v>
      </c>
      <c r="G925" s="278"/>
      <c r="H925" s="56"/>
      <c r="I925" s="376"/>
      <c r="J925" s="467"/>
      <c r="K925" s="455"/>
      <c r="L925" s="435"/>
      <c r="M925" s="419"/>
      <c r="N925" s="55"/>
      <c r="O925" s="278"/>
      <c r="P925" s="56"/>
      <c r="Q925" s="378"/>
    </row>
    <row r="926">
      <c r="A926" s="378"/>
      <c r="B926" s="464"/>
      <c r="C926" s="455"/>
      <c r="D926" s="435"/>
      <c r="E926" s="419"/>
      <c r="F926" s="470"/>
      <c r="G926" s="215"/>
      <c r="H926" s="64"/>
      <c r="I926" s="376"/>
      <c r="J926" s="467"/>
      <c r="K926" s="455"/>
      <c r="L926" s="435"/>
      <c r="M926" s="419"/>
      <c r="N926" s="60"/>
      <c r="O926" s="215"/>
      <c r="P926" s="64"/>
      <c r="Q926" s="378"/>
    </row>
    <row r="927">
      <c r="A927" s="378"/>
      <c r="B927" s="464"/>
      <c r="C927" s="455"/>
      <c r="D927" s="435"/>
      <c r="E927" s="419"/>
      <c r="F927" s="419"/>
      <c r="G927" s="419"/>
      <c r="H927" s="429"/>
      <c r="I927" s="376"/>
      <c r="J927" s="467"/>
      <c r="K927" s="455"/>
      <c r="L927" s="435"/>
      <c r="M927" s="419"/>
      <c r="N927" s="431"/>
      <c r="O927" s="432"/>
      <c r="P927" s="429"/>
      <c r="Q927" s="378"/>
    </row>
    <row r="928">
      <c r="A928" s="378"/>
      <c r="B928" s="464"/>
      <c r="C928" s="455"/>
      <c r="D928" s="435"/>
      <c r="E928" s="419"/>
      <c r="F928" s="419"/>
      <c r="G928" s="419"/>
      <c r="H928" s="429"/>
      <c r="I928" s="376"/>
      <c r="J928" s="467"/>
      <c r="K928" s="455"/>
      <c r="L928" s="435"/>
      <c r="M928" s="419"/>
      <c r="N928" s="431"/>
      <c r="O928" s="432"/>
      <c r="P928" s="429"/>
      <c r="Q928" s="378"/>
    </row>
    <row r="929">
      <c r="A929" s="378"/>
      <c r="B929" s="454" t="s">
        <v>721</v>
      </c>
      <c r="C929" s="460"/>
      <c r="D929" s="440"/>
      <c r="E929" s="419"/>
      <c r="F929" s="419"/>
      <c r="G929" s="419"/>
      <c r="H929" s="429"/>
      <c r="I929" s="376"/>
      <c r="J929" s="458" t="s">
        <v>721</v>
      </c>
      <c r="K929" s="460">
        <f>SUM(K920:K928)</f>
        <v>0</v>
      </c>
      <c r="L929" s="440"/>
      <c r="M929" s="419"/>
      <c r="N929" s="431"/>
      <c r="O929" s="432"/>
      <c r="P929" s="429"/>
      <c r="Q929" s="378"/>
    </row>
    <row r="930">
      <c r="A930" s="378"/>
      <c r="B930" s="471"/>
      <c r="C930" s="472"/>
      <c r="D930" s="472"/>
      <c r="E930" s="472"/>
      <c r="F930" s="472"/>
      <c r="G930" s="472"/>
      <c r="H930" s="473"/>
      <c r="I930" s="376"/>
      <c r="J930" s="474"/>
      <c r="K930" s="472"/>
      <c r="L930" s="472"/>
      <c r="M930" s="472"/>
      <c r="N930" s="475"/>
      <c r="O930" s="476"/>
      <c r="P930" s="473"/>
      <c r="Q930" s="378"/>
    </row>
    <row r="931">
      <c r="A931" s="378"/>
      <c r="B931" s="477"/>
      <c r="C931" s="378"/>
      <c r="D931" s="378"/>
      <c r="E931" s="378"/>
      <c r="F931" s="378"/>
      <c r="G931" s="378"/>
      <c r="H931" s="378"/>
      <c r="I931" s="376"/>
      <c r="J931" s="377"/>
      <c r="K931" s="378"/>
      <c r="L931" s="378"/>
      <c r="M931" s="378"/>
      <c r="N931" s="379"/>
      <c r="O931" s="380"/>
      <c r="P931" s="378"/>
      <c r="Q931" s="378"/>
    </row>
    <row r="932">
      <c r="A932" s="378"/>
      <c r="B932" s="477"/>
      <c r="C932" s="378"/>
      <c r="D932" s="378"/>
      <c r="E932" s="378"/>
      <c r="F932" s="378"/>
      <c r="G932" s="378"/>
      <c r="H932" s="378"/>
      <c r="I932" s="376"/>
      <c r="J932" s="377"/>
      <c r="K932" s="378"/>
      <c r="L932" s="378"/>
      <c r="M932" s="378"/>
      <c r="N932" s="379"/>
      <c r="O932" s="380"/>
      <c r="P932" s="378"/>
      <c r="Q932" s="378"/>
    </row>
    <row r="933">
      <c r="A933" s="378"/>
      <c r="B933" s="382"/>
      <c r="C933" s="479"/>
      <c r="D933" s="384"/>
      <c r="E933" s="385" t="s">
        <v>700</v>
      </c>
      <c r="F933" s="385" t="str">
        <f>Board!A2</f>
        <v>11.17.25-11.23.25</v>
      </c>
      <c r="G933" s="213"/>
      <c r="H933" s="211"/>
      <c r="I933" s="386">
        <v>31.0</v>
      </c>
      <c r="J933" s="377"/>
      <c r="K933" s="378"/>
      <c r="L933" s="378"/>
      <c r="M933" s="378"/>
      <c r="N933" s="379"/>
      <c r="O933" s="380"/>
      <c r="P933" s="378"/>
      <c r="Q933" s="378"/>
      <c r="R933" s="389" t="s">
        <v>831</v>
      </c>
      <c r="S933" s="389" t="s">
        <v>652</v>
      </c>
      <c r="T933" s="390" t="s">
        <v>832</v>
      </c>
      <c r="U933" s="391" t="s">
        <v>833</v>
      </c>
      <c r="V933" s="389" t="s">
        <v>655</v>
      </c>
      <c r="W933" s="389" t="s">
        <v>8</v>
      </c>
      <c r="X933" s="389" t="s">
        <v>656</v>
      </c>
      <c r="Y933" s="390" t="s">
        <v>834</v>
      </c>
      <c r="Z933" s="392" t="s">
        <v>835</v>
      </c>
      <c r="AA933" s="390" t="s">
        <v>836</v>
      </c>
      <c r="AB933" s="390" t="s">
        <v>837</v>
      </c>
      <c r="AC933" s="393" t="s">
        <v>716</v>
      </c>
      <c r="AD933" s="393" t="s">
        <v>717</v>
      </c>
      <c r="AE933" s="393" t="s">
        <v>718</v>
      </c>
      <c r="AF933" s="394" t="s">
        <v>838</v>
      </c>
      <c r="AG933" s="394"/>
    </row>
    <row r="934">
      <c r="A934" s="378"/>
      <c r="B934" s="395"/>
      <c r="C934" s="372"/>
      <c r="D934" s="396"/>
      <c r="E934" s="385" t="s">
        <v>702</v>
      </c>
      <c r="F934" s="385"/>
      <c r="G934" s="213"/>
      <c r="H934" s="211"/>
      <c r="I934" s="376"/>
      <c r="J934" s="377"/>
      <c r="K934" s="378"/>
      <c r="L934" s="378"/>
      <c r="M934" s="378"/>
      <c r="N934" s="379"/>
      <c r="O934" s="380"/>
      <c r="P934" s="378"/>
      <c r="Q934" s="378"/>
      <c r="R934" s="398">
        <f>I933</f>
        <v>31</v>
      </c>
      <c r="S934" s="398" t="str">
        <f>F935</f>
        <v/>
      </c>
      <c r="T934" s="399" t="str">
        <f>G955</f>
        <v/>
      </c>
      <c r="U934" s="378" t="str">
        <f>N934</f>
        <v/>
      </c>
      <c r="V934" s="380" t="str">
        <f>O955</f>
        <v/>
      </c>
      <c r="W934" s="378" t="str">
        <f>P943</f>
        <v/>
      </c>
      <c r="X934" s="399" t="str">
        <f>C954</f>
        <v/>
      </c>
      <c r="Y934" s="378" t="str">
        <f>N943</f>
        <v/>
      </c>
      <c r="Z934" s="399">
        <f>V935-V934</f>
        <v>0</v>
      </c>
      <c r="AA934" s="378"/>
      <c r="AB934" s="378"/>
      <c r="AC934" s="401" t="str">
        <f>C951</f>
        <v/>
      </c>
      <c r="AD934" s="401" t="str">
        <f>C952</f>
        <v/>
      </c>
      <c r="AE934" s="401" t="str">
        <f>C953</f>
        <v/>
      </c>
      <c r="AF934" s="398">
        <f>C955+C956+C957+C958+C959</f>
        <v>0</v>
      </c>
      <c r="AG934" s="398"/>
    </row>
    <row r="935">
      <c r="A935" s="378"/>
      <c r="B935" s="395"/>
      <c r="C935" s="372"/>
      <c r="D935" s="402"/>
      <c r="E935" s="385" t="s">
        <v>703</v>
      </c>
      <c r="F935" s="385"/>
      <c r="G935" s="213"/>
      <c r="H935" s="211"/>
      <c r="I935" s="376"/>
      <c r="J935" s="377"/>
      <c r="K935" s="378"/>
      <c r="L935" s="378"/>
      <c r="M935" s="378"/>
      <c r="N935" s="379"/>
      <c r="O935" s="380"/>
      <c r="P935" s="378"/>
      <c r="Q935" s="378"/>
      <c r="R935" s="378"/>
      <c r="S935" s="378"/>
      <c r="T935" s="378"/>
      <c r="U935" s="378" t="str">
        <f>F934</f>
        <v/>
      </c>
      <c r="V935" s="399" t="str">
        <f>G955</f>
        <v/>
      </c>
      <c r="W935" s="399" t="str">
        <f>H943</f>
        <v/>
      </c>
      <c r="X935" s="378"/>
      <c r="Y935" s="378"/>
      <c r="Z935" s="378"/>
      <c r="AA935" s="378"/>
      <c r="AB935" s="378"/>
      <c r="AC935" s="378"/>
      <c r="AD935" s="378"/>
      <c r="AE935" s="378"/>
      <c r="AF935" s="378"/>
      <c r="AG935" s="378"/>
    </row>
    <row r="936">
      <c r="A936" s="378"/>
      <c r="B936" s="403" t="s">
        <v>704</v>
      </c>
      <c r="C936" s="404" t="s">
        <v>5</v>
      </c>
      <c r="D936" s="405" t="s">
        <v>6</v>
      </c>
      <c r="E936" s="406" t="s">
        <v>7</v>
      </c>
      <c r="F936" s="404" t="s">
        <v>8</v>
      </c>
      <c r="G936" s="404" t="s">
        <v>706</v>
      </c>
      <c r="H936" s="404" t="s">
        <v>707</v>
      </c>
      <c r="I936" s="376"/>
      <c r="J936" s="377"/>
      <c r="K936" s="378"/>
      <c r="L936" s="378"/>
      <c r="M936" s="378"/>
      <c r="N936" s="379"/>
      <c r="O936" s="380"/>
      <c r="P936" s="378"/>
      <c r="Q936" s="378"/>
    </row>
    <row r="937">
      <c r="A937" s="378"/>
      <c r="B937" s="555" t="str">
        <f>IFERROR(__xludf.DUMMYFUNCTION("FILTER(Board!C:G,Board!K:K=F935)"),"#REF!")</f>
        <v>#REF!</v>
      </c>
      <c r="C937" s="404"/>
      <c r="D937" s="405"/>
      <c r="E937" s="406"/>
      <c r="F937" s="414"/>
      <c r="G937" s="413"/>
      <c r="H937" s="414"/>
      <c r="I937" s="376"/>
      <c r="J937" s="377"/>
      <c r="K937" s="378"/>
      <c r="L937" s="378"/>
      <c r="M937" s="378"/>
      <c r="N937" s="379"/>
      <c r="O937" s="380"/>
      <c r="P937" s="378"/>
      <c r="Q937" s="378"/>
    </row>
    <row r="938">
      <c r="A938" s="378"/>
      <c r="B938" s="555"/>
      <c r="C938" s="404"/>
      <c r="D938" s="405"/>
      <c r="E938" s="406"/>
      <c r="F938" s="414"/>
      <c r="G938" s="413"/>
      <c r="H938" s="414"/>
      <c r="I938" s="376"/>
      <c r="J938" s="377"/>
      <c r="K938" s="378"/>
      <c r="L938" s="378"/>
      <c r="M938" s="378"/>
      <c r="N938" s="379"/>
      <c r="O938" s="380"/>
      <c r="P938" s="378"/>
      <c r="Q938" s="378"/>
    </row>
    <row r="939">
      <c r="A939" s="378"/>
      <c r="B939" s="420"/>
      <c r="C939" s="421"/>
      <c r="D939" s="422"/>
      <c r="E939" s="423"/>
      <c r="F939" s="421"/>
      <c r="G939" s="413"/>
      <c r="H939" s="414"/>
      <c r="I939" s="376"/>
      <c r="J939" s="377"/>
      <c r="K939" s="378"/>
      <c r="L939" s="378"/>
      <c r="M939" s="378"/>
      <c r="N939" s="379"/>
      <c r="O939" s="380"/>
      <c r="P939" s="378"/>
      <c r="Q939" s="378"/>
    </row>
    <row r="940">
      <c r="A940" s="378"/>
      <c r="B940" s="420"/>
      <c r="C940" s="421"/>
      <c r="D940" s="422"/>
      <c r="E940" s="423"/>
      <c r="F940" s="421"/>
      <c r="G940" s="413"/>
      <c r="H940" s="414"/>
      <c r="I940" s="376"/>
      <c r="J940" s="377"/>
      <c r="K940" s="378"/>
      <c r="L940" s="378"/>
      <c r="M940" s="378"/>
      <c r="N940" s="379"/>
      <c r="O940" s="380"/>
      <c r="P940" s="378"/>
      <c r="Q940" s="378"/>
    </row>
    <row r="941">
      <c r="A941" s="378"/>
      <c r="B941" s="420"/>
      <c r="C941" s="421"/>
      <c r="D941" s="422"/>
      <c r="E941" s="423"/>
      <c r="F941" s="421"/>
      <c r="G941" s="413"/>
      <c r="H941" s="414"/>
      <c r="I941" s="376"/>
      <c r="J941" s="377"/>
      <c r="K941" s="378"/>
      <c r="L941" s="378"/>
      <c r="M941" s="378"/>
      <c r="N941" s="379"/>
      <c r="O941" s="380"/>
      <c r="P941" s="378"/>
      <c r="Q941" s="378"/>
    </row>
    <row r="942">
      <c r="A942" s="378"/>
      <c r="B942" s="420"/>
      <c r="C942" s="421"/>
      <c r="D942" s="422"/>
      <c r="E942" s="423"/>
      <c r="F942" s="421"/>
      <c r="G942" s="413"/>
      <c r="H942" s="414"/>
      <c r="I942" s="376"/>
      <c r="J942" s="377"/>
      <c r="K942" s="378"/>
      <c r="L942" s="378"/>
      <c r="M942" s="378"/>
      <c r="N942" s="379"/>
      <c r="O942" s="380"/>
      <c r="P942" s="378"/>
      <c r="Q942" s="378"/>
    </row>
    <row r="943">
      <c r="A943" s="378"/>
      <c r="B943" s="403" t="s">
        <v>711</v>
      </c>
      <c r="C943" s="224"/>
      <c r="D943" s="224"/>
      <c r="E943" s="222"/>
      <c r="F943" s="414"/>
      <c r="G943" s="421"/>
      <c r="H943" s="414"/>
      <c r="I943" s="376"/>
      <c r="J943" s="377"/>
      <c r="K943" s="378"/>
      <c r="L943" s="378"/>
      <c r="M943" s="378"/>
      <c r="N943" s="379"/>
      <c r="O943" s="380"/>
      <c r="P943" s="378"/>
      <c r="Q943" s="378"/>
    </row>
    <row r="944">
      <c r="A944" s="378"/>
      <c r="B944" s="428"/>
      <c r="C944" s="419"/>
      <c r="D944" s="419"/>
      <c r="E944" s="419"/>
      <c r="F944" s="419"/>
      <c r="G944" s="419"/>
      <c r="H944" s="429"/>
      <c r="I944" s="376"/>
      <c r="J944" s="377"/>
      <c r="K944" s="378"/>
      <c r="L944" s="378"/>
      <c r="M944" s="378"/>
      <c r="N944" s="379"/>
      <c r="O944" s="380"/>
      <c r="P944" s="378"/>
      <c r="Q944" s="378"/>
    </row>
    <row r="945">
      <c r="A945" s="378"/>
      <c r="B945" s="433" t="s">
        <v>712</v>
      </c>
      <c r="C945" s="434"/>
      <c r="D945" s="435"/>
      <c r="E945" s="419"/>
      <c r="F945" s="419"/>
      <c r="G945" s="419"/>
      <c r="H945" s="429"/>
      <c r="I945" s="376"/>
      <c r="J945" s="377"/>
      <c r="K945" s="378"/>
      <c r="L945" s="378"/>
      <c r="M945" s="378"/>
      <c r="N945" s="379"/>
      <c r="O945" s="380"/>
      <c r="P945" s="378"/>
      <c r="Q945" s="378"/>
    </row>
    <row r="946">
      <c r="A946" s="378"/>
      <c r="B946" s="438" t="s">
        <v>713</v>
      </c>
      <c r="C946" s="439"/>
      <c r="D946" s="440"/>
      <c r="E946" s="419"/>
      <c r="F946" s="419"/>
      <c r="G946" s="419"/>
      <c r="H946" s="429"/>
      <c r="I946" s="376"/>
      <c r="J946" s="377"/>
      <c r="K946" s="378"/>
      <c r="L946" s="378"/>
      <c r="M946" s="378"/>
      <c r="N946" s="379"/>
      <c r="O946" s="380"/>
      <c r="P946" s="378"/>
      <c r="Q946" s="378"/>
    </row>
    <row r="947">
      <c r="A947" s="378"/>
      <c r="B947" s="444"/>
      <c r="C947" s="434"/>
      <c r="D947" s="435"/>
      <c r="E947" s="419"/>
      <c r="F947" s="463"/>
      <c r="G947" s="463"/>
      <c r="H947" s="448"/>
      <c r="I947" s="376"/>
      <c r="J947" s="377"/>
      <c r="K947" s="378"/>
      <c r="L947" s="378"/>
      <c r="M947" s="378"/>
      <c r="N947" s="379"/>
      <c r="O947" s="380"/>
      <c r="P947" s="378"/>
      <c r="Q947" s="378"/>
    </row>
    <row r="948">
      <c r="A948" s="378"/>
      <c r="B948" s="438" t="s">
        <v>714</v>
      </c>
      <c r="C948" s="439"/>
      <c r="D948" s="440"/>
      <c r="E948" s="419"/>
      <c r="F948" s="463"/>
      <c r="G948" s="463"/>
      <c r="H948" s="448"/>
      <c r="I948" s="376"/>
      <c r="J948" s="377"/>
      <c r="K948" s="378"/>
      <c r="L948" s="378"/>
      <c r="M948" s="378"/>
      <c r="N948" s="379"/>
      <c r="O948" s="380"/>
      <c r="P948" s="378"/>
      <c r="Q948" s="378"/>
    </row>
    <row r="949">
      <c r="A949" s="378"/>
      <c r="B949" s="450"/>
      <c r="C949" s="451"/>
      <c r="D949" s="419"/>
      <c r="E949" s="419"/>
      <c r="F949" s="463"/>
      <c r="G949" s="463"/>
      <c r="H949" s="448"/>
      <c r="I949" s="376"/>
      <c r="J949" s="377"/>
      <c r="K949" s="378"/>
      <c r="L949" s="378"/>
      <c r="M949" s="378"/>
      <c r="N949" s="379"/>
      <c r="O949" s="380"/>
      <c r="P949" s="378"/>
      <c r="Q949" s="378"/>
    </row>
    <row r="950">
      <c r="A950" s="378"/>
      <c r="B950" s="454" t="s">
        <v>715</v>
      </c>
      <c r="C950" s="455"/>
      <c r="D950" s="435"/>
      <c r="E950" s="419"/>
      <c r="F950" s="463"/>
      <c r="G950" s="463"/>
      <c r="H950" s="448"/>
      <c r="I950" s="376"/>
      <c r="J950" s="377"/>
      <c r="K950" s="378"/>
      <c r="L950" s="378"/>
      <c r="M950" s="378"/>
      <c r="N950" s="379"/>
      <c r="O950" s="380"/>
      <c r="P950" s="378"/>
      <c r="Q950" s="378"/>
    </row>
    <row r="951">
      <c r="A951" s="378"/>
      <c r="B951" s="459" t="s">
        <v>716</v>
      </c>
      <c r="C951" s="460"/>
      <c r="D951" s="440"/>
      <c r="E951" s="419"/>
      <c r="F951" s="463"/>
      <c r="G951" s="463"/>
      <c r="H951" s="448"/>
      <c r="I951" s="376"/>
      <c r="J951" s="377"/>
      <c r="K951" s="378"/>
      <c r="L951" s="378"/>
      <c r="M951" s="378"/>
      <c r="N951" s="379"/>
      <c r="O951" s="380"/>
      <c r="P951" s="378"/>
      <c r="Q951" s="378"/>
    </row>
    <row r="952">
      <c r="A952" s="378"/>
      <c r="B952" s="459" t="s">
        <v>717</v>
      </c>
      <c r="C952" s="460"/>
      <c r="D952" s="440"/>
      <c r="E952" s="419"/>
      <c r="F952" s="463"/>
      <c r="G952" s="463"/>
      <c r="H952" s="448"/>
      <c r="I952" s="376"/>
      <c r="J952" s="377"/>
      <c r="K952" s="378"/>
      <c r="L952" s="378"/>
      <c r="M952" s="378"/>
      <c r="N952" s="379"/>
      <c r="O952" s="380"/>
      <c r="P952" s="378"/>
      <c r="Q952" s="378"/>
    </row>
    <row r="953">
      <c r="A953" s="378"/>
      <c r="B953" s="459" t="s">
        <v>718</v>
      </c>
      <c r="C953" s="460"/>
      <c r="D953" s="440"/>
      <c r="E953" s="419"/>
      <c r="F953" s="463"/>
      <c r="G953" s="463"/>
      <c r="H953" s="448"/>
      <c r="I953" s="376"/>
      <c r="J953" s="377"/>
      <c r="K953" s="378"/>
      <c r="L953" s="378"/>
      <c r="M953" s="378"/>
      <c r="N953" s="379"/>
      <c r="O953" s="380"/>
      <c r="P953" s="378"/>
      <c r="Q953" s="378"/>
    </row>
    <row r="954">
      <c r="A954" s="378"/>
      <c r="B954" s="459" t="s">
        <v>656</v>
      </c>
      <c r="C954" s="460"/>
      <c r="D954" s="440"/>
      <c r="E954" s="419"/>
      <c r="F954" s="463"/>
      <c r="G954" s="463"/>
      <c r="H954" s="448"/>
      <c r="I954" s="376"/>
      <c r="J954" s="377"/>
      <c r="K954" s="378"/>
      <c r="L954" s="378"/>
      <c r="M954" s="378"/>
      <c r="N954" s="379"/>
      <c r="O954" s="380"/>
      <c r="P954" s="378"/>
      <c r="Q954" s="378"/>
    </row>
    <row r="955">
      <c r="A955" s="378"/>
      <c r="B955" s="464"/>
      <c r="C955" s="455"/>
      <c r="D955" s="435"/>
      <c r="E955" s="419"/>
      <c r="F955" s="468" t="s">
        <v>842</v>
      </c>
      <c r="G955" s="564"/>
      <c r="H955" s="211"/>
      <c r="I955" s="376"/>
      <c r="J955" s="377"/>
      <c r="K955" s="378"/>
      <c r="L955" s="378"/>
      <c r="M955" s="378"/>
      <c r="N955" s="379"/>
      <c r="O955" s="380"/>
      <c r="P955" s="378"/>
      <c r="Q955" s="378"/>
    </row>
    <row r="956">
      <c r="A956" s="378"/>
      <c r="B956" s="464"/>
      <c r="C956" s="455"/>
      <c r="D956" s="435"/>
      <c r="E956" s="419"/>
      <c r="F956" s="469" t="s">
        <v>843</v>
      </c>
      <c r="G956" s="278"/>
      <c r="H956" s="56"/>
      <c r="I956" s="376"/>
      <c r="J956" s="377"/>
      <c r="K956" s="378"/>
      <c r="L956" s="378"/>
      <c r="M956" s="378"/>
      <c r="N956" s="379"/>
      <c r="O956" s="380"/>
      <c r="P956" s="378"/>
      <c r="Q956" s="378"/>
    </row>
    <row r="957">
      <c r="A957" s="378"/>
      <c r="B957" s="464"/>
      <c r="C957" s="455"/>
      <c r="D957" s="435"/>
      <c r="E957" s="419"/>
      <c r="F957" s="470"/>
      <c r="G957" s="215"/>
      <c r="H957" s="64"/>
      <c r="I957" s="376"/>
      <c r="J957" s="377"/>
      <c r="K957" s="378"/>
      <c r="L957" s="378"/>
      <c r="M957" s="378"/>
      <c r="N957" s="379"/>
      <c r="O957" s="380"/>
      <c r="P957" s="378"/>
      <c r="Q957" s="378"/>
    </row>
    <row r="958">
      <c r="A958" s="378"/>
      <c r="B958" s="464"/>
      <c r="C958" s="455"/>
      <c r="D958" s="435"/>
      <c r="E958" s="419"/>
      <c r="F958" s="419"/>
      <c r="G958" s="419"/>
      <c r="H958" s="429"/>
      <c r="I958" s="376"/>
      <c r="J958" s="377"/>
      <c r="K958" s="378"/>
      <c r="L958" s="378"/>
      <c r="M958" s="378"/>
      <c r="N958" s="379"/>
      <c r="O958" s="380"/>
      <c r="P958" s="378"/>
      <c r="Q958" s="378"/>
    </row>
    <row r="959">
      <c r="A959" s="378"/>
      <c r="B959" s="464"/>
      <c r="C959" s="455"/>
      <c r="D959" s="435"/>
      <c r="E959" s="419"/>
      <c r="F959" s="419"/>
      <c r="G959" s="419"/>
      <c r="H959" s="429"/>
      <c r="I959" s="376"/>
      <c r="J959" s="377"/>
      <c r="K959" s="378"/>
      <c r="L959" s="378"/>
      <c r="M959" s="378"/>
      <c r="N959" s="379"/>
      <c r="O959" s="380"/>
      <c r="P959" s="378"/>
      <c r="Q959" s="378"/>
      <c r="R959" s="378"/>
      <c r="S959" s="378"/>
      <c r="T959" s="378"/>
      <c r="U959" s="378"/>
      <c r="V959" s="378"/>
      <c r="W959" s="378"/>
      <c r="X959" s="378"/>
      <c r="Y959" s="378"/>
      <c r="Z959" s="378"/>
      <c r="AA959" s="378"/>
      <c r="AB959" s="378"/>
      <c r="AC959" s="378"/>
      <c r="AD959" s="378"/>
      <c r="AE959" s="378"/>
      <c r="AF959" s="378"/>
      <c r="AG959" s="378"/>
    </row>
    <row r="960">
      <c r="A960" s="378"/>
      <c r="B960" s="454" t="s">
        <v>721</v>
      </c>
      <c r="C960" s="460"/>
      <c r="D960" s="440"/>
      <c r="E960" s="419"/>
      <c r="F960" s="419"/>
      <c r="G960" s="419"/>
      <c r="H960" s="429"/>
      <c r="I960" s="376"/>
      <c r="J960" s="377"/>
      <c r="K960" s="378"/>
      <c r="L960" s="378"/>
      <c r="M960" s="378"/>
      <c r="N960" s="379"/>
      <c r="O960" s="380"/>
      <c r="P960" s="378"/>
      <c r="Q960" s="378"/>
    </row>
    <row r="961">
      <c r="A961" s="378"/>
      <c r="B961" s="471"/>
      <c r="C961" s="472"/>
      <c r="D961" s="472"/>
      <c r="E961" s="472"/>
      <c r="F961" s="472"/>
      <c r="G961" s="472"/>
      <c r="H961" s="473"/>
      <c r="I961" s="376"/>
      <c r="J961" s="377"/>
      <c r="K961" s="378"/>
      <c r="L961" s="378"/>
      <c r="M961" s="378"/>
      <c r="N961" s="379"/>
      <c r="O961" s="380"/>
      <c r="P961" s="378"/>
      <c r="Q961" s="378"/>
    </row>
    <row r="962">
      <c r="A962" s="378"/>
      <c r="B962" s="477"/>
      <c r="C962" s="378"/>
      <c r="D962" s="378"/>
      <c r="E962" s="378"/>
      <c r="F962" s="378"/>
      <c r="G962" s="378"/>
      <c r="H962" s="378"/>
      <c r="I962" s="376"/>
      <c r="J962" s="377"/>
      <c r="K962" s="378"/>
      <c r="L962" s="378"/>
      <c r="M962" s="378"/>
      <c r="N962" s="379"/>
      <c r="O962" s="380"/>
      <c r="P962" s="378"/>
      <c r="Q962" s="378"/>
    </row>
    <row r="963">
      <c r="A963" s="378"/>
      <c r="B963" s="477"/>
      <c r="C963" s="378"/>
      <c r="D963" s="378"/>
      <c r="E963" s="378"/>
      <c r="F963" s="378"/>
      <c r="G963" s="378"/>
      <c r="H963" s="378"/>
      <c r="I963" s="376"/>
      <c r="J963" s="376"/>
      <c r="K963" s="376"/>
      <c r="L963" s="376"/>
      <c r="M963" s="376"/>
      <c r="N963" s="376"/>
      <c r="O963" s="376"/>
      <c r="P963" s="376"/>
      <c r="Q963" s="376"/>
      <c r="R963" s="647" t="s">
        <v>831</v>
      </c>
      <c r="S963" s="647" t="s">
        <v>652</v>
      </c>
      <c r="T963" s="648" t="s">
        <v>832</v>
      </c>
      <c r="U963" s="649" t="s">
        <v>833</v>
      </c>
      <c r="V963" s="647" t="s">
        <v>655</v>
      </c>
      <c r="W963" s="647" t="s">
        <v>8</v>
      </c>
      <c r="X963" s="647" t="s">
        <v>656</v>
      </c>
      <c r="Y963" s="648" t="s">
        <v>834</v>
      </c>
      <c r="Z963" s="650" t="s">
        <v>835</v>
      </c>
      <c r="AA963" s="648" t="s">
        <v>836</v>
      </c>
      <c r="AB963" s="648" t="s">
        <v>837</v>
      </c>
      <c r="AC963" s="651" t="s">
        <v>716</v>
      </c>
      <c r="AD963" s="651" t="s">
        <v>717</v>
      </c>
      <c r="AE963" s="651" t="s">
        <v>718</v>
      </c>
      <c r="AF963" s="394" t="s">
        <v>838</v>
      </c>
      <c r="AG963" s="394"/>
    </row>
    <row r="964">
      <c r="A964" s="378"/>
      <c r="B964" s="477"/>
      <c r="C964" s="378"/>
      <c r="D964" s="378"/>
      <c r="E964" s="378"/>
      <c r="F964" s="378"/>
      <c r="G964" s="378"/>
      <c r="H964" s="378"/>
      <c r="I964" s="376"/>
      <c r="J964" s="376"/>
      <c r="K964" s="376"/>
      <c r="L964" s="376"/>
      <c r="M964" s="376"/>
      <c r="N964" s="376"/>
      <c r="O964" s="376"/>
      <c r="P964" s="376"/>
      <c r="Q964" s="376"/>
      <c r="R964" s="652">
        <f t="shared" ref="R964:AF964" si="52">R4</f>
        <v>1</v>
      </c>
      <c r="S964" s="653">
        <f t="shared" si="52"/>
        <v>427</v>
      </c>
      <c r="T964" s="654">
        <f t="shared" si="52"/>
        <v>4791.34</v>
      </c>
      <c r="U964" s="653" t="str">
        <f t="shared" si="52"/>
        <v>VICTOR DEMCHENKO</v>
      </c>
      <c r="V964" s="654">
        <f t="shared" si="52"/>
        <v>3196.05</v>
      </c>
      <c r="W964" s="654">
        <f t="shared" si="52"/>
        <v>3196.05</v>
      </c>
      <c r="X964" s="654">
        <f t="shared" si="52"/>
        <v>4007.66</v>
      </c>
      <c r="Y964" s="655">
        <f t="shared" si="52"/>
        <v>4917</v>
      </c>
      <c r="Z964" s="654">
        <f t="shared" si="52"/>
        <v>1595.29</v>
      </c>
      <c r="AA964" s="653" t="str">
        <f t="shared" si="52"/>
        <v/>
      </c>
      <c r="AB964" s="653" t="str">
        <f t="shared" si="52"/>
        <v/>
      </c>
      <c r="AC964" s="654" t="str">
        <f t="shared" si="52"/>
        <v/>
      </c>
      <c r="AD964" s="654" t="str">
        <f t="shared" si="52"/>
        <v/>
      </c>
      <c r="AE964" s="654" t="str">
        <f t="shared" si="52"/>
        <v/>
      </c>
      <c r="AF964" s="653">
        <f t="shared" si="52"/>
        <v>0</v>
      </c>
      <c r="AG964" s="656"/>
    </row>
    <row r="965">
      <c r="A965" s="378"/>
      <c r="B965" s="657" t="s">
        <v>914</v>
      </c>
      <c r="E965" s="378"/>
      <c r="F965" s="378"/>
      <c r="G965" s="378"/>
      <c r="H965" s="378"/>
      <c r="I965" s="376"/>
      <c r="J965" s="376"/>
      <c r="K965" s="376"/>
      <c r="L965" s="376"/>
      <c r="M965" s="376"/>
      <c r="N965" s="376"/>
      <c r="O965" s="376"/>
      <c r="P965" s="376"/>
      <c r="Q965" s="376"/>
      <c r="R965" s="658"/>
      <c r="S965" s="659"/>
      <c r="T965" s="659"/>
      <c r="U965" s="659" t="str">
        <f t="shared" ref="U965:W965" si="53">U5</f>
        <v>Ada Fleet LLC</v>
      </c>
      <c r="V965" s="660">
        <f t="shared" si="53"/>
        <v>4791.34</v>
      </c>
      <c r="W965" s="660">
        <f t="shared" si="53"/>
        <v>8799</v>
      </c>
      <c r="X965" s="659"/>
      <c r="Y965" s="659"/>
      <c r="Z965" s="659"/>
      <c r="AA965" s="659"/>
      <c r="AB965" s="659"/>
      <c r="AC965" s="659"/>
      <c r="AD965" s="659"/>
      <c r="AE965" s="659"/>
      <c r="AF965" s="659"/>
      <c r="AG965" s="661"/>
    </row>
    <row r="966">
      <c r="A966" s="378"/>
      <c r="B966" s="662" t="s">
        <v>915</v>
      </c>
      <c r="C966" s="663" t="s">
        <v>916</v>
      </c>
      <c r="D966" s="664" t="s">
        <v>711</v>
      </c>
      <c r="G966" s="378"/>
      <c r="H966" s="378"/>
      <c r="I966" s="376"/>
      <c r="J966" s="376"/>
      <c r="K966" s="376"/>
      <c r="L966" s="376"/>
      <c r="M966" s="376"/>
      <c r="N966" s="376"/>
      <c r="O966" s="376"/>
      <c r="P966" s="376"/>
      <c r="Q966" s="376"/>
      <c r="R966" s="652">
        <f t="shared" ref="R966:T966" si="54">R35</f>
        <v>2</v>
      </c>
      <c r="S966" s="653">
        <f t="shared" si="54"/>
        <v>6643</v>
      </c>
      <c r="T966" s="654">
        <f t="shared" si="54"/>
        <v>4276.12</v>
      </c>
      <c r="U966" s="653"/>
      <c r="V966" s="665" t="str">
        <f t="shared" ref="V966:X966" si="55">V35</f>
        <v/>
      </c>
      <c r="W966" s="654" t="str">
        <f t="shared" si="55"/>
        <v/>
      </c>
      <c r="X966" s="654">
        <f t="shared" si="55"/>
        <v>1727.24</v>
      </c>
      <c r="Y966" s="653"/>
      <c r="Z966" s="654">
        <f t="shared" ref="Z966:AF966" si="56">Z35</f>
        <v>4276.12</v>
      </c>
      <c r="AA966" s="653" t="str">
        <f t="shared" si="56"/>
        <v/>
      </c>
      <c r="AB966" s="653" t="str">
        <f t="shared" si="56"/>
        <v/>
      </c>
      <c r="AC966" s="654">
        <f t="shared" si="56"/>
        <v>150</v>
      </c>
      <c r="AD966" s="654">
        <f t="shared" si="56"/>
        <v>400</v>
      </c>
      <c r="AE966" s="654" t="str">
        <f t="shared" si="56"/>
        <v/>
      </c>
      <c r="AF966" s="653">
        <f t="shared" si="56"/>
        <v>0</v>
      </c>
      <c r="AG966" s="656"/>
    </row>
    <row r="967">
      <c r="A967" s="378"/>
      <c r="B967" s="666" t="s">
        <v>917</v>
      </c>
      <c r="C967" s="667">
        <v>427.0</v>
      </c>
      <c r="D967" s="668">
        <v>4007.66</v>
      </c>
      <c r="E967" s="669" t="s">
        <v>918</v>
      </c>
      <c r="G967" s="378"/>
      <c r="H967" s="378"/>
      <c r="I967" s="376"/>
      <c r="J967" s="386" t="s">
        <v>919</v>
      </c>
      <c r="K967" s="376"/>
      <c r="L967" s="376"/>
      <c r="M967" s="376"/>
      <c r="N967" s="376"/>
      <c r="O967" s="376"/>
      <c r="P967" s="376"/>
      <c r="Q967" s="376"/>
      <c r="R967" s="658"/>
      <c r="S967" s="659"/>
      <c r="T967" s="659"/>
      <c r="U967" s="659" t="str">
        <f t="shared" ref="U967:AF967" si="57">U36</f>
        <v>FERHAT BAL</v>
      </c>
      <c r="V967" s="660">
        <f t="shared" si="57"/>
        <v>4276.12</v>
      </c>
      <c r="W967" s="660">
        <f t="shared" si="57"/>
        <v>6553.36</v>
      </c>
      <c r="X967" s="659" t="str">
        <f t="shared" si="57"/>
        <v/>
      </c>
      <c r="Y967" s="659" t="str">
        <f t="shared" si="57"/>
        <v/>
      </c>
      <c r="Z967" s="659" t="str">
        <f t="shared" si="57"/>
        <v/>
      </c>
      <c r="AA967" s="659" t="str">
        <f t="shared" si="57"/>
        <v/>
      </c>
      <c r="AB967" s="659" t="str">
        <f t="shared" si="57"/>
        <v/>
      </c>
      <c r="AC967" s="659" t="str">
        <f t="shared" si="57"/>
        <v/>
      </c>
      <c r="AD967" s="659" t="str">
        <f t="shared" si="57"/>
        <v/>
      </c>
      <c r="AE967" s="659" t="str">
        <f t="shared" si="57"/>
        <v/>
      </c>
      <c r="AF967" s="659" t="str">
        <f t="shared" si="57"/>
        <v/>
      </c>
      <c r="AG967" s="661"/>
    </row>
    <row r="968">
      <c r="A968" s="378"/>
      <c r="B968" s="666" t="s">
        <v>920</v>
      </c>
      <c r="C968" s="667">
        <v>659.0</v>
      </c>
      <c r="D968" s="668">
        <v>3079.05</v>
      </c>
      <c r="E968" s="669" t="s">
        <v>918</v>
      </c>
      <c r="F968" s="670">
        <v>689.0</v>
      </c>
      <c r="G968" s="378"/>
      <c r="H968" s="378"/>
      <c r="I968" s="376"/>
      <c r="J968" s="386" t="s">
        <v>921</v>
      </c>
      <c r="K968" s="376"/>
      <c r="L968" s="376"/>
      <c r="M968" s="376"/>
      <c r="N968" s="376"/>
      <c r="O968" s="376"/>
      <c r="P968" s="376"/>
      <c r="Q968" s="376"/>
      <c r="R968" s="671">
        <v>3.0</v>
      </c>
      <c r="S968" s="653">
        <f t="shared" ref="S968:S969" si="59">S66</f>
        <v>515</v>
      </c>
      <c r="T968" s="654"/>
      <c r="U968" s="653" t="str">
        <f t="shared" ref="U968:AF968" si="58">U66</f>
        <v>LOUIS JUSTE EMMANUEL</v>
      </c>
      <c r="V968" s="665">
        <f t="shared" si="58"/>
        <v>269.8</v>
      </c>
      <c r="W968" s="654">
        <f t="shared" si="58"/>
        <v>685.2</v>
      </c>
      <c r="X968" s="654">
        <f t="shared" si="58"/>
        <v>1310.84</v>
      </c>
      <c r="Y968" s="655">
        <f t="shared" si="58"/>
        <v>1142</v>
      </c>
      <c r="Z968" s="654">
        <f t="shared" si="58"/>
        <v>-4957.631667</v>
      </c>
      <c r="AA968" s="653" t="str">
        <f t="shared" si="58"/>
        <v/>
      </c>
      <c r="AB968" s="653" t="str">
        <f t="shared" si="58"/>
        <v/>
      </c>
      <c r="AC968" s="654">
        <f t="shared" si="58"/>
        <v>100</v>
      </c>
      <c r="AD968" s="654">
        <f t="shared" si="58"/>
        <v>400</v>
      </c>
      <c r="AE968" s="654">
        <f t="shared" si="58"/>
        <v>0</v>
      </c>
      <c r="AF968" s="665">
        <f t="shared" si="58"/>
        <v>3807.711667</v>
      </c>
      <c r="AG968" s="656"/>
    </row>
    <row r="969">
      <c r="A969" s="378"/>
      <c r="B969" s="666" t="s">
        <v>922</v>
      </c>
      <c r="C969" s="667">
        <v>913.0</v>
      </c>
      <c r="D969" s="668">
        <v>1105.64</v>
      </c>
      <c r="E969" s="672" t="s">
        <v>918</v>
      </c>
      <c r="F969" s="669" t="s">
        <v>923</v>
      </c>
      <c r="G969" s="378"/>
      <c r="H969" s="378"/>
      <c r="I969" s="376"/>
      <c r="J969" s="376"/>
      <c r="K969" s="376"/>
      <c r="L969" s="376"/>
      <c r="M969" s="376"/>
      <c r="N969" s="376"/>
      <c r="O969" s="376"/>
      <c r="P969" s="376"/>
      <c r="Q969" s="376"/>
      <c r="R969" s="658"/>
      <c r="S969" s="659" t="str">
        <f t="shared" si="59"/>
        <v/>
      </c>
      <c r="T969" s="659" t="str">
        <f t="shared" ref="T969:U969" si="60">T67</f>
        <v/>
      </c>
      <c r="U969" s="659" t="str">
        <f t="shared" si="60"/>
        <v>Velox Limo LLC</v>
      </c>
      <c r="V969" s="659"/>
      <c r="W969" s="660">
        <f t="shared" ref="W969:AA969" si="61">W67</f>
        <v>1848</v>
      </c>
      <c r="X969" s="659" t="str">
        <f t="shared" si="61"/>
        <v/>
      </c>
      <c r="Y969" s="659" t="str">
        <f t="shared" si="61"/>
        <v/>
      </c>
      <c r="Z969" s="659" t="str">
        <f t="shared" si="61"/>
        <v/>
      </c>
      <c r="AA969" s="659" t="str">
        <f t="shared" si="61"/>
        <v/>
      </c>
      <c r="AB969" s="673">
        <v>-328.24</v>
      </c>
      <c r="AC969" s="659" t="str">
        <f t="shared" ref="AC969:AF969" si="62">AC67</f>
        <v/>
      </c>
      <c r="AD969" s="659" t="str">
        <f t="shared" si="62"/>
        <v/>
      </c>
      <c r="AE969" s="659" t="str">
        <f t="shared" si="62"/>
        <v/>
      </c>
      <c r="AF969" s="659" t="str">
        <f t="shared" si="62"/>
        <v/>
      </c>
      <c r="AG969" s="661"/>
    </row>
    <row r="970">
      <c r="A970" s="378"/>
      <c r="B970" s="666" t="s">
        <v>924</v>
      </c>
      <c r="C970" s="667">
        <v>997.0</v>
      </c>
      <c r="D970" s="668">
        <v>2029.97</v>
      </c>
      <c r="E970" s="669" t="s">
        <v>918</v>
      </c>
      <c r="G970" s="378"/>
      <c r="H970" s="378"/>
      <c r="I970" s="376"/>
      <c r="J970" s="376"/>
      <c r="K970" s="376"/>
      <c r="L970" s="376"/>
      <c r="M970" s="376"/>
      <c r="N970" s="376"/>
      <c r="O970" s="376"/>
      <c r="P970" s="376"/>
      <c r="Q970" s="376"/>
      <c r="R970" s="671">
        <v>4.0</v>
      </c>
      <c r="S970" s="653">
        <f t="shared" ref="S970:AF970" si="63">S98</f>
        <v>659</v>
      </c>
      <c r="T970" s="654">
        <f t="shared" si="63"/>
        <v>3492.55</v>
      </c>
      <c r="U970" s="653" t="str">
        <f t="shared" si="63"/>
        <v>GLADIMY JULME</v>
      </c>
      <c r="V970" s="665">
        <f t="shared" si="63"/>
        <v>3125.85</v>
      </c>
      <c r="W970" s="654">
        <f t="shared" si="63"/>
        <v>3125.85</v>
      </c>
      <c r="X970" s="654">
        <f t="shared" si="63"/>
        <v>3079.05</v>
      </c>
      <c r="Y970" s="655">
        <f t="shared" si="63"/>
        <v>4809</v>
      </c>
      <c r="Z970" s="654">
        <f t="shared" si="63"/>
        <v>366.7</v>
      </c>
      <c r="AA970" s="653" t="str">
        <f t="shared" si="63"/>
        <v/>
      </c>
      <c r="AB970" s="653" t="str">
        <f t="shared" si="63"/>
        <v/>
      </c>
      <c r="AC970" s="654">
        <f t="shared" si="63"/>
        <v>150</v>
      </c>
      <c r="AD970" s="654">
        <f t="shared" si="63"/>
        <v>400</v>
      </c>
      <c r="AE970" s="654">
        <f t="shared" si="63"/>
        <v>200</v>
      </c>
      <c r="AF970" s="653">
        <f t="shared" si="63"/>
        <v>0</v>
      </c>
      <c r="AG970" s="656"/>
    </row>
    <row r="971">
      <c r="A971" s="378"/>
      <c r="B971" s="666" t="s">
        <v>925</v>
      </c>
      <c r="C971" s="674">
        <v>1002.0</v>
      </c>
      <c r="D971" s="668">
        <v>2035.95</v>
      </c>
      <c r="E971" s="672" t="s">
        <v>926</v>
      </c>
      <c r="F971" s="669" t="s">
        <v>927</v>
      </c>
      <c r="G971" s="378"/>
      <c r="H971" s="378"/>
      <c r="I971" s="376"/>
      <c r="J971" s="376"/>
      <c r="K971" s="376"/>
      <c r="L971" s="376"/>
      <c r="M971" s="376"/>
      <c r="N971" s="376"/>
      <c r="O971" s="376"/>
      <c r="P971" s="376"/>
      <c r="Q971" s="376"/>
      <c r="R971" s="658"/>
      <c r="S971" s="659"/>
      <c r="T971" s="659"/>
      <c r="U971" s="659" t="str">
        <f t="shared" ref="U971:AF971" si="64">U99</f>
        <v>EDT Logistics LLC</v>
      </c>
      <c r="V971" s="660">
        <f t="shared" si="64"/>
        <v>3492.55</v>
      </c>
      <c r="W971" s="660">
        <f t="shared" si="64"/>
        <v>7321.6</v>
      </c>
      <c r="X971" s="659" t="str">
        <f t="shared" si="64"/>
        <v/>
      </c>
      <c r="Y971" s="659" t="str">
        <f t="shared" si="64"/>
        <v/>
      </c>
      <c r="Z971" s="659" t="str">
        <f t="shared" si="64"/>
        <v/>
      </c>
      <c r="AA971" s="659" t="str">
        <f t="shared" si="64"/>
        <v/>
      </c>
      <c r="AB971" s="659" t="str">
        <f t="shared" si="64"/>
        <v/>
      </c>
      <c r="AC971" s="659" t="str">
        <f t="shared" si="64"/>
        <v/>
      </c>
      <c r="AD971" s="659" t="str">
        <f t="shared" si="64"/>
        <v/>
      </c>
      <c r="AE971" s="659" t="str">
        <f t="shared" si="64"/>
        <v/>
      </c>
      <c r="AF971" s="659" t="str">
        <f t="shared" si="64"/>
        <v/>
      </c>
      <c r="AG971" s="661"/>
    </row>
    <row r="972">
      <c r="A972" s="378"/>
      <c r="B972" s="666" t="s">
        <v>928</v>
      </c>
      <c r="C972" s="667">
        <v>2316.0</v>
      </c>
      <c r="D972" s="668">
        <v>1828.32</v>
      </c>
      <c r="E972" s="669" t="s">
        <v>918</v>
      </c>
      <c r="G972" s="378"/>
      <c r="H972" s="378"/>
      <c r="I972" s="376"/>
      <c r="J972" s="376"/>
      <c r="K972" s="376"/>
      <c r="L972" s="376"/>
      <c r="M972" s="376"/>
      <c r="N972" s="376"/>
      <c r="O972" s="376"/>
      <c r="P972" s="376"/>
      <c r="Q972" s="376"/>
      <c r="R972" s="671">
        <v>5.0</v>
      </c>
      <c r="S972" s="653">
        <f t="shared" ref="S972:AF972" si="65">S129</f>
        <v>997</v>
      </c>
      <c r="T972" s="654">
        <f t="shared" si="65"/>
        <v>3341.03</v>
      </c>
      <c r="U972" s="653" t="str">
        <f t="shared" si="65"/>
        <v>Marco Cayo Cayo</v>
      </c>
      <c r="V972" s="665">
        <f t="shared" si="65"/>
        <v>2519.4</v>
      </c>
      <c r="W972" s="654">
        <f t="shared" si="65"/>
        <v>2519.4</v>
      </c>
      <c r="X972" s="654">
        <f t="shared" si="65"/>
        <v>2029.97</v>
      </c>
      <c r="Y972" s="655">
        <f t="shared" si="65"/>
        <v>3876</v>
      </c>
      <c r="Z972" s="654">
        <f t="shared" si="65"/>
        <v>821.63</v>
      </c>
      <c r="AA972" s="653" t="str">
        <f t="shared" si="65"/>
        <v/>
      </c>
      <c r="AB972" s="653" t="str">
        <f t="shared" si="65"/>
        <v/>
      </c>
      <c r="AC972" s="654">
        <f t="shared" si="65"/>
        <v>150</v>
      </c>
      <c r="AD972" s="654">
        <f t="shared" si="65"/>
        <v>400</v>
      </c>
      <c r="AE972" s="654">
        <f t="shared" si="65"/>
        <v>200</v>
      </c>
      <c r="AF972" s="665">
        <f t="shared" si="65"/>
        <v>215</v>
      </c>
      <c r="AG972" s="656"/>
    </row>
    <row r="973">
      <c r="A973" s="378"/>
      <c r="B973" s="666" t="s">
        <v>929</v>
      </c>
      <c r="C973" s="667">
        <v>2516.0</v>
      </c>
      <c r="D973" s="668">
        <v>2083.65</v>
      </c>
      <c r="E973" s="669" t="s">
        <v>918</v>
      </c>
      <c r="G973" s="378"/>
      <c r="H973" s="378"/>
      <c r="I973" s="376"/>
      <c r="J973" s="376"/>
      <c r="K973" s="376"/>
      <c r="L973" s="376"/>
      <c r="M973" s="376"/>
      <c r="N973" s="376"/>
      <c r="O973" s="376"/>
      <c r="P973" s="376"/>
      <c r="Q973" s="376"/>
      <c r="R973" s="658"/>
      <c r="S973" s="659"/>
      <c r="T973" s="659"/>
      <c r="U973" s="659" t="str">
        <f t="shared" ref="U973:AF973" si="66">U130</f>
        <v>Careway Logistics LLC</v>
      </c>
      <c r="V973" s="660">
        <f t="shared" si="66"/>
        <v>3341.03</v>
      </c>
      <c r="W973" s="660">
        <f t="shared" si="66"/>
        <v>6336</v>
      </c>
      <c r="X973" s="659" t="str">
        <f t="shared" si="66"/>
        <v/>
      </c>
      <c r="Y973" s="659" t="str">
        <f t="shared" si="66"/>
        <v/>
      </c>
      <c r="Z973" s="659" t="str">
        <f t="shared" si="66"/>
        <v/>
      </c>
      <c r="AA973" s="659" t="str">
        <f t="shared" si="66"/>
        <v/>
      </c>
      <c r="AB973" s="659" t="str">
        <f t="shared" si="66"/>
        <v/>
      </c>
      <c r="AC973" s="659" t="str">
        <f t="shared" si="66"/>
        <v/>
      </c>
      <c r="AD973" s="659" t="str">
        <f t="shared" si="66"/>
        <v/>
      </c>
      <c r="AE973" s="659" t="str">
        <f t="shared" si="66"/>
        <v/>
      </c>
      <c r="AF973" s="659" t="str">
        <f t="shared" si="66"/>
        <v/>
      </c>
      <c r="AG973" s="661"/>
    </row>
    <row r="974">
      <c r="A974" s="378"/>
      <c r="B974" s="666" t="s">
        <v>930</v>
      </c>
      <c r="C974" s="667">
        <v>2653.0</v>
      </c>
      <c r="D974" s="668">
        <v>1310.84</v>
      </c>
      <c r="E974" s="669" t="s">
        <v>918</v>
      </c>
      <c r="F974" s="670">
        <v>515.0</v>
      </c>
      <c r="G974" s="378"/>
      <c r="H974" s="378"/>
      <c r="I974" s="376"/>
      <c r="J974" s="376"/>
      <c r="K974" s="376"/>
      <c r="L974" s="376"/>
      <c r="M974" s="376"/>
      <c r="N974" s="376"/>
      <c r="O974" s="376"/>
      <c r="P974" s="376"/>
      <c r="Q974" s="376"/>
      <c r="R974" s="671">
        <v>6.0</v>
      </c>
      <c r="S974" s="653">
        <f t="shared" ref="S974:AF974" si="67">S160</f>
        <v>1002</v>
      </c>
      <c r="T974" s="654">
        <f t="shared" si="67"/>
        <v>4029.89</v>
      </c>
      <c r="U974" s="653" t="str">
        <f t="shared" si="67"/>
        <v>NICOLAS PAULA</v>
      </c>
      <c r="V974" s="665">
        <f t="shared" si="67"/>
        <v>2291.9</v>
      </c>
      <c r="W974" s="654">
        <f t="shared" si="67"/>
        <v>2291.9</v>
      </c>
      <c r="X974" s="654">
        <f t="shared" si="67"/>
        <v>2035.95</v>
      </c>
      <c r="Y974" s="655">
        <f t="shared" si="67"/>
        <v>3526</v>
      </c>
      <c r="Z974" s="654">
        <f t="shared" si="67"/>
        <v>1737.99</v>
      </c>
      <c r="AA974" s="653" t="str">
        <f t="shared" si="67"/>
        <v/>
      </c>
      <c r="AB974" s="653" t="str">
        <f t="shared" si="67"/>
        <v/>
      </c>
      <c r="AC974" s="654" t="str">
        <f t="shared" si="67"/>
        <v/>
      </c>
      <c r="AD974" s="654" t="str">
        <f t="shared" si="67"/>
        <v/>
      </c>
      <c r="AE974" s="654" t="str">
        <f t="shared" si="67"/>
        <v/>
      </c>
      <c r="AF974" s="653">
        <f t="shared" si="67"/>
        <v>0</v>
      </c>
      <c r="AG974" s="656"/>
    </row>
    <row r="975">
      <c r="A975" s="378"/>
      <c r="B975" s="666" t="s">
        <v>931</v>
      </c>
      <c r="C975" s="667">
        <v>2675.0</v>
      </c>
      <c r="D975" s="668">
        <v>3454.4</v>
      </c>
      <c r="E975" s="669" t="s">
        <v>918</v>
      </c>
      <c r="G975" s="378"/>
      <c r="H975" s="378"/>
      <c r="I975" s="376"/>
      <c r="J975" s="376"/>
      <c r="K975" s="376"/>
      <c r="L975" s="376"/>
      <c r="M975" s="376"/>
      <c r="N975" s="376"/>
      <c r="O975" s="376"/>
      <c r="P975" s="376"/>
      <c r="Q975" s="376"/>
      <c r="R975" s="658"/>
      <c r="S975" s="659"/>
      <c r="T975" s="659"/>
      <c r="U975" s="659" t="str">
        <f t="shared" ref="U975:AF975" si="68">U161</f>
        <v>Rivershore</v>
      </c>
      <c r="V975" s="660">
        <f t="shared" si="68"/>
        <v>4029.89</v>
      </c>
      <c r="W975" s="660">
        <f t="shared" si="68"/>
        <v>6065.84</v>
      </c>
      <c r="X975" s="659" t="str">
        <f t="shared" si="68"/>
        <v/>
      </c>
      <c r="Y975" s="659" t="str">
        <f t="shared" si="68"/>
        <v/>
      </c>
      <c r="Z975" s="659" t="str">
        <f t="shared" si="68"/>
        <v/>
      </c>
      <c r="AA975" s="659" t="str">
        <f t="shared" si="68"/>
        <v/>
      </c>
      <c r="AB975" s="659" t="str">
        <f t="shared" si="68"/>
        <v/>
      </c>
      <c r="AC975" s="659" t="str">
        <f t="shared" si="68"/>
        <v/>
      </c>
      <c r="AD975" s="659" t="str">
        <f t="shared" si="68"/>
        <v/>
      </c>
      <c r="AE975" s="659" t="str">
        <f t="shared" si="68"/>
        <v/>
      </c>
      <c r="AF975" s="659" t="str">
        <f t="shared" si="68"/>
        <v/>
      </c>
      <c r="AG975" s="661"/>
    </row>
    <row r="976">
      <c r="A976" s="378"/>
      <c r="B976" s="666" t="s">
        <v>932</v>
      </c>
      <c r="C976" s="667">
        <v>2693.0</v>
      </c>
      <c r="D976" s="668">
        <v>2595.56</v>
      </c>
      <c r="E976" s="669" t="s">
        <v>918</v>
      </c>
      <c r="F976" s="675">
        <v>5490.0</v>
      </c>
      <c r="G976" s="378"/>
      <c r="H976" s="378"/>
      <c r="I976" s="376"/>
      <c r="J976" s="376"/>
      <c r="K976" s="376"/>
      <c r="L976" s="376"/>
      <c r="M976" s="376"/>
      <c r="N976" s="376"/>
      <c r="O976" s="376"/>
      <c r="P976" s="376"/>
      <c r="Q976" s="376"/>
      <c r="R976" s="671">
        <v>7.0</v>
      </c>
      <c r="S976" s="653">
        <f t="shared" ref="S976:AF976" si="69">S191</f>
        <v>2316</v>
      </c>
      <c r="T976" s="654">
        <f t="shared" si="69"/>
        <v>3394.24</v>
      </c>
      <c r="U976" s="653" t="str">
        <f t="shared" si="69"/>
        <v>WILLIAMSON MONCHERY</v>
      </c>
      <c r="V976" s="665">
        <f t="shared" si="69"/>
        <v>2366.65</v>
      </c>
      <c r="W976" s="654">
        <f t="shared" si="69"/>
        <v>2366.65</v>
      </c>
      <c r="X976" s="654">
        <f t="shared" si="69"/>
        <v>1828.32</v>
      </c>
      <c r="Y976" s="655">
        <f t="shared" si="69"/>
        <v>3641</v>
      </c>
      <c r="Z976" s="654">
        <f t="shared" si="69"/>
        <v>1027.59</v>
      </c>
      <c r="AA976" s="653" t="str">
        <f t="shared" si="69"/>
        <v/>
      </c>
      <c r="AB976" s="653" t="str">
        <f t="shared" si="69"/>
        <v/>
      </c>
      <c r="AC976" s="654">
        <f t="shared" si="69"/>
        <v>150</v>
      </c>
      <c r="AD976" s="654">
        <f t="shared" si="69"/>
        <v>400</v>
      </c>
      <c r="AE976" s="654">
        <f t="shared" si="69"/>
        <v>200</v>
      </c>
      <c r="AF976" s="653">
        <f t="shared" si="69"/>
        <v>0</v>
      </c>
      <c r="AG976" s="656"/>
    </row>
    <row r="977">
      <c r="A977" s="378"/>
      <c r="B977" s="666" t="s">
        <v>933</v>
      </c>
      <c r="C977" s="667">
        <v>2774.0</v>
      </c>
      <c r="D977" s="668">
        <v>1993.92</v>
      </c>
      <c r="E977" s="669" t="s">
        <v>918</v>
      </c>
      <c r="G977" s="378"/>
      <c r="H977" s="378"/>
      <c r="I977" s="376"/>
      <c r="J977" s="376"/>
      <c r="K977" s="376"/>
      <c r="L977" s="376"/>
      <c r="M977" s="376"/>
      <c r="N977" s="376"/>
      <c r="O977" s="376"/>
      <c r="P977" s="376"/>
      <c r="Q977" s="376"/>
      <c r="R977" s="658"/>
      <c r="S977" s="659"/>
      <c r="T977" s="659"/>
      <c r="U977" s="659" t="str">
        <f t="shared" ref="U977:AF977" si="70">U192</f>
        <v>Skyhill LLC</v>
      </c>
      <c r="V977" s="660">
        <f t="shared" si="70"/>
        <v>3394.24</v>
      </c>
      <c r="W977" s="660">
        <f t="shared" si="70"/>
        <v>5972.56</v>
      </c>
      <c r="X977" s="659" t="str">
        <f t="shared" si="70"/>
        <v/>
      </c>
      <c r="Y977" s="659" t="str">
        <f t="shared" si="70"/>
        <v/>
      </c>
      <c r="Z977" s="659" t="str">
        <f t="shared" si="70"/>
        <v/>
      </c>
      <c r="AA977" s="659" t="str">
        <f t="shared" si="70"/>
        <v/>
      </c>
      <c r="AB977" s="659" t="str">
        <f t="shared" si="70"/>
        <v/>
      </c>
      <c r="AC977" s="659" t="str">
        <f t="shared" si="70"/>
        <v/>
      </c>
      <c r="AD977" s="659" t="str">
        <f t="shared" si="70"/>
        <v/>
      </c>
      <c r="AE977" s="659" t="str">
        <f t="shared" si="70"/>
        <v/>
      </c>
      <c r="AF977" s="659" t="str">
        <f t="shared" si="70"/>
        <v/>
      </c>
      <c r="AG977" s="661"/>
    </row>
    <row r="978">
      <c r="A978" s="378"/>
      <c r="B978" s="666" t="s">
        <v>934</v>
      </c>
      <c r="C978" s="667">
        <v>2890.0</v>
      </c>
      <c r="D978" s="668">
        <v>2816.84</v>
      </c>
      <c r="E978" s="669" t="s">
        <v>918</v>
      </c>
      <c r="G978" s="378"/>
      <c r="H978" s="378"/>
      <c r="I978" s="376"/>
      <c r="J978" s="376"/>
      <c r="K978" s="376"/>
      <c r="L978" s="376"/>
      <c r="M978" s="376"/>
      <c r="N978" s="376"/>
      <c r="O978" s="376"/>
      <c r="P978" s="376"/>
      <c r="Q978" s="376"/>
      <c r="R978" s="671">
        <v>8.0</v>
      </c>
      <c r="S978" s="653">
        <f t="shared" ref="S978:AF978" si="71">S222</f>
        <v>2516</v>
      </c>
      <c r="T978" s="654">
        <f t="shared" si="71"/>
        <v>1144.79</v>
      </c>
      <c r="U978" s="653" t="str">
        <f t="shared" si="71"/>
        <v>RICHARD FLORESTAL</v>
      </c>
      <c r="V978" s="665">
        <f t="shared" si="71"/>
        <v>2239.9</v>
      </c>
      <c r="W978" s="654">
        <f t="shared" si="71"/>
        <v>2077.4</v>
      </c>
      <c r="X978" s="654">
        <f t="shared" si="71"/>
        <v>2083.65</v>
      </c>
      <c r="Y978" s="655">
        <f t="shared" si="71"/>
        <v>3196</v>
      </c>
      <c r="Z978" s="654">
        <f t="shared" si="71"/>
        <v>-1095.11</v>
      </c>
      <c r="AA978" s="653" t="str">
        <f t="shared" si="71"/>
        <v/>
      </c>
      <c r="AB978" s="653" t="str">
        <f t="shared" si="71"/>
        <v/>
      </c>
      <c r="AC978" s="654">
        <f t="shared" si="71"/>
        <v>150</v>
      </c>
      <c r="AD978" s="654">
        <f t="shared" si="71"/>
        <v>400</v>
      </c>
      <c r="AE978" s="654">
        <f t="shared" si="71"/>
        <v>200</v>
      </c>
      <c r="AF978" s="665">
        <f t="shared" si="71"/>
        <v>1477.56</v>
      </c>
      <c r="AG978" s="656"/>
    </row>
    <row r="979">
      <c r="A979" s="378"/>
      <c r="B979" s="666" t="s">
        <v>935</v>
      </c>
      <c r="C979" s="667">
        <v>2932.0</v>
      </c>
      <c r="D979" s="668">
        <v>2953.59</v>
      </c>
      <c r="E979" s="669" t="s">
        <v>918</v>
      </c>
      <c r="G979" s="378"/>
      <c r="H979" s="378"/>
      <c r="I979" s="376"/>
      <c r="J979" s="376"/>
      <c r="K979" s="376"/>
      <c r="L979" s="376"/>
      <c r="M979" s="376"/>
      <c r="N979" s="376"/>
      <c r="O979" s="376"/>
      <c r="P979" s="376"/>
      <c r="Q979" s="376"/>
      <c r="R979" s="658"/>
      <c r="S979" s="659"/>
      <c r="T979" s="659"/>
      <c r="U979" s="659" t="str">
        <f t="shared" ref="U979:AF979" si="72">U223</f>
        <v>Careway Logistics LLC</v>
      </c>
      <c r="V979" s="660">
        <f t="shared" si="72"/>
        <v>1144.79</v>
      </c>
      <c r="W979" s="660">
        <f t="shared" si="72"/>
        <v>5456</v>
      </c>
      <c r="X979" s="659" t="str">
        <f t="shared" si="72"/>
        <v/>
      </c>
      <c r="Y979" s="659" t="str">
        <f t="shared" si="72"/>
        <v/>
      </c>
      <c r="Z979" s="659" t="str">
        <f t="shared" si="72"/>
        <v/>
      </c>
      <c r="AA979" s="659" t="str">
        <f t="shared" si="72"/>
        <v/>
      </c>
      <c r="AB979" s="659" t="str">
        <f t="shared" si="72"/>
        <v/>
      </c>
      <c r="AC979" s="659" t="str">
        <f t="shared" si="72"/>
        <v/>
      </c>
      <c r="AD979" s="659" t="str">
        <f t="shared" si="72"/>
        <v/>
      </c>
      <c r="AE979" s="659" t="str">
        <f t="shared" si="72"/>
        <v/>
      </c>
      <c r="AF979" s="659" t="str">
        <f t="shared" si="72"/>
        <v/>
      </c>
      <c r="AG979" s="661"/>
    </row>
    <row r="980">
      <c r="A980" s="378"/>
      <c r="B980" s="666" t="s">
        <v>936</v>
      </c>
      <c r="C980" s="667">
        <v>3301.0</v>
      </c>
      <c r="D980" s="668">
        <v>2961.27</v>
      </c>
      <c r="E980" s="669" t="s">
        <v>918</v>
      </c>
      <c r="F980" s="675">
        <v>8479.0</v>
      </c>
      <c r="G980" s="378"/>
      <c r="H980" s="378"/>
      <c r="I980" s="376"/>
      <c r="J980" s="376"/>
      <c r="K980" s="376"/>
      <c r="L980" s="376"/>
      <c r="M980" s="376"/>
      <c r="N980" s="376"/>
      <c r="O980" s="376"/>
      <c r="P980" s="376"/>
      <c r="Q980" s="376"/>
      <c r="R980" s="671">
        <v>9.0</v>
      </c>
      <c r="S980" s="653">
        <f t="shared" ref="S980:AF980" si="73">S253</f>
        <v>2675</v>
      </c>
      <c r="T980" s="654">
        <f t="shared" si="73"/>
        <v>4837.6</v>
      </c>
      <c r="U980" s="653" t="str">
        <f t="shared" si="73"/>
        <v>WILLIE HAMPTON ANDERSON</v>
      </c>
      <c r="V980" s="665">
        <f t="shared" si="73"/>
        <v>3199.35</v>
      </c>
      <c r="W980" s="654">
        <f t="shared" si="73"/>
        <v>3249.35</v>
      </c>
      <c r="X980" s="654">
        <f t="shared" si="73"/>
        <v>3454.4</v>
      </c>
      <c r="Y980" s="655">
        <f t="shared" si="73"/>
        <v>4999</v>
      </c>
      <c r="Z980" s="654">
        <f t="shared" si="73"/>
        <v>1638.25</v>
      </c>
      <c r="AA980" s="653" t="str">
        <f t="shared" si="73"/>
        <v/>
      </c>
      <c r="AB980" s="653" t="str">
        <f t="shared" si="73"/>
        <v/>
      </c>
      <c r="AC980" s="654">
        <f t="shared" si="73"/>
        <v>100</v>
      </c>
      <c r="AD980" s="654">
        <f t="shared" si="73"/>
        <v>400</v>
      </c>
      <c r="AE980" s="654">
        <f t="shared" si="73"/>
        <v>200</v>
      </c>
      <c r="AF980" s="665">
        <f t="shared" si="73"/>
        <v>300</v>
      </c>
      <c r="AG980" s="656"/>
    </row>
    <row r="981">
      <c r="A981" s="378"/>
      <c r="B981" s="666" t="s">
        <v>937</v>
      </c>
      <c r="C981" s="667">
        <v>3403.0</v>
      </c>
      <c r="D981" s="668">
        <v>3063.99</v>
      </c>
      <c r="E981" s="669" t="s">
        <v>918</v>
      </c>
      <c r="G981" s="378"/>
      <c r="H981" s="378"/>
      <c r="I981" s="376"/>
      <c r="J981" s="376"/>
      <c r="K981" s="376"/>
      <c r="L981" s="376"/>
      <c r="M981" s="376"/>
      <c r="N981" s="376"/>
      <c r="O981" s="376"/>
      <c r="P981" s="376"/>
      <c r="Q981" s="376"/>
      <c r="R981" s="658"/>
      <c r="S981" s="659"/>
      <c r="T981" s="659"/>
      <c r="U981" s="659" t="str">
        <f t="shared" ref="U981:AF981" si="74">U254</f>
        <v>Besa Transport LLC</v>
      </c>
      <c r="V981" s="660">
        <f t="shared" si="74"/>
        <v>4837.6</v>
      </c>
      <c r="W981" s="660">
        <f t="shared" si="74"/>
        <v>9042</v>
      </c>
      <c r="X981" s="659" t="str">
        <f t="shared" si="74"/>
        <v/>
      </c>
      <c r="Y981" s="659" t="str">
        <f t="shared" si="74"/>
        <v/>
      </c>
      <c r="Z981" s="659" t="str">
        <f t="shared" si="74"/>
        <v/>
      </c>
      <c r="AA981" s="659" t="str">
        <f t="shared" si="74"/>
        <v/>
      </c>
      <c r="AB981" s="659" t="str">
        <f t="shared" si="74"/>
        <v/>
      </c>
      <c r="AC981" s="659" t="str">
        <f t="shared" si="74"/>
        <v/>
      </c>
      <c r="AD981" s="659" t="str">
        <f t="shared" si="74"/>
        <v/>
      </c>
      <c r="AE981" s="659" t="str">
        <f t="shared" si="74"/>
        <v/>
      </c>
      <c r="AF981" s="659" t="str">
        <f t="shared" si="74"/>
        <v/>
      </c>
      <c r="AG981" s="661"/>
    </row>
    <row r="982">
      <c r="A982" s="378"/>
      <c r="B982" s="666" t="s">
        <v>938</v>
      </c>
      <c r="C982" s="667">
        <v>3819.0</v>
      </c>
      <c r="D982" s="668">
        <v>3861.4</v>
      </c>
      <c r="E982" s="669" t="s">
        <v>918</v>
      </c>
      <c r="G982" s="378"/>
      <c r="H982" s="378"/>
      <c r="I982" s="376"/>
      <c r="J982" s="376"/>
      <c r="K982" s="376"/>
      <c r="L982" s="376"/>
      <c r="M982" s="376"/>
      <c r="N982" s="376"/>
      <c r="O982" s="376"/>
      <c r="P982" s="376"/>
      <c r="Q982" s="376"/>
      <c r="R982" s="671">
        <v>10.0</v>
      </c>
      <c r="S982" s="653">
        <f t="shared" ref="S982:AF982" si="75">S284</f>
        <v>2693</v>
      </c>
      <c r="T982" s="654">
        <f t="shared" si="75"/>
        <v>2247.46</v>
      </c>
      <c r="U982" s="653" t="str">
        <f t="shared" si="75"/>
        <v>JOSEPH JOSEPH HYVENS</v>
      </c>
      <c r="V982" s="665">
        <f t="shared" si="75"/>
        <v>2114.75</v>
      </c>
      <c r="W982" s="654">
        <f t="shared" si="75"/>
        <v>1764.75</v>
      </c>
      <c r="X982" s="654">
        <f t="shared" si="75"/>
        <v>2595.56</v>
      </c>
      <c r="Y982" s="655">
        <f t="shared" si="75"/>
        <v>2715</v>
      </c>
      <c r="Z982" s="654">
        <f t="shared" si="75"/>
        <v>132.71</v>
      </c>
      <c r="AA982" s="653" t="str">
        <f t="shared" si="75"/>
        <v/>
      </c>
      <c r="AB982" s="653" t="str">
        <f t="shared" si="75"/>
        <v/>
      </c>
      <c r="AC982" s="654">
        <f t="shared" si="75"/>
        <v>150</v>
      </c>
      <c r="AD982" s="654">
        <f t="shared" si="75"/>
        <v>400</v>
      </c>
      <c r="AE982" s="654">
        <f t="shared" si="75"/>
        <v>200</v>
      </c>
      <c r="AF982" s="665">
        <f t="shared" si="75"/>
        <v>612.98</v>
      </c>
      <c r="AG982" s="656"/>
    </row>
    <row r="983">
      <c r="A983" s="378"/>
      <c r="B983" s="666" t="s">
        <v>939</v>
      </c>
      <c r="C983" s="674">
        <v>3866.0</v>
      </c>
      <c r="D983" s="668">
        <v>2937.19</v>
      </c>
      <c r="E983" s="672" t="s">
        <v>926</v>
      </c>
      <c r="F983" s="669" t="s">
        <v>940</v>
      </c>
      <c r="G983" s="378"/>
      <c r="H983" s="378"/>
      <c r="I983" s="376"/>
      <c r="J983" s="376"/>
      <c r="K983" s="376"/>
      <c r="L983" s="376"/>
      <c r="M983" s="376"/>
      <c r="N983" s="376"/>
      <c r="O983" s="376"/>
      <c r="P983" s="376"/>
      <c r="Q983" s="376"/>
      <c r="R983" s="658"/>
      <c r="S983" s="659"/>
      <c r="T983" s="659"/>
      <c r="U983" s="659" t="str">
        <f t="shared" ref="U983:AF983" si="76">U285</f>
        <v>US Ela Logistics LLC</v>
      </c>
      <c r="V983" s="660">
        <f t="shared" si="76"/>
        <v>2247.46</v>
      </c>
      <c r="W983" s="660">
        <f t="shared" si="76"/>
        <v>5456</v>
      </c>
      <c r="X983" s="659" t="str">
        <f t="shared" si="76"/>
        <v/>
      </c>
      <c r="Y983" s="659" t="str">
        <f t="shared" si="76"/>
        <v/>
      </c>
      <c r="Z983" s="659" t="str">
        <f t="shared" si="76"/>
        <v/>
      </c>
      <c r="AA983" s="659" t="str">
        <f t="shared" si="76"/>
        <v/>
      </c>
      <c r="AB983" s="659" t="str">
        <f t="shared" si="76"/>
        <v/>
      </c>
      <c r="AC983" s="659" t="str">
        <f t="shared" si="76"/>
        <v/>
      </c>
      <c r="AD983" s="659" t="str">
        <f t="shared" si="76"/>
        <v/>
      </c>
      <c r="AE983" s="659" t="str">
        <f t="shared" si="76"/>
        <v/>
      </c>
      <c r="AF983" s="659" t="str">
        <f t="shared" si="76"/>
        <v/>
      </c>
      <c r="AG983" s="661"/>
    </row>
    <row r="984">
      <c r="A984" s="378"/>
      <c r="B984" s="666" t="s">
        <v>941</v>
      </c>
      <c r="C984" s="674">
        <v>3881.0</v>
      </c>
      <c r="D984" s="668">
        <v>1828.01</v>
      </c>
      <c r="E984" s="672" t="s">
        <v>926</v>
      </c>
      <c r="F984" s="676" t="s">
        <v>942</v>
      </c>
      <c r="G984" s="398">
        <v>5490.0</v>
      </c>
      <c r="H984" s="398"/>
      <c r="I984" s="376"/>
      <c r="J984" s="376"/>
      <c r="K984" s="376"/>
      <c r="L984" s="376"/>
      <c r="M984" s="376"/>
      <c r="N984" s="376"/>
      <c r="O984" s="376"/>
      <c r="P984" s="376"/>
      <c r="Q984" s="376"/>
      <c r="R984" s="671">
        <v>11.0</v>
      </c>
      <c r="S984" s="653">
        <f t="shared" ref="S984:AF984" si="77">S315</f>
        <v>2774</v>
      </c>
      <c r="T984" s="654">
        <f t="shared" si="77"/>
        <v>1267.78</v>
      </c>
      <c r="U984" s="653" t="str">
        <f t="shared" si="77"/>
        <v>Christopher Elliot Nunez</v>
      </c>
      <c r="V984" s="665">
        <f t="shared" si="77"/>
        <v>1882.4</v>
      </c>
      <c r="W984" s="654">
        <f t="shared" si="77"/>
        <v>1882.4</v>
      </c>
      <c r="X984" s="654">
        <f t="shared" si="77"/>
        <v>1993.92</v>
      </c>
      <c r="Y984" s="655">
        <f t="shared" si="77"/>
        <v>2896</v>
      </c>
      <c r="Z984" s="654">
        <f t="shared" si="77"/>
        <v>-614.62</v>
      </c>
      <c r="AA984" s="653" t="str">
        <f t="shared" si="77"/>
        <v/>
      </c>
      <c r="AB984" s="653" t="str">
        <f t="shared" si="77"/>
        <v/>
      </c>
      <c r="AC984" s="654">
        <f t="shared" si="77"/>
        <v>150</v>
      </c>
      <c r="AD984" s="654">
        <f t="shared" si="77"/>
        <v>400</v>
      </c>
      <c r="AE984" s="654">
        <f t="shared" si="77"/>
        <v>200</v>
      </c>
      <c r="AF984" s="665">
        <f t="shared" si="77"/>
        <v>564.3</v>
      </c>
      <c r="AG984" s="656"/>
    </row>
    <row r="985">
      <c r="A985" s="378"/>
      <c r="B985" s="666" t="s">
        <v>943</v>
      </c>
      <c r="C985" s="674">
        <v>6338.0</v>
      </c>
      <c r="D985" s="668">
        <v>1344.79</v>
      </c>
      <c r="E985" s="672" t="s">
        <v>926</v>
      </c>
      <c r="F985" s="676" t="s">
        <v>944</v>
      </c>
      <c r="G985" s="398">
        <v>8479.0</v>
      </c>
      <c r="H985" s="378"/>
      <c r="I985" s="376"/>
      <c r="J985" s="386" t="s">
        <v>918</v>
      </c>
      <c r="K985" s="376"/>
      <c r="L985" s="376"/>
      <c r="M985" s="376"/>
      <c r="N985" s="376"/>
      <c r="O985" s="376"/>
      <c r="P985" s="376"/>
      <c r="Q985" s="376"/>
      <c r="R985" s="658"/>
      <c r="S985" s="659"/>
      <c r="T985" s="659"/>
      <c r="U985" s="659" t="str">
        <f t="shared" ref="U985:AF985" si="78">U316</f>
        <v>EDT Logistics LLC</v>
      </c>
      <c r="V985" s="660">
        <f t="shared" si="78"/>
        <v>1267.78</v>
      </c>
      <c r="W985" s="660">
        <f t="shared" si="78"/>
        <v>4576</v>
      </c>
      <c r="X985" s="659" t="str">
        <f t="shared" si="78"/>
        <v/>
      </c>
      <c r="Y985" s="659" t="str">
        <f t="shared" si="78"/>
        <v/>
      </c>
      <c r="Z985" s="659" t="str">
        <f t="shared" si="78"/>
        <v/>
      </c>
      <c r="AA985" s="659" t="str">
        <f t="shared" si="78"/>
        <v/>
      </c>
      <c r="AB985" s="659" t="str">
        <f t="shared" si="78"/>
        <v/>
      </c>
      <c r="AC985" s="659" t="str">
        <f t="shared" si="78"/>
        <v/>
      </c>
      <c r="AD985" s="659" t="str">
        <f t="shared" si="78"/>
        <v/>
      </c>
      <c r="AE985" s="659" t="str">
        <f t="shared" si="78"/>
        <v/>
      </c>
      <c r="AF985" s="659" t="str">
        <f t="shared" si="78"/>
        <v/>
      </c>
      <c r="AG985" s="661"/>
    </row>
    <row r="986">
      <c r="A986" s="378"/>
      <c r="B986" s="666" t="s">
        <v>945</v>
      </c>
      <c r="C986" s="667">
        <v>6643.0</v>
      </c>
      <c r="D986" s="668">
        <v>1727.24</v>
      </c>
      <c r="E986" s="672" t="s">
        <v>918</v>
      </c>
      <c r="F986" s="669" t="s">
        <v>946</v>
      </c>
      <c r="G986" s="378"/>
      <c r="H986" s="378"/>
      <c r="I986" s="376"/>
      <c r="J986" s="376"/>
      <c r="K986" s="376"/>
      <c r="L986" s="376"/>
      <c r="M986" s="376"/>
      <c r="N986" s="376"/>
      <c r="O986" s="376"/>
      <c r="P986" s="376"/>
      <c r="Q986" s="376"/>
      <c r="R986" s="671">
        <v>12.0</v>
      </c>
      <c r="S986" s="653">
        <f t="shared" ref="S986:AF986" si="79">S346</f>
        <v>2890</v>
      </c>
      <c r="T986" s="654">
        <f t="shared" si="79"/>
        <v>4793.16</v>
      </c>
      <c r="U986" s="653" t="str">
        <f t="shared" si="79"/>
        <v>KESNY METELUS</v>
      </c>
      <c r="V986" s="665">
        <f t="shared" si="79"/>
        <v>2996.5</v>
      </c>
      <c r="W986" s="654">
        <f t="shared" si="79"/>
        <v>2996.5</v>
      </c>
      <c r="X986" s="654">
        <f t="shared" si="79"/>
        <v>2816.84</v>
      </c>
      <c r="Y986" s="655">
        <f t="shared" si="79"/>
        <v>4610</v>
      </c>
      <c r="Z986" s="654">
        <f t="shared" si="79"/>
        <v>1796.66</v>
      </c>
      <c r="AA986" s="653" t="str">
        <f t="shared" si="79"/>
        <v/>
      </c>
      <c r="AB986" s="653" t="str">
        <f t="shared" si="79"/>
        <v/>
      </c>
      <c r="AC986" s="654">
        <f t="shared" si="79"/>
        <v>150</v>
      </c>
      <c r="AD986" s="654">
        <f t="shared" si="79"/>
        <v>400</v>
      </c>
      <c r="AE986" s="654">
        <f t="shared" si="79"/>
        <v>200</v>
      </c>
      <c r="AF986" s="653">
        <f t="shared" si="79"/>
        <v>0</v>
      </c>
      <c r="AG986" s="656"/>
    </row>
    <row r="987">
      <c r="A987" s="378"/>
      <c r="B987" s="666" t="s">
        <v>947</v>
      </c>
      <c r="C987" s="667">
        <v>6813.0</v>
      </c>
      <c r="D987" s="668">
        <v>2103.5</v>
      </c>
      <c r="E987" s="672" t="s">
        <v>926</v>
      </c>
      <c r="F987" s="669" t="s">
        <v>948</v>
      </c>
      <c r="G987" s="378"/>
      <c r="H987" s="378"/>
      <c r="I987" s="376"/>
      <c r="J987" s="376"/>
      <c r="K987" s="376"/>
      <c r="L987" s="376"/>
      <c r="M987" s="376"/>
      <c r="N987" s="376"/>
      <c r="O987" s="376"/>
      <c r="P987" s="376"/>
      <c r="Q987" s="376"/>
      <c r="R987" s="658"/>
      <c r="S987" s="659"/>
      <c r="T987" s="659"/>
      <c r="U987" s="659" t="str">
        <f t="shared" ref="U987:AF987" si="80">U347</f>
        <v>Skyhill LLC</v>
      </c>
      <c r="V987" s="660">
        <f t="shared" si="80"/>
        <v>4793.16</v>
      </c>
      <c r="W987" s="660">
        <f t="shared" si="80"/>
        <v>8360</v>
      </c>
      <c r="X987" s="659" t="str">
        <f t="shared" si="80"/>
        <v/>
      </c>
      <c r="Y987" s="659" t="str">
        <f t="shared" si="80"/>
        <v/>
      </c>
      <c r="Z987" s="659" t="str">
        <f t="shared" si="80"/>
        <v/>
      </c>
      <c r="AA987" s="659" t="str">
        <f t="shared" si="80"/>
        <v/>
      </c>
      <c r="AB987" s="659" t="str">
        <f t="shared" si="80"/>
        <v/>
      </c>
      <c r="AC987" s="659" t="str">
        <f t="shared" si="80"/>
        <v/>
      </c>
      <c r="AD987" s="659" t="str">
        <f t="shared" si="80"/>
        <v/>
      </c>
      <c r="AE987" s="659" t="str">
        <f t="shared" si="80"/>
        <v/>
      </c>
      <c r="AF987" s="659" t="str">
        <f t="shared" si="80"/>
        <v/>
      </c>
      <c r="AG987" s="661"/>
    </row>
    <row r="988">
      <c r="A988" s="378"/>
      <c r="B988" s="666" t="s">
        <v>949</v>
      </c>
      <c r="C988" s="667">
        <v>6960.0</v>
      </c>
      <c r="D988" s="668">
        <v>4854.16</v>
      </c>
      <c r="E988" s="672" t="s">
        <v>926</v>
      </c>
      <c r="F988" s="669" t="s">
        <v>950</v>
      </c>
      <c r="G988" s="378"/>
      <c r="H988" s="378"/>
      <c r="I988" s="376"/>
      <c r="J988" s="376"/>
      <c r="K988" s="376"/>
      <c r="L988" s="376"/>
      <c r="M988" s="376"/>
      <c r="N988" s="376"/>
      <c r="O988" s="376"/>
      <c r="P988" s="376"/>
      <c r="Q988" s="376"/>
      <c r="R988" s="671">
        <v>13.0</v>
      </c>
      <c r="S988" s="653">
        <f t="shared" ref="S988:AF988" si="81">S377</f>
        <v>2932</v>
      </c>
      <c r="T988" s="654">
        <f t="shared" si="81"/>
        <v>3306.32</v>
      </c>
      <c r="U988" s="653" t="str">
        <f t="shared" si="81"/>
        <v>Ben Bellah Beliscar</v>
      </c>
      <c r="V988" s="665">
        <f t="shared" si="81"/>
        <v>2839.2</v>
      </c>
      <c r="W988" s="654">
        <f t="shared" si="81"/>
        <v>2839.2</v>
      </c>
      <c r="X988" s="654">
        <f t="shared" si="81"/>
        <v>2953.59</v>
      </c>
      <c r="Y988" s="655">
        <f t="shared" si="81"/>
        <v>4368</v>
      </c>
      <c r="Z988" s="654">
        <f t="shared" si="81"/>
        <v>467.12</v>
      </c>
      <c r="AA988" s="653" t="str">
        <f t="shared" si="81"/>
        <v/>
      </c>
      <c r="AB988" s="653" t="str">
        <f t="shared" si="81"/>
        <v/>
      </c>
      <c r="AC988" s="654">
        <f t="shared" si="81"/>
        <v>150</v>
      </c>
      <c r="AD988" s="654">
        <f t="shared" si="81"/>
        <v>400</v>
      </c>
      <c r="AE988" s="654">
        <f t="shared" si="81"/>
        <v>200</v>
      </c>
      <c r="AF988" s="665">
        <f t="shared" si="81"/>
        <v>1174.09</v>
      </c>
      <c r="AG988" s="656"/>
    </row>
    <row r="989">
      <c r="A989" s="378"/>
      <c r="B989" s="666" t="s">
        <v>951</v>
      </c>
      <c r="C989" s="667">
        <v>7048.0</v>
      </c>
      <c r="D989" s="668">
        <v>3465.47</v>
      </c>
      <c r="E989" s="669" t="s">
        <v>918</v>
      </c>
      <c r="G989" s="378"/>
      <c r="H989" s="378"/>
      <c r="I989" s="376"/>
      <c r="J989" s="376"/>
      <c r="K989" s="376"/>
      <c r="L989" s="376"/>
      <c r="M989" s="376"/>
      <c r="N989" s="376"/>
      <c r="O989" s="376"/>
      <c r="P989" s="376"/>
      <c r="Q989" s="376"/>
      <c r="R989" s="658"/>
      <c r="S989" s="659"/>
      <c r="T989" s="659"/>
      <c r="U989" s="659" t="str">
        <f t="shared" ref="U989:AF989" si="82">U378</f>
        <v>EDT Logistics LLC</v>
      </c>
      <c r="V989" s="660">
        <f t="shared" si="82"/>
        <v>3306.32</v>
      </c>
      <c r="W989" s="660">
        <f t="shared" si="82"/>
        <v>8184</v>
      </c>
      <c r="X989" s="659" t="str">
        <f t="shared" si="82"/>
        <v/>
      </c>
      <c r="Y989" s="659" t="str">
        <f t="shared" si="82"/>
        <v/>
      </c>
      <c r="Z989" s="659" t="str">
        <f t="shared" si="82"/>
        <v/>
      </c>
      <c r="AA989" s="659" t="str">
        <f t="shared" si="82"/>
        <v/>
      </c>
      <c r="AB989" s="659" t="str">
        <f t="shared" si="82"/>
        <v/>
      </c>
      <c r="AC989" s="659" t="str">
        <f t="shared" si="82"/>
        <v/>
      </c>
      <c r="AD989" s="659" t="str">
        <f t="shared" si="82"/>
        <v/>
      </c>
      <c r="AE989" s="659" t="str">
        <f t="shared" si="82"/>
        <v/>
      </c>
      <c r="AF989" s="659" t="str">
        <f t="shared" si="82"/>
        <v/>
      </c>
      <c r="AG989" s="661"/>
    </row>
    <row r="990">
      <c r="A990" s="378"/>
      <c r="B990" s="666" t="s">
        <v>952</v>
      </c>
      <c r="C990" s="667">
        <v>7265.0</v>
      </c>
      <c r="D990" s="668">
        <v>1940.5</v>
      </c>
      <c r="E990" s="669" t="s">
        <v>918</v>
      </c>
      <c r="G990" s="378"/>
      <c r="H990" s="378"/>
      <c r="I990" s="376"/>
      <c r="J990" s="376"/>
      <c r="K990" s="376"/>
      <c r="L990" s="376"/>
      <c r="M990" s="376"/>
      <c r="N990" s="376"/>
      <c r="O990" s="376"/>
      <c r="P990" s="376"/>
      <c r="Q990" s="376"/>
      <c r="R990" s="671">
        <v>14.0</v>
      </c>
      <c r="S990" s="653">
        <f t="shared" ref="S990:AG990" si="83">S408</f>
        <v>3301</v>
      </c>
      <c r="T990" s="654">
        <f t="shared" si="83"/>
        <v>4671.07</v>
      </c>
      <c r="U990" s="653" t="str">
        <f t="shared" si="83"/>
        <v>YVENSO BOSQUET</v>
      </c>
      <c r="V990" s="665">
        <f t="shared" si="83"/>
        <v>2468.72359</v>
      </c>
      <c r="W990" s="654">
        <f t="shared" si="83"/>
        <v>3274.7</v>
      </c>
      <c r="X990" s="654">
        <f t="shared" si="83"/>
        <v>2961.27</v>
      </c>
      <c r="Y990" s="655">
        <f t="shared" si="83"/>
        <v>5038</v>
      </c>
      <c r="Z990" s="654">
        <f t="shared" si="83"/>
        <v>2202.34641</v>
      </c>
      <c r="AA990" s="653" t="str">
        <f t="shared" si="83"/>
        <v/>
      </c>
      <c r="AB990" s="653" t="str">
        <f t="shared" si="83"/>
        <v/>
      </c>
      <c r="AC990" s="654">
        <f t="shared" si="83"/>
        <v>150</v>
      </c>
      <c r="AD990" s="654">
        <f t="shared" si="83"/>
        <v>400</v>
      </c>
      <c r="AE990" s="654">
        <f t="shared" si="83"/>
        <v>200</v>
      </c>
      <c r="AF990" s="665">
        <f t="shared" si="83"/>
        <v>411.5</v>
      </c>
      <c r="AG990" s="653" t="str">
        <f t="shared" si="83"/>
        <v/>
      </c>
    </row>
    <row r="991">
      <c r="A991" s="378"/>
      <c r="B991" s="666" t="s">
        <v>953</v>
      </c>
      <c r="C991" s="667">
        <v>7352.0</v>
      </c>
      <c r="D991" s="668">
        <v>1695.9</v>
      </c>
      <c r="E991" s="669" t="s">
        <v>918</v>
      </c>
      <c r="G991" s="378"/>
      <c r="H991" s="378"/>
      <c r="I991" s="376"/>
      <c r="J991" s="376"/>
      <c r="K991" s="376"/>
      <c r="L991" s="376"/>
      <c r="M991" s="376"/>
      <c r="N991" s="376"/>
      <c r="O991" s="376"/>
      <c r="P991" s="376"/>
      <c r="Q991" s="376"/>
      <c r="R991" s="658"/>
      <c r="S991" s="659"/>
      <c r="T991" s="659"/>
      <c r="U991" s="659" t="str">
        <f t="shared" ref="U991:AF991" si="84">U409</f>
        <v>Beycan LLC</v>
      </c>
      <c r="V991" s="660">
        <f t="shared" si="84"/>
        <v>4671.07</v>
      </c>
      <c r="W991" s="660">
        <f t="shared" si="84"/>
        <v>8793.84</v>
      </c>
      <c r="X991" s="659" t="str">
        <f t="shared" si="84"/>
        <v/>
      </c>
      <c r="Y991" s="659" t="str">
        <f t="shared" si="84"/>
        <v/>
      </c>
      <c r="Z991" s="659" t="str">
        <f t="shared" si="84"/>
        <v/>
      </c>
      <c r="AA991" s="659" t="str">
        <f t="shared" si="84"/>
        <v/>
      </c>
      <c r="AB991" s="659" t="str">
        <f t="shared" si="84"/>
        <v/>
      </c>
      <c r="AC991" s="659" t="str">
        <f t="shared" si="84"/>
        <v/>
      </c>
      <c r="AD991" s="659" t="str">
        <f t="shared" si="84"/>
        <v/>
      </c>
      <c r="AE991" s="659" t="str">
        <f t="shared" si="84"/>
        <v/>
      </c>
      <c r="AF991" s="659" t="str">
        <f t="shared" si="84"/>
        <v/>
      </c>
      <c r="AG991" s="661"/>
    </row>
    <row r="992">
      <c r="A992" s="378"/>
      <c r="B992" s="666" t="s">
        <v>954</v>
      </c>
      <c r="C992" s="667">
        <v>7807.0</v>
      </c>
      <c r="D992" s="668">
        <v>1727.09</v>
      </c>
      <c r="E992" s="669" t="s">
        <v>918</v>
      </c>
      <c r="G992" s="378"/>
      <c r="H992" s="378"/>
      <c r="I992" s="376"/>
      <c r="J992" s="376"/>
      <c r="K992" s="376"/>
      <c r="L992" s="376"/>
      <c r="M992" s="376"/>
      <c r="N992" s="376"/>
      <c r="O992" s="376"/>
      <c r="P992" s="376"/>
      <c r="Q992" s="376"/>
      <c r="R992" s="671">
        <v>15.0</v>
      </c>
      <c r="S992" s="653">
        <f t="shared" ref="S992:AG992" si="85">S439</f>
        <v>3403</v>
      </c>
      <c r="T992" s="654">
        <f t="shared" si="85"/>
        <v>4173.47</v>
      </c>
      <c r="U992" s="653" t="str">
        <f t="shared" si="85"/>
        <v>ANTOINE EMMANUEL</v>
      </c>
      <c r="V992" s="665">
        <f t="shared" si="85"/>
        <v>3312</v>
      </c>
      <c r="W992" s="654">
        <f t="shared" si="85"/>
        <v>3312</v>
      </c>
      <c r="X992" s="654">
        <f t="shared" si="85"/>
        <v>3063.99</v>
      </c>
      <c r="Y992" s="655">
        <f t="shared" si="85"/>
        <v>5520</v>
      </c>
      <c r="Z992" s="654">
        <f t="shared" si="85"/>
        <v>861.47</v>
      </c>
      <c r="AA992" s="653" t="str">
        <f t="shared" si="85"/>
        <v/>
      </c>
      <c r="AB992" s="653" t="str">
        <f t="shared" si="85"/>
        <v/>
      </c>
      <c r="AC992" s="654">
        <f t="shared" si="85"/>
        <v>150</v>
      </c>
      <c r="AD992" s="654">
        <f t="shared" si="85"/>
        <v>400</v>
      </c>
      <c r="AE992" s="654">
        <f t="shared" si="85"/>
        <v>200</v>
      </c>
      <c r="AF992" s="665">
        <f t="shared" si="85"/>
        <v>1450.54</v>
      </c>
      <c r="AG992" s="653" t="str">
        <f t="shared" si="85"/>
        <v/>
      </c>
    </row>
    <row r="993">
      <c r="A993" s="378"/>
      <c r="B993" s="666" t="s">
        <v>955</v>
      </c>
      <c r="C993" s="667">
        <v>9334.0</v>
      </c>
      <c r="D993" s="668">
        <v>2927.15</v>
      </c>
      <c r="E993" s="669" t="s">
        <v>918</v>
      </c>
      <c r="G993" s="378"/>
      <c r="H993" s="378"/>
      <c r="I993" s="376"/>
      <c r="J993" s="376"/>
      <c r="K993" s="376"/>
      <c r="L993" s="376"/>
      <c r="M993" s="376"/>
      <c r="N993" s="376"/>
      <c r="O993" s="376"/>
      <c r="P993" s="376"/>
      <c r="Q993" s="376"/>
      <c r="R993" s="658"/>
      <c r="S993" s="659"/>
      <c r="T993" s="659"/>
      <c r="U993" s="659" t="str">
        <f t="shared" ref="U993:AF993" si="86">U440</f>
        <v>US Ela Logistics LLC</v>
      </c>
      <c r="V993" s="660">
        <f t="shared" si="86"/>
        <v>4173.47</v>
      </c>
      <c r="W993" s="660">
        <f t="shared" si="86"/>
        <v>9438</v>
      </c>
      <c r="X993" s="659" t="str">
        <f t="shared" si="86"/>
        <v/>
      </c>
      <c r="Y993" s="659" t="str">
        <f t="shared" si="86"/>
        <v/>
      </c>
      <c r="Z993" s="659" t="str">
        <f t="shared" si="86"/>
        <v/>
      </c>
      <c r="AA993" s="659" t="str">
        <f t="shared" si="86"/>
        <v/>
      </c>
      <c r="AB993" s="659" t="str">
        <f t="shared" si="86"/>
        <v/>
      </c>
      <c r="AC993" s="659" t="str">
        <f t="shared" si="86"/>
        <v/>
      </c>
      <c r="AD993" s="659" t="str">
        <f t="shared" si="86"/>
        <v/>
      </c>
      <c r="AE993" s="659" t="str">
        <f t="shared" si="86"/>
        <v/>
      </c>
      <c r="AF993" s="659" t="str">
        <f t="shared" si="86"/>
        <v/>
      </c>
      <c r="AG993" s="661"/>
    </row>
    <row r="994">
      <c r="A994" s="378"/>
      <c r="B994" s="666" t="s">
        <v>956</v>
      </c>
      <c r="C994" s="667">
        <v>9348.0</v>
      </c>
      <c r="D994" s="668">
        <v>2159.82</v>
      </c>
      <c r="E994" s="669" t="s">
        <v>918</v>
      </c>
      <c r="G994" s="378"/>
      <c r="H994" s="378"/>
      <c r="I994" s="376"/>
      <c r="J994" s="376"/>
      <c r="K994" s="376"/>
      <c r="L994" s="376"/>
      <c r="M994" s="376"/>
      <c r="N994" s="376"/>
      <c r="O994" s="376"/>
      <c r="P994" s="376"/>
      <c r="Q994" s="376"/>
      <c r="R994" s="671">
        <v>16.0</v>
      </c>
      <c r="S994" s="653">
        <f t="shared" ref="S994:AE994" si="87">S470</f>
        <v>3819</v>
      </c>
      <c r="T994" s="654">
        <f t="shared" si="87"/>
        <v>3792.6</v>
      </c>
      <c r="U994" s="653" t="str">
        <f t="shared" si="87"/>
        <v>MICHEL PATRICK</v>
      </c>
      <c r="V994" s="665">
        <f t="shared" si="87"/>
        <v>2189.85</v>
      </c>
      <c r="W994" s="654">
        <f t="shared" si="87"/>
        <v>2189.85</v>
      </c>
      <c r="X994" s="654">
        <f t="shared" si="87"/>
        <v>3861.4</v>
      </c>
      <c r="Y994" s="655">
        <f t="shared" si="87"/>
        <v>3369</v>
      </c>
      <c r="Z994" s="654">
        <f t="shared" si="87"/>
        <v>1602.75</v>
      </c>
      <c r="AA994" s="653" t="str">
        <f t="shared" si="87"/>
        <v/>
      </c>
      <c r="AB994" s="653" t="str">
        <f t="shared" si="87"/>
        <v/>
      </c>
      <c r="AC994" s="654">
        <f t="shared" si="87"/>
        <v>150</v>
      </c>
      <c r="AD994" s="654">
        <f t="shared" si="87"/>
        <v>400</v>
      </c>
      <c r="AE994" s="654">
        <f t="shared" si="87"/>
        <v>200</v>
      </c>
      <c r="AF994" s="653"/>
      <c r="AG994" s="656"/>
    </row>
    <row r="995">
      <c r="A995" s="378"/>
      <c r="B995" s="666" t="s">
        <v>957</v>
      </c>
      <c r="C995" s="667">
        <v>9617.0</v>
      </c>
      <c r="D995" s="668">
        <v>2789.68</v>
      </c>
      <c r="E995" s="669" t="s">
        <v>918</v>
      </c>
      <c r="G995" s="378"/>
      <c r="H995" s="378"/>
      <c r="I995" s="376"/>
      <c r="J995" s="376"/>
      <c r="K995" s="376"/>
      <c r="L995" s="376"/>
      <c r="M995" s="376"/>
      <c r="N995" s="376"/>
      <c r="O995" s="376"/>
      <c r="P995" s="376"/>
      <c r="Q995" s="376"/>
      <c r="R995" s="658"/>
      <c r="S995" s="659"/>
      <c r="T995" s="659"/>
      <c r="U995" s="659" t="str">
        <f t="shared" ref="U995:AE995" si="88">U471</f>
        <v>Ada Fleet LLC</v>
      </c>
      <c r="V995" s="660">
        <f t="shared" si="88"/>
        <v>3792.6</v>
      </c>
      <c r="W995" s="660">
        <f t="shared" si="88"/>
        <v>8404</v>
      </c>
      <c r="X995" s="659" t="str">
        <f t="shared" si="88"/>
        <v/>
      </c>
      <c r="Y995" s="659" t="str">
        <f t="shared" si="88"/>
        <v/>
      </c>
      <c r="Z995" s="659" t="str">
        <f t="shared" si="88"/>
        <v/>
      </c>
      <c r="AA995" s="659" t="str">
        <f t="shared" si="88"/>
        <v/>
      </c>
      <c r="AB995" s="659" t="str">
        <f t="shared" si="88"/>
        <v/>
      </c>
      <c r="AC995" s="659" t="str">
        <f t="shared" si="88"/>
        <v/>
      </c>
      <c r="AD995" s="659" t="str">
        <f t="shared" si="88"/>
        <v/>
      </c>
      <c r="AE995" s="659" t="str">
        <f t="shared" si="88"/>
        <v/>
      </c>
      <c r="AF995" s="659"/>
      <c r="AG995" s="661"/>
    </row>
    <row r="996">
      <c r="A996" s="378"/>
      <c r="B996" s="677"/>
      <c r="C996" s="678"/>
      <c r="D996" s="679">
        <v>72682.55</v>
      </c>
      <c r="G996" s="378"/>
      <c r="H996" s="378"/>
      <c r="I996" s="376"/>
      <c r="J996" s="376"/>
      <c r="K996" s="376"/>
      <c r="L996" s="376"/>
      <c r="M996" s="376"/>
      <c r="N996" s="376"/>
      <c r="O996" s="376"/>
      <c r="P996" s="376"/>
      <c r="Q996" s="376"/>
      <c r="R996" s="671">
        <v>17.0</v>
      </c>
      <c r="S996" s="653">
        <f t="shared" ref="S996:AG996" si="89">S501</f>
        <v>5490</v>
      </c>
      <c r="T996" s="654">
        <f t="shared" si="89"/>
        <v>2759.99</v>
      </c>
      <c r="U996" s="653" t="str">
        <f t="shared" si="89"/>
        <v>FENEL EDME</v>
      </c>
      <c r="V996" s="665">
        <f t="shared" si="89"/>
        <v>1467.7</v>
      </c>
      <c r="W996" s="654">
        <f t="shared" si="89"/>
        <v>1467.7</v>
      </c>
      <c r="X996" s="654">
        <f t="shared" si="89"/>
        <v>1828.01</v>
      </c>
      <c r="Y996" s="655">
        <f t="shared" si="89"/>
        <v>2258</v>
      </c>
      <c r="Z996" s="654">
        <f t="shared" si="89"/>
        <v>1292.29</v>
      </c>
      <c r="AA996" s="653" t="str">
        <f t="shared" si="89"/>
        <v/>
      </c>
      <c r="AB996" s="653" t="str">
        <f t="shared" si="89"/>
        <v/>
      </c>
      <c r="AC996" s="654">
        <f t="shared" si="89"/>
        <v>0</v>
      </c>
      <c r="AD996" s="654">
        <f t="shared" si="89"/>
        <v>0</v>
      </c>
      <c r="AE996" s="654">
        <f t="shared" si="89"/>
        <v>0</v>
      </c>
      <c r="AF996" s="665">
        <f t="shared" si="89"/>
        <v>150</v>
      </c>
      <c r="AG996" s="653" t="str">
        <f t="shared" si="89"/>
        <v/>
      </c>
    </row>
    <row r="997">
      <c r="A997" s="378"/>
      <c r="B997" s="477"/>
      <c r="C997" s="378"/>
      <c r="D997" s="378"/>
      <c r="E997" s="378"/>
      <c r="F997" s="378"/>
      <c r="G997" s="378"/>
      <c r="H997" s="378"/>
      <c r="I997" s="376"/>
      <c r="J997" s="376"/>
      <c r="K997" s="376"/>
      <c r="L997" s="376"/>
      <c r="M997" s="376"/>
      <c r="N997" s="376"/>
      <c r="O997" s="376"/>
      <c r="P997" s="376"/>
      <c r="Q997" s="376"/>
      <c r="R997" s="658"/>
      <c r="S997" s="659"/>
      <c r="T997" s="659"/>
      <c r="U997" s="659" t="str">
        <f t="shared" ref="U997:AG997" si="90">U502</f>
        <v>Cey&amp;Cey LLC</v>
      </c>
      <c r="V997" s="660">
        <f t="shared" si="90"/>
        <v>2759.99</v>
      </c>
      <c r="W997" s="660">
        <f t="shared" si="90"/>
        <v>4488</v>
      </c>
      <c r="X997" s="659" t="str">
        <f t="shared" si="90"/>
        <v/>
      </c>
      <c r="Y997" s="659" t="str">
        <f t="shared" si="90"/>
        <v/>
      </c>
      <c r="Z997" s="659" t="str">
        <f t="shared" si="90"/>
        <v/>
      </c>
      <c r="AA997" s="659" t="str">
        <f t="shared" si="90"/>
        <v/>
      </c>
      <c r="AB997" s="659" t="str">
        <f t="shared" si="90"/>
        <v/>
      </c>
      <c r="AC997" s="659" t="str">
        <f t="shared" si="90"/>
        <v/>
      </c>
      <c r="AD997" s="659" t="str">
        <f t="shared" si="90"/>
        <v/>
      </c>
      <c r="AE997" s="659" t="str">
        <f t="shared" si="90"/>
        <v/>
      </c>
      <c r="AF997" s="659" t="str">
        <f t="shared" si="90"/>
        <v/>
      </c>
      <c r="AG997" s="659" t="str">
        <f t="shared" si="90"/>
        <v/>
      </c>
    </row>
    <row r="998">
      <c r="A998" s="378"/>
      <c r="B998" s="477"/>
      <c r="C998" s="378"/>
      <c r="D998" s="378"/>
      <c r="E998" s="378"/>
      <c r="F998" s="378"/>
      <c r="G998" s="378"/>
      <c r="H998" s="378"/>
      <c r="I998" s="376"/>
      <c r="J998" s="376"/>
      <c r="K998" s="376"/>
      <c r="L998" s="376"/>
      <c r="M998" s="376"/>
      <c r="N998" s="376"/>
      <c r="O998" s="376"/>
      <c r="P998" s="376"/>
      <c r="Q998" s="376"/>
      <c r="R998" s="671">
        <v>18.0</v>
      </c>
      <c r="S998" s="653">
        <f>S532</f>
        <v>6813</v>
      </c>
      <c r="T998" s="653"/>
      <c r="U998" s="653" t="str">
        <f t="shared" ref="U998:AF998" si="91">U532</f>
        <v>Lawrence Daniel Martin</v>
      </c>
      <c r="V998" s="665">
        <f t="shared" si="91"/>
        <v>1663.35</v>
      </c>
      <c r="W998" s="654">
        <f t="shared" si="91"/>
        <v>1663.35</v>
      </c>
      <c r="X998" s="654">
        <f t="shared" si="91"/>
        <v>2103.5</v>
      </c>
      <c r="Y998" s="655">
        <f t="shared" si="91"/>
        <v>2559</v>
      </c>
      <c r="Z998" s="654">
        <f t="shared" si="91"/>
        <v>1851.15</v>
      </c>
      <c r="AA998" s="653" t="str">
        <f t="shared" si="91"/>
        <v/>
      </c>
      <c r="AB998" s="653" t="str">
        <f t="shared" si="91"/>
        <v/>
      </c>
      <c r="AC998" s="654">
        <f t="shared" si="91"/>
        <v>0</v>
      </c>
      <c r="AD998" s="654">
        <f t="shared" si="91"/>
        <v>0</v>
      </c>
      <c r="AE998" s="654">
        <f t="shared" si="91"/>
        <v>0</v>
      </c>
      <c r="AF998" s="653">
        <f t="shared" si="91"/>
        <v>0</v>
      </c>
      <c r="AG998" s="653"/>
    </row>
    <row r="999">
      <c r="A999" s="378"/>
      <c r="B999" s="477"/>
      <c r="C999" s="378"/>
      <c r="D999" s="378"/>
      <c r="E999" s="378"/>
      <c r="F999" s="398" t="s">
        <v>958</v>
      </c>
      <c r="G999" s="378"/>
      <c r="H999" s="378"/>
      <c r="I999" s="376"/>
      <c r="J999" s="376"/>
      <c r="K999" s="376"/>
      <c r="L999" s="376"/>
      <c r="M999" s="376"/>
      <c r="N999" s="376"/>
      <c r="O999" s="376"/>
      <c r="P999" s="376"/>
      <c r="Q999" s="376"/>
      <c r="R999" s="658"/>
      <c r="S999" s="659"/>
      <c r="T999" s="659"/>
      <c r="U999" s="659" t="str">
        <f>U533</f>
        <v>Cey &amp; Cey LLC</v>
      </c>
      <c r="V999" s="660"/>
      <c r="W999" s="660">
        <f t="shared" ref="W999:Z999" si="92">W533</f>
        <v>5368</v>
      </c>
      <c r="X999" s="659" t="str">
        <f t="shared" si="92"/>
        <v/>
      </c>
      <c r="Y999" s="659" t="str">
        <f t="shared" si="92"/>
        <v/>
      </c>
      <c r="Z999" s="659" t="str">
        <f t="shared" si="92"/>
        <v/>
      </c>
      <c r="AA999" s="673">
        <v>-695.5</v>
      </c>
      <c r="AB999" s="659" t="str">
        <f t="shared" ref="AB999:AF999" si="93">AB533</f>
        <v/>
      </c>
      <c r="AC999" s="659" t="str">
        <f t="shared" si="93"/>
        <v/>
      </c>
      <c r="AD999" s="659" t="str">
        <f t="shared" si="93"/>
        <v/>
      </c>
      <c r="AE999" s="659" t="str">
        <f t="shared" si="93"/>
        <v/>
      </c>
      <c r="AF999" s="659" t="str">
        <f t="shared" si="93"/>
        <v/>
      </c>
      <c r="AG999" s="659"/>
    </row>
    <row r="1000">
      <c r="A1000" s="378"/>
      <c r="B1000" s="477"/>
      <c r="C1000" s="378"/>
      <c r="D1000" s="378"/>
      <c r="E1000" s="378"/>
      <c r="F1000" s="378"/>
      <c r="G1000" s="378"/>
      <c r="H1000" s="378"/>
      <c r="I1000" s="376"/>
      <c r="J1000" s="376"/>
      <c r="K1000" s="376"/>
      <c r="L1000" s="376"/>
      <c r="M1000" s="376"/>
      <c r="N1000" s="376"/>
      <c r="O1000" s="376"/>
      <c r="P1000" s="376"/>
      <c r="Q1000" s="376"/>
      <c r="R1000" s="671">
        <v>19.0</v>
      </c>
      <c r="S1000" s="653">
        <f t="shared" ref="S1000:AF1000" si="94">S563</f>
        <v>7048</v>
      </c>
      <c r="T1000" s="654">
        <f t="shared" si="94"/>
        <v>1013.81</v>
      </c>
      <c r="U1000" s="653" t="str">
        <f t="shared" si="94"/>
        <v>DAGBOLEN ISA</v>
      </c>
      <c r="V1000" s="665">
        <f t="shared" si="94"/>
        <v>3003.8</v>
      </c>
      <c r="W1000" s="654">
        <f t="shared" si="94"/>
        <v>2928.8</v>
      </c>
      <c r="X1000" s="654">
        <f t="shared" si="94"/>
        <v>3465.47</v>
      </c>
      <c r="Y1000" s="655">
        <f t="shared" si="94"/>
        <v>4184</v>
      </c>
      <c r="Z1000" s="654">
        <f t="shared" si="94"/>
        <v>-1989.99</v>
      </c>
      <c r="AA1000" s="653" t="str">
        <f t="shared" si="94"/>
        <v/>
      </c>
      <c r="AB1000" s="653" t="str">
        <f t="shared" si="94"/>
        <v/>
      </c>
      <c r="AC1000" s="654">
        <f t="shared" si="94"/>
        <v>150</v>
      </c>
      <c r="AD1000" s="654">
        <f t="shared" si="94"/>
        <v>400</v>
      </c>
      <c r="AE1000" s="654">
        <f t="shared" si="94"/>
        <v>200</v>
      </c>
      <c r="AF1000" s="665">
        <f t="shared" si="94"/>
        <v>3720.72</v>
      </c>
      <c r="AG1000" s="656"/>
    </row>
    <row r="1001">
      <c r="A1001" s="378"/>
      <c r="B1001" s="477"/>
      <c r="C1001" s="378"/>
      <c r="D1001" s="378"/>
      <c r="E1001" s="378"/>
      <c r="F1001" s="378"/>
      <c r="G1001" s="378"/>
      <c r="H1001" s="378"/>
      <c r="I1001" s="376"/>
      <c r="J1001" s="376"/>
      <c r="K1001" s="376"/>
      <c r="L1001" s="376"/>
      <c r="M1001" s="376"/>
      <c r="N1001" s="376"/>
      <c r="O1001" s="376"/>
      <c r="P1001" s="376"/>
      <c r="Q1001" s="376"/>
      <c r="R1001" s="658"/>
      <c r="S1001" s="659"/>
      <c r="T1001" s="659"/>
      <c r="U1001" s="659" t="str">
        <f t="shared" ref="U1001:AF1001" si="95">U564</f>
        <v>Arba Express LLC</v>
      </c>
      <c r="V1001" s="660">
        <f t="shared" si="95"/>
        <v>1013.81</v>
      </c>
      <c r="W1001" s="660">
        <f t="shared" si="95"/>
        <v>8950</v>
      </c>
      <c r="X1001" s="659" t="str">
        <f t="shared" si="95"/>
        <v/>
      </c>
      <c r="Y1001" s="659" t="str">
        <f t="shared" si="95"/>
        <v/>
      </c>
      <c r="Z1001" s="659" t="str">
        <f t="shared" si="95"/>
        <v/>
      </c>
      <c r="AA1001" s="659" t="str">
        <f t="shared" si="95"/>
        <v/>
      </c>
      <c r="AB1001" s="659" t="str">
        <f t="shared" si="95"/>
        <v/>
      </c>
      <c r="AC1001" s="659" t="str">
        <f t="shared" si="95"/>
        <v/>
      </c>
      <c r="AD1001" s="659" t="str">
        <f t="shared" si="95"/>
        <v/>
      </c>
      <c r="AE1001" s="659" t="str">
        <f t="shared" si="95"/>
        <v/>
      </c>
      <c r="AF1001" s="659" t="str">
        <f t="shared" si="95"/>
        <v/>
      </c>
      <c r="AG1001" s="661"/>
    </row>
    <row r="1002">
      <c r="A1002" s="378"/>
      <c r="B1002" s="477"/>
      <c r="C1002" s="378"/>
      <c r="D1002" s="378"/>
      <c r="E1002" s="378"/>
      <c r="F1002" s="378"/>
      <c r="G1002" s="378"/>
      <c r="H1002" s="378"/>
      <c r="I1002" s="376"/>
      <c r="J1002" s="376"/>
      <c r="K1002" s="376"/>
      <c r="L1002" s="376"/>
      <c r="M1002" s="376"/>
      <c r="N1002" s="376"/>
      <c r="O1002" s="376"/>
      <c r="P1002" s="376"/>
      <c r="Q1002" s="376"/>
      <c r="R1002" s="671">
        <v>20.0</v>
      </c>
      <c r="S1002" s="653">
        <f t="shared" ref="S1002:AF1002" si="96">S594</f>
        <v>7265</v>
      </c>
      <c r="T1002" s="654">
        <f t="shared" si="96"/>
        <v>7159.5</v>
      </c>
      <c r="U1002" s="653" t="str">
        <f t="shared" si="96"/>
        <v>BENCHIKA DOLL</v>
      </c>
      <c r="V1002" s="665">
        <f t="shared" si="96"/>
        <v>2609.1</v>
      </c>
      <c r="W1002" s="654">
        <f t="shared" si="96"/>
        <v>2609.1</v>
      </c>
      <c r="X1002" s="654">
        <f t="shared" si="96"/>
        <v>1940.5</v>
      </c>
      <c r="Y1002" s="655">
        <f t="shared" si="96"/>
        <v>4014</v>
      </c>
      <c r="Z1002" s="654">
        <f t="shared" si="96"/>
        <v>4550.4</v>
      </c>
      <c r="AA1002" s="653" t="str">
        <f t="shared" si="96"/>
        <v/>
      </c>
      <c r="AB1002" s="653" t="str">
        <f t="shared" si="96"/>
        <v/>
      </c>
      <c r="AC1002" s="654" t="str">
        <f t="shared" si="96"/>
        <v/>
      </c>
      <c r="AD1002" s="654" t="str">
        <f t="shared" si="96"/>
        <v/>
      </c>
      <c r="AE1002" s="654" t="str">
        <f t="shared" si="96"/>
        <v/>
      </c>
      <c r="AF1002" s="653">
        <f t="shared" si="96"/>
        <v>0</v>
      </c>
      <c r="AG1002" s="656"/>
    </row>
    <row r="1003">
      <c r="A1003" s="378"/>
      <c r="B1003" s="477"/>
      <c r="C1003" s="378"/>
      <c r="D1003" s="378"/>
      <c r="E1003" s="378"/>
      <c r="F1003" s="378"/>
      <c r="G1003" s="378"/>
      <c r="H1003" s="378"/>
      <c r="I1003" s="376"/>
      <c r="J1003" s="376"/>
      <c r="K1003" s="376"/>
      <c r="L1003" s="376"/>
      <c r="M1003" s="376"/>
      <c r="N1003" s="376"/>
      <c r="O1003" s="376"/>
      <c r="P1003" s="376"/>
      <c r="Q1003" s="376"/>
      <c r="R1003" s="658"/>
      <c r="S1003" s="659"/>
      <c r="T1003" s="659"/>
      <c r="U1003" s="659" t="str">
        <f t="shared" ref="U1003:AF1003" si="97">U595</f>
        <v>Ada Fleet LLC</v>
      </c>
      <c r="V1003" s="660">
        <f t="shared" si="97"/>
        <v>7159.5</v>
      </c>
      <c r="W1003" s="660">
        <f t="shared" si="97"/>
        <v>9100</v>
      </c>
      <c r="X1003" s="659" t="str">
        <f t="shared" si="97"/>
        <v/>
      </c>
      <c r="Y1003" s="659" t="str">
        <f t="shared" si="97"/>
        <v/>
      </c>
      <c r="Z1003" s="659" t="str">
        <f t="shared" si="97"/>
        <v/>
      </c>
      <c r="AA1003" s="659" t="str">
        <f t="shared" si="97"/>
        <v/>
      </c>
      <c r="AB1003" s="659" t="str">
        <f t="shared" si="97"/>
        <v/>
      </c>
      <c r="AC1003" s="659" t="str">
        <f t="shared" si="97"/>
        <v/>
      </c>
      <c r="AD1003" s="659" t="str">
        <f t="shared" si="97"/>
        <v/>
      </c>
      <c r="AE1003" s="659" t="str">
        <f t="shared" si="97"/>
        <v/>
      </c>
      <c r="AF1003" s="659" t="str">
        <f t="shared" si="97"/>
        <v/>
      </c>
      <c r="AG1003" s="661"/>
    </row>
    <row r="1004">
      <c r="A1004" s="378"/>
      <c r="B1004" s="477"/>
      <c r="C1004" s="378"/>
      <c r="D1004" s="378"/>
      <c r="E1004" s="378"/>
      <c r="F1004" s="378"/>
      <c r="G1004" s="378"/>
      <c r="H1004" s="378"/>
      <c r="I1004" s="376"/>
      <c r="J1004" s="376"/>
      <c r="K1004" s="376"/>
      <c r="L1004" s="376"/>
      <c r="M1004" s="376"/>
      <c r="N1004" s="376"/>
      <c r="O1004" s="376"/>
      <c r="P1004" s="376"/>
      <c r="Q1004" s="376"/>
      <c r="R1004" s="671">
        <v>21.0</v>
      </c>
      <c r="S1004" s="653">
        <f>S625</f>
        <v>7352</v>
      </c>
      <c r="T1004" s="653"/>
      <c r="U1004" s="653" t="str">
        <f t="shared" ref="U1004:AF1004" si="98">U625</f>
        <v>JEAN SONNY</v>
      </c>
      <c r="V1004" s="665">
        <f t="shared" si="98"/>
        <v>933.4</v>
      </c>
      <c r="W1004" s="654">
        <f t="shared" si="98"/>
        <v>933.4</v>
      </c>
      <c r="X1004" s="654">
        <f t="shared" si="98"/>
        <v>1695.9</v>
      </c>
      <c r="Y1004" s="655">
        <f t="shared" si="98"/>
        <v>1436</v>
      </c>
      <c r="Z1004" s="654">
        <f t="shared" si="98"/>
        <v>-3070.44</v>
      </c>
      <c r="AA1004" s="653" t="str">
        <f t="shared" si="98"/>
        <v/>
      </c>
      <c r="AB1004" s="653" t="str">
        <f t="shared" si="98"/>
        <v/>
      </c>
      <c r="AC1004" s="654">
        <f t="shared" si="98"/>
        <v>150</v>
      </c>
      <c r="AD1004" s="654">
        <f t="shared" si="98"/>
        <v>400</v>
      </c>
      <c r="AE1004" s="654">
        <f t="shared" si="98"/>
        <v>200</v>
      </c>
      <c r="AF1004" s="665">
        <f t="shared" si="98"/>
        <v>1407.14</v>
      </c>
      <c r="AG1004" s="656"/>
    </row>
    <row r="1005">
      <c r="A1005" s="378"/>
      <c r="B1005" s="477"/>
      <c r="C1005" s="378"/>
      <c r="D1005" s="378"/>
      <c r="E1005" s="378"/>
      <c r="F1005" s="378"/>
      <c r="G1005" s="378"/>
      <c r="H1005" s="378"/>
      <c r="I1005" s="376"/>
      <c r="J1005" s="376"/>
      <c r="K1005" s="376"/>
      <c r="L1005" s="376"/>
      <c r="M1005" s="376"/>
      <c r="N1005" s="376"/>
      <c r="O1005" s="376"/>
      <c r="P1005" s="376"/>
      <c r="Q1005" s="376"/>
      <c r="R1005" s="658"/>
      <c r="S1005" s="659"/>
      <c r="T1005" s="659"/>
      <c r="U1005" s="659" t="str">
        <f>U626</f>
        <v>Careway Logistics LLC</v>
      </c>
      <c r="V1005" s="659"/>
      <c r="W1005" s="660">
        <f t="shared" ref="W1005:Z1005" si="99">W626</f>
        <v>1716</v>
      </c>
      <c r="X1005" s="659" t="str">
        <f t="shared" si="99"/>
        <v/>
      </c>
      <c r="Y1005" s="659" t="str">
        <f t="shared" si="99"/>
        <v/>
      </c>
      <c r="Z1005" s="659" t="str">
        <f t="shared" si="99"/>
        <v/>
      </c>
      <c r="AA1005" s="673">
        <v>-1385.34</v>
      </c>
      <c r="AB1005" s="659" t="str">
        <f t="shared" ref="AB1005:AF1005" si="100">AB626</f>
        <v/>
      </c>
      <c r="AC1005" s="659" t="str">
        <f t="shared" si="100"/>
        <v/>
      </c>
      <c r="AD1005" s="659" t="str">
        <f t="shared" si="100"/>
        <v/>
      </c>
      <c r="AE1005" s="659" t="str">
        <f t="shared" si="100"/>
        <v/>
      </c>
      <c r="AF1005" s="659" t="str">
        <f t="shared" si="100"/>
        <v/>
      </c>
      <c r="AG1005" s="661"/>
    </row>
    <row r="1006">
      <c r="A1006" s="378"/>
      <c r="B1006" s="477"/>
      <c r="C1006" s="378"/>
      <c r="D1006" s="378"/>
      <c r="E1006" s="378"/>
      <c r="F1006" s="378"/>
      <c r="G1006" s="378"/>
      <c r="H1006" s="378"/>
      <c r="I1006" s="376"/>
      <c r="J1006" s="376"/>
      <c r="K1006" s="376"/>
      <c r="L1006" s="376"/>
      <c r="M1006" s="376"/>
      <c r="N1006" s="376"/>
      <c r="O1006" s="376"/>
      <c r="P1006" s="376"/>
      <c r="Q1006" s="376"/>
      <c r="R1006" s="671">
        <v>22.0</v>
      </c>
      <c r="S1006" s="653">
        <f>S656</f>
        <v>7607</v>
      </c>
      <c r="T1006" s="653"/>
      <c r="U1006" s="653" t="str">
        <f t="shared" ref="U1006:AE1006" si="101">U656</f>
        <v>MARVIN CREARY</v>
      </c>
      <c r="V1006" s="665">
        <f t="shared" si="101"/>
        <v>1381.25</v>
      </c>
      <c r="W1006" s="654">
        <f t="shared" si="101"/>
        <v>1381.25</v>
      </c>
      <c r="X1006" s="654">
        <f t="shared" si="101"/>
        <v>2937.19</v>
      </c>
      <c r="Y1006" s="655">
        <f t="shared" si="101"/>
        <v>2125</v>
      </c>
      <c r="Z1006" s="654">
        <f t="shared" si="101"/>
        <v>-1850.44</v>
      </c>
      <c r="AA1006" s="653" t="str">
        <f t="shared" si="101"/>
        <v/>
      </c>
      <c r="AB1006" s="653" t="str">
        <f t="shared" si="101"/>
        <v/>
      </c>
      <c r="AC1006" s="654">
        <f t="shared" si="101"/>
        <v>100</v>
      </c>
      <c r="AD1006" s="654">
        <f t="shared" si="101"/>
        <v>400</v>
      </c>
      <c r="AE1006" s="654">
        <f t="shared" si="101"/>
        <v>200</v>
      </c>
      <c r="AF1006" s="653"/>
      <c r="AG1006" s="656"/>
    </row>
    <row r="1007">
      <c r="A1007" s="378"/>
      <c r="B1007" s="477"/>
      <c r="C1007" s="378"/>
      <c r="D1007" s="378"/>
      <c r="E1007" s="378"/>
      <c r="F1007" s="378"/>
      <c r="G1007" s="378"/>
      <c r="H1007" s="378"/>
      <c r="I1007" s="376"/>
      <c r="J1007" s="376"/>
      <c r="K1007" s="376"/>
      <c r="L1007" s="376"/>
      <c r="M1007" s="376"/>
      <c r="N1007" s="376"/>
      <c r="O1007" s="376"/>
      <c r="P1007" s="376"/>
      <c r="Q1007" s="376"/>
      <c r="R1007" s="658"/>
      <c r="S1007" s="659"/>
      <c r="T1007" s="659"/>
      <c r="U1007" s="659" t="str">
        <f>U657</f>
        <v>NZD Transport LLC</v>
      </c>
      <c r="V1007" s="659"/>
      <c r="W1007" s="660">
        <f t="shared" ref="W1007:Z1007" si="102">W657</f>
        <v>3168</v>
      </c>
      <c r="X1007" s="659" t="str">
        <f t="shared" si="102"/>
        <v/>
      </c>
      <c r="Y1007" s="659" t="str">
        <f t="shared" si="102"/>
        <v/>
      </c>
      <c r="Z1007" s="659" t="str">
        <f t="shared" si="102"/>
        <v/>
      </c>
      <c r="AA1007" s="673">
        <v>-519.19</v>
      </c>
      <c r="AB1007" s="659" t="str">
        <f t="shared" ref="AB1007:AE1007" si="103">AB657</f>
        <v/>
      </c>
      <c r="AC1007" s="659" t="str">
        <f t="shared" si="103"/>
        <v/>
      </c>
      <c r="AD1007" s="659" t="str">
        <f t="shared" si="103"/>
        <v/>
      </c>
      <c r="AE1007" s="659" t="str">
        <f t="shared" si="103"/>
        <v/>
      </c>
      <c r="AF1007" s="659"/>
      <c r="AG1007" s="661"/>
    </row>
    <row r="1008">
      <c r="A1008" s="378"/>
      <c r="B1008" s="477"/>
      <c r="C1008" s="378"/>
      <c r="D1008" s="378"/>
      <c r="E1008" s="378"/>
      <c r="F1008" s="378"/>
      <c r="G1008" s="378"/>
      <c r="H1008" s="378"/>
      <c r="I1008" s="376"/>
      <c r="J1008" s="376"/>
      <c r="K1008" s="376"/>
      <c r="L1008" s="376"/>
      <c r="M1008" s="376"/>
      <c r="N1008" s="376"/>
      <c r="O1008" s="376"/>
      <c r="P1008" s="376"/>
      <c r="Q1008" s="376"/>
      <c r="R1008" s="671">
        <v>23.0</v>
      </c>
      <c r="S1008" s="653">
        <f t="shared" ref="S1008:AG1008" si="104">S686</f>
        <v>7807</v>
      </c>
      <c r="T1008" s="654">
        <f t="shared" si="104"/>
        <v>3381.45</v>
      </c>
      <c r="U1008" s="653" t="str">
        <f t="shared" si="104"/>
        <v>TOUSSAINT BESANTO</v>
      </c>
      <c r="V1008" s="665">
        <f t="shared" si="104"/>
        <v>1921.4</v>
      </c>
      <c r="W1008" s="654">
        <f t="shared" si="104"/>
        <v>1921.4</v>
      </c>
      <c r="X1008" s="654">
        <f t="shared" si="104"/>
        <v>1727.09</v>
      </c>
      <c r="Y1008" s="655">
        <f t="shared" si="104"/>
        <v>2956</v>
      </c>
      <c r="Z1008" s="654">
        <f t="shared" si="104"/>
        <v>1460.05</v>
      </c>
      <c r="AA1008" s="653" t="str">
        <f t="shared" si="104"/>
        <v/>
      </c>
      <c r="AB1008" s="653" t="str">
        <f t="shared" si="104"/>
        <v/>
      </c>
      <c r="AC1008" s="654" t="str">
        <f t="shared" si="104"/>
        <v/>
      </c>
      <c r="AD1008" s="654" t="str">
        <f t="shared" si="104"/>
        <v/>
      </c>
      <c r="AE1008" s="654" t="str">
        <f t="shared" si="104"/>
        <v/>
      </c>
      <c r="AF1008" s="653">
        <f t="shared" si="104"/>
        <v>0</v>
      </c>
      <c r="AG1008" s="653" t="str">
        <f t="shared" si="104"/>
        <v/>
      </c>
    </row>
    <row r="1009">
      <c r="A1009" s="378"/>
      <c r="B1009" s="477"/>
      <c r="C1009" s="378"/>
      <c r="D1009" s="378"/>
      <c r="E1009" s="378"/>
      <c r="F1009" s="378"/>
      <c r="G1009" s="378"/>
      <c r="H1009" s="378"/>
      <c r="I1009" s="376"/>
      <c r="J1009" s="376"/>
      <c r="K1009" s="376"/>
      <c r="L1009" s="376"/>
      <c r="M1009" s="376"/>
      <c r="N1009" s="376"/>
      <c r="O1009" s="376"/>
      <c r="P1009" s="376"/>
      <c r="Q1009" s="376"/>
      <c r="R1009" s="658"/>
      <c r="S1009" s="659"/>
      <c r="T1009" s="659"/>
      <c r="U1009" s="659" t="str">
        <f t="shared" ref="U1009:AF1009" si="105">U687</f>
        <v>KOMO Logistics LLC</v>
      </c>
      <c r="V1009" s="660">
        <f t="shared" si="105"/>
        <v>3381.45</v>
      </c>
      <c r="W1009" s="660">
        <f t="shared" si="105"/>
        <v>4147.44</v>
      </c>
      <c r="X1009" s="659" t="str">
        <f t="shared" si="105"/>
        <v/>
      </c>
      <c r="Y1009" s="659" t="str">
        <f t="shared" si="105"/>
        <v/>
      </c>
      <c r="Z1009" s="659" t="str">
        <f t="shared" si="105"/>
        <v/>
      </c>
      <c r="AA1009" s="659" t="str">
        <f t="shared" si="105"/>
        <v/>
      </c>
      <c r="AB1009" s="659" t="str">
        <f t="shared" si="105"/>
        <v/>
      </c>
      <c r="AC1009" s="659" t="str">
        <f t="shared" si="105"/>
        <v/>
      </c>
      <c r="AD1009" s="659" t="str">
        <f t="shared" si="105"/>
        <v/>
      </c>
      <c r="AE1009" s="659" t="str">
        <f t="shared" si="105"/>
        <v/>
      </c>
      <c r="AF1009" s="659" t="str">
        <f t="shared" si="105"/>
        <v/>
      </c>
      <c r="AG1009" s="661"/>
    </row>
    <row r="1010">
      <c r="A1010" s="378"/>
      <c r="B1010" s="477"/>
      <c r="C1010" s="378"/>
      <c r="D1010" s="378"/>
      <c r="E1010" s="378"/>
      <c r="F1010" s="378"/>
      <c r="G1010" s="378"/>
      <c r="H1010" s="378"/>
      <c r="I1010" s="376"/>
      <c r="J1010" s="376"/>
      <c r="K1010" s="376"/>
      <c r="L1010" s="376"/>
      <c r="M1010" s="376"/>
      <c r="N1010" s="376"/>
      <c r="O1010" s="376"/>
      <c r="P1010" s="376"/>
      <c r="Q1010" s="376"/>
      <c r="R1010" s="671">
        <v>24.0</v>
      </c>
      <c r="S1010" s="653">
        <f>S717</f>
        <v>8479</v>
      </c>
      <c r="T1010" s="653"/>
      <c r="U1010" s="653" t="str">
        <f t="shared" ref="U1010:Z1010" si="106">U717</f>
        <v>Kimberly Monique Sowell</v>
      </c>
      <c r="V1010" s="665">
        <f t="shared" si="106"/>
        <v>725.4</v>
      </c>
      <c r="W1010" s="654">
        <f t="shared" si="106"/>
        <v>432.9</v>
      </c>
      <c r="X1010" s="654">
        <f t="shared" si="106"/>
        <v>1344.79</v>
      </c>
      <c r="Y1010" s="655">
        <f t="shared" si="106"/>
        <v>666</v>
      </c>
      <c r="Z1010" s="654">
        <f t="shared" si="106"/>
        <v>-2331.81</v>
      </c>
      <c r="AA1010" s="680">
        <v>-156.79</v>
      </c>
      <c r="AB1010" s="653" t="str">
        <f t="shared" ref="AB1010:AG1010" si="107">AB717</f>
        <v/>
      </c>
      <c r="AC1010" s="654">
        <f t="shared" si="107"/>
        <v>150</v>
      </c>
      <c r="AD1010" s="654">
        <f t="shared" si="107"/>
        <v>400</v>
      </c>
      <c r="AE1010" s="654">
        <f t="shared" si="107"/>
        <v>0</v>
      </c>
      <c r="AF1010" s="665">
        <f t="shared" si="107"/>
        <v>899.62</v>
      </c>
      <c r="AG1010" s="653" t="str">
        <f t="shared" si="107"/>
        <v/>
      </c>
    </row>
    <row r="1011">
      <c r="A1011" s="378"/>
      <c r="B1011" s="477"/>
      <c r="C1011" s="378"/>
      <c r="D1011" s="378"/>
      <c r="E1011" s="378"/>
      <c r="F1011" s="378"/>
      <c r="G1011" s="378"/>
      <c r="H1011" s="378"/>
      <c r="I1011" s="376"/>
      <c r="J1011" s="376"/>
      <c r="K1011" s="376"/>
      <c r="L1011" s="376"/>
      <c r="M1011" s="376"/>
      <c r="N1011" s="376"/>
      <c r="O1011" s="376"/>
      <c r="P1011" s="376"/>
      <c r="Q1011" s="376"/>
      <c r="R1011" s="658"/>
      <c r="S1011" s="659"/>
      <c r="T1011" s="659"/>
      <c r="U1011" s="659" t="str">
        <f t="shared" ref="U1011:AG1011" si="108">U718</f>
        <v>Fwziyes Place LLC Boss Trucking Equipment LLC</v>
      </c>
      <c r="V1011" s="660">
        <f t="shared" si="108"/>
        <v>-1606.41</v>
      </c>
      <c r="W1011" s="660">
        <f t="shared" si="108"/>
        <v>1188</v>
      </c>
      <c r="X1011" s="659" t="str">
        <f t="shared" si="108"/>
        <v/>
      </c>
      <c r="Y1011" s="659" t="str">
        <f t="shared" si="108"/>
        <v/>
      </c>
      <c r="Z1011" s="659" t="str">
        <f t="shared" si="108"/>
        <v/>
      </c>
      <c r="AA1011" s="659" t="str">
        <f t="shared" si="108"/>
        <v/>
      </c>
      <c r="AB1011" s="659" t="str">
        <f t="shared" si="108"/>
        <v/>
      </c>
      <c r="AC1011" s="659" t="str">
        <f t="shared" si="108"/>
        <v/>
      </c>
      <c r="AD1011" s="659" t="str">
        <f t="shared" si="108"/>
        <v/>
      </c>
      <c r="AE1011" s="659" t="str">
        <f t="shared" si="108"/>
        <v/>
      </c>
      <c r="AF1011" s="659" t="str">
        <f t="shared" si="108"/>
        <v/>
      </c>
      <c r="AG1011" s="659" t="str">
        <f t="shared" si="108"/>
        <v/>
      </c>
    </row>
    <row r="1012">
      <c r="A1012" s="378"/>
      <c r="B1012" s="477"/>
      <c r="C1012" s="378"/>
      <c r="D1012" s="378"/>
      <c r="E1012" s="378"/>
      <c r="F1012" s="378"/>
      <c r="G1012" s="378"/>
      <c r="H1012" s="378"/>
      <c r="I1012" s="376"/>
      <c r="J1012" s="376"/>
      <c r="K1012" s="376"/>
      <c r="L1012" s="376"/>
      <c r="M1012" s="376"/>
      <c r="N1012" s="376"/>
      <c r="O1012" s="376"/>
      <c r="P1012" s="376"/>
      <c r="Q1012" s="376"/>
      <c r="R1012" s="671">
        <v>25.0</v>
      </c>
      <c r="S1012" s="653">
        <f t="shared" ref="S1012:AF1012" si="109">S748</f>
        <v>9334</v>
      </c>
      <c r="T1012" s="654">
        <f t="shared" si="109"/>
        <v>2957.64</v>
      </c>
      <c r="U1012" s="653" t="str">
        <f t="shared" si="109"/>
        <v>Bellane Stender</v>
      </c>
      <c r="V1012" s="665">
        <f t="shared" si="109"/>
        <v>2734.8945</v>
      </c>
      <c r="W1012" s="654">
        <f t="shared" si="109"/>
        <v>2734.8945</v>
      </c>
      <c r="X1012" s="654">
        <f t="shared" si="109"/>
        <v>2927.15</v>
      </c>
      <c r="Y1012" s="655">
        <f t="shared" si="109"/>
        <v>4207.53</v>
      </c>
      <c r="Z1012" s="654">
        <f t="shared" si="109"/>
        <v>222.7455</v>
      </c>
      <c r="AA1012" s="653" t="str">
        <f t="shared" si="109"/>
        <v/>
      </c>
      <c r="AB1012" s="653" t="str">
        <f t="shared" si="109"/>
        <v/>
      </c>
      <c r="AC1012" s="654">
        <f t="shared" si="109"/>
        <v>150</v>
      </c>
      <c r="AD1012" s="654">
        <f t="shared" si="109"/>
        <v>400</v>
      </c>
      <c r="AE1012" s="654">
        <f t="shared" si="109"/>
        <v>200</v>
      </c>
      <c r="AF1012" s="665">
        <f t="shared" si="109"/>
        <v>141.21</v>
      </c>
      <c r="AG1012" s="653"/>
    </row>
    <row r="1013">
      <c r="A1013" s="378"/>
      <c r="B1013" s="477"/>
      <c r="C1013" s="378"/>
      <c r="D1013" s="378"/>
      <c r="E1013" s="378"/>
      <c r="F1013" s="378"/>
      <c r="G1013" s="378"/>
      <c r="H1013" s="378"/>
      <c r="I1013" s="376"/>
      <c r="J1013" s="376"/>
      <c r="K1013" s="376"/>
      <c r="L1013" s="376"/>
      <c r="M1013" s="376"/>
      <c r="N1013" s="376"/>
      <c r="O1013" s="376"/>
      <c r="P1013" s="376"/>
      <c r="Q1013" s="376"/>
      <c r="R1013" s="658"/>
      <c r="S1013" s="659"/>
      <c r="T1013" s="659"/>
      <c r="U1013" s="659" t="str">
        <f t="shared" ref="U1013:AG1013" si="110">U749</f>
        <v>Neta Globbal Logistics LLC</v>
      </c>
      <c r="V1013" s="660">
        <f t="shared" si="110"/>
        <v>2957.64</v>
      </c>
      <c r="W1013" s="660">
        <f t="shared" si="110"/>
        <v>6776</v>
      </c>
      <c r="X1013" s="659" t="str">
        <f t="shared" si="110"/>
        <v/>
      </c>
      <c r="Y1013" s="659" t="str">
        <f t="shared" si="110"/>
        <v/>
      </c>
      <c r="Z1013" s="659" t="str">
        <f t="shared" si="110"/>
        <v/>
      </c>
      <c r="AA1013" s="659" t="str">
        <f t="shared" si="110"/>
        <v/>
      </c>
      <c r="AB1013" s="659" t="str">
        <f t="shared" si="110"/>
        <v/>
      </c>
      <c r="AC1013" s="659" t="str">
        <f t="shared" si="110"/>
        <v/>
      </c>
      <c r="AD1013" s="659" t="str">
        <f t="shared" si="110"/>
        <v/>
      </c>
      <c r="AE1013" s="659" t="str">
        <f t="shared" si="110"/>
        <v/>
      </c>
      <c r="AF1013" s="659" t="str">
        <f t="shared" si="110"/>
        <v/>
      </c>
      <c r="AG1013" s="659" t="str">
        <f t="shared" si="110"/>
        <v/>
      </c>
    </row>
    <row r="1014">
      <c r="A1014" s="378"/>
      <c r="B1014" s="477"/>
      <c r="C1014" s="378"/>
      <c r="D1014" s="378"/>
      <c r="E1014" s="378"/>
      <c r="F1014" s="378"/>
      <c r="G1014" s="378"/>
      <c r="H1014" s="378"/>
      <c r="I1014" s="376"/>
      <c r="J1014" s="376"/>
      <c r="K1014" s="376"/>
      <c r="L1014" s="376"/>
      <c r="M1014" s="376"/>
      <c r="N1014" s="376"/>
      <c r="O1014" s="376"/>
      <c r="P1014" s="376"/>
      <c r="Q1014" s="376"/>
      <c r="R1014" s="671">
        <v>26.0</v>
      </c>
      <c r="S1014" s="653">
        <f t="shared" ref="S1014:AF1014" si="111">S779</f>
        <v>9348</v>
      </c>
      <c r="T1014" s="654">
        <f t="shared" si="111"/>
        <v>5011.83</v>
      </c>
      <c r="U1014" s="653" t="str">
        <f t="shared" si="111"/>
        <v>WOODBENS JOSIL</v>
      </c>
      <c r="V1014" s="665">
        <f t="shared" si="111"/>
        <v>2469.85</v>
      </c>
      <c r="W1014" s="654">
        <f t="shared" si="111"/>
        <v>2319.85</v>
      </c>
      <c r="X1014" s="654">
        <f t="shared" si="111"/>
        <v>2159.82</v>
      </c>
      <c r="Y1014" s="655">
        <f t="shared" si="111"/>
        <v>3569</v>
      </c>
      <c r="Z1014" s="654">
        <f t="shared" si="111"/>
        <v>2541.98</v>
      </c>
      <c r="AA1014" s="653" t="str">
        <f t="shared" si="111"/>
        <v/>
      </c>
      <c r="AB1014" s="653" t="str">
        <f t="shared" si="111"/>
        <v/>
      </c>
      <c r="AC1014" s="654">
        <f t="shared" si="111"/>
        <v>150</v>
      </c>
      <c r="AD1014" s="654">
        <f t="shared" si="111"/>
        <v>400</v>
      </c>
      <c r="AE1014" s="654">
        <f t="shared" si="111"/>
        <v>200</v>
      </c>
      <c r="AF1014" s="653">
        <f t="shared" si="111"/>
        <v>0</v>
      </c>
      <c r="AG1014" s="656"/>
    </row>
    <row r="1015">
      <c r="A1015" s="378"/>
      <c r="B1015" s="477"/>
      <c r="C1015" s="378"/>
      <c r="D1015" s="378"/>
      <c r="E1015" s="378"/>
      <c r="F1015" s="378"/>
      <c r="G1015" s="378"/>
      <c r="H1015" s="378"/>
      <c r="I1015" s="376"/>
      <c r="J1015" s="376"/>
      <c r="K1015" s="376"/>
      <c r="L1015" s="376"/>
      <c r="M1015" s="376"/>
      <c r="N1015" s="376"/>
      <c r="O1015" s="376"/>
      <c r="P1015" s="376"/>
      <c r="Q1015" s="376"/>
      <c r="R1015" s="658"/>
      <c r="S1015" s="659"/>
      <c r="T1015" s="659"/>
      <c r="U1015" s="659" t="str">
        <f t="shared" ref="U1015:AF1015" si="112">U780</f>
        <v>Ada Fleet LLC</v>
      </c>
      <c r="V1015" s="660">
        <f t="shared" si="112"/>
        <v>5011.83</v>
      </c>
      <c r="W1015" s="660">
        <f t="shared" si="112"/>
        <v>6105</v>
      </c>
      <c r="X1015" s="659" t="str">
        <f t="shared" si="112"/>
        <v/>
      </c>
      <c r="Y1015" s="659" t="str">
        <f t="shared" si="112"/>
        <v/>
      </c>
      <c r="Z1015" s="659" t="str">
        <f t="shared" si="112"/>
        <v/>
      </c>
      <c r="AA1015" s="659" t="str">
        <f t="shared" si="112"/>
        <v/>
      </c>
      <c r="AB1015" s="659" t="str">
        <f t="shared" si="112"/>
        <v/>
      </c>
      <c r="AC1015" s="659" t="str">
        <f t="shared" si="112"/>
        <v/>
      </c>
      <c r="AD1015" s="659" t="str">
        <f t="shared" si="112"/>
        <v/>
      </c>
      <c r="AE1015" s="659" t="str">
        <f t="shared" si="112"/>
        <v/>
      </c>
      <c r="AF1015" s="659" t="str">
        <f t="shared" si="112"/>
        <v/>
      </c>
      <c r="AG1015" s="661"/>
    </row>
    <row r="1016">
      <c r="A1016" s="378"/>
      <c r="B1016" s="477"/>
      <c r="C1016" s="378"/>
      <c r="D1016" s="378"/>
      <c r="E1016" s="378"/>
      <c r="F1016" s="378"/>
      <c r="G1016" s="378"/>
      <c r="H1016" s="378"/>
      <c r="I1016" s="376"/>
      <c r="J1016" s="376"/>
      <c r="K1016" s="376"/>
      <c r="L1016" s="376"/>
      <c r="M1016" s="376"/>
      <c r="N1016" s="376"/>
      <c r="O1016" s="376"/>
      <c r="P1016" s="376"/>
      <c r="Q1016" s="376"/>
      <c r="R1016" s="671">
        <v>27.0</v>
      </c>
      <c r="S1016" s="653">
        <f t="shared" ref="S1016:AF1016" si="113">S810</f>
        <v>9617</v>
      </c>
      <c r="T1016" s="654">
        <f t="shared" si="113"/>
        <v>5612.32</v>
      </c>
      <c r="U1016" s="653" t="str">
        <f t="shared" si="113"/>
        <v>EMMANUEL MULLER</v>
      </c>
      <c r="V1016" s="665">
        <f t="shared" si="113"/>
        <v>3588.65</v>
      </c>
      <c r="W1016" s="654">
        <f t="shared" si="113"/>
        <v>3588.65</v>
      </c>
      <c r="X1016" s="654">
        <f t="shared" si="113"/>
        <v>2789.68</v>
      </c>
      <c r="Y1016" s="655">
        <f t="shared" si="113"/>
        <v>5521</v>
      </c>
      <c r="Z1016" s="654">
        <f t="shared" si="113"/>
        <v>2023.67</v>
      </c>
      <c r="AA1016" s="653" t="str">
        <f t="shared" si="113"/>
        <v/>
      </c>
      <c r="AB1016" s="653" t="str">
        <f t="shared" si="113"/>
        <v/>
      </c>
      <c r="AC1016" s="654">
        <f t="shared" si="113"/>
        <v>150</v>
      </c>
      <c r="AD1016" s="654">
        <f t="shared" si="113"/>
        <v>400</v>
      </c>
      <c r="AE1016" s="654">
        <f t="shared" si="113"/>
        <v>200</v>
      </c>
      <c r="AF1016" s="653">
        <f t="shared" si="113"/>
        <v>0</v>
      </c>
      <c r="AG1016" s="656"/>
    </row>
    <row r="1017">
      <c r="A1017" s="378"/>
      <c r="B1017" s="477"/>
      <c r="C1017" s="378"/>
      <c r="D1017" s="378"/>
      <c r="E1017" s="378"/>
      <c r="F1017" s="378"/>
      <c r="G1017" s="378"/>
      <c r="H1017" s="378"/>
      <c r="I1017" s="376"/>
      <c r="J1017" s="376"/>
      <c r="K1017" s="376"/>
      <c r="L1017" s="376"/>
      <c r="M1017" s="376"/>
      <c r="N1017" s="376"/>
      <c r="O1017" s="376"/>
      <c r="P1017" s="376"/>
      <c r="Q1017" s="376"/>
      <c r="R1017" s="658"/>
      <c r="S1017" s="659"/>
      <c r="T1017" s="659"/>
      <c r="U1017" s="659" t="str">
        <f t="shared" ref="U1017:AF1017" si="114">U811</f>
        <v>Nationwide LLC</v>
      </c>
      <c r="V1017" s="660">
        <f t="shared" si="114"/>
        <v>5612.32</v>
      </c>
      <c r="W1017" s="660">
        <f t="shared" si="114"/>
        <v>9152</v>
      </c>
      <c r="X1017" s="659" t="str">
        <f t="shared" si="114"/>
        <v/>
      </c>
      <c r="Y1017" s="659" t="str">
        <f t="shared" si="114"/>
        <v/>
      </c>
      <c r="Z1017" s="659" t="str">
        <f t="shared" si="114"/>
        <v/>
      </c>
      <c r="AA1017" s="659" t="str">
        <f t="shared" si="114"/>
        <v/>
      </c>
      <c r="AB1017" s="659" t="str">
        <f t="shared" si="114"/>
        <v/>
      </c>
      <c r="AC1017" s="659" t="str">
        <f t="shared" si="114"/>
        <v/>
      </c>
      <c r="AD1017" s="659" t="str">
        <f t="shared" si="114"/>
        <v/>
      </c>
      <c r="AE1017" s="659" t="str">
        <f t="shared" si="114"/>
        <v/>
      </c>
      <c r="AF1017" s="659" t="str">
        <f t="shared" si="114"/>
        <v/>
      </c>
      <c r="AG1017" s="661"/>
    </row>
    <row r="1018">
      <c r="A1018" s="378"/>
      <c r="B1018" s="477"/>
      <c r="C1018" s="378"/>
      <c r="D1018" s="378"/>
      <c r="E1018" s="378"/>
      <c r="F1018" s="378"/>
      <c r="G1018" s="378"/>
      <c r="H1018" s="378"/>
      <c r="I1018" s="376"/>
      <c r="J1018" s="376"/>
      <c r="K1018" s="376"/>
      <c r="L1018" s="376"/>
      <c r="M1018" s="376"/>
      <c r="N1018" s="376"/>
      <c r="O1018" s="376"/>
      <c r="P1018" s="376"/>
      <c r="Q1018" s="376"/>
      <c r="R1018" s="671">
        <v>28.0</v>
      </c>
      <c r="S1018" s="653">
        <f t="shared" ref="S1018:AG1018" si="115">S841</f>
        <v>6960</v>
      </c>
      <c r="T1018" s="654">
        <f t="shared" si="115"/>
        <v>7395.84</v>
      </c>
      <c r="U1018" s="653" t="str">
        <f t="shared" si="115"/>
        <v>ROUDELINE ZEPHIRIN</v>
      </c>
      <c r="V1018" s="665">
        <f t="shared" si="115"/>
        <v>5562.808</v>
      </c>
      <c r="W1018" s="654">
        <f t="shared" si="115"/>
        <v>946.808</v>
      </c>
      <c r="X1018" s="654">
        <f t="shared" si="115"/>
        <v>4854.16</v>
      </c>
      <c r="Y1018" s="655">
        <f t="shared" si="115"/>
        <v>1183.51</v>
      </c>
      <c r="Z1018" s="654">
        <f t="shared" si="115"/>
        <v>1833.032</v>
      </c>
      <c r="AA1018" s="653" t="str">
        <f t="shared" si="115"/>
        <v/>
      </c>
      <c r="AB1018" s="653" t="str">
        <f t="shared" si="115"/>
        <v/>
      </c>
      <c r="AC1018" s="654">
        <f t="shared" si="115"/>
        <v>150</v>
      </c>
      <c r="AD1018" s="654">
        <f t="shared" si="115"/>
        <v>400</v>
      </c>
      <c r="AE1018" s="654">
        <f t="shared" si="115"/>
        <v>200</v>
      </c>
      <c r="AF1018" s="653" t="str">
        <f t="shared" si="115"/>
        <v/>
      </c>
      <c r="AG1018" s="656" t="str">
        <f t="shared" si="115"/>
        <v/>
      </c>
    </row>
    <row r="1019">
      <c r="A1019" s="378"/>
      <c r="B1019" s="477"/>
      <c r="C1019" s="378"/>
      <c r="D1019" s="378"/>
      <c r="E1019" s="378"/>
      <c r="F1019" s="378"/>
      <c r="G1019" s="378"/>
      <c r="H1019" s="378"/>
      <c r="I1019" s="376"/>
      <c r="J1019" s="376"/>
      <c r="K1019" s="376"/>
      <c r="L1019" s="376"/>
      <c r="M1019" s="376"/>
      <c r="N1019" s="376"/>
      <c r="O1019" s="376"/>
      <c r="P1019" s="376"/>
      <c r="Q1019" s="376"/>
      <c r="R1019" s="658"/>
      <c r="S1019" s="659"/>
      <c r="T1019" s="659"/>
      <c r="U1019" s="659" t="str">
        <f t="shared" ref="U1019:AG1019" si="116">U842</f>
        <v>Arba Express LLC</v>
      </c>
      <c r="V1019" s="660">
        <f t="shared" si="116"/>
        <v>7395.84</v>
      </c>
      <c r="W1019" s="660">
        <f t="shared" si="116"/>
        <v>2000</v>
      </c>
      <c r="X1019" s="659" t="str">
        <f t="shared" si="116"/>
        <v/>
      </c>
      <c r="Y1019" s="659" t="str">
        <f t="shared" si="116"/>
        <v/>
      </c>
      <c r="Z1019" s="659" t="str">
        <f t="shared" si="116"/>
        <v/>
      </c>
      <c r="AA1019" s="659" t="str">
        <f t="shared" si="116"/>
        <v/>
      </c>
      <c r="AB1019" s="659" t="str">
        <f t="shared" si="116"/>
        <v/>
      </c>
      <c r="AC1019" s="659" t="str">
        <f t="shared" si="116"/>
        <v/>
      </c>
      <c r="AD1019" s="659" t="str">
        <f t="shared" si="116"/>
        <v/>
      </c>
      <c r="AE1019" s="659" t="str">
        <f t="shared" si="116"/>
        <v/>
      </c>
      <c r="AF1019" s="659" t="str">
        <f t="shared" si="116"/>
        <v/>
      </c>
      <c r="AG1019" s="661" t="str">
        <f t="shared" si="116"/>
        <v/>
      </c>
    </row>
    <row r="1020">
      <c r="A1020" s="378"/>
      <c r="B1020" s="477"/>
      <c r="C1020" s="378"/>
      <c r="D1020" s="378"/>
      <c r="E1020" s="378"/>
      <c r="F1020" s="378"/>
      <c r="G1020" s="378"/>
      <c r="H1020" s="378"/>
      <c r="I1020" s="376"/>
      <c r="J1020" s="376"/>
      <c r="K1020" s="376"/>
      <c r="L1020" s="376"/>
      <c r="M1020" s="376"/>
      <c r="N1020" s="376"/>
      <c r="O1020" s="376"/>
      <c r="P1020" s="376"/>
      <c r="Q1020" s="376"/>
      <c r="R1020" s="671">
        <v>29.0</v>
      </c>
      <c r="S1020" s="653" t="str">
        <f>S872</f>
        <v/>
      </c>
      <c r="T1020" s="653"/>
      <c r="U1020" s="653" t="str">
        <f t="shared" ref="U1020:U1021" si="118">U872</f>
        <v/>
      </c>
      <c r="V1020" s="665"/>
      <c r="W1020" s="654"/>
      <c r="X1020" s="654"/>
      <c r="Y1020" s="655"/>
      <c r="Z1020" s="654"/>
      <c r="AA1020" s="653" t="str">
        <f t="shared" ref="AA1020:AG1020" si="117">AA872</f>
        <v/>
      </c>
      <c r="AB1020" s="653" t="str">
        <f t="shared" si="117"/>
        <v/>
      </c>
      <c r="AC1020" s="654" t="str">
        <f t="shared" si="117"/>
        <v/>
      </c>
      <c r="AD1020" s="654" t="str">
        <f t="shared" si="117"/>
        <v/>
      </c>
      <c r="AE1020" s="654" t="str">
        <f t="shared" si="117"/>
        <v/>
      </c>
      <c r="AF1020" s="653">
        <f t="shared" si="117"/>
        <v>0</v>
      </c>
      <c r="AG1020" s="656" t="str">
        <f t="shared" si="117"/>
        <v/>
      </c>
    </row>
    <row r="1021">
      <c r="A1021" s="378"/>
      <c r="B1021" s="477"/>
      <c r="C1021" s="378"/>
      <c r="D1021" s="378"/>
      <c r="E1021" s="378"/>
      <c r="F1021" s="378"/>
      <c r="G1021" s="378"/>
      <c r="H1021" s="378"/>
      <c r="I1021" s="376"/>
      <c r="J1021" s="376"/>
      <c r="K1021" s="376"/>
      <c r="L1021" s="376"/>
      <c r="M1021" s="376"/>
      <c r="N1021" s="376"/>
      <c r="O1021" s="376"/>
      <c r="P1021" s="376"/>
      <c r="Q1021" s="376"/>
      <c r="R1021" s="658"/>
      <c r="S1021" s="659"/>
      <c r="T1021" s="659"/>
      <c r="U1021" s="659" t="str">
        <f t="shared" si="118"/>
        <v/>
      </c>
      <c r="V1021" s="660"/>
      <c r="W1021" s="660">
        <f t="shared" ref="W1021:AG1021" si="119">W873</f>
        <v>0</v>
      </c>
      <c r="X1021" s="659" t="str">
        <f t="shared" si="119"/>
        <v/>
      </c>
      <c r="Y1021" s="659" t="str">
        <f t="shared" si="119"/>
        <v/>
      </c>
      <c r="Z1021" s="659" t="str">
        <f t="shared" si="119"/>
        <v/>
      </c>
      <c r="AA1021" s="659" t="str">
        <f t="shared" si="119"/>
        <v/>
      </c>
      <c r="AB1021" s="659" t="str">
        <f t="shared" si="119"/>
        <v/>
      </c>
      <c r="AC1021" s="659" t="str">
        <f t="shared" si="119"/>
        <v/>
      </c>
      <c r="AD1021" s="659" t="str">
        <f t="shared" si="119"/>
        <v/>
      </c>
      <c r="AE1021" s="659" t="str">
        <f t="shared" si="119"/>
        <v/>
      </c>
      <c r="AF1021" s="659" t="str">
        <f t="shared" si="119"/>
        <v/>
      </c>
      <c r="AG1021" s="661" t="str">
        <f t="shared" si="119"/>
        <v/>
      </c>
    </row>
    <row r="1022">
      <c r="A1022" s="378"/>
      <c r="B1022" s="477"/>
      <c r="C1022" s="378"/>
      <c r="D1022" s="378"/>
      <c r="E1022" s="378"/>
      <c r="F1022" s="378"/>
      <c r="G1022" s="378"/>
      <c r="H1022" s="378"/>
      <c r="I1022" s="376"/>
      <c r="J1022" s="376"/>
      <c r="K1022" s="376"/>
      <c r="L1022" s="376"/>
      <c r="M1022" s="376"/>
      <c r="N1022" s="376"/>
      <c r="O1022" s="376"/>
      <c r="P1022" s="376"/>
      <c r="Q1022" s="376"/>
      <c r="R1022" s="671">
        <v>30.0</v>
      </c>
      <c r="S1022" s="653">
        <f t="shared" ref="S1022:AG1022" si="120">S903</f>
        <v>913</v>
      </c>
      <c r="T1022" s="654">
        <f t="shared" si="120"/>
        <v>3800</v>
      </c>
      <c r="U1022" s="653" t="str">
        <f t="shared" si="120"/>
        <v>Jeremy Potter</v>
      </c>
      <c r="V1022" s="665">
        <f t="shared" si="120"/>
        <v>1221.35</v>
      </c>
      <c r="W1022" s="654">
        <f t="shared" si="120"/>
        <v>1221.35</v>
      </c>
      <c r="X1022" s="654">
        <f t="shared" si="120"/>
        <v>1105.64</v>
      </c>
      <c r="Y1022" s="655">
        <f t="shared" si="120"/>
        <v>1879</v>
      </c>
      <c r="Z1022" s="654">
        <f t="shared" si="120"/>
        <v>2578.65</v>
      </c>
      <c r="AA1022" s="654" t="str">
        <f t="shared" si="120"/>
        <v/>
      </c>
      <c r="AB1022" s="654" t="str">
        <f t="shared" si="120"/>
        <v/>
      </c>
      <c r="AC1022" s="654" t="str">
        <f t="shared" si="120"/>
        <v/>
      </c>
      <c r="AD1022" s="654" t="str">
        <f t="shared" si="120"/>
        <v/>
      </c>
      <c r="AE1022" s="654" t="str">
        <f t="shared" si="120"/>
        <v/>
      </c>
      <c r="AF1022" s="654">
        <f t="shared" si="120"/>
        <v>0</v>
      </c>
      <c r="AG1022" s="654" t="str">
        <f t="shared" si="120"/>
        <v/>
      </c>
    </row>
    <row r="1023">
      <c r="A1023" s="378"/>
      <c r="B1023" s="477"/>
      <c r="C1023" s="378"/>
      <c r="D1023" s="378"/>
      <c r="E1023" s="378"/>
      <c r="F1023" s="378"/>
      <c r="G1023" s="378"/>
      <c r="H1023" s="378"/>
      <c r="I1023" s="376"/>
      <c r="J1023" s="376"/>
      <c r="K1023" s="376"/>
      <c r="L1023" s="376"/>
      <c r="M1023" s="376"/>
      <c r="N1023" s="376"/>
      <c r="O1023" s="376"/>
      <c r="P1023" s="376"/>
      <c r="Q1023" s="376"/>
      <c r="R1023" s="681"/>
      <c r="S1023" s="682"/>
      <c r="T1023" s="682"/>
      <c r="U1023" s="659" t="str">
        <f t="shared" ref="U1023:AG1023" si="121">U904</f>
        <v>Perli Ovio LLC</v>
      </c>
      <c r="V1023" s="660">
        <f t="shared" si="121"/>
        <v>3800</v>
      </c>
      <c r="W1023" s="660">
        <f t="shared" si="121"/>
        <v>3800</v>
      </c>
      <c r="X1023" s="659" t="str">
        <f t="shared" si="121"/>
        <v/>
      </c>
      <c r="Y1023" s="659" t="str">
        <f t="shared" si="121"/>
        <v/>
      </c>
      <c r="Z1023" s="659" t="str">
        <f t="shared" si="121"/>
        <v/>
      </c>
      <c r="AA1023" s="659" t="str">
        <f t="shared" si="121"/>
        <v/>
      </c>
      <c r="AB1023" s="659" t="str">
        <f t="shared" si="121"/>
        <v/>
      </c>
      <c r="AC1023" s="659" t="str">
        <f t="shared" si="121"/>
        <v/>
      </c>
      <c r="AD1023" s="659" t="str">
        <f t="shared" si="121"/>
        <v/>
      </c>
      <c r="AE1023" s="659" t="str">
        <f t="shared" si="121"/>
        <v/>
      </c>
      <c r="AF1023" s="659" t="str">
        <f t="shared" si="121"/>
        <v/>
      </c>
      <c r="AG1023" s="661" t="str">
        <f t="shared" si="121"/>
        <v/>
      </c>
    </row>
    <row r="1024">
      <c r="A1024" s="378"/>
      <c r="B1024" s="477"/>
      <c r="C1024" s="378"/>
      <c r="D1024" s="378"/>
      <c r="E1024" s="378"/>
      <c r="F1024" s="378"/>
      <c r="G1024" s="378"/>
      <c r="H1024" s="378"/>
      <c r="I1024" s="376"/>
      <c r="J1024" s="376"/>
      <c r="K1024" s="376"/>
      <c r="L1024" s="376"/>
      <c r="M1024" s="376"/>
      <c r="N1024" s="376"/>
      <c r="O1024" s="376"/>
      <c r="P1024" s="376"/>
      <c r="Q1024" s="376"/>
      <c r="R1024" s="376"/>
      <c r="S1024" s="376"/>
      <c r="T1024" s="683">
        <f>SUM(T964:T1023)</f>
        <v>92651.8</v>
      </c>
      <c r="U1024" s="376"/>
      <c r="V1024" s="376"/>
      <c r="W1024" s="376"/>
      <c r="X1024" s="683">
        <f t="shared" ref="X1024:AG1024" si="122">SUM(X964:X1023)</f>
        <v>72682.55</v>
      </c>
      <c r="Y1024" s="684">
        <f t="shared" si="122"/>
        <v>95180.04</v>
      </c>
      <c r="Z1024" s="683">
        <f t="shared" si="122"/>
        <v>20970.55224</v>
      </c>
      <c r="AA1024" s="376">
        <f t="shared" si="122"/>
        <v>-2756.82</v>
      </c>
      <c r="AB1024" s="376">
        <f t="shared" si="122"/>
        <v>-328.24</v>
      </c>
      <c r="AC1024" s="683">
        <f t="shared" si="122"/>
        <v>3150</v>
      </c>
      <c r="AD1024" s="683">
        <f t="shared" si="122"/>
        <v>8800</v>
      </c>
      <c r="AE1024" s="683">
        <f t="shared" si="122"/>
        <v>3800</v>
      </c>
      <c r="AF1024" s="376">
        <f t="shared" si="122"/>
        <v>16332.37167</v>
      </c>
      <c r="AG1024" s="376">
        <f t="shared" si="122"/>
        <v>0</v>
      </c>
    </row>
    <row r="1025">
      <c r="A1025" s="378"/>
      <c r="B1025" s="477"/>
      <c r="C1025" s="378"/>
      <c r="D1025" s="378"/>
      <c r="E1025" s="378"/>
      <c r="F1025" s="378"/>
      <c r="G1025" s="378"/>
      <c r="H1025" s="378"/>
      <c r="I1025" s="376"/>
      <c r="J1025" s="376"/>
      <c r="K1025" s="376"/>
      <c r="L1025" s="376"/>
      <c r="M1025" s="376"/>
      <c r="N1025" s="376"/>
      <c r="O1025" s="376"/>
      <c r="P1025" s="376"/>
      <c r="Q1025" s="376"/>
      <c r="R1025" s="376"/>
      <c r="S1025" s="376"/>
      <c r="T1025" s="376"/>
      <c r="U1025" s="376"/>
      <c r="V1025" s="376"/>
      <c r="W1025" s="376"/>
      <c r="X1025" s="376"/>
      <c r="Y1025" s="376"/>
      <c r="Z1025" s="376"/>
      <c r="AA1025" s="376"/>
      <c r="AB1025" s="376"/>
      <c r="AC1025" s="376"/>
      <c r="AD1025" s="376"/>
      <c r="AE1025" s="376"/>
      <c r="AF1025" s="376"/>
      <c r="AG1025" s="376"/>
    </row>
    <row r="1026">
      <c r="A1026" s="378"/>
      <c r="B1026" s="477"/>
      <c r="C1026" s="378"/>
      <c r="D1026" s="378"/>
      <c r="E1026" s="378"/>
      <c r="F1026" s="378"/>
      <c r="G1026" s="378"/>
      <c r="H1026" s="378"/>
      <c r="I1026" s="376"/>
      <c r="J1026" s="376"/>
      <c r="K1026" s="376"/>
      <c r="L1026" s="376"/>
      <c r="M1026" s="376"/>
      <c r="N1026" s="376"/>
      <c r="O1026" s="376"/>
      <c r="P1026" s="376"/>
      <c r="Q1026" s="376"/>
      <c r="R1026" s="376"/>
      <c r="S1026" s="376"/>
      <c r="T1026" s="376"/>
      <c r="U1026" s="376"/>
      <c r="V1026" s="376"/>
      <c r="W1026" s="376"/>
      <c r="X1026" s="376"/>
      <c r="Y1026" s="376"/>
      <c r="Z1026" s="376"/>
      <c r="AA1026" s="376"/>
      <c r="AB1026" s="376"/>
      <c r="AC1026" s="376"/>
      <c r="AD1026" s="376"/>
      <c r="AE1026" s="376"/>
      <c r="AF1026" s="376"/>
      <c r="AG1026" s="376"/>
    </row>
    <row r="1027">
      <c r="A1027" s="378"/>
      <c r="B1027" s="477"/>
      <c r="C1027" s="378"/>
      <c r="D1027" s="378"/>
      <c r="E1027" s="378"/>
      <c r="F1027" s="378"/>
      <c r="G1027" s="378"/>
      <c r="H1027" s="378"/>
      <c r="I1027" s="376"/>
      <c r="J1027" s="376"/>
      <c r="K1027" s="376"/>
      <c r="L1027" s="376"/>
      <c r="M1027" s="376"/>
      <c r="N1027" s="376"/>
      <c r="O1027" s="376"/>
      <c r="P1027" s="376"/>
      <c r="Q1027" s="376"/>
      <c r="R1027" s="376"/>
      <c r="S1027" s="376"/>
      <c r="T1027" s="376"/>
      <c r="U1027" s="376"/>
      <c r="V1027" s="376"/>
      <c r="W1027" s="376"/>
      <c r="X1027" s="376"/>
      <c r="Y1027" s="376"/>
      <c r="Z1027" s="376"/>
      <c r="AA1027" s="376"/>
      <c r="AB1027" s="376"/>
      <c r="AC1027" s="376"/>
      <c r="AD1027" s="376"/>
      <c r="AE1027" s="376"/>
      <c r="AF1027" s="376"/>
      <c r="AG1027" s="376"/>
    </row>
    <row r="1028">
      <c r="A1028" s="378"/>
      <c r="B1028" s="477"/>
      <c r="C1028" s="378"/>
      <c r="D1028" s="378"/>
      <c r="E1028" s="378"/>
      <c r="F1028" s="378"/>
      <c r="G1028" s="378"/>
      <c r="H1028" s="378"/>
      <c r="I1028" s="376"/>
      <c r="J1028" s="376"/>
      <c r="K1028" s="376"/>
      <c r="L1028" s="376"/>
      <c r="M1028" s="376"/>
      <c r="N1028" s="376"/>
      <c r="O1028" s="376"/>
      <c r="P1028" s="376"/>
      <c r="Q1028" s="376"/>
      <c r="R1028" s="376"/>
      <c r="S1028" s="376"/>
      <c r="T1028" s="376"/>
      <c r="U1028" s="376"/>
      <c r="V1028" s="376"/>
      <c r="W1028" s="376"/>
      <c r="X1028" s="376"/>
      <c r="Y1028" s="376"/>
      <c r="Z1028" s="376"/>
      <c r="AA1028" s="376"/>
      <c r="AB1028" s="376"/>
      <c r="AC1028" s="376"/>
      <c r="AD1028" s="376"/>
      <c r="AE1028" s="376"/>
      <c r="AF1028" s="376"/>
      <c r="AG1028" s="376"/>
    </row>
    <row r="1029">
      <c r="A1029" s="378"/>
      <c r="B1029" s="477"/>
      <c r="C1029" s="378"/>
      <c r="D1029" s="378"/>
      <c r="E1029" s="378"/>
      <c r="F1029" s="378"/>
      <c r="G1029" s="378"/>
      <c r="H1029" s="378"/>
      <c r="I1029" s="376"/>
      <c r="J1029" s="376"/>
      <c r="K1029" s="376"/>
      <c r="L1029" s="376"/>
      <c r="M1029" s="376"/>
      <c r="N1029" s="376"/>
      <c r="O1029" s="376"/>
      <c r="P1029" s="376"/>
      <c r="Q1029" s="376"/>
      <c r="R1029" s="376"/>
      <c r="S1029" s="376"/>
      <c r="T1029" s="376"/>
      <c r="U1029" s="376"/>
      <c r="V1029" s="376"/>
      <c r="W1029" s="376"/>
      <c r="X1029" s="376"/>
      <c r="Y1029" s="376"/>
      <c r="Z1029" s="376"/>
      <c r="AA1029" s="376"/>
      <c r="AB1029" s="376"/>
      <c r="AC1029" s="376"/>
      <c r="AD1029" s="376"/>
      <c r="AE1029" s="376"/>
      <c r="AF1029" s="376"/>
      <c r="AG1029" s="376"/>
    </row>
    <row r="1030">
      <c r="A1030" s="378"/>
      <c r="B1030" s="477"/>
      <c r="C1030" s="378"/>
      <c r="D1030" s="378"/>
      <c r="E1030" s="378"/>
      <c r="F1030" s="378"/>
      <c r="G1030" s="378"/>
      <c r="H1030" s="378"/>
      <c r="I1030" s="376"/>
      <c r="J1030" s="376"/>
      <c r="K1030" s="376"/>
      <c r="L1030" s="376"/>
      <c r="M1030" s="376"/>
      <c r="N1030" s="376"/>
      <c r="O1030" s="376"/>
      <c r="P1030" s="376"/>
      <c r="Q1030" s="376"/>
      <c r="R1030" s="376"/>
      <c r="S1030" s="376"/>
      <c r="T1030" s="376"/>
      <c r="U1030" s="376"/>
      <c r="V1030" s="376"/>
      <c r="W1030" s="376"/>
      <c r="X1030" s="376"/>
      <c r="Y1030" s="376"/>
      <c r="Z1030" s="376"/>
      <c r="AA1030" s="376"/>
      <c r="AB1030" s="376"/>
      <c r="AC1030" s="376"/>
      <c r="AD1030" s="376"/>
      <c r="AE1030" s="376"/>
      <c r="AF1030" s="376"/>
      <c r="AG1030" s="376"/>
    </row>
    <row r="1031">
      <c r="A1031" s="378"/>
      <c r="B1031" s="477"/>
      <c r="C1031" s="378"/>
      <c r="D1031" s="378"/>
      <c r="E1031" s="378"/>
      <c r="F1031" s="378"/>
      <c r="G1031" s="378"/>
      <c r="H1031" s="378"/>
      <c r="I1031" s="376"/>
      <c r="J1031" s="376"/>
      <c r="K1031" s="376"/>
      <c r="L1031" s="376"/>
      <c r="M1031" s="376"/>
      <c r="N1031" s="376"/>
      <c r="O1031" s="376"/>
      <c r="P1031" s="376"/>
      <c r="Q1031" s="376"/>
      <c r="R1031" s="376"/>
      <c r="S1031" s="376"/>
      <c r="T1031" s="376"/>
      <c r="U1031" s="376"/>
      <c r="V1031" s="376"/>
      <c r="W1031" s="376"/>
      <c r="X1031" s="376"/>
      <c r="Y1031" s="376"/>
      <c r="Z1031" s="376"/>
      <c r="AA1031" s="376"/>
      <c r="AB1031" s="376"/>
      <c r="AC1031" s="376"/>
      <c r="AD1031" s="376"/>
      <c r="AE1031" s="376"/>
      <c r="AF1031" s="376"/>
      <c r="AG1031" s="376"/>
    </row>
    <row r="1032">
      <c r="A1032" s="378"/>
      <c r="B1032" s="477"/>
      <c r="C1032" s="378"/>
      <c r="D1032" s="378"/>
      <c r="E1032" s="378"/>
      <c r="F1032" s="378"/>
      <c r="G1032" s="378"/>
      <c r="H1032" s="378"/>
      <c r="I1032" s="376"/>
      <c r="J1032" s="376"/>
      <c r="K1032" s="376"/>
      <c r="L1032" s="376"/>
      <c r="M1032" s="376"/>
      <c r="N1032" s="376"/>
      <c r="O1032" s="376"/>
      <c r="P1032" s="376"/>
      <c r="Q1032" s="376"/>
      <c r="R1032" s="376"/>
      <c r="S1032" s="376"/>
      <c r="T1032" s="376"/>
      <c r="U1032" s="376"/>
      <c r="V1032" s="376"/>
      <c r="W1032" s="376"/>
      <c r="X1032" s="376"/>
      <c r="Y1032" s="376"/>
      <c r="Z1032" s="376"/>
      <c r="AA1032" s="376"/>
      <c r="AB1032" s="376"/>
      <c r="AC1032" s="376"/>
      <c r="AD1032" s="376"/>
      <c r="AE1032" s="376"/>
      <c r="AF1032" s="376"/>
      <c r="AG1032" s="376"/>
    </row>
    <row r="1033">
      <c r="A1033" s="378"/>
      <c r="B1033" s="477"/>
      <c r="C1033" s="378"/>
      <c r="D1033" s="378"/>
      <c r="E1033" s="378"/>
      <c r="F1033" s="378"/>
      <c r="G1033" s="378"/>
      <c r="H1033" s="378"/>
      <c r="I1033" s="376"/>
      <c r="J1033" s="376"/>
      <c r="K1033" s="376"/>
      <c r="L1033" s="376"/>
      <c r="M1033" s="376"/>
      <c r="N1033" s="376"/>
      <c r="O1033" s="376"/>
      <c r="P1033" s="376"/>
      <c r="Q1033" s="376"/>
      <c r="R1033" s="376"/>
      <c r="S1033" s="376"/>
      <c r="T1033" s="376"/>
      <c r="U1033" s="376"/>
      <c r="V1033" s="376"/>
      <c r="W1033" s="376"/>
      <c r="X1033" s="376"/>
      <c r="Y1033" s="376"/>
      <c r="Z1033" s="376"/>
      <c r="AA1033" s="376"/>
      <c r="AB1033" s="376"/>
      <c r="AC1033" s="376"/>
      <c r="AD1033" s="376"/>
      <c r="AE1033" s="376"/>
      <c r="AF1033" s="376"/>
      <c r="AG1033" s="376"/>
    </row>
    <row r="1034">
      <c r="A1034" s="378"/>
      <c r="B1034" s="477"/>
      <c r="C1034" s="378"/>
      <c r="D1034" s="378"/>
      <c r="E1034" s="378"/>
      <c r="F1034" s="378"/>
      <c r="G1034" s="378"/>
      <c r="H1034" s="378"/>
      <c r="I1034" s="376"/>
      <c r="J1034" s="376"/>
      <c r="K1034" s="376"/>
      <c r="L1034" s="376"/>
      <c r="M1034" s="376"/>
      <c r="N1034" s="376"/>
      <c r="O1034" s="376"/>
      <c r="P1034" s="376"/>
      <c r="Q1034" s="376"/>
      <c r="R1034" s="376"/>
      <c r="S1034" s="376"/>
      <c r="T1034" s="376"/>
      <c r="U1034" s="376"/>
      <c r="V1034" s="376"/>
      <c r="W1034" s="376"/>
      <c r="X1034" s="376"/>
      <c r="Y1034" s="376"/>
      <c r="Z1034" s="376"/>
      <c r="AA1034" s="376"/>
      <c r="AB1034" s="376"/>
      <c r="AC1034" s="376"/>
      <c r="AD1034" s="376"/>
      <c r="AE1034" s="376"/>
      <c r="AF1034" s="376"/>
      <c r="AG1034" s="376"/>
    </row>
    <row r="1035">
      <c r="A1035" s="378"/>
      <c r="B1035" s="477"/>
      <c r="C1035" s="378"/>
      <c r="D1035" s="378"/>
      <c r="E1035" s="378"/>
      <c r="F1035" s="378"/>
      <c r="G1035" s="378"/>
      <c r="H1035" s="378"/>
      <c r="I1035" s="376"/>
      <c r="J1035" s="376"/>
      <c r="K1035" s="376"/>
      <c r="L1035" s="376"/>
      <c r="M1035" s="376"/>
      <c r="N1035" s="376"/>
      <c r="O1035" s="376"/>
      <c r="P1035" s="376"/>
      <c r="Q1035" s="376"/>
      <c r="R1035" s="376"/>
      <c r="S1035" s="376"/>
      <c r="T1035" s="376"/>
      <c r="U1035" s="376"/>
      <c r="V1035" s="376"/>
      <c r="W1035" s="376"/>
      <c r="X1035" s="376"/>
      <c r="Y1035" s="376"/>
      <c r="Z1035" s="376"/>
      <c r="AA1035" s="376"/>
      <c r="AB1035" s="376"/>
      <c r="AC1035" s="376"/>
      <c r="AD1035" s="376"/>
      <c r="AE1035" s="376"/>
      <c r="AF1035" s="376"/>
      <c r="AG1035" s="376"/>
    </row>
    <row r="1036">
      <c r="A1036" s="378"/>
      <c r="B1036" s="477"/>
      <c r="C1036" s="378"/>
      <c r="D1036" s="378"/>
      <c r="E1036" s="378"/>
      <c r="F1036" s="378"/>
      <c r="G1036" s="378"/>
      <c r="H1036" s="378"/>
      <c r="I1036" s="376"/>
      <c r="J1036" s="376"/>
      <c r="K1036" s="376"/>
      <c r="L1036" s="376"/>
      <c r="M1036" s="376"/>
      <c r="N1036" s="376"/>
      <c r="O1036" s="376"/>
      <c r="P1036" s="376"/>
      <c r="Q1036" s="376"/>
      <c r="R1036" s="376"/>
      <c r="S1036" s="376"/>
      <c r="T1036" s="376"/>
      <c r="U1036" s="376"/>
      <c r="V1036" s="376"/>
      <c r="W1036" s="376"/>
      <c r="X1036" s="376"/>
      <c r="Y1036" s="376"/>
      <c r="Z1036" s="376"/>
      <c r="AA1036" s="376"/>
      <c r="AB1036" s="376"/>
      <c r="AC1036" s="376"/>
      <c r="AD1036" s="376"/>
      <c r="AE1036" s="376"/>
      <c r="AF1036" s="376"/>
      <c r="AG1036" s="376"/>
    </row>
    <row r="1037">
      <c r="A1037" s="378"/>
      <c r="B1037" s="477"/>
      <c r="C1037" s="378"/>
      <c r="D1037" s="378"/>
      <c r="E1037" s="378"/>
      <c r="F1037" s="378"/>
      <c r="G1037" s="378"/>
      <c r="H1037" s="378"/>
      <c r="I1037" s="376"/>
      <c r="J1037" s="376"/>
      <c r="K1037" s="376"/>
      <c r="L1037" s="376"/>
      <c r="M1037" s="376"/>
      <c r="N1037" s="376"/>
      <c r="O1037" s="376"/>
      <c r="P1037" s="376"/>
      <c r="Q1037" s="376"/>
      <c r="R1037" s="376"/>
      <c r="S1037" s="376"/>
      <c r="T1037" s="376"/>
      <c r="U1037" s="376"/>
      <c r="V1037" s="376"/>
      <c r="W1037" s="376"/>
      <c r="X1037" s="376"/>
      <c r="Y1037" s="376"/>
      <c r="Z1037" s="376"/>
      <c r="AA1037" s="376"/>
      <c r="AB1037" s="376"/>
      <c r="AC1037" s="376"/>
      <c r="AD1037" s="376"/>
      <c r="AE1037" s="376"/>
      <c r="AF1037" s="376"/>
      <c r="AG1037" s="376"/>
    </row>
    <row r="1038">
      <c r="A1038" s="378"/>
      <c r="B1038" s="477"/>
      <c r="C1038" s="378"/>
      <c r="D1038" s="378"/>
      <c r="E1038" s="378"/>
      <c r="F1038" s="378"/>
      <c r="G1038" s="378"/>
      <c r="H1038" s="378"/>
      <c r="I1038" s="376"/>
      <c r="J1038" s="376"/>
      <c r="K1038" s="376"/>
      <c r="L1038" s="376"/>
      <c r="M1038" s="376"/>
      <c r="N1038" s="376"/>
      <c r="O1038" s="376"/>
      <c r="P1038" s="376"/>
      <c r="Q1038" s="376"/>
      <c r="R1038" s="376"/>
      <c r="S1038" s="376"/>
      <c r="T1038" s="376"/>
      <c r="U1038" s="376"/>
      <c r="V1038" s="376"/>
      <c r="W1038" s="376"/>
      <c r="X1038" s="376"/>
      <c r="Y1038" s="376"/>
      <c r="Z1038" s="376"/>
      <c r="AA1038" s="376"/>
      <c r="AB1038" s="376"/>
      <c r="AC1038" s="376"/>
      <c r="AD1038" s="376"/>
      <c r="AE1038" s="376"/>
      <c r="AF1038" s="376"/>
      <c r="AG1038" s="376"/>
    </row>
    <row r="1039">
      <c r="A1039" s="378"/>
      <c r="B1039" s="477"/>
      <c r="C1039" s="378"/>
      <c r="D1039" s="378"/>
      <c r="E1039" s="378"/>
      <c r="F1039" s="378"/>
      <c r="G1039" s="378"/>
      <c r="H1039" s="378"/>
      <c r="I1039" s="376"/>
      <c r="J1039" s="376"/>
      <c r="K1039" s="376"/>
      <c r="L1039" s="376"/>
      <c r="M1039" s="376"/>
      <c r="N1039" s="376"/>
      <c r="O1039" s="376"/>
      <c r="P1039" s="376"/>
      <c r="Q1039" s="376"/>
      <c r="R1039" s="376"/>
      <c r="S1039" s="376"/>
      <c r="T1039" s="376"/>
      <c r="U1039" s="376"/>
      <c r="V1039" s="376"/>
      <c r="W1039" s="376"/>
      <c r="X1039" s="376"/>
      <c r="Y1039" s="376"/>
      <c r="Z1039" s="376"/>
      <c r="AA1039" s="376"/>
      <c r="AB1039" s="376"/>
      <c r="AC1039" s="376"/>
      <c r="AD1039" s="376"/>
      <c r="AE1039" s="376"/>
      <c r="AF1039" s="376"/>
      <c r="AG1039" s="376"/>
    </row>
    <row r="1040">
      <c r="A1040" s="378"/>
      <c r="B1040" s="477"/>
      <c r="C1040" s="378"/>
      <c r="D1040" s="378"/>
      <c r="E1040" s="378"/>
      <c r="F1040" s="378"/>
      <c r="G1040" s="378"/>
      <c r="H1040" s="378"/>
      <c r="I1040" s="376"/>
      <c r="J1040" s="376"/>
      <c r="K1040" s="376"/>
      <c r="L1040" s="376"/>
      <c r="M1040" s="376"/>
      <c r="N1040" s="376"/>
      <c r="O1040" s="376"/>
      <c r="P1040" s="376"/>
      <c r="Q1040" s="376"/>
      <c r="R1040" s="376"/>
      <c r="S1040" s="376"/>
      <c r="T1040" s="376"/>
      <c r="U1040" s="376"/>
      <c r="V1040" s="376"/>
      <c r="W1040" s="376"/>
      <c r="X1040" s="376"/>
      <c r="Y1040" s="376"/>
      <c r="Z1040" s="376"/>
      <c r="AA1040" s="376"/>
      <c r="AB1040" s="376"/>
      <c r="AC1040" s="376"/>
      <c r="AD1040" s="376"/>
      <c r="AE1040" s="376"/>
      <c r="AF1040" s="376"/>
      <c r="AG1040" s="376"/>
    </row>
    <row r="1041">
      <c r="A1041" s="378"/>
      <c r="B1041" s="477"/>
      <c r="C1041" s="378"/>
      <c r="D1041" s="378"/>
      <c r="E1041" s="378"/>
      <c r="F1041" s="378"/>
      <c r="G1041" s="378"/>
      <c r="H1041" s="378"/>
      <c r="I1041" s="376"/>
      <c r="J1041" s="376"/>
      <c r="K1041" s="376"/>
      <c r="L1041" s="376"/>
      <c r="M1041" s="376"/>
      <c r="N1041" s="376"/>
      <c r="O1041" s="376"/>
      <c r="P1041" s="376"/>
      <c r="Q1041" s="376"/>
      <c r="R1041" s="376"/>
      <c r="S1041" s="376"/>
      <c r="T1041" s="376"/>
      <c r="U1041" s="376"/>
      <c r="V1041" s="376"/>
      <c r="W1041" s="376"/>
      <c r="X1041" s="376"/>
      <c r="Y1041" s="376"/>
      <c r="Z1041" s="376"/>
      <c r="AA1041" s="376"/>
      <c r="AB1041" s="376"/>
      <c r="AC1041" s="376"/>
      <c r="AD1041" s="376"/>
      <c r="AE1041" s="376"/>
      <c r="AF1041" s="376"/>
      <c r="AG1041" s="376"/>
    </row>
    <row r="1042">
      <c r="A1042" s="378"/>
      <c r="B1042" s="477"/>
      <c r="C1042" s="378"/>
      <c r="D1042" s="378"/>
      <c r="E1042" s="378"/>
      <c r="F1042" s="378"/>
      <c r="G1042" s="378"/>
      <c r="H1042" s="378"/>
      <c r="I1042" s="376"/>
      <c r="J1042" s="376"/>
      <c r="K1042" s="376"/>
      <c r="L1042" s="376"/>
      <c r="M1042" s="376"/>
      <c r="N1042" s="376"/>
      <c r="O1042" s="376"/>
      <c r="P1042" s="376"/>
      <c r="Q1042" s="376"/>
      <c r="R1042" s="376"/>
      <c r="S1042" s="376"/>
      <c r="T1042" s="376"/>
      <c r="U1042" s="376"/>
      <c r="V1042" s="376"/>
      <c r="W1042" s="376"/>
      <c r="X1042" s="376"/>
      <c r="Y1042" s="376"/>
      <c r="Z1042" s="376"/>
      <c r="AA1042" s="376"/>
      <c r="AB1042" s="376"/>
      <c r="AC1042" s="376"/>
      <c r="AD1042" s="376"/>
      <c r="AE1042" s="376"/>
      <c r="AF1042" s="376"/>
      <c r="AG1042" s="376"/>
    </row>
    <row r="1043">
      <c r="A1043" s="378"/>
      <c r="B1043" s="477"/>
      <c r="C1043" s="378"/>
      <c r="D1043" s="378"/>
      <c r="E1043" s="378"/>
      <c r="F1043" s="378"/>
      <c r="G1043" s="378"/>
      <c r="H1043" s="378"/>
      <c r="I1043" s="376"/>
      <c r="J1043" s="376"/>
      <c r="K1043" s="376"/>
      <c r="L1043" s="376"/>
      <c r="M1043" s="376"/>
      <c r="N1043" s="376"/>
      <c r="O1043" s="376"/>
      <c r="P1043" s="376"/>
      <c r="Q1043" s="376"/>
      <c r="R1043" s="376"/>
      <c r="S1043" s="376"/>
      <c r="T1043" s="376"/>
      <c r="U1043" s="376"/>
      <c r="V1043" s="376"/>
      <c r="W1043" s="376"/>
      <c r="X1043" s="376"/>
      <c r="Y1043" s="376"/>
      <c r="Z1043" s="376"/>
      <c r="AA1043" s="376"/>
      <c r="AB1043" s="376"/>
      <c r="AC1043" s="376"/>
      <c r="AD1043" s="376"/>
      <c r="AE1043" s="376"/>
      <c r="AF1043" s="376"/>
      <c r="AG1043" s="376"/>
    </row>
    <row r="1044">
      <c r="A1044" s="378"/>
      <c r="B1044" s="477"/>
      <c r="C1044" s="378"/>
      <c r="D1044" s="378"/>
      <c r="E1044" s="378"/>
      <c r="F1044" s="378"/>
      <c r="G1044" s="378"/>
      <c r="H1044" s="378"/>
      <c r="I1044" s="376"/>
      <c r="J1044" s="376"/>
      <c r="K1044" s="376"/>
      <c r="L1044" s="376"/>
      <c r="M1044" s="376"/>
      <c r="N1044" s="376"/>
      <c r="O1044" s="376"/>
      <c r="P1044" s="376"/>
      <c r="Q1044" s="376"/>
      <c r="R1044" s="376"/>
      <c r="S1044" s="376"/>
      <c r="T1044" s="376"/>
      <c r="U1044" s="376"/>
      <c r="V1044" s="376"/>
      <c r="W1044" s="376"/>
      <c r="X1044" s="376"/>
      <c r="Y1044" s="376"/>
      <c r="Z1044" s="376"/>
      <c r="AA1044" s="376"/>
      <c r="AB1044" s="376"/>
      <c r="AC1044" s="376"/>
      <c r="AD1044" s="376"/>
      <c r="AE1044" s="376"/>
      <c r="AF1044" s="376"/>
      <c r="AG1044" s="376"/>
    </row>
    <row r="1045">
      <c r="A1045" s="378"/>
      <c r="B1045" s="477"/>
      <c r="C1045" s="378"/>
      <c r="D1045" s="378"/>
      <c r="E1045" s="378"/>
      <c r="F1045" s="378"/>
      <c r="G1045" s="378"/>
      <c r="H1045" s="378"/>
      <c r="I1045" s="376"/>
      <c r="J1045" s="376"/>
      <c r="K1045" s="376"/>
      <c r="L1045" s="376"/>
      <c r="M1045" s="376"/>
      <c r="N1045" s="376"/>
      <c r="O1045" s="376"/>
      <c r="P1045" s="376"/>
      <c r="Q1045" s="376"/>
      <c r="R1045" s="376"/>
      <c r="S1045" s="376"/>
      <c r="T1045" s="376"/>
      <c r="U1045" s="376"/>
      <c r="V1045" s="376"/>
      <c r="W1045" s="376"/>
      <c r="X1045" s="376"/>
      <c r="Y1045" s="376"/>
      <c r="Z1045" s="376"/>
      <c r="AA1045" s="376"/>
      <c r="AB1045" s="376"/>
      <c r="AC1045" s="376"/>
      <c r="AD1045" s="376"/>
      <c r="AE1045" s="376"/>
      <c r="AF1045" s="376"/>
      <c r="AG1045" s="376"/>
    </row>
    <row r="1046">
      <c r="A1046" s="378"/>
      <c r="B1046" s="477"/>
      <c r="C1046" s="378"/>
      <c r="D1046" s="378"/>
      <c r="E1046" s="378"/>
      <c r="F1046" s="378"/>
      <c r="G1046" s="378"/>
      <c r="H1046" s="378"/>
      <c r="I1046" s="376"/>
      <c r="J1046" s="376"/>
      <c r="K1046" s="376"/>
      <c r="L1046" s="376"/>
      <c r="M1046" s="376"/>
      <c r="N1046" s="376"/>
      <c r="O1046" s="376"/>
      <c r="P1046" s="376"/>
      <c r="Q1046" s="376"/>
      <c r="R1046" s="376"/>
      <c r="S1046" s="376"/>
      <c r="T1046" s="376"/>
      <c r="U1046" s="376"/>
      <c r="V1046" s="376"/>
      <c r="W1046" s="376"/>
      <c r="X1046" s="376"/>
      <c r="Y1046" s="376"/>
      <c r="Z1046" s="376"/>
      <c r="AA1046" s="376"/>
      <c r="AB1046" s="376"/>
      <c r="AC1046" s="376"/>
      <c r="AD1046" s="376"/>
      <c r="AE1046" s="376"/>
      <c r="AF1046" s="376"/>
      <c r="AG1046" s="376"/>
    </row>
    <row r="1047">
      <c r="A1047" s="378"/>
      <c r="B1047" s="477"/>
      <c r="C1047" s="378"/>
      <c r="D1047" s="378"/>
      <c r="E1047" s="378"/>
      <c r="F1047" s="378"/>
      <c r="G1047" s="378"/>
      <c r="H1047" s="378"/>
      <c r="I1047" s="376"/>
      <c r="J1047" s="376"/>
      <c r="K1047" s="376"/>
      <c r="L1047" s="376"/>
      <c r="M1047" s="376"/>
      <c r="N1047" s="376"/>
      <c r="O1047" s="376"/>
      <c r="P1047" s="376"/>
      <c r="Q1047" s="376"/>
      <c r="R1047" s="376"/>
      <c r="S1047" s="376"/>
      <c r="T1047" s="376"/>
      <c r="U1047" s="376"/>
      <c r="V1047" s="376"/>
      <c r="W1047" s="376"/>
      <c r="X1047" s="376"/>
      <c r="Y1047" s="376"/>
      <c r="Z1047" s="376"/>
      <c r="AA1047" s="376"/>
      <c r="AB1047" s="376"/>
      <c r="AC1047" s="376"/>
      <c r="AD1047" s="376"/>
      <c r="AE1047" s="376"/>
      <c r="AF1047" s="376"/>
      <c r="AG1047" s="376"/>
    </row>
    <row r="1048">
      <c r="A1048" s="378"/>
      <c r="B1048" s="477"/>
      <c r="C1048" s="378"/>
      <c r="D1048" s="378"/>
      <c r="E1048" s="378"/>
      <c r="F1048" s="378"/>
      <c r="G1048" s="378"/>
      <c r="H1048" s="378"/>
      <c r="I1048" s="376"/>
      <c r="J1048" s="376"/>
      <c r="K1048" s="376"/>
      <c r="L1048" s="376"/>
      <c r="M1048" s="376"/>
      <c r="N1048" s="376"/>
      <c r="O1048" s="376"/>
      <c r="P1048" s="376"/>
      <c r="Q1048" s="376"/>
      <c r="R1048" s="376"/>
      <c r="S1048" s="376"/>
      <c r="T1048" s="376"/>
      <c r="U1048" s="376"/>
      <c r="V1048" s="376"/>
      <c r="W1048" s="376"/>
      <c r="X1048" s="376"/>
      <c r="Y1048" s="376"/>
      <c r="Z1048" s="376"/>
      <c r="AA1048" s="376"/>
      <c r="AB1048" s="376"/>
      <c r="AC1048" s="376"/>
      <c r="AD1048" s="376"/>
      <c r="AE1048" s="376"/>
      <c r="AF1048" s="376"/>
      <c r="AG1048" s="376"/>
    </row>
    <row r="1049">
      <c r="A1049" s="378"/>
      <c r="B1049" s="477"/>
      <c r="C1049" s="378"/>
      <c r="D1049" s="378"/>
      <c r="E1049" s="378"/>
      <c r="F1049" s="378"/>
      <c r="G1049" s="378"/>
      <c r="H1049" s="378"/>
      <c r="I1049" s="376"/>
      <c r="J1049" s="376"/>
      <c r="K1049" s="376"/>
      <c r="L1049" s="376"/>
      <c r="M1049" s="376"/>
      <c r="N1049" s="376"/>
      <c r="O1049" s="376"/>
      <c r="P1049" s="376"/>
      <c r="Q1049" s="376"/>
      <c r="R1049" s="376"/>
      <c r="S1049" s="376"/>
      <c r="T1049" s="376"/>
      <c r="U1049" s="376"/>
      <c r="V1049" s="376"/>
      <c r="W1049" s="376"/>
      <c r="X1049" s="376"/>
      <c r="Y1049" s="376"/>
      <c r="Z1049" s="376"/>
      <c r="AA1049" s="376"/>
      <c r="AB1049" s="376"/>
      <c r="AC1049" s="376"/>
      <c r="AD1049" s="376"/>
      <c r="AE1049" s="376"/>
      <c r="AF1049" s="376"/>
      <c r="AG1049" s="376"/>
    </row>
    <row r="1050">
      <c r="A1050" s="378"/>
      <c r="B1050" s="477"/>
      <c r="C1050" s="378"/>
      <c r="D1050" s="378"/>
      <c r="E1050" s="378"/>
      <c r="F1050" s="378"/>
      <c r="G1050" s="378"/>
      <c r="H1050" s="378"/>
      <c r="I1050" s="376"/>
      <c r="J1050" s="376"/>
      <c r="K1050" s="376"/>
      <c r="L1050" s="376"/>
      <c r="M1050" s="376"/>
      <c r="N1050" s="376"/>
      <c r="O1050" s="376"/>
      <c r="P1050" s="376"/>
      <c r="Q1050" s="376"/>
      <c r="R1050" s="376"/>
      <c r="S1050" s="376"/>
      <c r="T1050" s="376"/>
      <c r="U1050" s="376"/>
      <c r="V1050" s="376"/>
      <c r="W1050" s="376"/>
      <c r="X1050" s="376"/>
      <c r="Y1050" s="376"/>
      <c r="Z1050" s="376"/>
      <c r="AA1050" s="376"/>
      <c r="AB1050" s="376"/>
      <c r="AC1050" s="376"/>
      <c r="AD1050" s="376"/>
      <c r="AE1050" s="376"/>
      <c r="AF1050" s="376"/>
      <c r="AG1050" s="376"/>
    </row>
    <row r="1051">
      <c r="A1051" s="378"/>
      <c r="B1051" s="477"/>
      <c r="C1051" s="378"/>
      <c r="D1051" s="378"/>
      <c r="E1051" s="378"/>
      <c r="F1051" s="378"/>
      <c r="G1051" s="378"/>
      <c r="H1051" s="378"/>
      <c r="I1051" s="376"/>
      <c r="J1051" s="376"/>
      <c r="K1051" s="376"/>
      <c r="L1051" s="376"/>
      <c r="M1051" s="376"/>
      <c r="N1051" s="376"/>
      <c r="O1051" s="376"/>
      <c r="P1051" s="376"/>
      <c r="Q1051" s="376"/>
      <c r="R1051" s="376"/>
      <c r="S1051" s="376"/>
      <c r="T1051" s="376"/>
      <c r="U1051" s="376"/>
      <c r="V1051" s="376"/>
      <c r="W1051" s="376"/>
      <c r="X1051" s="376"/>
      <c r="Y1051" s="376"/>
      <c r="Z1051" s="376"/>
      <c r="AA1051" s="376"/>
      <c r="AB1051" s="376"/>
      <c r="AC1051" s="376"/>
      <c r="AD1051" s="376"/>
      <c r="AE1051" s="376"/>
      <c r="AF1051" s="376"/>
      <c r="AG1051" s="376"/>
    </row>
    <row r="1052">
      <c r="A1052" s="378"/>
      <c r="B1052" s="477"/>
      <c r="C1052" s="378"/>
      <c r="D1052" s="378"/>
      <c r="E1052" s="378"/>
      <c r="F1052" s="378"/>
      <c r="G1052" s="378"/>
      <c r="H1052" s="378"/>
      <c r="I1052" s="376"/>
      <c r="J1052" s="376"/>
      <c r="K1052" s="376"/>
      <c r="L1052" s="376"/>
      <c r="M1052" s="376"/>
      <c r="N1052" s="376"/>
      <c r="O1052" s="376"/>
      <c r="P1052" s="376"/>
      <c r="Q1052" s="376"/>
      <c r="R1052" s="376"/>
      <c r="S1052" s="376"/>
      <c r="T1052" s="376"/>
      <c r="U1052" s="376"/>
      <c r="V1052" s="376"/>
      <c r="W1052" s="376"/>
      <c r="X1052" s="376"/>
      <c r="Y1052" s="376"/>
      <c r="Z1052" s="376"/>
      <c r="AA1052" s="376"/>
      <c r="AB1052" s="376"/>
      <c r="AC1052" s="376"/>
      <c r="AD1052" s="376"/>
      <c r="AE1052" s="376"/>
      <c r="AF1052" s="376"/>
      <c r="AG1052" s="376"/>
    </row>
    <row r="1053">
      <c r="A1053" s="378"/>
      <c r="B1053" s="477"/>
      <c r="C1053" s="378"/>
      <c r="D1053" s="378"/>
      <c r="E1053" s="378"/>
      <c r="F1053" s="378"/>
      <c r="G1053" s="378"/>
      <c r="H1053" s="378"/>
      <c r="I1053" s="376"/>
      <c r="J1053" s="376"/>
      <c r="K1053" s="376"/>
      <c r="L1053" s="376"/>
      <c r="M1053" s="376"/>
      <c r="N1053" s="376"/>
      <c r="O1053" s="376"/>
      <c r="P1053" s="376"/>
      <c r="Q1053" s="376"/>
      <c r="R1053" s="376"/>
      <c r="S1053" s="376"/>
      <c r="T1053" s="376"/>
      <c r="U1053" s="376"/>
      <c r="V1053" s="376"/>
      <c r="W1053" s="376"/>
      <c r="X1053" s="376"/>
      <c r="Y1053" s="376"/>
      <c r="Z1053" s="376"/>
      <c r="AA1053" s="376"/>
      <c r="AB1053" s="376"/>
      <c r="AC1053" s="376"/>
      <c r="AD1053" s="376"/>
      <c r="AE1053" s="376"/>
      <c r="AF1053" s="376"/>
      <c r="AG1053" s="376"/>
    </row>
    <row r="1054">
      <c r="A1054" s="378"/>
      <c r="B1054" s="477"/>
      <c r="C1054" s="378"/>
      <c r="D1054" s="378"/>
      <c r="E1054" s="378"/>
      <c r="F1054" s="378"/>
      <c r="G1054" s="378"/>
      <c r="H1054" s="378"/>
      <c r="I1054" s="376"/>
      <c r="J1054" s="376"/>
      <c r="K1054" s="376"/>
      <c r="L1054" s="376"/>
      <c r="M1054" s="376"/>
      <c r="N1054" s="376"/>
      <c r="O1054" s="376"/>
      <c r="P1054" s="376"/>
      <c r="Q1054" s="376"/>
      <c r="R1054" s="376"/>
      <c r="S1054" s="376"/>
      <c r="T1054" s="376"/>
      <c r="U1054" s="376"/>
      <c r="V1054" s="376"/>
      <c r="W1054" s="376"/>
      <c r="X1054" s="376"/>
      <c r="Y1054" s="376"/>
      <c r="Z1054" s="376"/>
      <c r="AA1054" s="376"/>
      <c r="AB1054" s="376"/>
      <c r="AC1054" s="376"/>
      <c r="AD1054" s="376"/>
      <c r="AE1054" s="376"/>
      <c r="AF1054" s="376"/>
      <c r="AG1054" s="376"/>
    </row>
    <row r="1055">
      <c r="A1055" s="378"/>
      <c r="B1055" s="477"/>
      <c r="C1055" s="378"/>
      <c r="D1055" s="378"/>
      <c r="E1055" s="378"/>
      <c r="F1055" s="378"/>
      <c r="G1055" s="378"/>
      <c r="H1055" s="378"/>
      <c r="I1055" s="376"/>
      <c r="J1055" s="376"/>
      <c r="K1055" s="376"/>
      <c r="L1055" s="376"/>
      <c r="M1055" s="376"/>
      <c r="N1055" s="376"/>
      <c r="O1055" s="376"/>
      <c r="P1055" s="376"/>
      <c r="Q1055" s="376"/>
      <c r="R1055" s="376"/>
      <c r="S1055" s="376"/>
      <c r="T1055" s="376"/>
      <c r="U1055" s="376"/>
      <c r="V1055" s="376"/>
      <c r="W1055" s="376"/>
      <c r="X1055" s="376"/>
      <c r="Y1055" s="376"/>
      <c r="Z1055" s="376"/>
      <c r="AA1055" s="376"/>
      <c r="AB1055" s="376"/>
      <c r="AC1055" s="376"/>
      <c r="AD1055" s="376"/>
      <c r="AE1055" s="376"/>
      <c r="AF1055" s="376"/>
      <c r="AG1055" s="376"/>
    </row>
    <row r="1056">
      <c r="A1056" s="378"/>
      <c r="B1056" s="477"/>
      <c r="C1056" s="378"/>
      <c r="D1056" s="378"/>
      <c r="E1056" s="378"/>
      <c r="F1056" s="378"/>
      <c r="G1056" s="378"/>
      <c r="H1056" s="378"/>
      <c r="I1056" s="376"/>
      <c r="J1056" s="376"/>
      <c r="K1056" s="376"/>
      <c r="L1056" s="376"/>
      <c r="M1056" s="376"/>
      <c r="N1056" s="376"/>
      <c r="O1056" s="376"/>
      <c r="P1056" s="376"/>
      <c r="Q1056" s="376"/>
      <c r="R1056" s="376"/>
      <c r="S1056" s="376"/>
      <c r="T1056" s="376"/>
      <c r="U1056" s="376"/>
      <c r="V1056" s="376"/>
      <c r="W1056" s="376"/>
      <c r="X1056" s="376"/>
      <c r="Y1056" s="376"/>
      <c r="Z1056" s="376"/>
      <c r="AA1056" s="376"/>
      <c r="AB1056" s="376"/>
      <c r="AC1056" s="376"/>
      <c r="AD1056" s="376"/>
      <c r="AE1056" s="376"/>
      <c r="AF1056" s="376"/>
      <c r="AG1056" s="376"/>
    </row>
    <row r="1057">
      <c r="A1057" s="378"/>
      <c r="B1057" s="477"/>
      <c r="C1057" s="378"/>
      <c r="D1057" s="378"/>
      <c r="E1057" s="378"/>
      <c r="F1057" s="378"/>
      <c r="G1057" s="378"/>
      <c r="H1057" s="378"/>
      <c r="I1057" s="376"/>
      <c r="J1057" s="376"/>
      <c r="K1057" s="376"/>
      <c r="L1057" s="376"/>
      <c r="M1057" s="376"/>
      <c r="N1057" s="376"/>
      <c r="O1057" s="376"/>
      <c r="P1057" s="376"/>
      <c r="Q1057" s="376"/>
      <c r="R1057" s="376"/>
      <c r="S1057" s="376"/>
      <c r="T1057" s="376"/>
      <c r="U1057" s="376"/>
      <c r="V1057" s="376"/>
      <c r="W1057" s="376"/>
      <c r="X1057" s="376"/>
      <c r="Y1057" s="376"/>
      <c r="Z1057" s="376"/>
      <c r="AA1057" s="376"/>
      <c r="AB1057" s="376"/>
      <c r="AC1057" s="376"/>
      <c r="AD1057" s="376"/>
      <c r="AE1057" s="376"/>
      <c r="AF1057" s="376"/>
      <c r="AG1057" s="376"/>
    </row>
    <row r="1058">
      <c r="A1058" s="378"/>
      <c r="B1058" s="477"/>
      <c r="C1058" s="378"/>
      <c r="D1058" s="378"/>
      <c r="E1058" s="378"/>
      <c r="F1058" s="378"/>
      <c r="G1058" s="378"/>
      <c r="H1058" s="378"/>
      <c r="I1058" s="376"/>
      <c r="J1058" s="376"/>
      <c r="K1058" s="376"/>
      <c r="L1058" s="376"/>
      <c r="M1058" s="376"/>
      <c r="N1058" s="376"/>
      <c r="O1058" s="376"/>
      <c r="P1058" s="376"/>
      <c r="Q1058" s="376"/>
      <c r="R1058" s="376"/>
      <c r="S1058" s="376"/>
      <c r="T1058" s="376"/>
      <c r="U1058" s="376"/>
      <c r="V1058" s="376"/>
      <c r="W1058" s="376"/>
      <c r="X1058" s="376"/>
      <c r="Y1058" s="376"/>
      <c r="Z1058" s="376"/>
      <c r="AA1058" s="376"/>
      <c r="AB1058" s="376"/>
      <c r="AC1058" s="376"/>
      <c r="AD1058" s="376"/>
      <c r="AE1058" s="376"/>
      <c r="AF1058" s="376"/>
      <c r="AG1058" s="376"/>
    </row>
    <row r="1059">
      <c r="A1059" s="378"/>
      <c r="B1059" s="477"/>
      <c r="C1059" s="378"/>
      <c r="D1059" s="378"/>
      <c r="E1059" s="378"/>
      <c r="F1059" s="378"/>
      <c r="G1059" s="378"/>
      <c r="H1059" s="378"/>
      <c r="I1059" s="376"/>
      <c r="J1059" s="376"/>
      <c r="K1059" s="376"/>
      <c r="L1059" s="376"/>
      <c r="M1059" s="376"/>
      <c r="N1059" s="376"/>
      <c r="O1059" s="376"/>
      <c r="P1059" s="376"/>
      <c r="Q1059" s="376"/>
      <c r="R1059" s="376"/>
      <c r="S1059" s="376"/>
      <c r="T1059" s="376"/>
      <c r="U1059" s="376"/>
      <c r="V1059" s="376"/>
      <c r="W1059" s="376"/>
      <c r="X1059" s="376"/>
      <c r="Y1059" s="376"/>
      <c r="Z1059" s="376"/>
      <c r="AA1059" s="376"/>
      <c r="AB1059" s="376"/>
      <c r="AC1059" s="376"/>
      <c r="AD1059" s="376"/>
      <c r="AE1059" s="376"/>
      <c r="AF1059" s="376"/>
      <c r="AG1059" s="376"/>
    </row>
    <row r="1060">
      <c r="A1060" s="378"/>
      <c r="B1060" s="477"/>
      <c r="C1060" s="378"/>
      <c r="D1060" s="378"/>
      <c r="E1060" s="378"/>
      <c r="F1060" s="378"/>
      <c r="G1060" s="378"/>
      <c r="H1060" s="378"/>
      <c r="I1060" s="376"/>
      <c r="J1060" s="376"/>
      <c r="K1060" s="376"/>
      <c r="L1060" s="376"/>
      <c r="M1060" s="376"/>
      <c r="N1060" s="376"/>
      <c r="O1060" s="376"/>
      <c r="P1060" s="376"/>
      <c r="Q1060" s="376"/>
      <c r="R1060" s="376"/>
      <c r="S1060" s="376"/>
      <c r="T1060" s="376"/>
      <c r="U1060" s="376"/>
      <c r="V1060" s="376"/>
      <c r="W1060" s="376"/>
      <c r="X1060" s="376"/>
      <c r="Y1060" s="376"/>
      <c r="Z1060" s="376"/>
      <c r="AA1060" s="376"/>
      <c r="AB1060" s="376"/>
      <c r="AC1060" s="376"/>
      <c r="AD1060" s="376"/>
      <c r="AE1060" s="376"/>
      <c r="AF1060" s="376"/>
      <c r="AG1060" s="376"/>
    </row>
    <row r="1061">
      <c r="A1061" s="378"/>
      <c r="B1061" s="477"/>
      <c r="C1061" s="378"/>
      <c r="D1061" s="378"/>
      <c r="E1061" s="378"/>
      <c r="F1061" s="378"/>
      <c r="G1061" s="378"/>
      <c r="H1061" s="378"/>
      <c r="I1061" s="376"/>
      <c r="J1061" s="376"/>
      <c r="K1061" s="376"/>
      <c r="L1061" s="376"/>
      <c r="M1061" s="376"/>
      <c r="N1061" s="376"/>
      <c r="O1061" s="376"/>
      <c r="P1061" s="376"/>
      <c r="Q1061" s="376"/>
      <c r="R1061" s="376"/>
      <c r="S1061" s="376"/>
      <c r="T1061" s="376"/>
      <c r="U1061" s="376"/>
      <c r="V1061" s="376"/>
      <c r="W1061" s="376"/>
      <c r="X1061" s="376"/>
      <c r="Y1061" s="376"/>
      <c r="Z1061" s="376"/>
      <c r="AA1061" s="376"/>
      <c r="AB1061" s="376"/>
      <c r="AC1061" s="376"/>
      <c r="AD1061" s="376"/>
      <c r="AE1061" s="376"/>
      <c r="AF1061" s="376"/>
      <c r="AG1061" s="376"/>
    </row>
    <row r="1062">
      <c r="A1062" s="378"/>
      <c r="B1062" s="477"/>
      <c r="C1062" s="378"/>
      <c r="D1062" s="378"/>
      <c r="E1062" s="378"/>
      <c r="F1062" s="378"/>
      <c r="G1062" s="378"/>
      <c r="H1062" s="378"/>
      <c r="I1062" s="376"/>
      <c r="J1062" s="376"/>
      <c r="K1062" s="376"/>
      <c r="L1062" s="376"/>
      <c r="M1062" s="376"/>
      <c r="N1062" s="376"/>
      <c r="O1062" s="376"/>
      <c r="P1062" s="376"/>
      <c r="Q1062" s="376"/>
      <c r="R1062" s="376"/>
      <c r="S1062" s="376"/>
      <c r="T1062" s="376"/>
      <c r="U1062" s="376"/>
      <c r="V1062" s="376"/>
      <c r="W1062" s="376"/>
      <c r="X1062" s="376"/>
      <c r="Y1062" s="376"/>
      <c r="Z1062" s="376"/>
      <c r="AA1062" s="376"/>
      <c r="AB1062" s="376"/>
      <c r="AC1062" s="376"/>
      <c r="AD1062" s="376"/>
      <c r="AE1062" s="376"/>
      <c r="AF1062" s="376"/>
      <c r="AG1062" s="376"/>
    </row>
    <row r="1063">
      <c r="A1063" s="378"/>
      <c r="B1063" s="477"/>
      <c r="C1063" s="378"/>
      <c r="D1063" s="378"/>
      <c r="E1063" s="378"/>
      <c r="F1063" s="378"/>
      <c r="G1063" s="378"/>
      <c r="H1063" s="378"/>
      <c r="I1063" s="376"/>
      <c r="J1063" s="376"/>
      <c r="K1063" s="376"/>
      <c r="L1063" s="376"/>
      <c r="M1063" s="376"/>
      <c r="N1063" s="376"/>
      <c r="O1063" s="376"/>
      <c r="P1063" s="376"/>
      <c r="Q1063" s="376"/>
      <c r="R1063" s="376"/>
      <c r="S1063" s="376"/>
      <c r="T1063" s="376"/>
      <c r="U1063" s="376"/>
      <c r="V1063" s="376"/>
      <c r="W1063" s="376"/>
      <c r="X1063" s="376"/>
      <c r="Y1063" s="376"/>
      <c r="Z1063" s="376"/>
      <c r="AA1063" s="376"/>
      <c r="AB1063" s="376"/>
      <c r="AC1063" s="376"/>
      <c r="AD1063" s="376"/>
      <c r="AE1063" s="376"/>
      <c r="AF1063" s="376"/>
      <c r="AG1063" s="376"/>
    </row>
    <row r="1064">
      <c r="A1064" s="378"/>
      <c r="B1064" s="477"/>
      <c r="C1064" s="378"/>
      <c r="D1064" s="378"/>
      <c r="E1064" s="378"/>
      <c r="F1064" s="378"/>
      <c r="G1064" s="378"/>
      <c r="H1064" s="378"/>
      <c r="I1064" s="376"/>
      <c r="J1064" s="376"/>
      <c r="K1064" s="376"/>
      <c r="L1064" s="376"/>
      <c r="M1064" s="376"/>
      <c r="N1064" s="376"/>
      <c r="O1064" s="376"/>
      <c r="P1064" s="376"/>
      <c r="Q1064" s="376"/>
      <c r="R1064" s="376"/>
      <c r="S1064" s="376"/>
      <c r="T1064" s="376"/>
      <c r="U1064" s="376"/>
      <c r="V1064" s="376"/>
      <c r="W1064" s="376"/>
      <c r="X1064" s="376"/>
      <c r="Y1064" s="376"/>
      <c r="Z1064" s="376"/>
      <c r="AA1064" s="376"/>
      <c r="AB1064" s="376"/>
      <c r="AC1064" s="376"/>
      <c r="AD1064" s="376"/>
      <c r="AE1064" s="376"/>
      <c r="AF1064" s="376"/>
      <c r="AG1064" s="376"/>
    </row>
    <row r="1065">
      <c r="A1065" s="378"/>
      <c r="B1065" s="477"/>
      <c r="C1065" s="378"/>
      <c r="D1065" s="378"/>
      <c r="E1065" s="378"/>
      <c r="F1065" s="378"/>
      <c r="G1065" s="378"/>
      <c r="H1065" s="378"/>
      <c r="I1065" s="376"/>
      <c r="J1065" s="376"/>
      <c r="K1065" s="376"/>
      <c r="L1065" s="376"/>
      <c r="M1065" s="376"/>
      <c r="N1065" s="376"/>
      <c r="O1065" s="376"/>
      <c r="P1065" s="376"/>
      <c r="Q1065" s="376"/>
      <c r="R1065" s="376"/>
      <c r="S1065" s="376"/>
      <c r="T1065" s="376"/>
      <c r="U1065" s="376"/>
      <c r="V1065" s="376"/>
      <c r="W1065" s="376"/>
      <c r="X1065" s="376"/>
      <c r="Y1065" s="376"/>
      <c r="Z1065" s="376"/>
      <c r="AA1065" s="376"/>
      <c r="AB1065" s="376"/>
      <c r="AC1065" s="376"/>
      <c r="AD1065" s="376"/>
      <c r="AE1065" s="376"/>
      <c r="AF1065" s="376"/>
      <c r="AG1065" s="376"/>
    </row>
    <row r="1066">
      <c r="A1066" s="378"/>
      <c r="B1066" s="477"/>
      <c r="C1066" s="378"/>
      <c r="D1066" s="378"/>
      <c r="E1066" s="378"/>
      <c r="F1066" s="378"/>
      <c r="G1066" s="378"/>
      <c r="H1066" s="378"/>
      <c r="I1066" s="376"/>
      <c r="J1066" s="376"/>
      <c r="K1066" s="376"/>
      <c r="L1066" s="376"/>
      <c r="M1066" s="376"/>
      <c r="N1066" s="376"/>
      <c r="O1066" s="376"/>
      <c r="P1066" s="376"/>
      <c r="Q1066" s="376"/>
      <c r="R1066" s="376"/>
      <c r="S1066" s="376"/>
      <c r="T1066" s="376"/>
      <c r="U1066" s="376"/>
      <c r="V1066" s="376"/>
      <c r="W1066" s="376"/>
      <c r="X1066" s="376"/>
      <c r="Y1066" s="376"/>
      <c r="Z1066" s="376"/>
      <c r="AA1066" s="376"/>
      <c r="AB1066" s="376"/>
      <c r="AC1066" s="376"/>
      <c r="AD1066" s="376"/>
      <c r="AE1066" s="376"/>
      <c r="AF1066" s="376"/>
      <c r="AG1066" s="376"/>
    </row>
    <row r="1067">
      <c r="A1067" s="378"/>
      <c r="B1067" s="477"/>
      <c r="C1067" s="378"/>
      <c r="D1067" s="378"/>
      <c r="E1067" s="378"/>
      <c r="F1067" s="378"/>
      <c r="G1067" s="378"/>
      <c r="H1067" s="378"/>
      <c r="I1067" s="376"/>
      <c r="J1067" s="376"/>
      <c r="K1067" s="376"/>
      <c r="L1067" s="376"/>
      <c r="M1067" s="376"/>
      <c r="N1067" s="376"/>
      <c r="O1067" s="376"/>
      <c r="P1067" s="376"/>
      <c r="Q1067" s="376"/>
      <c r="R1067" s="376"/>
      <c r="S1067" s="376"/>
      <c r="T1067" s="376"/>
      <c r="U1067" s="376"/>
      <c r="V1067" s="376"/>
      <c r="W1067" s="376"/>
      <c r="X1067" s="376"/>
      <c r="Y1067" s="376"/>
      <c r="Z1067" s="376"/>
      <c r="AA1067" s="376"/>
      <c r="AB1067" s="376"/>
      <c r="AC1067" s="376"/>
      <c r="AD1067" s="376"/>
      <c r="AE1067" s="376"/>
      <c r="AF1067" s="376"/>
      <c r="AG1067" s="376"/>
    </row>
    <row r="1068">
      <c r="A1068" s="378"/>
      <c r="B1068" s="477"/>
      <c r="C1068" s="378"/>
      <c r="D1068" s="378"/>
      <c r="E1068" s="378"/>
      <c r="F1068" s="378"/>
      <c r="G1068" s="378"/>
      <c r="H1068" s="378"/>
      <c r="I1068" s="376"/>
      <c r="J1068" s="376"/>
      <c r="K1068" s="376"/>
      <c r="L1068" s="376"/>
      <c r="M1068" s="376"/>
      <c r="N1068" s="376"/>
      <c r="O1068" s="376"/>
      <c r="P1068" s="376"/>
      <c r="Q1068" s="376"/>
      <c r="R1068" s="376"/>
      <c r="S1068" s="376"/>
      <c r="T1068" s="376"/>
      <c r="U1068" s="376"/>
      <c r="V1068" s="376"/>
      <c r="W1068" s="376"/>
      <c r="X1068" s="376"/>
      <c r="Y1068" s="376"/>
      <c r="Z1068" s="376"/>
      <c r="AA1068" s="376"/>
      <c r="AB1068" s="376"/>
      <c r="AC1068" s="376"/>
      <c r="AD1068" s="376"/>
      <c r="AE1068" s="376"/>
      <c r="AF1068" s="376"/>
      <c r="AG1068" s="376"/>
    </row>
    <row r="1069">
      <c r="A1069" s="378"/>
      <c r="B1069" s="477"/>
      <c r="C1069" s="378"/>
      <c r="D1069" s="378"/>
      <c r="E1069" s="378"/>
      <c r="F1069" s="378"/>
      <c r="G1069" s="378"/>
      <c r="H1069" s="378"/>
      <c r="I1069" s="376"/>
      <c r="J1069" s="376"/>
      <c r="K1069" s="376"/>
      <c r="L1069" s="376"/>
      <c r="M1069" s="376"/>
      <c r="N1069" s="376"/>
      <c r="O1069" s="376"/>
      <c r="P1069" s="376"/>
      <c r="Q1069" s="376"/>
      <c r="R1069" s="376"/>
      <c r="S1069" s="376"/>
      <c r="T1069" s="376"/>
      <c r="U1069" s="376"/>
      <c r="V1069" s="376"/>
      <c r="W1069" s="376"/>
      <c r="X1069" s="376"/>
      <c r="Y1069" s="376"/>
      <c r="Z1069" s="376"/>
      <c r="AA1069" s="376"/>
      <c r="AB1069" s="376"/>
      <c r="AC1069" s="376"/>
      <c r="AD1069" s="376"/>
      <c r="AE1069" s="376"/>
      <c r="AF1069" s="376"/>
      <c r="AG1069" s="376"/>
    </row>
    <row r="1070">
      <c r="A1070" s="378"/>
      <c r="B1070" s="477"/>
      <c r="C1070" s="378"/>
      <c r="D1070" s="378"/>
      <c r="E1070" s="378"/>
      <c r="F1070" s="378"/>
      <c r="G1070" s="378"/>
      <c r="H1070" s="378"/>
      <c r="I1070" s="376"/>
      <c r="J1070" s="376"/>
      <c r="K1070" s="376"/>
      <c r="L1070" s="376"/>
      <c r="M1070" s="376"/>
      <c r="N1070" s="376"/>
      <c r="O1070" s="376"/>
      <c r="P1070" s="376"/>
      <c r="Q1070" s="376"/>
      <c r="R1070" s="376"/>
      <c r="S1070" s="376"/>
      <c r="T1070" s="376"/>
      <c r="U1070" s="376"/>
      <c r="V1070" s="376"/>
      <c r="W1070" s="376"/>
      <c r="X1070" s="376"/>
      <c r="Y1070" s="376"/>
      <c r="Z1070" s="376"/>
      <c r="AA1070" s="376"/>
      <c r="AB1070" s="376"/>
      <c r="AC1070" s="376"/>
      <c r="AD1070" s="376"/>
      <c r="AE1070" s="376"/>
      <c r="AF1070" s="376"/>
      <c r="AG1070" s="376"/>
    </row>
    <row r="1071">
      <c r="A1071" s="378"/>
      <c r="B1071" s="477"/>
      <c r="C1071" s="378"/>
      <c r="D1071" s="378"/>
      <c r="E1071" s="378"/>
      <c r="F1071" s="378"/>
      <c r="G1071" s="378"/>
      <c r="H1071" s="378"/>
      <c r="I1071" s="376"/>
      <c r="J1071" s="376"/>
      <c r="K1071" s="376"/>
      <c r="L1071" s="376"/>
      <c r="M1071" s="376"/>
      <c r="N1071" s="376"/>
      <c r="O1071" s="376"/>
      <c r="P1071" s="376"/>
      <c r="Q1071" s="376"/>
      <c r="R1071" s="376"/>
      <c r="S1071" s="376"/>
      <c r="T1071" s="376"/>
      <c r="U1071" s="376"/>
      <c r="V1071" s="376"/>
      <c r="W1071" s="376"/>
      <c r="X1071" s="376"/>
      <c r="Y1071" s="376"/>
      <c r="Z1071" s="376"/>
      <c r="AA1071" s="376"/>
      <c r="AB1071" s="376"/>
      <c r="AC1071" s="376"/>
      <c r="AD1071" s="376"/>
      <c r="AE1071" s="376"/>
      <c r="AF1071" s="376"/>
      <c r="AG1071" s="376"/>
    </row>
    <row r="1072">
      <c r="A1072" s="378"/>
      <c r="B1072" s="477"/>
      <c r="C1072" s="378"/>
      <c r="D1072" s="378"/>
      <c r="E1072" s="378"/>
      <c r="F1072" s="378"/>
      <c r="G1072" s="378"/>
      <c r="H1072" s="378"/>
      <c r="I1072" s="376"/>
      <c r="J1072" s="376"/>
      <c r="K1072" s="376"/>
      <c r="L1072" s="376"/>
      <c r="M1072" s="376"/>
      <c r="N1072" s="376"/>
      <c r="O1072" s="376"/>
      <c r="P1072" s="376"/>
      <c r="Q1072" s="376"/>
      <c r="R1072" s="376"/>
      <c r="S1072" s="376"/>
      <c r="T1072" s="376"/>
      <c r="U1072" s="376"/>
      <c r="V1072" s="376"/>
      <c r="W1072" s="376"/>
      <c r="X1072" s="376"/>
      <c r="Y1072" s="376"/>
      <c r="Z1072" s="376"/>
      <c r="AA1072" s="376"/>
      <c r="AB1072" s="376"/>
      <c r="AC1072" s="376"/>
      <c r="AD1072" s="376"/>
      <c r="AE1072" s="376"/>
      <c r="AF1072" s="376"/>
      <c r="AG1072" s="376"/>
    </row>
    <row r="1073">
      <c r="A1073" s="378"/>
      <c r="B1073" s="477"/>
      <c r="C1073" s="378"/>
      <c r="D1073" s="378"/>
      <c r="E1073" s="378"/>
      <c r="F1073" s="378"/>
      <c r="G1073" s="378"/>
      <c r="H1073" s="378"/>
      <c r="I1073" s="376"/>
      <c r="J1073" s="376"/>
      <c r="K1073" s="376"/>
      <c r="L1073" s="376"/>
      <c r="M1073" s="376"/>
      <c r="N1073" s="376"/>
      <c r="O1073" s="376"/>
      <c r="P1073" s="376"/>
      <c r="Q1073" s="376"/>
      <c r="R1073" s="376"/>
      <c r="S1073" s="376"/>
      <c r="T1073" s="376"/>
      <c r="U1073" s="376"/>
      <c r="V1073" s="376"/>
      <c r="W1073" s="376"/>
      <c r="X1073" s="376"/>
      <c r="Y1073" s="376"/>
      <c r="Z1073" s="376"/>
      <c r="AA1073" s="376"/>
      <c r="AB1073" s="376"/>
      <c r="AC1073" s="376"/>
      <c r="AD1073" s="376"/>
      <c r="AE1073" s="376"/>
      <c r="AF1073" s="376"/>
      <c r="AG1073" s="376"/>
    </row>
    <row r="1074">
      <c r="A1074" s="378"/>
      <c r="B1074" s="477"/>
      <c r="C1074" s="378"/>
      <c r="D1074" s="378"/>
      <c r="E1074" s="378"/>
      <c r="F1074" s="378"/>
      <c r="G1074" s="378"/>
      <c r="H1074" s="378"/>
      <c r="I1074" s="376"/>
      <c r="J1074" s="376"/>
      <c r="K1074" s="376"/>
      <c r="L1074" s="376"/>
      <c r="M1074" s="376"/>
      <c r="N1074" s="376"/>
      <c r="O1074" s="376"/>
      <c r="P1074" s="376"/>
      <c r="Q1074" s="376"/>
      <c r="R1074" s="376"/>
      <c r="S1074" s="376"/>
      <c r="T1074" s="376"/>
      <c r="U1074" s="376"/>
      <c r="V1074" s="376"/>
      <c r="W1074" s="376"/>
      <c r="X1074" s="376"/>
      <c r="Y1074" s="376"/>
      <c r="Z1074" s="376"/>
      <c r="AA1074" s="376"/>
      <c r="AB1074" s="376"/>
      <c r="AC1074" s="376"/>
      <c r="AD1074" s="376"/>
      <c r="AE1074" s="376"/>
      <c r="AF1074" s="376"/>
      <c r="AG1074" s="376"/>
    </row>
    <row r="1075">
      <c r="A1075" s="378"/>
      <c r="B1075" s="477"/>
      <c r="C1075" s="378"/>
      <c r="D1075" s="378"/>
      <c r="E1075" s="378"/>
      <c r="F1075" s="378"/>
      <c r="G1075" s="378"/>
      <c r="H1075" s="378"/>
      <c r="I1075" s="376"/>
      <c r="J1075" s="376"/>
      <c r="K1075" s="376"/>
      <c r="L1075" s="376"/>
      <c r="M1075" s="376"/>
      <c r="N1075" s="376"/>
      <c r="O1075" s="376"/>
      <c r="P1075" s="376"/>
      <c r="Q1075" s="376"/>
      <c r="R1075" s="376"/>
      <c r="S1075" s="376"/>
      <c r="T1075" s="376"/>
      <c r="U1075" s="376"/>
      <c r="V1075" s="376"/>
      <c r="W1075" s="376"/>
      <c r="X1075" s="376"/>
      <c r="Y1075" s="376"/>
      <c r="Z1075" s="376"/>
      <c r="AA1075" s="376"/>
      <c r="AB1075" s="376"/>
      <c r="AC1075" s="376"/>
      <c r="AD1075" s="376"/>
      <c r="AE1075" s="376"/>
      <c r="AF1075" s="376"/>
      <c r="AG1075" s="376"/>
    </row>
    <row r="1076">
      <c r="A1076" s="378"/>
      <c r="B1076" s="477"/>
      <c r="C1076" s="378"/>
      <c r="D1076" s="378"/>
      <c r="E1076" s="378"/>
      <c r="F1076" s="378"/>
      <c r="G1076" s="378"/>
      <c r="H1076" s="378"/>
      <c r="I1076" s="376"/>
      <c r="J1076" s="376"/>
      <c r="K1076" s="376"/>
      <c r="L1076" s="376"/>
      <c r="M1076" s="376"/>
      <c r="N1076" s="376"/>
      <c r="O1076" s="376"/>
      <c r="P1076" s="376"/>
      <c r="Q1076" s="376"/>
      <c r="R1076" s="376"/>
      <c r="S1076" s="376"/>
      <c r="T1076" s="376"/>
      <c r="U1076" s="376"/>
      <c r="V1076" s="376"/>
      <c r="W1076" s="376"/>
      <c r="X1076" s="376"/>
      <c r="Y1076" s="376"/>
      <c r="Z1076" s="376"/>
      <c r="AA1076" s="376"/>
      <c r="AB1076" s="376"/>
      <c r="AC1076" s="376"/>
      <c r="AD1076" s="376"/>
      <c r="AE1076" s="376"/>
      <c r="AF1076" s="376"/>
      <c r="AG1076" s="376"/>
    </row>
    <row r="1077">
      <c r="A1077" s="378"/>
      <c r="B1077" s="477"/>
      <c r="C1077" s="378"/>
      <c r="D1077" s="378"/>
      <c r="E1077" s="378"/>
      <c r="F1077" s="378"/>
      <c r="G1077" s="378"/>
      <c r="H1077" s="378"/>
      <c r="I1077" s="376"/>
      <c r="J1077" s="376"/>
      <c r="K1077" s="376"/>
      <c r="L1077" s="376"/>
      <c r="M1077" s="376"/>
      <c r="N1077" s="376"/>
      <c r="O1077" s="376"/>
      <c r="P1077" s="376"/>
      <c r="Q1077" s="376"/>
      <c r="R1077" s="376"/>
      <c r="S1077" s="376"/>
      <c r="T1077" s="376"/>
      <c r="U1077" s="376"/>
      <c r="V1077" s="376"/>
      <c r="W1077" s="376"/>
      <c r="X1077" s="376"/>
      <c r="Y1077" s="376"/>
      <c r="Z1077" s="376"/>
      <c r="AA1077" s="376"/>
      <c r="AB1077" s="376"/>
      <c r="AC1077" s="376"/>
      <c r="AD1077" s="376"/>
      <c r="AE1077" s="376"/>
      <c r="AF1077" s="376"/>
      <c r="AG1077" s="376"/>
    </row>
    <row r="1078">
      <c r="A1078" s="378"/>
      <c r="B1078" s="477"/>
      <c r="C1078" s="378"/>
      <c r="D1078" s="378"/>
      <c r="E1078" s="378"/>
      <c r="F1078" s="378"/>
      <c r="G1078" s="378"/>
      <c r="H1078" s="378"/>
      <c r="I1078" s="376"/>
      <c r="J1078" s="376"/>
      <c r="K1078" s="376"/>
      <c r="L1078" s="376"/>
      <c r="M1078" s="376"/>
      <c r="N1078" s="376"/>
      <c r="O1078" s="376"/>
      <c r="P1078" s="376"/>
      <c r="Q1078" s="376"/>
      <c r="R1078" s="376"/>
      <c r="S1078" s="376"/>
      <c r="T1078" s="376"/>
      <c r="U1078" s="376"/>
      <c r="V1078" s="376"/>
      <c r="W1078" s="376"/>
      <c r="X1078" s="376"/>
      <c r="Y1078" s="376"/>
      <c r="Z1078" s="376"/>
      <c r="AA1078" s="376"/>
      <c r="AB1078" s="376"/>
      <c r="AC1078" s="376"/>
      <c r="AD1078" s="376"/>
      <c r="AE1078" s="376"/>
      <c r="AF1078" s="376"/>
      <c r="AG1078" s="376"/>
    </row>
    <row r="1079">
      <c r="A1079" s="378"/>
      <c r="B1079" s="477"/>
      <c r="C1079" s="378"/>
      <c r="D1079" s="378"/>
      <c r="E1079" s="378"/>
      <c r="F1079" s="378"/>
      <c r="G1079" s="378"/>
      <c r="H1079" s="378"/>
      <c r="I1079" s="376"/>
      <c r="J1079" s="376"/>
      <c r="K1079" s="376"/>
      <c r="L1079" s="376"/>
      <c r="M1079" s="376"/>
      <c r="N1079" s="376"/>
      <c r="O1079" s="376"/>
      <c r="P1079" s="376"/>
      <c r="Q1079" s="376"/>
      <c r="R1079" s="376"/>
      <c r="S1079" s="376"/>
      <c r="T1079" s="376"/>
      <c r="U1079" s="376"/>
      <c r="V1079" s="376"/>
      <c r="W1079" s="376"/>
      <c r="X1079" s="376"/>
      <c r="Y1079" s="376"/>
      <c r="Z1079" s="376"/>
      <c r="AA1079" s="376"/>
      <c r="AB1079" s="376"/>
      <c r="AC1079" s="376"/>
      <c r="AD1079" s="376"/>
      <c r="AE1079" s="376"/>
      <c r="AF1079" s="376"/>
      <c r="AG1079" s="376"/>
    </row>
    <row r="1080">
      <c r="A1080" s="378"/>
      <c r="B1080" s="477"/>
      <c r="C1080" s="378"/>
      <c r="D1080" s="378"/>
      <c r="E1080" s="378"/>
      <c r="F1080" s="378"/>
      <c r="G1080" s="378"/>
      <c r="H1080" s="378"/>
      <c r="I1080" s="376"/>
      <c r="J1080" s="376"/>
      <c r="K1080" s="376"/>
      <c r="L1080" s="376"/>
      <c r="M1080" s="376"/>
      <c r="N1080" s="376"/>
      <c r="O1080" s="376"/>
      <c r="P1080" s="376"/>
      <c r="Q1080" s="376"/>
      <c r="R1080" s="376"/>
      <c r="S1080" s="376"/>
      <c r="T1080" s="376"/>
      <c r="U1080" s="376"/>
      <c r="V1080" s="376"/>
      <c r="W1080" s="376"/>
      <c r="X1080" s="376"/>
      <c r="Y1080" s="376"/>
      <c r="Z1080" s="376"/>
      <c r="AA1080" s="376"/>
      <c r="AB1080" s="376"/>
      <c r="AC1080" s="376"/>
      <c r="AD1080" s="376"/>
      <c r="AE1080" s="376"/>
      <c r="AF1080" s="376"/>
      <c r="AG1080" s="376"/>
    </row>
    <row r="1081">
      <c r="A1081" s="378"/>
      <c r="B1081" s="477"/>
      <c r="C1081" s="378"/>
      <c r="D1081" s="378"/>
      <c r="E1081" s="378"/>
      <c r="F1081" s="378"/>
      <c r="G1081" s="378"/>
      <c r="H1081" s="378"/>
      <c r="I1081" s="376"/>
      <c r="J1081" s="376"/>
      <c r="K1081" s="376"/>
      <c r="L1081" s="376"/>
      <c r="M1081" s="376"/>
      <c r="N1081" s="376"/>
      <c r="O1081" s="376"/>
      <c r="P1081" s="376"/>
      <c r="Q1081" s="376"/>
      <c r="R1081" s="376"/>
      <c r="S1081" s="376"/>
      <c r="T1081" s="376"/>
      <c r="U1081" s="376"/>
      <c r="V1081" s="376"/>
      <c r="W1081" s="376"/>
      <c r="X1081" s="376"/>
      <c r="Y1081" s="376"/>
      <c r="Z1081" s="376"/>
      <c r="AA1081" s="376"/>
      <c r="AB1081" s="376"/>
      <c r="AC1081" s="376"/>
      <c r="AD1081" s="376"/>
      <c r="AE1081" s="376"/>
      <c r="AF1081" s="376"/>
      <c r="AG1081" s="376"/>
    </row>
    <row r="1082">
      <c r="A1082" s="378"/>
      <c r="B1082" s="477"/>
      <c r="C1082" s="378"/>
      <c r="D1082" s="378"/>
      <c r="E1082" s="378"/>
      <c r="F1082" s="378"/>
      <c r="G1082" s="378"/>
      <c r="H1082" s="378"/>
      <c r="I1082" s="376"/>
      <c r="J1082" s="376"/>
      <c r="K1082" s="376"/>
      <c r="L1082" s="376"/>
      <c r="M1082" s="376"/>
      <c r="N1082" s="376"/>
      <c r="O1082" s="376"/>
      <c r="P1082" s="376"/>
      <c r="Q1082" s="376"/>
      <c r="R1082" s="376"/>
      <c r="S1082" s="376"/>
      <c r="T1082" s="376"/>
      <c r="U1082" s="376"/>
      <c r="V1082" s="376"/>
      <c r="W1082" s="376"/>
      <c r="X1082" s="376"/>
      <c r="Y1082" s="376"/>
      <c r="Z1082" s="376"/>
      <c r="AA1082" s="376"/>
      <c r="AB1082" s="376"/>
      <c r="AC1082" s="376"/>
      <c r="AD1082" s="376"/>
      <c r="AE1082" s="376"/>
      <c r="AF1082" s="376"/>
      <c r="AG1082" s="376"/>
    </row>
    <row r="1083">
      <c r="A1083" s="378"/>
      <c r="B1083" s="477"/>
      <c r="C1083" s="378"/>
      <c r="D1083" s="378"/>
      <c r="E1083" s="378"/>
      <c r="F1083" s="378"/>
      <c r="G1083" s="378"/>
      <c r="H1083" s="378"/>
      <c r="I1083" s="376"/>
      <c r="J1083" s="376"/>
      <c r="K1083" s="376"/>
      <c r="L1083" s="376"/>
      <c r="M1083" s="376"/>
      <c r="N1083" s="376"/>
      <c r="O1083" s="376"/>
      <c r="P1083" s="376"/>
      <c r="Q1083" s="376"/>
      <c r="R1083" s="376"/>
      <c r="S1083" s="376"/>
      <c r="T1083" s="376"/>
      <c r="U1083" s="376"/>
      <c r="V1083" s="376"/>
      <c r="W1083" s="376"/>
      <c r="X1083" s="376"/>
      <c r="Y1083" s="376"/>
      <c r="Z1083" s="376"/>
      <c r="AA1083" s="376"/>
      <c r="AB1083" s="376"/>
      <c r="AC1083" s="376"/>
      <c r="AD1083" s="376"/>
      <c r="AE1083" s="376"/>
      <c r="AF1083" s="376"/>
      <c r="AG1083" s="376"/>
    </row>
    <row r="1084">
      <c r="A1084" s="378"/>
      <c r="B1084" s="477"/>
      <c r="C1084" s="378"/>
      <c r="D1084" s="378"/>
      <c r="E1084" s="378"/>
      <c r="F1084" s="378"/>
      <c r="G1084" s="378"/>
      <c r="H1084" s="378"/>
      <c r="I1084" s="376"/>
      <c r="J1084" s="376"/>
      <c r="K1084" s="376"/>
      <c r="L1084" s="376"/>
      <c r="M1084" s="376"/>
      <c r="N1084" s="376"/>
      <c r="O1084" s="376"/>
      <c r="P1084" s="376"/>
      <c r="Q1084" s="376"/>
      <c r="R1084" s="376"/>
      <c r="S1084" s="376"/>
      <c r="T1084" s="376"/>
      <c r="U1084" s="376"/>
      <c r="V1084" s="376"/>
      <c r="W1084" s="376"/>
      <c r="X1084" s="376"/>
      <c r="Y1084" s="376"/>
      <c r="Z1084" s="376"/>
      <c r="AA1084" s="376"/>
      <c r="AB1084" s="376"/>
      <c r="AC1084" s="376"/>
      <c r="AD1084" s="376"/>
      <c r="AE1084" s="376"/>
      <c r="AF1084" s="376"/>
      <c r="AG1084" s="376"/>
    </row>
    <row r="1085">
      <c r="A1085" s="378"/>
      <c r="B1085" s="477"/>
      <c r="C1085" s="378"/>
      <c r="D1085" s="378"/>
      <c r="E1085" s="378"/>
      <c r="F1085" s="378"/>
      <c r="G1085" s="378"/>
      <c r="H1085" s="378"/>
      <c r="I1085" s="376"/>
      <c r="J1085" s="376"/>
      <c r="K1085" s="376"/>
      <c r="L1085" s="376"/>
      <c r="M1085" s="376"/>
      <c r="N1085" s="376"/>
      <c r="O1085" s="376"/>
      <c r="P1085" s="376"/>
      <c r="Q1085" s="376"/>
      <c r="R1085" s="376"/>
      <c r="S1085" s="376"/>
      <c r="T1085" s="376"/>
      <c r="U1085" s="376"/>
      <c r="V1085" s="376"/>
      <c r="W1085" s="376"/>
      <c r="X1085" s="376"/>
      <c r="Y1085" s="376"/>
      <c r="Z1085" s="376"/>
      <c r="AA1085" s="376"/>
      <c r="AB1085" s="376"/>
      <c r="AC1085" s="376"/>
      <c r="AD1085" s="376"/>
      <c r="AE1085" s="376"/>
      <c r="AF1085" s="376"/>
      <c r="AG1085" s="376"/>
    </row>
    <row r="1086">
      <c r="A1086" s="378"/>
      <c r="B1086" s="477"/>
      <c r="C1086" s="378"/>
      <c r="D1086" s="378"/>
      <c r="E1086" s="378"/>
      <c r="F1086" s="378"/>
      <c r="G1086" s="378"/>
      <c r="H1086" s="378"/>
      <c r="I1086" s="376"/>
      <c r="J1086" s="376"/>
      <c r="K1086" s="376"/>
      <c r="L1086" s="376"/>
      <c r="M1086" s="376"/>
      <c r="N1086" s="376"/>
      <c r="O1086" s="376"/>
      <c r="P1086" s="376"/>
      <c r="Q1086" s="376"/>
      <c r="R1086" s="376"/>
      <c r="S1086" s="376"/>
      <c r="T1086" s="376"/>
      <c r="U1086" s="376"/>
      <c r="V1086" s="376"/>
      <c r="W1086" s="376"/>
      <c r="X1086" s="376"/>
      <c r="Y1086" s="376"/>
      <c r="Z1086" s="376"/>
      <c r="AA1086" s="376"/>
      <c r="AB1086" s="376"/>
      <c r="AC1086" s="376"/>
      <c r="AD1086" s="376"/>
      <c r="AE1086" s="376"/>
      <c r="AF1086" s="376"/>
      <c r="AG1086" s="376"/>
    </row>
    <row r="1087">
      <c r="A1087" s="378"/>
      <c r="B1087" s="477"/>
      <c r="C1087" s="378"/>
      <c r="D1087" s="378"/>
      <c r="E1087" s="378"/>
      <c r="F1087" s="378"/>
      <c r="G1087" s="378"/>
      <c r="H1087" s="378"/>
      <c r="I1087" s="376"/>
      <c r="J1087" s="376"/>
      <c r="K1087" s="376"/>
      <c r="L1087" s="376"/>
      <c r="M1087" s="376"/>
      <c r="N1087" s="376"/>
      <c r="O1087" s="376"/>
      <c r="P1087" s="376"/>
      <c r="Q1087" s="376"/>
      <c r="R1087" s="376"/>
      <c r="S1087" s="376"/>
      <c r="T1087" s="376"/>
      <c r="U1087" s="376"/>
      <c r="V1087" s="376"/>
      <c r="W1087" s="376"/>
      <c r="X1087" s="376"/>
      <c r="Y1087" s="376"/>
      <c r="Z1087" s="376"/>
      <c r="AA1087" s="376"/>
      <c r="AB1087" s="376"/>
      <c r="AC1087" s="376"/>
      <c r="AD1087" s="376"/>
      <c r="AE1087" s="376"/>
      <c r="AF1087" s="376"/>
      <c r="AG1087" s="376"/>
    </row>
    <row r="1088">
      <c r="A1088" s="378"/>
      <c r="B1088" s="477"/>
      <c r="C1088" s="378"/>
      <c r="D1088" s="378"/>
      <c r="E1088" s="378"/>
      <c r="F1088" s="378"/>
      <c r="G1088" s="378"/>
      <c r="H1088" s="378"/>
      <c r="I1088" s="376"/>
      <c r="J1088" s="376"/>
      <c r="K1088" s="376"/>
      <c r="L1088" s="376"/>
      <c r="M1088" s="376"/>
      <c r="N1088" s="376"/>
      <c r="O1088" s="376"/>
      <c r="P1088" s="376"/>
      <c r="Q1088" s="376"/>
      <c r="R1088" s="376"/>
      <c r="S1088" s="376"/>
      <c r="T1088" s="376"/>
      <c r="U1088" s="376"/>
      <c r="V1088" s="376"/>
      <c r="W1088" s="376"/>
      <c r="X1088" s="376"/>
      <c r="Y1088" s="376"/>
      <c r="Z1088" s="376"/>
      <c r="AA1088" s="376"/>
      <c r="AB1088" s="376"/>
      <c r="AC1088" s="376"/>
      <c r="AD1088" s="376"/>
      <c r="AE1088" s="376"/>
      <c r="AF1088" s="376"/>
      <c r="AG1088" s="376"/>
    </row>
    <row r="1089">
      <c r="A1089" s="378"/>
      <c r="B1089" s="477"/>
      <c r="C1089" s="378"/>
      <c r="D1089" s="378"/>
      <c r="E1089" s="378"/>
      <c r="F1089" s="378"/>
      <c r="G1089" s="378"/>
      <c r="H1089" s="378"/>
      <c r="I1089" s="376"/>
      <c r="J1089" s="376"/>
      <c r="K1089" s="376"/>
      <c r="L1089" s="376"/>
      <c r="M1089" s="376"/>
      <c r="N1089" s="376"/>
      <c r="O1089" s="376"/>
      <c r="P1089" s="376"/>
      <c r="Q1089" s="376"/>
      <c r="R1089" s="376"/>
      <c r="S1089" s="376"/>
      <c r="T1089" s="376"/>
      <c r="U1089" s="376"/>
      <c r="V1089" s="376"/>
      <c r="W1089" s="376"/>
      <c r="X1089" s="376"/>
      <c r="Y1089" s="376"/>
      <c r="Z1089" s="376"/>
      <c r="AA1089" s="376"/>
      <c r="AB1089" s="376"/>
      <c r="AC1089" s="376"/>
      <c r="AD1089" s="376"/>
      <c r="AE1089" s="376"/>
      <c r="AF1089" s="376"/>
      <c r="AG1089" s="376"/>
    </row>
    <row r="1090">
      <c r="A1090" s="378"/>
      <c r="B1090" s="477"/>
      <c r="C1090" s="378"/>
      <c r="D1090" s="378"/>
      <c r="E1090" s="378"/>
      <c r="F1090" s="378"/>
      <c r="G1090" s="378"/>
      <c r="H1090" s="378"/>
      <c r="I1090" s="376"/>
      <c r="J1090" s="376"/>
      <c r="K1090" s="376"/>
      <c r="L1090" s="376"/>
      <c r="M1090" s="376"/>
      <c r="N1090" s="376"/>
      <c r="O1090" s="376"/>
      <c r="P1090" s="376"/>
      <c r="Q1090" s="376"/>
      <c r="R1090" s="376"/>
      <c r="S1090" s="376"/>
      <c r="T1090" s="376"/>
      <c r="U1090" s="376"/>
      <c r="V1090" s="376"/>
      <c r="W1090" s="376"/>
      <c r="X1090" s="376"/>
      <c r="Y1090" s="376"/>
      <c r="Z1090" s="376"/>
      <c r="AA1090" s="376"/>
      <c r="AB1090" s="376"/>
      <c r="AC1090" s="376"/>
      <c r="AD1090" s="376"/>
      <c r="AE1090" s="376"/>
      <c r="AF1090" s="376"/>
      <c r="AG1090" s="376"/>
    </row>
    <row r="1091">
      <c r="A1091" s="378"/>
      <c r="B1091" s="477"/>
      <c r="C1091" s="378"/>
      <c r="D1091" s="378"/>
      <c r="E1091" s="378"/>
      <c r="F1091" s="378"/>
      <c r="G1091" s="378"/>
      <c r="H1091" s="378"/>
      <c r="I1091" s="376"/>
      <c r="J1091" s="376"/>
      <c r="K1091" s="376"/>
      <c r="L1091" s="376"/>
      <c r="M1091" s="376"/>
      <c r="N1091" s="376"/>
      <c r="O1091" s="376"/>
      <c r="P1091" s="376"/>
      <c r="Q1091" s="376"/>
      <c r="R1091" s="376"/>
      <c r="S1091" s="376"/>
      <c r="T1091" s="376"/>
      <c r="U1091" s="376"/>
      <c r="V1091" s="376"/>
      <c r="W1091" s="376"/>
      <c r="X1091" s="376"/>
      <c r="Y1091" s="376"/>
      <c r="Z1091" s="376"/>
      <c r="AA1091" s="376"/>
      <c r="AB1091" s="376"/>
      <c r="AC1091" s="376"/>
      <c r="AD1091" s="376"/>
      <c r="AE1091" s="376"/>
      <c r="AF1091" s="376"/>
      <c r="AG1091" s="376"/>
    </row>
    <row r="1092">
      <c r="A1092" s="378"/>
      <c r="B1092" s="477"/>
      <c r="C1092" s="378"/>
      <c r="D1092" s="378"/>
      <c r="E1092" s="378"/>
      <c r="F1092" s="378"/>
      <c r="G1092" s="378"/>
      <c r="H1092" s="378"/>
      <c r="I1092" s="376"/>
      <c r="J1092" s="376"/>
      <c r="K1092" s="376"/>
      <c r="L1092" s="376"/>
      <c r="M1092" s="376"/>
      <c r="N1092" s="376"/>
      <c r="O1092" s="376"/>
      <c r="P1092" s="376"/>
      <c r="Q1092" s="376"/>
      <c r="R1092" s="376"/>
      <c r="S1092" s="376"/>
      <c r="T1092" s="376"/>
      <c r="U1092" s="376"/>
      <c r="V1092" s="376"/>
      <c r="W1092" s="376"/>
      <c r="X1092" s="376"/>
      <c r="Y1092" s="376"/>
      <c r="Z1092" s="376"/>
      <c r="AA1092" s="376"/>
      <c r="AB1092" s="376"/>
      <c r="AC1092" s="376"/>
      <c r="AD1092" s="376"/>
      <c r="AE1092" s="376"/>
      <c r="AF1092" s="376"/>
      <c r="AG1092" s="376"/>
    </row>
    <row r="1093">
      <c r="A1093" s="378"/>
      <c r="B1093" s="477"/>
      <c r="C1093" s="378"/>
      <c r="D1093" s="378"/>
      <c r="E1093" s="378"/>
      <c r="F1093" s="378"/>
      <c r="G1093" s="378"/>
      <c r="H1093" s="378"/>
      <c r="I1093" s="376"/>
      <c r="J1093" s="376"/>
      <c r="K1093" s="376"/>
      <c r="L1093" s="376"/>
      <c r="M1093" s="376"/>
      <c r="N1093" s="376"/>
      <c r="O1093" s="376"/>
      <c r="P1093" s="376"/>
      <c r="Q1093" s="376"/>
      <c r="R1093" s="376"/>
      <c r="S1093" s="376"/>
      <c r="T1093" s="376"/>
      <c r="U1093" s="376"/>
      <c r="V1093" s="376"/>
      <c r="W1093" s="376"/>
      <c r="X1093" s="376"/>
      <c r="Y1093" s="376"/>
      <c r="Z1093" s="376"/>
      <c r="AA1093" s="376"/>
      <c r="AB1093" s="376"/>
      <c r="AC1093" s="376"/>
      <c r="AD1093" s="376"/>
      <c r="AE1093" s="376"/>
      <c r="AF1093" s="376"/>
      <c r="AG1093" s="376"/>
    </row>
    <row r="1094">
      <c r="A1094" s="378"/>
      <c r="B1094" s="477"/>
      <c r="C1094" s="378"/>
      <c r="D1094" s="378"/>
      <c r="E1094" s="378"/>
      <c r="F1094" s="378"/>
      <c r="G1094" s="378"/>
      <c r="H1094" s="378"/>
      <c r="I1094" s="376"/>
      <c r="J1094" s="376"/>
      <c r="K1094" s="376"/>
      <c r="L1094" s="376"/>
      <c r="M1094" s="376"/>
      <c r="N1094" s="376"/>
      <c r="O1094" s="376"/>
      <c r="P1094" s="376"/>
      <c r="Q1094" s="376"/>
      <c r="R1094" s="376"/>
      <c r="S1094" s="376"/>
      <c r="T1094" s="376"/>
      <c r="U1094" s="376"/>
      <c r="V1094" s="376"/>
      <c r="W1094" s="376"/>
      <c r="X1094" s="376"/>
      <c r="Y1094" s="376"/>
      <c r="Z1094" s="376"/>
      <c r="AA1094" s="376"/>
      <c r="AB1094" s="376"/>
      <c r="AC1094" s="376"/>
      <c r="AD1094" s="376"/>
      <c r="AE1094" s="376"/>
      <c r="AF1094" s="376"/>
      <c r="AG1094" s="376"/>
    </row>
    <row r="1095">
      <c r="A1095" s="378"/>
      <c r="B1095" s="477"/>
      <c r="C1095" s="378"/>
      <c r="D1095" s="378"/>
      <c r="E1095" s="378"/>
      <c r="F1095" s="378"/>
      <c r="G1095" s="378"/>
      <c r="H1095" s="378"/>
      <c r="I1095" s="376"/>
      <c r="J1095" s="376"/>
      <c r="K1095" s="376"/>
      <c r="L1095" s="376"/>
      <c r="M1095" s="376"/>
      <c r="N1095" s="376"/>
      <c r="O1095" s="376"/>
      <c r="P1095" s="376"/>
      <c r="Q1095" s="376"/>
      <c r="R1095" s="376"/>
      <c r="S1095" s="376"/>
      <c r="T1095" s="376"/>
      <c r="U1095" s="376"/>
      <c r="V1095" s="376"/>
      <c r="W1095" s="376"/>
      <c r="X1095" s="376"/>
      <c r="Y1095" s="376"/>
      <c r="Z1095" s="376"/>
      <c r="AA1095" s="376"/>
      <c r="AB1095" s="376"/>
      <c r="AC1095" s="376"/>
      <c r="AD1095" s="376"/>
      <c r="AE1095" s="376"/>
      <c r="AF1095" s="376"/>
      <c r="AG1095" s="376"/>
    </row>
    <row r="1096">
      <c r="A1096" s="378"/>
      <c r="B1096" s="477"/>
      <c r="C1096" s="378"/>
      <c r="D1096" s="378"/>
      <c r="E1096" s="378"/>
      <c r="F1096" s="378"/>
      <c r="G1096" s="378"/>
      <c r="H1096" s="378"/>
      <c r="I1096" s="376"/>
      <c r="J1096" s="376"/>
      <c r="K1096" s="376"/>
      <c r="L1096" s="376"/>
      <c r="M1096" s="376"/>
      <c r="N1096" s="376"/>
      <c r="O1096" s="376"/>
      <c r="P1096" s="376"/>
      <c r="Q1096" s="376"/>
      <c r="R1096" s="376"/>
      <c r="S1096" s="376"/>
      <c r="T1096" s="376"/>
      <c r="U1096" s="376"/>
      <c r="V1096" s="376"/>
      <c r="W1096" s="376"/>
      <c r="X1096" s="376"/>
      <c r="Y1096" s="376"/>
      <c r="Z1096" s="376"/>
      <c r="AA1096" s="376"/>
      <c r="AB1096" s="376"/>
      <c r="AC1096" s="376"/>
      <c r="AD1096" s="376"/>
      <c r="AE1096" s="376"/>
      <c r="AF1096" s="376"/>
      <c r="AG1096" s="376"/>
    </row>
    <row r="1097">
      <c r="A1097" s="378"/>
      <c r="B1097" s="477"/>
      <c r="C1097" s="378"/>
      <c r="D1097" s="378"/>
      <c r="E1097" s="378"/>
      <c r="F1097" s="378"/>
      <c r="G1097" s="378"/>
      <c r="H1097" s="378"/>
      <c r="I1097" s="376"/>
      <c r="J1097" s="376"/>
      <c r="K1097" s="376"/>
      <c r="L1097" s="376"/>
      <c r="M1097" s="376"/>
      <c r="N1097" s="376"/>
      <c r="O1097" s="376"/>
      <c r="P1097" s="376"/>
      <c r="Q1097" s="376"/>
      <c r="R1097" s="376"/>
      <c r="S1097" s="376"/>
      <c r="T1097" s="376"/>
      <c r="U1097" s="376"/>
      <c r="V1097" s="376"/>
      <c r="W1097" s="376"/>
      <c r="X1097" s="376"/>
      <c r="Y1097" s="376"/>
      <c r="Z1097" s="376"/>
      <c r="AA1097" s="376"/>
      <c r="AB1097" s="376"/>
      <c r="AC1097" s="376"/>
      <c r="AD1097" s="376"/>
      <c r="AE1097" s="376"/>
      <c r="AF1097" s="376"/>
      <c r="AG1097" s="376"/>
    </row>
    <row r="1098">
      <c r="A1098" s="378"/>
      <c r="B1098" s="477"/>
      <c r="C1098" s="378"/>
      <c r="D1098" s="378"/>
      <c r="E1098" s="378"/>
      <c r="F1098" s="378"/>
      <c r="G1098" s="378"/>
      <c r="H1098" s="378"/>
      <c r="I1098" s="376"/>
      <c r="J1098" s="376"/>
      <c r="K1098" s="376"/>
      <c r="L1098" s="376"/>
      <c r="M1098" s="376"/>
      <c r="N1098" s="376"/>
      <c r="O1098" s="376"/>
      <c r="P1098" s="376"/>
      <c r="Q1098" s="376"/>
      <c r="R1098" s="376"/>
      <c r="S1098" s="376"/>
      <c r="T1098" s="376"/>
      <c r="U1098" s="376"/>
      <c r="V1098" s="376"/>
      <c r="W1098" s="376"/>
      <c r="X1098" s="376"/>
      <c r="Y1098" s="376"/>
      <c r="Z1098" s="376"/>
      <c r="AA1098" s="376"/>
      <c r="AB1098" s="376"/>
      <c r="AC1098" s="376"/>
      <c r="AD1098" s="376"/>
      <c r="AE1098" s="376"/>
      <c r="AF1098" s="376"/>
      <c r="AG1098" s="376"/>
    </row>
    <row r="1099">
      <c r="A1099" s="378"/>
      <c r="B1099" s="477"/>
      <c r="C1099" s="378"/>
      <c r="D1099" s="378"/>
      <c r="E1099" s="378"/>
      <c r="F1099" s="378"/>
      <c r="G1099" s="378"/>
      <c r="H1099" s="378"/>
      <c r="I1099" s="376"/>
      <c r="J1099" s="376"/>
      <c r="K1099" s="376"/>
      <c r="L1099" s="376"/>
      <c r="M1099" s="376"/>
      <c r="N1099" s="376"/>
      <c r="O1099" s="376"/>
      <c r="P1099" s="376"/>
      <c r="Q1099" s="376"/>
      <c r="R1099" s="376"/>
      <c r="S1099" s="376"/>
      <c r="T1099" s="376"/>
      <c r="U1099" s="376"/>
      <c r="V1099" s="376"/>
      <c r="W1099" s="376"/>
      <c r="X1099" s="376"/>
      <c r="Y1099" s="376"/>
      <c r="Z1099" s="376"/>
      <c r="AA1099" s="376"/>
      <c r="AB1099" s="376"/>
      <c r="AC1099" s="376"/>
      <c r="AD1099" s="376"/>
      <c r="AE1099" s="376"/>
      <c r="AF1099" s="376"/>
      <c r="AG1099" s="376"/>
    </row>
    <row r="1100">
      <c r="A1100" s="378"/>
      <c r="B1100" s="477"/>
      <c r="C1100" s="378"/>
      <c r="D1100" s="378"/>
      <c r="E1100" s="378"/>
      <c r="F1100" s="378"/>
      <c r="G1100" s="378"/>
      <c r="H1100" s="378"/>
      <c r="I1100" s="376"/>
      <c r="J1100" s="376"/>
      <c r="K1100" s="376"/>
      <c r="L1100" s="376"/>
      <c r="M1100" s="376"/>
      <c r="N1100" s="376"/>
      <c r="O1100" s="376"/>
      <c r="P1100" s="376"/>
      <c r="Q1100" s="376"/>
      <c r="R1100" s="376"/>
      <c r="S1100" s="376"/>
      <c r="T1100" s="376"/>
      <c r="U1100" s="376"/>
      <c r="V1100" s="376"/>
      <c r="W1100" s="376"/>
      <c r="X1100" s="376"/>
      <c r="Y1100" s="376"/>
      <c r="Z1100" s="376"/>
      <c r="AA1100" s="376"/>
      <c r="AB1100" s="376"/>
      <c r="AC1100" s="376"/>
      <c r="AD1100" s="376"/>
      <c r="AE1100" s="376"/>
      <c r="AF1100" s="376"/>
      <c r="AG1100" s="376"/>
    </row>
    <row r="1101">
      <c r="A1101" s="378"/>
      <c r="B1101" s="477"/>
      <c r="C1101" s="378"/>
      <c r="D1101" s="378"/>
      <c r="E1101" s="378"/>
      <c r="F1101" s="378"/>
      <c r="G1101" s="378"/>
      <c r="H1101" s="378"/>
      <c r="I1101" s="376"/>
      <c r="J1101" s="376"/>
      <c r="K1101" s="376"/>
      <c r="L1101" s="376"/>
      <c r="M1101" s="376"/>
      <c r="N1101" s="376"/>
      <c r="O1101" s="376"/>
      <c r="P1101" s="376"/>
      <c r="Q1101" s="376"/>
      <c r="R1101" s="376"/>
      <c r="S1101" s="376"/>
      <c r="T1101" s="376"/>
      <c r="U1101" s="376"/>
      <c r="V1101" s="376"/>
      <c r="W1101" s="376"/>
      <c r="X1101" s="376"/>
      <c r="Y1101" s="376"/>
      <c r="Z1101" s="376"/>
      <c r="AA1101" s="376"/>
      <c r="AB1101" s="376"/>
      <c r="AC1101" s="376"/>
      <c r="AD1101" s="376"/>
      <c r="AE1101" s="376"/>
      <c r="AF1101" s="376"/>
      <c r="AG1101" s="376"/>
    </row>
    <row r="1102">
      <c r="A1102" s="378"/>
      <c r="B1102" s="477"/>
      <c r="C1102" s="378"/>
      <c r="D1102" s="378"/>
      <c r="E1102" s="378"/>
      <c r="F1102" s="378"/>
      <c r="G1102" s="378"/>
      <c r="H1102" s="378"/>
      <c r="I1102" s="376"/>
      <c r="J1102" s="376"/>
      <c r="K1102" s="376"/>
      <c r="L1102" s="376"/>
      <c r="M1102" s="376"/>
      <c r="N1102" s="376"/>
      <c r="O1102" s="376"/>
      <c r="P1102" s="376"/>
      <c r="Q1102" s="376"/>
      <c r="R1102" s="376"/>
      <c r="S1102" s="376"/>
      <c r="T1102" s="376"/>
      <c r="U1102" s="376"/>
      <c r="V1102" s="376"/>
      <c r="W1102" s="376"/>
      <c r="X1102" s="376"/>
      <c r="Y1102" s="376"/>
      <c r="Z1102" s="376"/>
      <c r="AA1102" s="376"/>
      <c r="AB1102" s="376"/>
      <c r="AC1102" s="376"/>
      <c r="AD1102" s="376"/>
      <c r="AE1102" s="376"/>
      <c r="AF1102" s="376"/>
      <c r="AG1102" s="376"/>
    </row>
    <row r="1103">
      <c r="A1103" s="378"/>
      <c r="B1103" s="477"/>
      <c r="C1103" s="378"/>
      <c r="D1103" s="378"/>
      <c r="E1103" s="378"/>
      <c r="F1103" s="378"/>
      <c r="G1103" s="378"/>
      <c r="H1103" s="378"/>
      <c r="I1103" s="376"/>
      <c r="J1103" s="376"/>
      <c r="K1103" s="376"/>
      <c r="L1103" s="376"/>
      <c r="M1103" s="376"/>
      <c r="N1103" s="376"/>
      <c r="O1103" s="376"/>
      <c r="P1103" s="376"/>
      <c r="Q1103" s="376"/>
      <c r="R1103" s="376"/>
      <c r="S1103" s="376"/>
      <c r="T1103" s="376"/>
      <c r="U1103" s="376"/>
      <c r="V1103" s="376"/>
      <c r="W1103" s="376"/>
      <c r="X1103" s="376"/>
      <c r="Y1103" s="376"/>
      <c r="Z1103" s="376"/>
      <c r="AA1103" s="376"/>
      <c r="AB1103" s="376"/>
      <c r="AC1103" s="376"/>
      <c r="AD1103" s="376"/>
      <c r="AE1103" s="376"/>
      <c r="AF1103" s="376"/>
      <c r="AG1103" s="376"/>
    </row>
    <row r="1104">
      <c r="A1104" s="378"/>
      <c r="B1104" s="477"/>
      <c r="C1104" s="378"/>
      <c r="D1104" s="378"/>
      <c r="E1104" s="378"/>
      <c r="F1104" s="378"/>
      <c r="G1104" s="378"/>
      <c r="H1104" s="378"/>
      <c r="I1104" s="376"/>
      <c r="J1104" s="376"/>
      <c r="K1104" s="376"/>
      <c r="L1104" s="376"/>
      <c r="M1104" s="376"/>
      <c r="N1104" s="376"/>
      <c r="O1104" s="376"/>
      <c r="P1104" s="376"/>
      <c r="Q1104" s="376"/>
      <c r="R1104" s="376"/>
      <c r="S1104" s="376"/>
      <c r="T1104" s="376"/>
      <c r="U1104" s="376"/>
      <c r="V1104" s="376"/>
      <c r="W1104" s="376"/>
      <c r="X1104" s="376"/>
      <c r="Y1104" s="376"/>
      <c r="Z1104" s="376"/>
      <c r="AA1104" s="376"/>
      <c r="AB1104" s="376"/>
      <c r="AC1104" s="376"/>
      <c r="AD1104" s="376"/>
      <c r="AE1104" s="376"/>
      <c r="AF1104" s="376"/>
      <c r="AG1104" s="376"/>
    </row>
    <row r="1105">
      <c r="A1105" s="378"/>
      <c r="B1105" s="477"/>
      <c r="C1105" s="378"/>
      <c r="D1105" s="378"/>
      <c r="E1105" s="378"/>
      <c r="F1105" s="378"/>
      <c r="G1105" s="378"/>
      <c r="H1105" s="378"/>
      <c r="I1105" s="376"/>
      <c r="J1105" s="376"/>
      <c r="K1105" s="376"/>
      <c r="L1105" s="376"/>
      <c r="M1105" s="376"/>
      <c r="N1105" s="376"/>
      <c r="O1105" s="376"/>
      <c r="P1105" s="376"/>
      <c r="Q1105" s="376"/>
      <c r="R1105" s="376"/>
      <c r="S1105" s="376"/>
      <c r="T1105" s="376"/>
      <c r="U1105" s="376"/>
      <c r="V1105" s="376"/>
      <c r="W1105" s="376"/>
      <c r="X1105" s="376"/>
      <c r="Y1105" s="376"/>
      <c r="Z1105" s="376"/>
      <c r="AA1105" s="376"/>
      <c r="AB1105" s="376"/>
      <c r="AC1105" s="376"/>
      <c r="AD1105" s="376"/>
      <c r="AE1105" s="376"/>
      <c r="AF1105" s="376"/>
      <c r="AG1105" s="376"/>
    </row>
    <row r="1106">
      <c r="A1106" s="378"/>
      <c r="B1106" s="477"/>
      <c r="C1106" s="378"/>
      <c r="D1106" s="378"/>
      <c r="E1106" s="378"/>
      <c r="F1106" s="378"/>
      <c r="G1106" s="378"/>
      <c r="H1106" s="378"/>
      <c r="I1106" s="376"/>
      <c r="J1106" s="376"/>
      <c r="K1106" s="376"/>
      <c r="L1106" s="376"/>
      <c r="M1106" s="376"/>
      <c r="N1106" s="376"/>
      <c r="O1106" s="376"/>
      <c r="P1106" s="376"/>
      <c r="Q1106" s="376"/>
      <c r="R1106" s="376"/>
      <c r="S1106" s="376"/>
      <c r="T1106" s="376"/>
      <c r="U1106" s="376"/>
      <c r="V1106" s="376"/>
      <c r="W1106" s="376"/>
      <c r="X1106" s="376"/>
      <c r="Y1106" s="376"/>
      <c r="Z1106" s="376"/>
      <c r="AA1106" s="376"/>
      <c r="AB1106" s="376"/>
      <c r="AC1106" s="376"/>
      <c r="AD1106" s="376"/>
      <c r="AE1106" s="376"/>
      <c r="AF1106" s="376"/>
      <c r="AG1106" s="376"/>
    </row>
    <row r="1107">
      <c r="A1107" s="378"/>
      <c r="B1107" s="477"/>
      <c r="C1107" s="378"/>
      <c r="D1107" s="378"/>
      <c r="E1107" s="378"/>
      <c r="F1107" s="378"/>
      <c r="G1107" s="378"/>
      <c r="H1107" s="378"/>
      <c r="I1107" s="376"/>
      <c r="J1107" s="376"/>
      <c r="K1107" s="376"/>
      <c r="L1107" s="376"/>
      <c r="M1107" s="376"/>
      <c r="N1107" s="376"/>
      <c r="O1107" s="376"/>
      <c r="P1107" s="376"/>
      <c r="Q1107" s="376"/>
      <c r="R1107" s="376"/>
      <c r="S1107" s="376"/>
      <c r="T1107" s="376"/>
      <c r="U1107" s="376"/>
      <c r="V1107" s="376"/>
      <c r="W1107" s="376"/>
      <c r="X1107" s="376"/>
      <c r="Y1107" s="376"/>
      <c r="Z1107" s="376"/>
      <c r="AA1107" s="376"/>
      <c r="AB1107" s="376"/>
      <c r="AC1107" s="376"/>
      <c r="AD1107" s="376"/>
      <c r="AE1107" s="376"/>
      <c r="AF1107" s="376"/>
      <c r="AG1107" s="376"/>
    </row>
    <row r="1108">
      <c r="A1108" s="378"/>
      <c r="B1108" s="477"/>
      <c r="C1108" s="378"/>
      <c r="D1108" s="378"/>
      <c r="E1108" s="378"/>
      <c r="F1108" s="378"/>
      <c r="G1108" s="378"/>
      <c r="H1108" s="378"/>
      <c r="I1108" s="376"/>
      <c r="J1108" s="376"/>
      <c r="K1108" s="376"/>
      <c r="L1108" s="376"/>
      <c r="M1108" s="376"/>
      <c r="N1108" s="376"/>
      <c r="O1108" s="376"/>
      <c r="P1108" s="376"/>
      <c r="Q1108" s="376"/>
      <c r="R1108" s="376"/>
      <c r="S1108" s="376"/>
      <c r="T1108" s="376"/>
      <c r="U1108" s="376"/>
      <c r="V1108" s="376"/>
      <c r="W1108" s="376"/>
      <c r="X1108" s="376"/>
      <c r="Y1108" s="376"/>
      <c r="Z1108" s="376"/>
      <c r="AA1108" s="376"/>
      <c r="AB1108" s="376"/>
      <c r="AC1108" s="376"/>
      <c r="AD1108" s="376"/>
      <c r="AE1108" s="376"/>
      <c r="AF1108" s="376"/>
      <c r="AG1108" s="376"/>
    </row>
    <row r="1109">
      <c r="A1109" s="378"/>
      <c r="B1109" s="477"/>
      <c r="C1109" s="378"/>
      <c r="D1109" s="378"/>
      <c r="E1109" s="378"/>
      <c r="F1109" s="378"/>
      <c r="G1109" s="378"/>
      <c r="H1109" s="378"/>
      <c r="I1109" s="376"/>
      <c r="J1109" s="376"/>
      <c r="K1109" s="376"/>
      <c r="L1109" s="376"/>
      <c r="M1109" s="376"/>
      <c r="N1109" s="376"/>
      <c r="O1109" s="376"/>
      <c r="P1109" s="376"/>
      <c r="Q1109" s="376"/>
      <c r="R1109" s="376"/>
      <c r="S1109" s="376"/>
      <c r="T1109" s="376"/>
      <c r="U1109" s="376"/>
      <c r="V1109" s="376"/>
      <c r="W1109" s="376"/>
      <c r="X1109" s="376"/>
      <c r="Y1109" s="376"/>
      <c r="Z1109" s="376"/>
      <c r="AA1109" s="376"/>
      <c r="AB1109" s="376"/>
      <c r="AC1109" s="376"/>
      <c r="AD1109" s="376"/>
      <c r="AE1109" s="376"/>
      <c r="AF1109" s="376"/>
      <c r="AG1109" s="376"/>
    </row>
    <row r="1110">
      <c r="A1110" s="378"/>
      <c r="B1110" s="477"/>
      <c r="C1110" s="378"/>
      <c r="D1110" s="378"/>
      <c r="E1110" s="378"/>
      <c r="F1110" s="378"/>
      <c r="G1110" s="378"/>
      <c r="H1110" s="378"/>
      <c r="I1110" s="376"/>
      <c r="J1110" s="376"/>
      <c r="K1110" s="376"/>
      <c r="L1110" s="376"/>
      <c r="M1110" s="376"/>
      <c r="N1110" s="376"/>
      <c r="O1110" s="376"/>
      <c r="P1110" s="376"/>
      <c r="Q1110" s="376"/>
      <c r="R1110" s="376"/>
      <c r="S1110" s="376"/>
      <c r="T1110" s="376"/>
      <c r="U1110" s="376"/>
      <c r="V1110" s="376"/>
      <c r="W1110" s="376"/>
      <c r="X1110" s="376"/>
      <c r="Y1110" s="376"/>
      <c r="Z1110" s="376"/>
      <c r="AA1110" s="376"/>
      <c r="AB1110" s="376"/>
      <c r="AC1110" s="376"/>
      <c r="AD1110" s="376"/>
      <c r="AE1110" s="376"/>
      <c r="AF1110" s="376"/>
      <c r="AG1110" s="376"/>
    </row>
    <row r="1111">
      <c r="A1111" s="378"/>
      <c r="B1111" s="477"/>
      <c r="C1111" s="378"/>
      <c r="D1111" s="378"/>
      <c r="E1111" s="378"/>
      <c r="F1111" s="378"/>
      <c r="G1111" s="378"/>
      <c r="H1111" s="378"/>
      <c r="I1111" s="376"/>
      <c r="J1111" s="376"/>
      <c r="K1111" s="376"/>
      <c r="L1111" s="376"/>
      <c r="M1111" s="376"/>
      <c r="N1111" s="376"/>
      <c r="O1111" s="376"/>
      <c r="P1111" s="376"/>
      <c r="Q1111" s="376"/>
      <c r="R1111" s="376"/>
      <c r="S1111" s="376"/>
      <c r="T1111" s="376"/>
      <c r="U1111" s="376"/>
      <c r="V1111" s="376"/>
      <c r="W1111" s="376"/>
      <c r="X1111" s="376"/>
      <c r="Y1111" s="376"/>
      <c r="Z1111" s="376"/>
      <c r="AA1111" s="376"/>
      <c r="AB1111" s="376"/>
      <c r="AC1111" s="376"/>
      <c r="AD1111" s="376"/>
      <c r="AE1111" s="376"/>
      <c r="AF1111" s="376"/>
      <c r="AG1111" s="376"/>
    </row>
    <row r="1112">
      <c r="A1112" s="378"/>
      <c r="B1112" s="477"/>
      <c r="C1112" s="378"/>
      <c r="D1112" s="378"/>
      <c r="E1112" s="378"/>
      <c r="F1112" s="378"/>
      <c r="G1112" s="378"/>
      <c r="H1112" s="378"/>
      <c r="I1112" s="376"/>
      <c r="J1112" s="376"/>
      <c r="K1112" s="376"/>
      <c r="L1112" s="376"/>
      <c r="M1112" s="376"/>
      <c r="N1112" s="376"/>
      <c r="O1112" s="376"/>
      <c r="P1112" s="376"/>
      <c r="Q1112" s="376"/>
      <c r="R1112" s="376"/>
      <c r="S1112" s="376"/>
      <c r="T1112" s="376"/>
      <c r="U1112" s="376"/>
      <c r="V1112" s="376"/>
      <c r="W1112" s="376"/>
      <c r="X1112" s="376"/>
      <c r="Y1112" s="376"/>
      <c r="Z1112" s="376"/>
      <c r="AA1112" s="376"/>
      <c r="AB1112" s="376"/>
      <c r="AC1112" s="376"/>
      <c r="AD1112" s="376"/>
      <c r="AE1112" s="376"/>
      <c r="AF1112" s="376"/>
      <c r="AG1112" s="376"/>
    </row>
    <row r="1113">
      <c r="A1113" s="378"/>
      <c r="B1113" s="477"/>
      <c r="C1113" s="378"/>
      <c r="D1113" s="378"/>
      <c r="E1113" s="378"/>
      <c r="F1113" s="378"/>
      <c r="G1113" s="378"/>
      <c r="H1113" s="378"/>
      <c r="I1113" s="376"/>
      <c r="J1113" s="376"/>
      <c r="K1113" s="376"/>
      <c r="L1113" s="376"/>
      <c r="M1113" s="376"/>
      <c r="N1113" s="376"/>
      <c r="O1113" s="376"/>
      <c r="P1113" s="376"/>
      <c r="Q1113" s="376"/>
      <c r="R1113" s="376"/>
      <c r="S1113" s="376"/>
      <c r="T1113" s="376"/>
      <c r="U1113" s="376"/>
      <c r="V1113" s="376"/>
      <c r="W1113" s="376"/>
      <c r="X1113" s="376"/>
      <c r="Y1113" s="376"/>
      <c r="Z1113" s="376"/>
      <c r="AA1113" s="376"/>
      <c r="AB1113" s="376"/>
      <c r="AC1113" s="376"/>
      <c r="AD1113" s="376"/>
      <c r="AE1113" s="376"/>
      <c r="AF1113" s="376"/>
      <c r="AG1113" s="376"/>
    </row>
    <row r="1114">
      <c r="A1114" s="378"/>
      <c r="B1114" s="477"/>
      <c r="C1114" s="378"/>
      <c r="D1114" s="378"/>
      <c r="E1114" s="378"/>
      <c r="F1114" s="378"/>
      <c r="G1114" s="378"/>
      <c r="H1114" s="378"/>
      <c r="I1114" s="376"/>
      <c r="J1114" s="376"/>
      <c r="K1114" s="376"/>
      <c r="L1114" s="376"/>
      <c r="M1114" s="376"/>
      <c r="N1114" s="376"/>
      <c r="O1114" s="376"/>
      <c r="P1114" s="376"/>
      <c r="Q1114" s="376"/>
      <c r="R1114" s="376"/>
      <c r="S1114" s="376"/>
      <c r="T1114" s="376"/>
      <c r="U1114" s="376"/>
      <c r="V1114" s="376"/>
      <c r="W1114" s="376"/>
      <c r="X1114" s="376"/>
      <c r="Y1114" s="376"/>
      <c r="Z1114" s="376"/>
      <c r="AA1114" s="376"/>
      <c r="AB1114" s="376"/>
      <c r="AC1114" s="376"/>
      <c r="AD1114" s="376"/>
      <c r="AE1114" s="376"/>
      <c r="AF1114" s="376"/>
      <c r="AG1114" s="376"/>
    </row>
    <row r="1115">
      <c r="A1115" s="378"/>
      <c r="B1115" s="477"/>
      <c r="C1115" s="378"/>
      <c r="D1115" s="378"/>
      <c r="E1115" s="378"/>
      <c r="F1115" s="378"/>
      <c r="G1115" s="378"/>
      <c r="H1115" s="378"/>
      <c r="I1115" s="376"/>
      <c r="J1115" s="376"/>
      <c r="K1115" s="376"/>
      <c r="L1115" s="376"/>
      <c r="M1115" s="376"/>
      <c r="N1115" s="376"/>
      <c r="O1115" s="376"/>
      <c r="P1115" s="376"/>
      <c r="Q1115" s="376"/>
      <c r="R1115" s="376"/>
      <c r="S1115" s="376"/>
      <c r="T1115" s="376"/>
      <c r="U1115" s="376"/>
      <c r="V1115" s="376"/>
      <c r="W1115" s="376"/>
      <c r="X1115" s="376"/>
      <c r="Y1115" s="376"/>
      <c r="Z1115" s="376"/>
      <c r="AA1115" s="376"/>
      <c r="AB1115" s="376"/>
      <c r="AC1115" s="376"/>
      <c r="AD1115" s="376"/>
      <c r="AE1115" s="376"/>
      <c r="AF1115" s="376"/>
      <c r="AG1115" s="376"/>
    </row>
    <row r="1116">
      <c r="A1116" s="378"/>
      <c r="B1116" s="477"/>
      <c r="C1116" s="378"/>
      <c r="D1116" s="378"/>
      <c r="E1116" s="378"/>
      <c r="F1116" s="378"/>
      <c r="G1116" s="378"/>
      <c r="H1116" s="378"/>
      <c r="I1116" s="376"/>
      <c r="J1116" s="376"/>
      <c r="K1116" s="376"/>
      <c r="L1116" s="376"/>
      <c r="M1116" s="376"/>
      <c r="N1116" s="376"/>
      <c r="O1116" s="376"/>
      <c r="P1116" s="376"/>
      <c r="Q1116" s="376"/>
      <c r="R1116" s="376"/>
      <c r="S1116" s="376"/>
      <c r="T1116" s="376"/>
      <c r="U1116" s="376"/>
      <c r="V1116" s="376"/>
      <c r="W1116" s="376"/>
      <c r="X1116" s="376"/>
      <c r="Y1116" s="376"/>
      <c r="Z1116" s="376"/>
      <c r="AA1116" s="376"/>
      <c r="AB1116" s="376"/>
      <c r="AC1116" s="376"/>
      <c r="AD1116" s="376"/>
      <c r="AE1116" s="376"/>
      <c r="AF1116" s="376"/>
      <c r="AG1116" s="376"/>
    </row>
    <row r="1117">
      <c r="A1117" s="378"/>
      <c r="B1117" s="477"/>
      <c r="C1117" s="378"/>
      <c r="D1117" s="378"/>
      <c r="E1117" s="378"/>
      <c r="F1117" s="378"/>
      <c r="G1117" s="378"/>
      <c r="H1117" s="378"/>
      <c r="I1117" s="376"/>
      <c r="J1117" s="377"/>
      <c r="K1117" s="378"/>
      <c r="L1117" s="378"/>
      <c r="M1117" s="378"/>
      <c r="N1117" s="379"/>
      <c r="O1117" s="380"/>
      <c r="P1117" s="378"/>
      <c r="Q1117" s="378"/>
      <c r="R1117" s="378"/>
      <c r="S1117" s="378"/>
      <c r="T1117" s="378"/>
      <c r="U1117" s="378"/>
      <c r="V1117" s="378"/>
      <c r="W1117" s="378"/>
      <c r="X1117" s="378"/>
      <c r="Y1117" s="378"/>
      <c r="Z1117" s="378"/>
      <c r="AA1117" s="378"/>
      <c r="AB1117" s="378"/>
      <c r="AC1117" s="378"/>
      <c r="AD1117" s="378"/>
      <c r="AE1117" s="378"/>
      <c r="AF1117" s="378"/>
      <c r="AG1117" s="378"/>
    </row>
    <row r="1118">
      <c r="A1118" s="378"/>
      <c r="B1118" s="477"/>
      <c r="C1118" s="378"/>
      <c r="D1118" s="378"/>
      <c r="E1118" s="378"/>
      <c r="F1118" s="378"/>
      <c r="G1118" s="378"/>
      <c r="H1118" s="378"/>
      <c r="I1118" s="376"/>
      <c r="J1118" s="377"/>
      <c r="K1118" s="378"/>
      <c r="L1118" s="378"/>
      <c r="M1118" s="378"/>
      <c r="N1118" s="379"/>
      <c r="O1118" s="380"/>
      <c r="P1118" s="378"/>
      <c r="Q1118" s="378"/>
      <c r="R1118" s="378"/>
      <c r="S1118" s="378"/>
      <c r="T1118" s="378"/>
      <c r="U1118" s="378"/>
      <c r="V1118" s="378"/>
      <c r="W1118" s="378"/>
      <c r="X1118" s="378"/>
      <c r="Y1118" s="378"/>
      <c r="Z1118" s="378"/>
      <c r="AA1118" s="378"/>
      <c r="AB1118" s="378"/>
      <c r="AC1118" s="378"/>
      <c r="AD1118" s="378"/>
      <c r="AE1118" s="378"/>
      <c r="AF1118" s="378"/>
      <c r="AG1118" s="378"/>
    </row>
    <row r="1119">
      <c r="A1119" s="378"/>
      <c r="B1119" s="477"/>
      <c r="C1119" s="378"/>
      <c r="D1119" s="378"/>
      <c r="E1119" s="378"/>
      <c r="F1119" s="378"/>
      <c r="G1119" s="378"/>
      <c r="H1119" s="378"/>
      <c r="I1119" s="376"/>
      <c r="J1119" s="377"/>
      <c r="K1119" s="378"/>
      <c r="L1119" s="378"/>
      <c r="M1119" s="378"/>
      <c r="N1119" s="379"/>
      <c r="O1119" s="380"/>
      <c r="P1119" s="378"/>
      <c r="Q1119" s="378"/>
      <c r="R1119" s="378"/>
      <c r="S1119" s="378"/>
      <c r="T1119" s="378"/>
      <c r="U1119" s="378"/>
      <c r="V1119" s="378"/>
      <c r="W1119" s="378"/>
      <c r="X1119" s="378"/>
      <c r="Y1119" s="378"/>
      <c r="Z1119" s="378"/>
      <c r="AA1119" s="378"/>
      <c r="AB1119" s="378"/>
      <c r="AC1119" s="378"/>
      <c r="AD1119" s="378"/>
      <c r="AE1119" s="378"/>
      <c r="AF1119" s="378"/>
      <c r="AG1119" s="378"/>
    </row>
    <row r="1120">
      <c r="A1120" s="378"/>
      <c r="B1120" s="477"/>
      <c r="C1120" s="378"/>
      <c r="D1120" s="378"/>
      <c r="E1120" s="378"/>
      <c r="F1120" s="378"/>
      <c r="G1120" s="378"/>
      <c r="H1120" s="378"/>
      <c r="I1120" s="376"/>
      <c r="J1120" s="377"/>
      <c r="K1120" s="378"/>
      <c r="L1120" s="378"/>
      <c r="M1120" s="378"/>
      <c r="N1120" s="379"/>
      <c r="O1120" s="380"/>
      <c r="P1120" s="378"/>
      <c r="Q1120" s="378"/>
      <c r="R1120" s="378"/>
      <c r="S1120" s="378"/>
      <c r="T1120" s="378"/>
      <c r="U1120" s="378"/>
      <c r="V1120" s="378"/>
      <c r="W1120" s="378"/>
      <c r="X1120" s="378"/>
      <c r="Y1120" s="378"/>
      <c r="Z1120" s="378"/>
      <c r="AA1120" s="378"/>
      <c r="AB1120" s="378"/>
      <c r="AC1120" s="378"/>
      <c r="AD1120" s="378"/>
      <c r="AE1120" s="378"/>
      <c r="AF1120" s="378"/>
      <c r="AG1120" s="378"/>
    </row>
    <row r="1121">
      <c r="A1121" s="378"/>
      <c r="B1121" s="477"/>
      <c r="C1121" s="378"/>
      <c r="D1121" s="378"/>
      <c r="E1121" s="378"/>
      <c r="F1121" s="378"/>
      <c r="G1121" s="378"/>
      <c r="H1121" s="378"/>
      <c r="I1121" s="376"/>
      <c r="J1121" s="377"/>
      <c r="K1121" s="378"/>
      <c r="L1121" s="378"/>
      <c r="M1121" s="378"/>
      <c r="N1121" s="379"/>
      <c r="O1121" s="380"/>
      <c r="P1121" s="378"/>
      <c r="Q1121" s="378"/>
      <c r="R1121" s="378"/>
      <c r="S1121" s="378"/>
      <c r="T1121" s="378"/>
      <c r="U1121" s="378"/>
      <c r="V1121" s="378"/>
      <c r="W1121" s="378"/>
      <c r="X1121" s="378"/>
      <c r="Y1121" s="378"/>
      <c r="Z1121" s="378"/>
      <c r="AA1121" s="378"/>
      <c r="AB1121" s="378"/>
      <c r="AC1121" s="378"/>
      <c r="AD1121" s="378"/>
      <c r="AE1121" s="378"/>
      <c r="AF1121" s="378"/>
      <c r="AG1121" s="378"/>
    </row>
    <row r="1122">
      <c r="A1122" s="378"/>
      <c r="B1122" s="477"/>
      <c r="C1122" s="378"/>
      <c r="D1122" s="378"/>
      <c r="E1122" s="378"/>
      <c r="F1122" s="378"/>
      <c r="G1122" s="378"/>
      <c r="H1122" s="378"/>
      <c r="I1122" s="376"/>
      <c r="J1122" s="377"/>
      <c r="K1122" s="378"/>
      <c r="L1122" s="378"/>
      <c r="M1122" s="378"/>
      <c r="N1122" s="379"/>
      <c r="O1122" s="380"/>
      <c r="P1122" s="378"/>
      <c r="Q1122" s="378"/>
      <c r="R1122" s="378"/>
      <c r="S1122" s="378"/>
      <c r="T1122" s="378"/>
      <c r="U1122" s="378"/>
      <c r="V1122" s="378"/>
      <c r="W1122" s="378"/>
      <c r="X1122" s="378"/>
      <c r="Y1122" s="378"/>
      <c r="Z1122" s="378"/>
      <c r="AA1122" s="378"/>
      <c r="AB1122" s="378"/>
      <c r="AC1122" s="378"/>
      <c r="AD1122" s="378"/>
      <c r="AE1122" s="378"/>
      <c r="AF1122" s="378"/>
      <c r="AG1122" s="378"/>
    </row>
    <row r="1123">
      <c r="A1123" s="378"/>
      <c r="B1123" s="477"/>
      <c r="C1123" s="378"/>
      <c r="D1123" s="378"/>
      <c r="E1123" s="378"/>
      <c r="F1123" s="378"/>
      <c r="G1123" s="378"/>
      <c r="H1123" s="378"/>
      <c r="I1123" s="376"/>
      <c r="J1123" s="377"/>
      <c r="K1123" s="378"/>
      <c r="L1123" s="378"/>
      <c r="M1123" s="378"/>
      <c r="N1123" s="379"/>
      <c r="O1123" s="380"/>
      <c r="P1123" s="378"/>
      <c r="Q1123" s="378"/>
      <c r="R1123" s="378"/>
      <c r="S1123" s="378"/>
      <c r="T1123" s="378"/>
      <c r="U1123" s="378"/>
      <c r="V1123" s="378"/>
      <c r="W1123" s="378"/>
      <c r="X1123" s="378"/>
      <c r="Y1123" s="378"/>
      <c r="Z1123" s="378"/>
      <c r="AA1123" s="378"/>
      <c r="AB1123" s="378"/>
      <c r="AC1123" s="378"/>
      <c r="AD1123" s="378"/>
      <c r="AE1123" s="378"/>
      <c r="AF1123" s="378"/>
      <c r="AG1123" s="378"/>
    </row>
    <row r="1124">
      <c r="A1124" s="378"/>
      <c r="B1124" s="477"/>
      <c r="C1124" s="378"/>
      <c r="D1124" s="378"/>
      <c r="E1124" s="378"/>
      <c r="F1124" s="378"/>
      <c r="G1124" s="378"/>
      <c r="H1124" s="378"/>
      <c r="I1124" s="376"/>
      <c r="J1124" s="377"/>
      <c r="K1124" s="378"/>
      <c r="L1124" s="378"/>
      <c r="M1124" s="378"/>
      <c r="N1124" s="379"/>
      <c r="O1124" s="380"/>
      <c r="P1124" s="378"/>
      <c r="Q1124" s="378"/>
      <c r="R1124" s="378"/>
      <c r="S1124" s="378"/>
      <c r="T1124" s="378"/>
      <c r="U1124" s="378"/>
      <c r="V1124" s="378"/>
      <c r="W1124" s="378"/>
      <c r="X1124" s="378"/>
      <c r="Y1124" s="378"/>
      <c r="Z1124" s="378"/>
      <c r="AA1124" s="378"/>
      <c r="AB1124" s="378"/>
      <c r="AC1124" s="378"/>
      <c r="AD1124" s="378"/>
      <c r="AE1124" s="378"/>
      <c r="AF1124" s="378"/>
      <c r="AG1124" s="378"/>
    </row>
    <row r="1125">
      <c r="A1125" s="378"/>
      <c r="B1125" s="477"/>
      <c r="C1125" s="378"/>
      <c r="D1125" s="378"/>
      <c r="E1125" s="378"/>
      <c r="F1125" s="378"/>
      <c r="G1125" s="378"/>
      <c r="H1125" s="378"/>
      <c r="I1125" s="376"/>
      <c r="J1125" s="377"/>
      <c r="K1125" s="378"/>
      <c r="L1125" s="378"/>
      <c r="M1125" s="378"/>
      <c r="N1125" s="379"/>
      <c r="O1125" s="380"/>
      <c r="P1125" s="378"/>
      <c r="Q1125" s="378"/>
      <c r="R1125" s="378"/>
      <c r="S1125" s="378"/>
      <c r="T1125" s="378"/>
      <c r="U1125" s="378"/>
      <c r="V1125" s="378"/>
      <c r="W1125" s="378"/>
      <c r="X1125" s="378"/>
      <c r="Y1125" s="378"/>
      <c r="Z1125" s="378"/>
      <c r="AA1125" s="378"/>
      <c r="AB1125" s="378"/>
      <c r="AC1125" s="378"/>
      <c r="AD1125" s="378"/>
      <c r="AE1125" s="378"/>
      <c r="AF1125" s="378"/>
      <c r="AG1125" s="378"/>
    </row>
    <row r="1126">
      <c r="A1126" s="378"/>
      <c r="B1126" s="477"/>
      <c r="C1126" s="378"/>
      <c r="D1126" s="378"/>
      <c r="E1126" s="378"/>
      <c r="F1126" s="378"/>
      <c r="G1126" s="378"/>
      <c r="H1126" s="378"/>
      <c r="I1126" s="376"/>
      <c r="J1126" s="377"/>
      <c r="K1126" s="378"/>
      <c r="L1126" s="378"/>
      <c r="M1126" s="378"/>
      <c r="N1126" s="379"/>
      <c r="O1126" s="380"/>
      <c r="P1126" s="378"/>
      <c r="Q1126" s="378"/>
      <c r="R1126" s="378"/>
      <c r="S1126" s="378"/>
      <c r="T1126" s="378"/>
      <c r="U1126" s="378"/>
      <c r="V1126" s="378"/>
      <c r="W1126" s="378"/>
      <c r="X1126" s="378"/>
      <c r="Y1126" s="378"/>
      <c r="Z1126" s="378"/>
      <c r="AA1126" s="378"/>
      <c r="AB1126" s="378"/>
      <c r="AC1126" s="378"/>
      <c r="AD1126" s="378"/>
      <c r="AE1126" s="378"/>
      <c r="AF1126" s="378"/>
      <c r="AG1126" s="378"/>
    </row>
    <row r="1127">
      <c r="A1127" s="378"/>
      <c r="B1127" s="477"/>
      <c r="C1127" s="378"/>
      <c r="D1127" s="378"/>
      <c r="E1127" s="378"/>
      <c r="F1127" s="378"/>
      <c r="G1127" s="378"/>
      <c r="H1127" s="378"/>
      <c r="I1127" s="376"/>
      <c r="J1127" s="377"/>
      <c r="K1127" s="378"/>
      <c r="L1127" s="378"/>
      <c r="M1127" s="378"/>
      <c r="N1127" s="379"/>
      <c r="O1127" s="380"/>
      <c r="P1127" s="378"/>
      <c r="Q1127" s="378"/>
      <c r="R1127" s="378"/>
      <c r="S1127" s="378"/>
      <c r="T1127" s="378"/>
      <c r="U1127" s="378"/>
      <c r="V1127" s="378"/>
      <c r="W1127" s="378"/>
      <c r="X1127" s="378"/>
      <c r="Y1127" s="378"/>
      <c r="Z1127" s="378"/>
      <c r="AA1127" s="378"/>
      <c r="AB1127" s="378"/>
      <c r="AC1127" s="378"/>
      <c r="AD1127" s="378"/>
      <c r="AE1127" s="378"/>
      <c r="AF1127" s="378"/>
      <c r="AG1127" s="378"/>
    </row>
    <row r="1128">
      <c r="A1128" s="378"/>
      <c r="B1128" s="477"/>
      <c r="C1128" s="378"/>
      <c r="D1128" s="378"/>
      <c r="E1128" s="378"/>
      <c r="F1128" s="378"/>
      <c r="G1128" s="378"/>
      <c r="H1128" s="378"/>
      <c r="I1128" s="376"/>
      <c r="J1128" s="377"/>
      <c r="K1128" s="378"/>
      <c r="L1128" s="378"/>
      <c r="M1128" s="378"/>
      <c r="N1128" s="379"/>
      <c r="O1128" s="380"/>
      <c r="P1128" s="378"/>
      <c r="Q1128" s="378"/>
      <c r="R1128" s="378"/>
      <c r="S1128" s="378"/>
      <c r="T1128" s="378"/>
      <c r="U1128" s="378"/>
      <c r="V1128" s="378"/>
      <c r="W1128" s="378"/>
      <c r="X1128" s="378"/>
      <c r="Y1128" s="378"/>
      <c r="Z1128" s="378"/>
      <c r="AA1128" s="378"/>
      <c r="AB1128" s="378"/>
      <c r="AC1128" s="378"/>
      <c r="AD1128" s="378"/>
      <c r="AE1128" s="378"/>
      <c r="AF1128" s="378"/>
      <c r="AG1128" s="378"/>
    </row>
    <row r="1129">
      <c r="A1129" s="378"/>
      <c r="B1129" s="477"/>
      <c r="C1129" s="378"/>
      <c r="D1129" s="378"/>
      <c r="E1129" s="378"/>
      <c r="F1129" s="378"/>
      <c r="G1129" s="378"/>
      <c r="H1129" s="378"/>
      <c r="I1129" s="376"/>
      <c r="J1129" s="377"/>
      <c r="K1129" s="378"/>
      <c r="L1129" s="378"/>
      <c r="M1129" s="378"/>
      <c r="N1129" s="379"/>
      <c r="O1129" s="380"/>
      <c r="P1129" s="378"/>
      <c r="Q1129" s="378"/>
      <c r="R1129" s="378"/>
      <c r="S1129" s="378"/>
      <c r="T1129" s="378"/>
      <c r="U1129" s="378"/>
      <c r="V1129" s="378"/>
      <c r="W1129" s="378"/>
      <c r="X1129" s="378"/>
      <c r="Y1129" s="378"/>
      <c r="Z1129" s="378"/>
      <c r="AA1129" s="378"/>
      <c r="AB1129" s="378"/>
      <c r="AC1129" s="378"/>
      <c r="AD1129" s="378"/>
      <c r="AE1129" s="378"/>
      <c r="AF1129" s="378"/>
      <c r="AG1129" s="378"/>
    </row>
    <row r="1130">
      <c r="A1130" s="378"/>
      <c r="B1130" s="477"/>
      <c r="C1130" s="378"/>
      <c r="D1130" s="378"/>
      <c r="E1130" s="378"/>
      <c r="F1130" s="378"/>
      <c r="G1130" s="378"/>
      <c r="H1130" s="378"/>
      <c r="I1130" s="376"/>
      <c r="J1130" s="377"/>
      <c r="K1130" s="378"/>
      <c r="L1130" s="378"/>
      <c r="M1130" s="378"/>
      <c r="N1130" s="379"/>
      <c r="O1130" s="380"/>
      <c r="P1130" s="378"/>
      <c r="Q1130" s="378"/>
      <c r="R1130" s="378"/>
      <c r="S1130" s="378"/>
      <c r="T1130" s="378"/>
      <c r="U1130" s="378"/>
      <c r="V1130" s="378"/>
      <c r="W1130" s="378"/>
      <c r="X1130" s="378"/>
      <c r="Y1130" s="378"/>
      <c r="Z1130" s="378"/>
      <c r="AA1130" s="378"/>
      <c r="AB1130" s="378"/>
      <c r="AC1130" s="378"/>
      <c r="AD1130" s="378"/>
      <c r="AE1130" s="378"/>
      <c r="AF1130" s="378"/>
      <c r="AG1130" s="378"/>
    </row>
    <row r="1131">
      <c r="A1131" s="378"/>
      <c r="B1131" s="477"/>
      <c r="C1131" s="378"/>
      <c r="D1131" s="378"/>
      <c r="E1131" s="378"/>
      <c r="F1131" s="378"/>
      <c r="G1131" s="378"/>
      <c r="H1131" s="378"/>
      <c r="I1131" s="376"/>
      <c r="J1131" s="377"/>
      <c r="K1131" s="378"/>
      <c r="L1131" s="378"/>
      <c r="M1131" s="378"/>
      <c r="N1131" s="379"/>
      <c r="O1131" s="380"/>
      <c r="P1131" s="378"/>
      <c r="Q1131" s="378"/>
      <c r="R1131" s="378"/>
      <c r="S1131" s="378"/>
      <c r="T1131" s="378"/>
      <c r="U1131" s="378"/>
      <c r="V1131" s="378"/>
      <c r="W1131" s="378"/>
      <c r="X1131" s="378"/>
      <c r="Y1131" s="378"/>
      <c r="Z1131" s="378"/>
      <c r="AA1131" s="378"/>
      <c r="AB1131" s="378"/>
      <c r="AC1131" s="378"/>
      <c r="AD1131" s="378"/>
      <c r="AE1131" s="378"/>
      <c r="AF1131" s="378"/>
      <c r="AG1131" s="378"/>
    </row>
    <row r="1132">
      <c r="A1132" s="378"/>
      <c r="B1132" s="477"/>
      <c r="C1132" s="378"/>
      <c r="D1132" s="378"/>
      <c r="E1132" s="378"/>
      <c r="F1132" s="378"/>
      <c r="G1132" s="378"/>
      <c r="H1132" s="378"/>
      <c r="I1132" s="376"/>
      <c r="J1132" s="377"/>
      <c r="K1132" s="378"/>
      <c r="L1132" s="378"/>
      <c r="M1132" s="378"/>
      <c r="N1132" s="379"/>
      <c r="O1132" s="380"/>
      <c r="P1132" s="378"/>
      <c r="Q1132" s="378"/>
      <c r="R1132" s="378"/>
      <c r="S1132" s="378"/>
      <c r="T1132" s="378"/>
      <c r="U1132" s="378"/>
      <c r="V1132" s="378"/>
      <c r="W1132" s="378"/>
      <c r="X1132" s="378"/>
      <c r="Y1132" s="378"/>
      <c r="Z1132" s="378"/>
      <c r="AA1132" s="378"/>
      <c r="AB1132" s="378"/>
      <c r="AC1132" s="378"/>
      <c r="AD1132" s="378"/>
      <c r="AE1132" s="378"/>
      <c r="AF1132" s="378"/>
      <c r="AG1132" s="378"/>
    </row>
    <row r="1133">
      <c r="A1133" s="378"/>
      <c r="B1133" s="477"/>
      <c r="C1133" s="378"/>
      <c r="D1133" s="378"/>
      <c r="E1133" s="378"/>
      <c r="F1133" s="378"/>
      <c r="G1133" s="378"/>
      <c r="H1133" s="378"/>
      <c r="I1133" s="376"/>
      <c r="J1133" s="377"/>
      <c r="K1133" s="378"/>
      <c r="L1133" s="378"/>
      <c r="M1133" s="378"/>
      <c r="N1133" s="379"/>
      <c r="O1133" s="380"/>
      <c r="P1133" s="378"/>
      <c r="Q1133" s="378"/>
      <c r="R1133" s="378"/>
      <c r="S1133" s="378"/>
      <c r="T1133" s="378"/>
      <c r="U1133" s="378"/>
      <c r="V1133" s="378"/>
      <c r="W1133" s="378"/>
      <c r="X1133" s="378"/>
      <c r="Y1133" s="378"/>
      <c r="Z1133" s="378"/>
      <c r="AA1133" s="378"/>
      <c r="AB1133" s="378"/>
      <c r="AC1133" s="378"/>
      <c r="AD1133" s="378"/>
      <c r="AE1133" s="378"/>
      <c r="AF1133" s="378"/>
      <c r="AG1133" s="378"/>
    </row>
    <row r="1134">
      <c r="A1134" s="378"/>
      <c r="B1134" s="477"/>
      <c r="C1134" s="378"/>
      <c r="D1134" s="378"/>
      <c r="E1134" s="378"/>
      <c r="F1134" s="378"/>
      <c r="G1134" s="378"/>
      <c r="H1134" s="378"/>
      <c r="I1134" s="376"/>
      <c r="J1134" s="377"/>
      <c r="K1134" s="378"/>
      <c r="L1134" s="378"/>
      <c r="M1134" s="378"/>
      <c r="N1134" s="379"/>
      <c r="O1134" s="380"/>
      <c r="P1134" s="378"/>
      <c r="Q1134" s="378"/>
      <c r="R1134" s="378"/>
      <c r="S1134" s="378"/>
      <c r="T1134" s="378"/>
      <c r="U1134" s="378"/>
      <c r="V1134" s="378"/>
      <c r="W1134" s="378"/>
      <c r="X1134" s="378"/>
      <c r="Y1134" s="378"/>
      <c r="Z1134" s="378"/>
      <c r="AA1134" s="378"/>
      <c r="AB1134" s="378"/>
      <c r="AC1134" s="378"/>
      <c r="AD1134" s="378"/>
      <c r="AE1134" s="378"/>
      <c r="AF1134" s="378"/>
      <c r="AG1134" s="378"/>
    </row>
    <row r="1135">
      <c r="A1135" s="378"/>
      <c r="B1135" s="477"/>
      <c r="C1135" s="378"/>
      <c r="D1135" s="378"/>
      <c r="E1135" s="378"/>
      <c r="F1135" s="378"/>
      <c r="G1135" s="378"/>
      <c r="H1135" s="378"/>
      <c r="I1135" s="376"/>
      <c r="J1135" s="377"/>
      <c r="K1135" s="378"/>
      <c r="L1135" s="378"/>
      <c r="M1135" s="378"/>
      <c r="N1135" s="379"/>
      <c r="O1135" s="380"/>
      <c r="P1135" s="378"/>
      <c r="Q1135" s="378"/>
      <c r="R1135" s="378"/>
      <c r="S1135" s="378"/>
      <c r="T1135" s="378"/>
      <c r="U1135" s="378"/>
      <c r="V1135" s="378"/>
      <c r="W1135" s="378"/>
      <c r="X1135" s="378"/>
      <c r="Y1135" s="378"/>
      <c r="Z1135" s="378"/>
      <c r="AA1135" s="378"/>
      <c r="AB1135" s="378"/>
      <c r="AC1135" s="378"/>
      <c r="AD1135" s="378"/>
      <c r="AE1135" s="378"/>
      <c r="AF1135" s="378"/>
      <c r="AG1135" s="378"/>
    </row>
    <row r="1136">
      <c r="A1136" s="378"/>
      <c r="B1136" s="477"/>
      <c r="C1136" s="378"/>
      <c r="D1136" s="378"/>
      <c r="E1136" s="378"/>
      <c r="F1136" s="378"/>
      <c r="G1136" s="378"/>
      <c r="H1136" s="378"/>
      <c r="I1136" s="376"/>
      <c r="J1136" s="377"/>
      <c r="K1136" s="378"/>
      <c r="L1136" s="378"/>
      <c r="M1136" s="378"/>
      <c r="N1136" s="379"/>
      <c r="O1136" s="380"/>
      <c r="P1136" s="378"/>
      <c r="Q1136" s="378"/>
      <c r="R1136" s="378"/>
      <c r="S1136" s="378"/>
      <c r="T1136" s="378"/>
      <c r="U1136" s="378"/>
      <c r="V1136" s="378"/>
      <c r="W1136" s="378"/>
      <c r="X1136" s="378"/>
      <c r="Y1136" s="378"/>
      <c r="Z1136" s="378"/>
      <c r="AA1136" s="378"/>
      <c r="AB1136" s="378"/>
      <c r="AC1136" s="378"/>
      <c r="AD1136" s="378"/>
      <c r="AE1136" s="378"/>
      <c r="AF1136" s="378"/>
      <c r="AG1136" s="378"/>
    </row>
    <row r="1137">
      <c r="A1137" s="378"/>
      <c r="B1137" s="477"/>
      <c r="C1137" s="378"/>
      <c r="D1137" s="378"/>
      <c r="E1137" s="378"/>
      <c r="F1137" s="378"/>
      <c r="G1137" s="378"/>
      <c r="H1137" s="378"/>
      <c r="I1137" s="376"/>
      <c r="J1137" s="377"/>
      <c r="K1137" s="378"/>
      <c r="L1137" s="378"/>
      <c r="M1137" s="378"/>
      <c r="N1137" s="379"/>
      <c r="O1137" s="380"/>
      <c r="P1137" s="378"/>
      <c r="Q1137" s="378"/>
      <c r="R1137" s="378"/>
      <c r="S1137" s="378"/>
      <c r="T1137" s="378"/>
      <c r="U1137" s="378"/>
      <c r="V1137" s="378"/>
      <c r="W1137" s="378"/>
      <c r="X1137" s="378"/>
      <c r="Y1137" s="378"/>
      <c r="Z1137" s="378"/>
      <c r="AA1137" s="378"/>
      <c r="AB1137" s="378"/>
      <c r="AC1137" s="378"/>
      <c r="AD1137" s="378"/>
      <c r="AE1137" s="378"/>
      <c r="AF1137" s="378"/>
      <c r="AG1137" s="378"/>
    </row>
    <row r="1138">
      <c r="A1138" s="378"/>
      <c r="B1138" s="477"/>
      <c r="C1138" s="378"/>
      <c r="D1138" s="378"/>
      <c r="E1138" s="378"/>
      <c r="F1138" s="378"/>
      <c r="G1138" s="378"/>
      <c r="H1138" s="378"/>
      <c r="I1138" s="376"/>
      <c r="J1138" s="377"/>
      <c r="K1138" s="378"/>
      <c r="L1138" s="378"/>
      <c r="M1138" s="378"/>
      <c r="N1138" s="379"/>
      <c r="O1138" s="380"/>
      <c r="P1138" s="378"/>
      <c r="Q1138" s="378"/>
      <c r="R1138" s="378"/>
      <c r="S1138" s="378"/>
      <c r="T1138" s="378"/>
      <c r="U1138" s="378"/>
      <c r="V1138" s="378"/>
      <c r="W1138" s="378"/>
      <c r="X1138" s="378"/>
      <c r="Y1138" s="378"/>
      <c r="Z1138" s="378"/>
      <c r="AA1138" s="378"/>
      <c r="AB1138" s="378"/>
      <c r="AC1138" s="378"/>
      <c r="AD1138" s="378"/>
      <c r="AE1138" s="378"/>
      <c r="AF1138" s="378"/>
      <c r="AG1138" s="378"/>
    </row>
    <row r="1139">
      <c r="A1139" s="378"/>
      <c r="B1139" s="477"/>
      <c r="C1139" s="378"/>
      <c r="D1139" s="378"/>
      <c r="E1139" s="378"/>
      <c r="F1139" s="378"/>
      <c r="G1139" s="378"/>
      <c r="H1139" s="378"/>
      <c r="I1139" s="376"/>
      <c r="J1139" s="377"/>
      <c r="K1139" s="378"/>
      <c r="L1139" s="378"/>
      <c r="M1139" s="378"/>
      <c r="N1139" s="379"/>
      <c r="O1139" s="380"/>
      <c r="P1139" s="378"/>
      <c r="Q1139" s="378"/>
      <c r="R1139" s="378"/>
      <c r="S1139" s="378"/>
      <c r="T1139" s="378"/>
      <c r="U1139" s="378"/>
      <c r="V1139" s="378"/>
      <c r="W1139" s="378"/>
      <c r="X1139" s="378"/>
      <c r="Y1139" s="378"/>
      <c r="Z1139" s="378"/>
      <c r="AA1139" s="378"/>
      <c r="AB1139" s="378"/>
      <c r="AC1139" s="378"/>
      <c r="AD1139" s="378"/>
      <c r="AE1139" s="378"/>
      <c r="AF1139" s="378"/>
      <c r="AG1139" s="378"/>
    </row>
    <row r="1140">
      <c r="A1140" s="378"/>
      <c r="B1140" s="477"/>
      <c r="C1140" s="378"/>
      <c r="D1140" s="378"/>
      <c r="E1140" s="378"/>
      <c r="F1140" s="378"/>
      <c r="G1140" s="378"/>
      <c r="H1140" s="378"/>
      <c r="I1140" s="376"/>
      <c r="J1140" s="377"/>
      <c r="K1140" s="378"/>
      <c r="L1140" s="378"/>
      <c r="M1140" s="378"/>
      <c r="N1140" s="379"/>
      <c r="O1140" s="380"/>
      <c r="P1140" s="378"/>
      <c r="Q1140" s="378"/>
      <c r="R1140" s="378"/>
      <c r="S1140" s="378"/>
      <c r="T1140" s="378"/>
      <c r="U1140" s="378"/>
      <c r="V1140" s="378"/>
      <c r="W1140" s="378"/>
      <c r="X1140" s="378"/>
      <c r="Y1140" s="378"/>
      <c r="Z1140" s="378"/>
      <c r="AA1140" s="378"/>
      <c r="AB1140" s="378"/>
      <c r="AC1140" s="378"/>
      <c r="AD1140" s="378"/>
      <c r="AE1140" s="378"/>
      <c r="AF1140" s="378"/>
      <c r="AG1140" s="378"/>
    </row>
    <row r="1141">
      <c r="A1141" s="378"/>
      <c r="B1141" s="477"/>
      <c r="C1141" s="378"/>
      <c r="D1141" s="378"/>
      <c r="E1141" s="378"/>
      <c r="F1141" s="378"/>
      <c r="G1141" s="378"/>
      <c r="H1141" s="378"/>
      <c r="I1141" s="376"/>
      <c r="J1141" s="377"/>
      <c r="K1141" s="378"/>
      <c r="L1141" s="378"/>
      <c r="M1141" s="378"/>
      <c r="N1141" s="379"/>
      <c r="O1141" s="380"/>
      <c r="P1141" s="378"/>
      <c r="Q1141" s="378"/>
      <c r="R1141" s="378"/>
      <c r="S1141" s="378"/>
      <c r="T1141" s="378"/>
      <c r="U1141" s="378"/>
      <c r="V1141" s="378"/>
      <c r="W1141" s="378"/>
      <c r="X1141" s="378"/>
      <c r="Y1141" s="378"/>
      <c r="Z1141" s="378"/>
      <c r="AA1141" s="378"/>
      <c r="AB1141" s="378"/>
      <c r="AC1141" s="378"/>
      <c r="AD1141" s="378"/>
      <c r="AE1141" s="378"/>
      <c r="AF1141" s="378"/>
      <c r="AG1141" s="378"/>
    </row>
    <row r="1142">
      <c r="A1142" s="378"/>
      <c r="B1142" s="477"/>
      <c r="C1142" s="378"/>
      <c r="D1142" s="378"/>
      <c r="E1142" s="378"/>
      <c r="F1142" s="378"/>
      <c r="G1142" s="378"/>
      <c r="H1142" s="378"/>
      <c r="I1142" s="376"/>
      <c r="J1142" s="377"/>
      <c r="K1142" s="378"/>
      <c r="L1142" s="378"/>
      <c r="M1142" s="378"/>
      <c r="N1142" s="379"/>
      <c r="O1142" s="380"/>
      <c r="P1142" s="378"/>
      <c r="Q1142" s="378"/>
      <c r="R1142" s="378"/>
      <c r="S1142" s="378"/>
      <c r="T1142" s="378"/>
      <c r="U1142" s="378"/>
      <c r="V1142" s="378"/>
      <c r="W1142" s="378"/>
      <c r="X1142" s="378"/>
      <c r="Y1142" s="378"/>
      <c r="Z1142" s="378"/>
      <c r="AA1142" s="378"/>
      <c r="AB1142" s="378"/>
      <c r="AC1142" s="378"/>
      <c r="AD1142" s="378"/>
      <c r="AE1142" s="378"/>
      <c r="AF1142" s="378"/>
      <c r="AG1142" s="378"/>
    </row>
    <row r="1143">
      <c r="A1143" s="378"/>
      <c r="B1143" s="477"/>
      <c r="C1143" s="378"/>
      <c r="D1143" s="378"/>
      <c r="E1143" s="378"/>
      <c r="F1143" s="378"/>
      <c r="G1143" s="378"/>
      <c r="H1143" s="378"/>
      <c r="I1143" s="376"/>
      <c r="J1143" s="377"/>
      <c r="K1143" s="378"/>
      <c r="L1143" s="378"/>
      <c r="M1143" s="378"/>
      <c r="N1143" s="379"/>
      <c r="O1143" s="380"/>
      <c r="P1143" s="378"/>
      <c r="Q1143" s="378"/>
      <c r="R1143" s="378"/>
      <c r="S1143" s="378"/>
      <c r="T1143" s="378"/>
      <c r="U1143" s="378"/>
      <c r="V1143" s="378"/>
      <c r="W1143" s="378"/>
      <c r="X1143" s="378"/>
      <c r="Y1143" s="378"/>
      <c r="Z1143" s="378"/>
      <c r="AA1143" s="378"/>
      <c r="AB1143" s="378"/>
      <c r="AC1143" s="378"/>
      <c r="AD1143" s="378"/>
      <c r="AE1143" s="378"/>
      <c r="AF1143" s="378"/>
      <c r="AG1143" s="378"/>
    </row>
    <row r="1144">
      <c r="A1144" s="378"/>
      <c r="B1144" s="477"/>
      <c r="C1144" s="378"/>
      <c r="D1144" s="378"/>
      <c r="E1144" s="378"/>
      <c r="F1144" s="378"/>
      <c r="G1144" s="378"/>
      <c r="H1144" s="378"/>
      <c r="I1144" s="376"/>
      <c r="J1144" s="377"/>
      <c r="K1144" s="378"/>
      <c r="L1144" s="378"/>
      <c r="M1144" s="378"/>
      <c r="N1144" s="379"/>
      <c r="O1144" s="380"/>
      <c r="P1144" s="378"/>
      <c r="Q1144" s="378"/>
      <c r="R1144" s="378"/>
      <c r="S1144" s="378"/>
      <c r="T1144" s="378"/>
      <c r="U1144" s="378"/>
      <c r="V1144" s="378"/>
      <c r="W1144" s="378"/>
      <c r="X1144" s="378"/>
      <c r="Y1144" s="378"/>
      <c r="Z1144" s="378"/>
      <c r="AA1144" s="378"/>
      <c r="AB1144" s="378"/>
      <c r="AC1144" s="378"/>
      <c r="AD1144" s="378"/>
      <c r="AE1144" s="378"/>
      <c r="AF1144" s="378"/>
      <c r="AG1144" s="378"/>
    </row>
    <row r="1145">
      <c r="A1145" s="378"/>
      <c r="B1145" s="477"/>
      <c r="C1145" s="378"/>
      <c r="D1145" s="378"/>
      <c r="E1145" s="378"/>
      <c r="F1145" s="378"/>
      <c r="G1145" s="378"/>
      <c r="H1145" s="378"/>
      <c r="I1145" s="376"/>
      <c r="J1145" s="377"/>
      <c r="K1145" s="378"/>
      <c r="L1145" s="378"/>
      <c r="M1145" s="378"/>
      <c r="N1145" s="379"/>
      <c r="O1145" s="380"/>
      <c r="P1145" s="378"/>
      <c r="Q1145" s="378"/>
      <c r="R1145" s="378"/>
      <c r="S1145" s="378"/>
      <c r="T1145" s="378"/>
      <c r="U1145" s="378"/>
      <c r="V1145" s="378"/>
      <c r="W1145" s="378"/>
      <c r="X1145" s="378"/>
      <c r="Y1145" s="378"/>
      <c r="Z1145" s="378"/>
      <c r="AA1145" s="378"/>
      <c r="AB1145" s="378"/>
      <c r="AC1145" s="378"/>
      <c r="AD1145" s="378"/>
      <c r="AE1145" s="378"/>
      <c r="AF1145" s="378"/>
      <c r="AG1145" s="378"/>
    </row>
    <row r="1146">
      <c r="A1146" s="378"/>
      <c r="B1146" s="477"/>
      <c r="C1146" s="378"/>
      <c r="D1146" s="378"/>
      <c r="E1146" s="378"/>
      <c r="F1146" s="378"/>
      <c r="G1146" s="378"/>
      <c r="H1146" s="378"/>
      <c r="I1146" s="376"/>
      <c r="J1146" s="377"/>
      <c r="K1146" s="378"/>
      <c r="L1146" s="378"/>
      <c r="M1146" s="378"/>
      <c r="N1146" s="379"/>
      <c r="O1146" s="380"/>
      <c r="P1146" s="378"/>
      <c r="Q1146" s="378"/>
      <c r="R1146" s="378"/>
      <c r="S1146" s="378"/>
      <c r="T1146" s="378"/>
      <c r="U1146" s="378"/>
      <c r="V1146" s="378"/>
      <c r="W1146" s="378"/>
      <c r="X1146" s="378"/>
      <c r="Y1146" s="378"/>
      <c r="Z1146" s="378"/>
      <c r="AA1146" s="378"/>
      <c r="AB1146" s="378"/>
      <c r="AC1146" s="378"/>
      <c r="AD1146" s="378"/>
      <c r="AE1146" s="378"/>
      <c r="AF1146" s="378"/>
      <c r="AG1146" s="378"/>
    </row>
    <row r="1147">
      <c r="A1147" s="378"/>
      <c r="B1147" s="477"/>
      <c r="C1147" s="378"/>
      <c r="D1147" s="378"/>
      <c r="E1147" s="378"/>
      <c r="F1147" s="378"/>
      <c r="G1147" s="378"/>
      <c r="H1147" s="378"/>
      <c r="I1147" s="376"/>
      <c r="J1147" s="377"/>
      <c r="K1147" s="378"/>
      <c r="L1147" s="378"/>
      <c r="M1147" s="378"/>
      <c r="N1147" s="379"/>
      <c r="O1147" s="380"/>
      <c r="P1147" s="378"/>
      <c r="Q1147" s="378"/>
      <c r="R1147" s="378"/>
      <c r="S1147" s="378"/>
      <c r="T1147" s="378"/>
      <c r="U1147" s="378"/>
      <c r="V1147" s="378"/>
      <c r="W1147" s="378"/>
      <c r="X1147" s="378"/>
      <c r="Y1147" s="378"/>
      <c r="Z1147" s="378"/>
      <c r="AA1147" s="378"/>
      <c r="AB1147" s="378"/>
      <c r="AC1147" s="378"/>
      <c r="AD1147" s="378"/>
      <c r="AE1147" s="378"/>
      <c r="AF1147" s="378"/>
      <c r="AG1147" s="378"/>
    </row>
    <row r="1148">
      <c r="A1148" s="378"/>
      <c r="B1148" s="477"/>
      <c r="C1148" s="378"/>
      <c r="D1148" s="378"/>
      <c r="E1148" s="378"/>
      <c r="F1148" s="378"/>
      <c r="G1148" s="378"/>
      <c r="H1148" s="378"/>
      <c r="I1148" s="376"/>
      <c r="J1148" s="377"/>
      <c r="K1148" s="378"/>
      <c r="L1148" s="378"/>
      <c r="M1148" s="378"/>
      <c r="N1148" s="379"/>
      <c r="O1148" s="380"/>
      <c r="P1148" s="378"/>
      <c r="Q1148" s="378"/>
      <c r="R1148" s="378"/>
      <c r="S1148" s="378"/>
      <c r="T1148" s="378"/>
      <c r="U1148" s="378"/>
      <c r="V1148" s="378"/>
      <c r="W1148" s="378"/>
      <c r="X1148" s="378"/>
      <c r="Y1148" s="378"/>
      <c r="Z1148" s="378"/>
      <c r="AA1148" s="378"/>
      <c r="AB1148" s="378"/>
      <c r="AC1148" s="378"/>
      <c r="AD1148" s="378"/>
      <c r="AE1148" s="378"/>
      <c r="AF1148" s="378"/>
      <c r="AG1148" s="378"/>
    </row>
    <row r="1149">
      <c r="A1149" s="378"/>
      <c r="B1149" s="477"/>
      <c r="C1149" s="378"/>
      <c r="D1149" s="378"/>
      <c r="E1149" s="378"/>
      <c r="F1149" s="378"/>
      <c r="G1149" s="378"/>
      <c r="H1149" s="378"/>
      <c r="I1149" s="376"/>
      <c r="J1149" s="377"/>
      <c r="K1149" s="378"/>
      <c r="L1149" s="378"/>
      <c r="M1149" s="378"/>
      <c r="N1149" s="379"/>
      <c r="O1149" s="380"/>
      <c r="P1149" s="378"/>
      <c r="Q1149" s="378"/>
      <c r="R1149" s="378"/>
      <c r="S1149" s="378"/>
      <c r="T1149" s="378"/>
      <c r="U1149" s="378"/>
      <c r="V1149" s="378"/>
      <c r="W1149" s="378"/>
      <c r="X1149" s="378"/>
      <c r="Y1149" s="378"/>
      <c r="Z1149" s="378"/>
      <c r="AA1149" s="378"/>
      <c r="AB1149" s="378"/>
      <c r="AC1149" s="378"/>
      <c r="AD1149" s="378"/>
      <c r="AE1149" s="378"/>
      <c r="AF1149" s="378"/>
      <c r="AG1149" s="378"/>
    </row>
    <row r="1150">
      <c r="A1150" s="378"/>
      <c r="B1150" s="477"/>
      <c r="C1150" s="378"/>
      <c r="D1150" s="378"/>
      <c r="E1150" s="378"/>
      <c r="F1150" s="378"/>
      <c r="G1150" s="378"/>
      <c r="H1150" s="378"/>
      <c r="I1150" s="376"/>
      <c r="J1150" s="377"/>
      <c r="K1150" s="378"/>
      <c r="L1150" s="378"/>
      <c r="M1150" s="378"/>
      <c r="N1150" s="379"/>
      <c r="O1150" s="380"/>
      <c r="P1150" s="378"/>
      <c r="Q1150" s="378"/>
      <c r="R1150" s="378"/>
      <c r="S1150" s="378"/>
      <c r="T1150" s="378"/>
      <c r="U1150" s="378"/>
      <c r="V1150" s="378"/>
      <c r="W1150" s="378"/>
      <c r="X1150" s="378"/>
      <c r="Y1150" s="378"/>
      <c r="Z1150" s="378"/>
      <c r="AA1150" s="378"/>
      <c r="AB1150" s="378"/>
      <c r="AC1150" s="378"/>
      <c r="AD1150" s="378"/>
      <c r="AE1150" s="378"/>
      <c r="AF1150" s="378"/>
      <c r="AG1150" s="378"/>
    </row>
    <row r="1151">
      <c r="A1151" s="378"/>
      <c r="B1151" s="477"/>
      <c r="C1151" s="378"/>
      <c r="D1151" s="378"/>
      <c r="E1151" s="378"/>
      <c r="F1151" s="378"/>
      <c r="G1151" s="378"/>
      <c r="H1151" s="378"/>
      <c r="I1151" s="376"/>
      <c r="J1151" s="377"/>
      <c r="K1151" s="378"/>
      <c r="L1151" s="378"/>
      <c r="M1151" s="378"/>
      <c r="N1151" s="379"/>
      <c r="O1151" s="380"/>
      <c r="P1151" s="378"/>
      <c r="Q1151" s="378"/>
      <c r="R1151" s="378"/>
      <c r="S1151" s="378"/>
      <c r="T1151" s="378"/>
      <c r="U1151" s="378"/>
      <c r="V1151" s="378"/>
      <c r="W1151" s="378"/>
      <c r="X1151" s="378"/>
      <c r="Y1151" s="378"/>
      <c r="Z1151" s="378"/>
      <c r="AA1151" s="378"/>
      <c r="AB1151" s="378"/>
      <c r="AC1151" s="378"/>
      <c r="AD1151" s="378"/>
      <c r="AE1151" s="378"/>
      <c r="AF1151" s="378"/>
      <c r="AG1151" s="378"/>
    </row>
    <row r="1152">
      <c r="A1152" s="378"/>
      <c r="B1152" s="477"/>
      <c r="C1152" s="378"/>
      <c r="D1152" s="378"/>
      <c r="E1152" s="378"/>
      <c r="F1152" s="378"/>
      <c r="G1152" s="378"/>
      <c r="H1152" s="378"/>
      <c r="I1152" s="376"/>
      <c r="J1152" s="377"/>
      <c r="K1152" s="378"/>
      <c r="L1152" s="378"/>
      <c r="M1152" s="378"/>
      <c r="N1152" s="379"/>
      <c r="O1152" s="380"/>
      <c r="P1152" s="378"/>
      <c r="Q1152" s="378"/>
      <c r="R1152" s="378"/>
      <c r="S1152" s="378"/>
      <c r="T1152" s="378"/>
      <c r="U1152" s="378"/>
      <c r="V1152" s="378"/>
      <c r="W1152" s="378"/>
      <c r="X1152" s="378"/>
      <c r="Y1152" s="378"/>
      <c r="Z1152" s="378"/>
      <c r="AA1152" s="378"/>
      <c r="AB1152" s="378"/>
      <c r="AC1152" s="378"/>
      <c r="AD1152" s="378"/>
      <c r="AE1152" s="378"/>
      <c r="AF1152" s="378"/>
      <c r="AG1152" s="378"/>
    </row>
    <row r="1153">
      <c r="A1153" s="378"/>
      <c r="B1153" s="477"/>
      <c r="C1153" s="378"/>
      <c r="D1153" s="378"/>
      <c r="E1153" s="378"/>
      <c r="F1153" s="378"/>
      <c r="G1153" s="378"/>
      <c r="H1153" s="378"/>
      <c r="I1153" s="376"/>
      <c r="J1153" s="377"/>
      <c r="K1153" s="378"/>
      <c r="L1153" s="378"/>
      <c r="M1153" s="378"/>
      <c r="N1153" s="379"/>
      <c r="O1153" s="380"/>
      <c r="P1153" s="378"/>
      <c r="Q1153" s="378"/>
      <c r="R1153" s="378"/>
      <c r="S1153" s="378"/>
      <c r="T1153" s="378"/>
      <c r="U1153" s="378"/>
      <c r="V1153" s="378"/>
      <c r="W1153" s="378"/>
      <c r="X1153" s="378"/>
      <c r="Y1153" s="378"/>
      <c r="Z1153" s="378"/>
      <c r="AA1153" s="378"/>
      <c r="AB1153" s="378"/>
      <c r="AC1153" s="378"/>
      <c r="AD1153" s="378"/>
      <c r="AE1153" s="378"/>
      <c r="AF1153" s="378"/>
      <c r="AG1153" s="378"/>
    </row>
    <row r="1154">
      <c r="A1154" s="378"/>
      <c r="B1154" s="477"/>
      <c r="C1154" s="378"/>
      <c r="D1154" s="378"/>
      <c r="E1154" s="378"/>
      <c r="F1154" s="378"/>
      <c r="G1154" s="378"/>
      <c r="H1154" s="378"/>
      <c r="I1154" s="376"/>
      <c r="J1154" s="377"/>
      <c r="K1154" s="378"/>
      <c r="L1154" s="378"/>
      <c r="M1154" s="378"/>
      <c r="N1154" s="379"/>
      <c r="O1154" s="380"/>
      <c r="P1154" s="378"/>
      <c r="Q1154" s="378"/>
      <c r="R1154" s="378"/>
      <c r="S1154" s="378"/>
      <c r="T1154" s="378"/>
      <c r="U1154" s="378"/>
      <c r="V1154" s="378"/>
      <c r="W1154" s="378"/>
      <c r="X1154" s="378"/>
      <c r="Y1154" s="378"/>
      <c r="Z1154" s="378"/>
      <c r="AA1154" s="378"/>
      <c r="AB1154" s="378"/>
      <c r="AC1154" s="378"/>
      <c r="AD1154" s="378"/>
      <c r="AE1154" s="378"/>
      <c r="AF1154" s="378"/>
      <c r="AG1154" s="378"/>
    </row>
    <row r="1155">
      <c r="A1155" s="378"/>
      <c r="B1155" s="477"/>
      <c r="C1155" s="378"/>
      <c r="D1155" s="378"/>
      <c r="E1155" s="378"/>
      <c r="F1155" s="378"/>
      <c r="G1155" s="378"/>
      <c r="H1155" s="378"/>
      <c r="I1155" s="376"/>
      <c r="J1155" s="377"/>
      <c r="K1155" s="378"/>
      <c r="L1155" s="378"/>
      <c r="M1155" s="378"/>
      <c r="N1155" s="379"/>
      <c r="O1155" s="380"/>
      <c r="P1155" s="378"/>
      <c r="Q1155" s="378"/>
      <c r="R1155" s="378"/>
      <c r="S1155" s="378"/>
      <c r="T1155" s="378"/>
      <c r="U1155" s="378"/>
      <c r="V1155" s="378"/>
      <c r="W1155" s="378"/>
      <c r="X1155" s="378"/>
      <c r="Y1155" s="378"/>
      <c r="Z1155" s="378"/>
      <c r="AA1155" s="378"/>
      <c r="AB1155" s="378"/>
      <c r="AC1155" s="378"/>
      <c r="AD1155" s="378"/>
      <c r="AE1155" s="378"/>
      <c r="AF1155" s="378"/>
      <c r="AG1155" s="378"/>
    </row>
    <row r="1156">
      <c r="A1156" s="378"/>
      <c r="B1156" s="477"/>
      <c r="C1156" s="378"/>
      <c r="D1156" s="378"/>
      <c r="E1156" s="378"/>
      <c r="F1156" s="378"/>
      <c r="G1156" s="378"/>
      <c r="H1156" s="378"/>
      <c r="I1156" s="376"/>
      <c r="J1156" s="377"/>
      <c r="K1156" s="378"/>
      <c r="L1156" s="378"/>
      <c r="M1156" s="378"/>
      <c r="N1156" s="379"/>
      <c r="O1156" s="380"/>
      <c r="P1156" s="378"/>
      <c r="Q1156" s="378"/>
      <c r="R1156" s="378"/>
      <c r="S1156" s="378"/>
      <c r="T1156" s="378"/>
      <c r="U1156" s="378"/>
      <c r="V1156" s="378"/>
      <c r="W1156" s="378"/>
      <c r="X1156" s="378"/>
      <c r="Y1156" s="378"/>
      <c r="Z1156" s="378"/>
      <c r="AA1156" s="378"/>
      <c r="AB1156" s="378"/>
      <c r="AC1156" s="378"/>
      <c r="AD1156" s="378"/>
      <c r="AE1156" s="378"/>
      <c r="AF1156" s="378"/>
      <c r="AG1156" s="378"/>
    </row>
    <row r="1157">
      <c r="A1157" s="378"/>
      <c r="B1157" s="477"/>
      <c r="C1157" s="378"/>
      <c r="D1157" s="378"/>
      <c r="E1157" s="378"/>
      <c r="F1157" s="378"/>
      <c r="G1157" s="378"/>
      <c r="H1157" s="378"/>
      <c r="I1157" s="376"/>
      <c r="J1157" s="377"/>
      <c r="K1157" s="378"/>
      <c r="L1157" s="378"/>
      <c r="M1157" s="378"/>
      <c r="N1157" s="379"/>
      <c r="O1157" s="380"/>
      <c r="P1157" s="378"/>
      <c r="Q1157" s="378"/>
      <c r="R1157" s="378"/>
      <c r="S1157" s="378"/>
      <c r="T1157" s="378"/>
      <c r="U1157" s="378"/>
      <c r="V1157" s="378"/>
      <c r="W1157" s="378"/>
      <c r="X1157" s="378"/>
      <c r="Y1157" s="378"/>
      <c r="Z1157" s="378"/>
      <c r="AA1157" s="378"/>
      <c r="AB1157" s="378"/>
      <c r="AC1157" s="378"/>
      <c r="AD1157" s="378"/>
      <c r="AE1157" s="378"/>
      <c r="AF1157" s="378"/>
      <c r="AG1157" s="378"/>
    </row>
    <row r="1158">
      <c r="A1158" s="378"/>
      <c r="B1158" s="477"/>
      <c r="C1158" s="378"/>
      <c r="D1158" s="378"/>
      <c r="E1158" s="378"/>
      <c r="F1158" s="378"/>
      <c r="G1158" s="378"/>
      <c r="H1158" s="378"/>
      <c r="I1158" s="376"/>
      <c r="J1158" s="377"/>
      <c r="K1158" s="378"/>
      <c r="L1158" s="378"/>
      <c r="M1158" s="378"/>
      <c r="N1158" s="379"/>
      <c r="O1158" s="380"/>
      <c r="P1158" s="378"/>
      <c r="Q1158" s="378"/>
      <c r="R1158" s="378"/>
      <c r="S1158" s="378"/>
      <c r="T1158" s="378"/>
      <c r="U1158" s="378"/>
      <c r="V1158" s="378"/>
      <c r="W1158" s="378"/>
      <c r="X1158" s="378"/>
      <c r="Y1158" s="378"/>
      <c r="Z1158" s="378"/>
      <c r="AA1158" s="378"/>
      <c r="AB1158" s="378"/>
      <c r="AC1158" s="378"/>
      <c r="AD1158" s="378"/>
      <c r="AE1158" s="378"/>
      <c r="AF1158" s="378"/>
      <c r="AG1158" s="378"/>
    </row>
    <row r="1159">
      <c r="A1159" s="378"/>
      <c r="B1159" s="477"/>
      <c r="C1159" s="378"/>
      <c r="D1159" s="378"/>
      <c r="E1159" s="378"/>
      <c r="F1159" s="378"/>
      <c r="G1159" s="378"/>
      <c r="H1159" s="378"/>
      <c r="I1159" s="376"/>
      <c r="J1159" s="377"/>
      <c r="K1159" s="378"/>
      <c r="L1159" s="378"/>
      <c r="M1159" s="378"/>
      <c r="N1159" s="379"/>
      <c r="O1159" s="380"/>
      <c r="P1159" s="378"/>
      <c r="Q1159" s="378"/>
      <c r="R1159" s="378"/>
      <c r="S1159" s="378"/>
      <c r="T1159" s="378"/>
      <c r="U1159" s="378"/>
      <c r="V1159" s="378"/>
      <c r="W1159" s="378"/>
      <c r="X1159" s="378"/>
      <c r="Y1159" s="378"/>
      <c r="Z1159" s="378"/>
      <c r="AA1159" s="378"/>
      <c r="AB1159" s="378"/>
      <c r="AC1159" s="378"/>
      <c r="AD1159" s="378"/>
      <c r="AE1159" s="378"/>
      <c r="AF1159" s="378"/>
      <c r="AG1159" s="378"/>
    </row>
    <row r="1160">
      <c r="A1160" s="378"/>
      <c r="B1160" s="477"/>
      <c r="C1160" s="378"/>
      <c r="D1160" s="378"/>
      <c r="E1160" s="378"/>
      <c r="F1160" s="378"/>
      <c r="G1160" s="378"/>
      <c r="H1160" s="378"/>
      <c r="I1160" s="376"/>
      <c r="J1160" s="377"/>
      <c r="K1160" s="378"/>
      <c r="L1160" s="378"/>
      <c r="M1160" s="378"/>
      <c r="N1160" s="379"/>
      <c r="O1160" s="380"/>
      <c r="P1160" s="378"/>
      <c r="Q1160" s="378"/>
      <c r="R1160" s="378"/>
      <c r="S1160" s="378"/>
      <c r="T1160" s="378"/>
      <c r="U1160" s="378"/>
      <c r="V1160" s="378"/>
      <c r="W1160" s="378"/>
      <c r="X1160" s="378"/>
      <c r="Y1160" s="378"/>
      <c r="Z1160" s="378"/>
      <c r="AA1160" s="378"/>
      <c r="AB1160" s="378"/>
      <c r="AC1160" s="378"/>
      <c r="AD1160" s="378"/>
      <c r="AE1160" s="378"/>
      <c r="AF1160" s="378"/>
      <c r="AG1160" s="378"/>
    </row>
    <row r="1161">
      <c r="A1161" s="378"/>
      <c r="B1161" s="477"/>
      <c r="C1161" s="378"/>
      <c r="D1161" s="378"/>
      <c r="E1161" s="378"/>
      <c r="F1161" s="378"/>
      <c r="G1161" s="378"/>
      <c r="H1161" s="378"/>
      <c r="I1161" s="376"/>
      <c r="J1161" s="377"/>
      <c r="K1161" s="378"/>
      <c r="L1161" s="378"/>
      <c r="M1161" s="378"/>
      <c r="N1161" s="379"/>
      <c r="O1161" s="380"/>
      <c r="P1161" s="378"/>
      <c r="Q1161" s="378"/>
      <c r="R1161" s="378"/>
      <c r="S1161" s="378"/>
      <c r="T1161" s="378"/>
      <c r="U1161" s="378"/>
      <c r="V1161" s="378"/>
      <c r="W1161" s="378"/>
      <c r="X1161" s="378"/>
      <c r="Y1161" s="378"/>
      <c r="Z1161" s="378"/>
      <c r="AA1161" s="378"/>
      <c r="AB1161" s="378"/>
      <c r="AC1161" s="378"/>
      <c r="AD1161" s="378"/>
      <c r="AE1161" s="378"/>
      <c r="AF1161" s="378"/>
      <c r="AG1161" s="378"/>
    </row>
    <row r="1162">
      <c r="A1162" s="378"/>
      <c r="B1162" s="477"/>
      <c r="C1162" s="378"/>
      <c r="D1162" s="378"/>
      <c r="E1162" s="378"/>
      <c r="F1162" s="378"/>
      <c r="G1162" s="378"/>
      <c r="H1162" s="378"/>
      <c r="I1162" s="376"/>
      <c r="J1162" s="377"/>
      <c r="K1162" s="378"/>
      <c r="L1162" s="378"/>
      <c r="M1162" s="378"/>
      <c r="N1162" s="379"/>
      <c r="O1162" s="380"/>
      <c r="P1162" s="378"/>
      <c r="Q1162" s="378"/>
      <c r="R1162" s="378"/>
      <c r="S1162" s="378"/>
      <c r="T1162" s="378"/>
      <c r="U1162" s="378"/>
      <c r="V1162" s="378"/>
      <c r="W1162" s="378"/>
      <c r="X1162" s="378"/>
      <c r="Y1162" s="378"/>
      <c r="Z1162" s="378"/>
      <c r="AA1162" s="378"/>
      <c r="AB1162" s="378"/>
      <c r="AC1162" s="378"/>
      <c r="AD1162" s="378"/>
      <c r="AE1162" s="378"/>
      <c r="AF1162" s="378"/>
      <c r="AG1162" s="378"/>
    </row>
    <row r="1163">
      <c r="A1163" s="378"/>
      <c r="B1163" s="477"/>
      <c r="C1163" s="378"/>
      <c r="D1163" s="378"/>
      <c r="E1163" s="378"/>
      <c r="F1163" s="378"/>
      <c r="G1163" s="378"/>
      <c r="H1163" s="378"/>
      <c r="I1163" s="376"/>
      <c r="J1163" s="377"/>
      <c r="K1163" s="378"/>
      <c r="L1163" s="378"/>
      <c r="M1163" s="378"/>
      <c r="N1163" s="379"/>
      <c r="O1163" s="380"/>
      <c r="P1163" s="378"/>
      <c r="Q1163" s="378"/>
      <c r="R1163" s="378"/>
      <c r="S1163" s="378"/>
      <c r="T1163" s="378"/>
      <c r="U1163" s="378"/>
      <c r="V1163" s="378"/>
      <c r="W1163" s="378"/>
      <c r="X1163" s="378"/>
      <c r="Y1163" s="378"/>
      <c r="Z1163" s="378"/>
      <c r="AA1163" s="378"/>
      <c r="AB1163" s="378"/>
      <c r="AC1163" s="378"/>
      <c r="AD1163" s="378"/>
      <c r="AE1163" s="378"/>
      <c r="AF1163" s="378"/>
      <c r="AG1163" s="378"/>
    </row>
    <row r="1164">
      <c r="A1164" s="378"/>
      <c r="B1164" s="477"/>
      <c r="C1164" s="378"/>
      <c r="D1164" s="378"/>
      <c r="E1164" s="378"/>
      <c r="F1164" s="378"/>
      <c r="G1164" s="378"/>
      <c r="H1164" s="378"/>
      <c r="I1164" s="376"/>
      <c r="J1164" s="377"/>
      <c r="K1164" s="378"/>
      <c r="L1164" s="378"/>
      <c r="M1164" s="378"/>
      <c r="N1164" s="379"/>
      <c r="O1164" s="380"/>
      <c r="P1164" s="378"/>
      <c r="Q1164" s="378"/>
      <c r="R1164" s="378"/>
      <c r="S1164" s="378"/>
      <c r="T1164" s="378"/>
      <c r="U1164" s="378"/>
      <c r="V1164" s="378"/>
      <c r="W1164" s="378"/>
      <c r="X1164" s="378"/>
      <c r="Y1164" s="378"/>
      <c r="Z1164" s="378"/>
      <c r="AA1164" s="378"/>
      <c r="AB1164" s="378"/>
      <c r="AC1164" s="378"/>
      <c r="AD1164" s="378"/>
      <c r="AE1164" s="378"/>
      <c r="AF1164" s="378"/>
      <c r="AG1164" s="378"/>
    </row>
    <row r="1165">
      <c r="A1165" s="378"/>
      <c r="B1165" s="477"/>
      <c r="C1165" s="378"/>
      <c r="D1165" s="378"/>
      <c r="E1165" s="378"/>
      <c r="F1165" s="378"/>
      <c r="G1165" s="378"/>
      <c r="H1165" s="378"/>
      <c r="I1165" s="376"/>
      <c r="J1165" s="377"/>
      <c r="K1165" s="378"/>
      <c r="L1165" s="378"/>
      <c r="M1165" s="378"/>
      <c r="N1165" s="379"/>
      <c r="O1165" s="380"/>
      <c r="P1165" s="378"/>
      <c r="Q1165" s="378"/>
      <c r="R1165" s="378"/>
      <c r="S1165" s="378"/>
      <c r="T1165" s="378"/>
      <c r="U1165" s="378"/>
      <c r="V1165" s="378"/>
      <c r="W1165" s="378"/>
      <c r="X1165" s="378"/>
      <c r="Y1165" s="378"/>
      <c r="Z1165" s="378"/>
      <c r="AA1165" s="378"/>
      <c r="AB1165" s="378"/>
      <c r="AC1165" s="378"/>
      <c r="AD1165" s="378"/>
      <c r="AE1165" s="378"/>
      <c r="AF1165" s="378"/>
      <c r="AG1165" s="378"/>
    </row>
    <row r="1166">
      <c r="A1166" s="378"/>
      <c r="B1166" s="477"/>
      <c r="C1166" s="378"/>
      <c r="D1166" s="378"/>
      <c r="E1166" s="378"/>
      <c r="F1166" s="378"/>
      <c r="G1166" s="378"/>
      <c r="H1166" s="378"/>
      <c r="I1166" s="376"/>
      <c r="J1166" s="377"/>
      <c r="K1166" s="378"/>
      <c r="L1166" s="378"/>
      <c r="M1166" s="378"/>
      <c r="N1166" s="379"/>
      <c r="O1166" s="380"/>
      <c r="P1166" s="378"/>
      <c r="Q1166" s="378"/>
      <c r="R1166" s="378"/>
      <c r="S1166" s="378"/>
      <c r="T1166" s="378"/>
      <c r="U1166" s="378"/>
      <c r="V1166" s="378"/>
      <c r="W1166" s="378"/>
      <c r="X1166" s="378"/>
      <c r="Y1166" s="378"/>
      <c r="Z1166" s="378"/>
      <c r="AA1166" s="378"/>
      <c r="AB1166" s="378"/>
      <c r="AC1166" s="378"/>
      <c r="AD1166" s="378"/>
      <c r="AE1166" s="378"/>
      <c r="AF1166" s="378"/>
      <c r="AG1166" s="378"/>
    </row>
    <row r="1167">
      <c r="A1167" s="378"/>
      <c r="B1167" s="477"/>
      <c r="C1167" s="378"/>
      <c r="D1167" s="378"/>
      <c r="E1167" s="378"/>
      <c r="F1167" s="378"/>
      <c r="G1167" s="378"/>
      <c r="H1167" s="378"/>
      <c r="I1167" s="376"/>
      <c r="J1167" s="377"/>
      <c r="K1167" s="378"/>
      <c r="L1167" s="378"/>
      <c r="M1167" s="378"/>
      <c r="N1167" s="379"/>
      <c r="O1167" s="380"/>
      <c r="P1167" s="378"/>
      <c r="Q1167" s="378"/>
      <c r="R1167" s="378"/>
      <c r="S1167" s="378"/>
      <c r="T1167" s="378"/>
      <c r="U1167" s="378"/>
      <c r="V1167" s="378"/>
      <c r="W1167" s="378"/>
      <c r="X1167" s="378"/>
      <c r="Y1167" s="378"/>
      <c r="Z1167" s="378"/>
      <c r="AA1167" s="378"/>
      <c r="AB1167" s="378"/>
      <c r="AC1167" s="378"/>
      <c r="AD1167" s="378"/>
      <c r="AE1167" s="378"/>
      <c r="AF1167" s="378"/>
      <c r="AG1167" s="378"/>
    </row>
    <row r="1168">
      <c r="A1168" s="378"/>
      <c r="B1168" s="477"/>
      <c r="C1168" s="378"/>
      <c r="D1168" s="378"/>
      <c r="E1168" s="378"/>
      <c r="F1168" s="378"/>
      <c r="G1168" s="378"/>
      <c r="H1168" s="378"/>
      <c r="I1168" s="376"/>
      <c r="J1168" s="377"/>
      <c r="K1168" s="378"/>
      <c r="L1168" s="378"/>
      <c r="M1168" s="378"/>
      <c r="N1168" s="379"/>
      <c r="O1168" s="380"/>
      <c r="P1168" s="378"/>
      <c r="Q1168" s="378"/>
      <c r="R1168" s="378"/>
      <c r="S1168" s="378"/>
      <c r="T1168" s="378"/>
      <c r="U1168" s="378"/>
      <c r="V1168" s="378"/>
      <c r="W1168" s="378"/>
      <c r="X1168" s="378"/>
      <c r="Y1168" s="378"/>
      <c r="Z1168" s="378"/>
      <c r="AA1168" s="378"/>
      <c r="AB1168" s="378"/>
      <c r="AC1168" s="378"/>
      <c r="AD1168" s="378"/>
      <c r="AE1168" s="378"/>
      <c r="AF1168" s="378"/>
      <c r="AG1168" s="378"/>
    </row>
    <row r="1169">
      <c r="A1169" s="378"/>
      <c r="B1169" s="477"/>
      <c r="C1169" s="378"/>
      <c r="D1169" s="378"/>
      <c r="E1169" s="378"/>
      <c r="F1169" s="378"/>
      <c r="G1169" s="378"/>
      <c r="H1169" s="378"/>
      <c r="I1169" s="376"/>
      <c r="J1169" s="377"/>
      <c r="K1169" s="378"/>
      <c r="L1169" s="378"/>
      <c r="M1169" s="378"/>
      <c r="N1169" s="379"/>
      <c r="O1169" s="380"/>
      <c r="P1169" s="378"/>
      <c r="Q1169" s="378"/>
      <c r="R1169" s="378"/>
      <c r="S1169" s="378"/>
      <c r="T1169" s="378"/>
      <c r="U1169" s="378"/>
      <c r="V1169" s="378"/>
      <c r="W1169" s="378"/>
      <c r="X1169" s="378"/>
      <c r="Y1169" s="378"/>
      <c r="Z1169" s="378"/>
      <c r="AA1169" s="378"/>
      <c r="AB1169" s="378"/>
      <c r="AC1169" s="378"/>
      <c r="AD1169" s="378"/>
      <c r="AE1169" s="378"/>
      <c r="AF1169" s="378"/>
      <c r="AG1169" s="378"/>
    </row>
    <row r="1170">
      <c r="A1170" s="378"/>
      <c r="B1170" s="477"/>
      <c r="C1170" s="378"/>
      <c r="D1170" s="378"/>
      <c r="E1170" s="378"/>
      <c r="F1170" s="378"/>
      <c r="G1170" s="378"/>
      <c r="H1170" s="378"/>
      <c r="I1170" s="376"/>
      <c r="J1170" s="377"/>
      <c r="K1170" s="378"/>
      <c r="L1170" s="378"/>
      <c r="M1170" s="378"/>
      <c r="N1170" s="379"/>
      <c r="O1170" s="380"/>
      <c r="P1170" s="378"/>
      <c r="Q1170" s="378"/>
      <c r="R1170" s="378"/>
      <c r="S1170" s="378"/>
      <c r="T1170" s="378"/>
      <c r="U1170" s="378"/>
      <c r="V1170" s="378"/>
      <c r="W1170" s="378"/>
      <c r="X1170" s="378"/>
      <c r="Y1170" s="378"/>
      <c r="Z1170" s="378"/>
      <c r="AA1170" s="378"/>
      <c r="AB1170" s="378"/>
      <c r="AC1170" s="378"/>
      <c r="AD1170" s="378"/>
      <c r="AE1170" s="378"/>
      <c r="AF1170" s="378"/>
      <c r="AG1170" s="378"/>
    </row>
    <row r="1171">
      <c r="A1171" s="378"/>
      <c r="B1171" s="477"/>
      <c r="C1171" s="378"/>
      <c r="D1171" s="378"/>
      <c r="E1171" s="378"/>
      <c r="F1171" s="378"/>
      <c r="G1171" s="378"/>
      <c r="H1171" s="378"/>
      <c r="I1171" s="376"/>
      <c r="J1171" s="377"/>
      <c r="K1171" s="378"/>
      <c r="L1171" s="378"/>
      <c r="M1171" s="378"/>
      <c r="N1171" s="379"/>
      <c r="O1171" s="380"/>
      <c r="P1171" s="378"/>
      <c r="Q1171" s="378"/>
      <c r="R1171" s="378"/>
      <c r="S1171" s="378"/>
      <c r="T1171" s="378"/>
      <c r="U1171" s="378"/>
      <c r="V1171" s="378"/>
      <c r="W1171" s="378"/>
      <c r="X1171" s="378"/>
      <c r="Y1171" s="378"/>
      <c r="Z1171" s="378"/>
      <c r="AA1171" s="378"/>
      <c r="AB1171" s="378"/>
      <c r="AC1171" s="378"/>
      <c r="AD1171" s="378"/>
      <c r="AE1171" s="378"/>
      <c r="AF1171" s="378"/>
      <c r="AG1171" s="378"/>
    </row>
    <row r="1172">
      <c r="A1172" s="378"/>
      <c r="B1172" s="477"/>
      <c r="C1172" s="378"/>
      <c r="D1172" s="378"/>
      <c r="E1172" s="378"/>
      <c r="F1172" s="378"/>
      <c r="G1172" s="378"/>
      <c r="H1172" s="378"/>
      <c r="I1172" s="376"/>
      <c r="J1172" s="377"/>
      <c r="K1172" s="378"/>
      <c r="L1172" s="378"/>
      <c r="M1172" s="378"/>
      <c r="N1172" s="379"/>
      <c r="O1172" s="380"/>
      <c r="P1172" s="378"/>
      <c r="Q1172" s="378"/>
      <c r="R1172" s="378"/>
      <c r="S1172" s="378"/>
      <c r="T1172" s="378"/>
      <c r="U1172" s="378"/>
      <c r="V1172" s="378"/>
      <c r="W1172" s="378"/>
      <c r="X1172" s="378"/>
      <c r="Y1172" s="378"/>
      <c r="Z1172" s="378"/>
      <c r="AA1172" s="378"/>
      <c r="AB1172" s="378"/>
      <c r="AC1172" s="378"/>
      <c r="AD1172" s="378"/>
      <c r="AE1172" s="378"/>
      <c r="AF1172" s="378"/>
      <c r="AG1172" s="378"/>
    </row>
    <row r="1173">
      <c r="A1173" s="378"/>
      <c r="B1173" s="477"/>
      <c r="C1173" s="378"/>
      <c r="D1173" s="378"/>
      <c r="E1173" s="378"/>
      <c r="F1173" s="378"/>
      <c r="G1173" s="378"/>
      <c r="H1173" s="378"/>
      <c r="I1173" s="376"/>
      <c r="J1173" s="377"/>
      <c r="K1173" s="378"/>
      <c r="L1173" s="378"/>
      <c r="M1173" s="378"/>
      <c r="N1173" s="379"/>
      <c r="O1173" s="380"/>
      <c r="P1173" s="378"/>
      <c r="Q1173" s="378"/>
      <c r="R1173" s="378"/>
      <c r="S1173" s="378"/>
      <c r="T1173" s="378"/>
      <c r="U1173" s="378"/>
      <c r="V1173" s="378"/>
      <c r="W1173" s="378"/>
      <c r="X1173" s="378"/>
      <c r="Y1173" s="378"/>
      <c r="Z1173" s="378"/>
      <c r="AA1173" s="378"/>
      <c r="AB1173" s="378"/>
      <c r="AC1173" s="378"/>
      <c r="AD1173" s="378"/>
      <c r="AE1173" s="378"/>
      <c r="AF1173" s="378"/>
      <c r="AG1173" s="378"/>
    </row>
    <row r="1174">
      <c r="A1174" s="378"/>
      <c r="B1174" s="477"/>
      <c r="C1174" s="378"/>
      <c r="D1174" s="378"/>
      <c r="E1174" s="378"/>
      <c r="F1174" s="378"/>
      <c r="G1174" s="378"/>
      <c r="H1174" s="378"/>
      <c r="I1174" s="376"/>
      <c r="J1174" s="377"/>
      <c r="K1174" s="378"/>
      <c r="L1174" s="378"/>
      <c r="M1174" s="378"/>
      <c r="N1174" s="379"/>
      <c r="O1174" s="380"/>
      <c r="P1174" s="378"/>
      <c r="Q1174" s="378"/>
      <c r="R1174" s="378"/>
      <c r="S1174" s="378"/>
      <c r="T1174" s="378"/>
      <c r="U1174" s="378"/>
      <c r="V1174" s="378"/>
      <c r="W1174" s="378"/>
      <c r="X1174" s="378"/>
      <c r="Y1174" s="378"/>
      <c r="Z1174" s="378"/>
      <c r="AA1174" s="378"/>
      <c r="AB1174" s="378"/>
      <c r="AC1174" s="378"/>
      <c r="AD1174" s="378"/>
      <c r="AE1174" s="378"/>
      <c r="AF1174" s="378"/>
      <c r="AG1174" s="378"/>
    </row>
    <row r="1175">
      <c r="A1175" s="378"/>
      <c r="B1175" s="477"/>
      <c r="C1175" s="378"/>
      <c r="D1175" s="378"/>
      <c r="E1175" s="378"/>
      <c r="F1175" s="378"/>
      <c r="G1175" s="378"/>
      <c r="H1175" s="378"/>
      <c r="I1175" s="376"/>
      <c r="J1175" s="377"/>
      <c r="K1175" s="378"/>
      <c r="L1175" s="378"/>
      <c r="M1175" s="378"/>
      <c r="N1175" s="379"/>
      <c r="O1175" s="380"/>
      <c r="P1175" s="378"/>
      <c r="Q1175" s="378"/>
      <c r="R1175" s="378"/>
      <c r="S1175" s="378"/>
      <c r="T1175" s="378"/>
      <c r="U1175" s="378"/>
      <c r="V1175" s="378"/>
      <c r="W1175" s="378"/>
      <c r="X1175" s="378"/>
      <c r="Y1175" s="378"/>
      <c r="Z1175" s="378"/>
      <c r="AA1175" s="378"/>
      <c r="AB1175" s="378"/>
      <c r="AC1175" s="378"/>
      <c r="AD1175" s="378"/>
      <c r="AE1175" s="378"/>
      <c r="AF1175" s="378"/>
      <c r="AG1175" s="378"/>
    </row>
    <row r="1176">
      <c r="A1176" s="378"/>
      <c r="B1176" s="477"/>
      <c r="C1176" s="378"/>
      <c r="D1176" s="378"/>
      <c r="E1176" s="378"/>
      <c r="F1176" s="378"/>
      <c r="G1176" s="378"/>
      <c r="H1176" s="378"/>
      <c r="I1176" s="376"/>
      <c r="J1176" s="377"/>
      <c r="K1176" s="378"/>
      <c r="L1176" s="378"/>
      <c r="M1176" s="378"/>
      <c r="N1176" s="379"/>
      <c r="O1176" s="380"/>
      <c r="P1176" s="378"/>
      <c r="Q1176" s="378"/>
      <c r="R1176" s="378"/>
      <c r="S1176" s="378"/>
      <c r="T1176" s="378"/>
      <c r="U1176" s="378"/>
      <c r="V1176" s="378"/>
      <c r="W1176" s="378"/>
      <c r="X1176" s="378"/>
      <c r="Y1176" s="378"/>
      <c r="Z1176" s="378"/>
      <c r="AA1176" s="378"/>
      <c r="AB1176" s="378"/>
      <c r="AC1176" s="378"/>
      <c r="AD1176" s="378"/>
      <c r="AE1176" s="378"/>
      <c r="AF1176" s="378"/>
      <c r="AG1176" s="378"/>
    </row>
    <row r="1177">
      <c r="A1177" s="378"/>
      <c r="B1177" s="477"/>
      <c r="C1177" s="378"/>
      <c r="D1177" s="378"/>
      <c r="E1177" s="378"/>
      <c r="F1177" s="378"/>
      <c r="G1177" s="378"/>
      <c r="H1177" s="378"/>
      <c r="I1177" s="376"/>
      <c r="J1177" s="377"/>
      <c r="K1177" s="378"/>
      <c r="L1177" s="378"/>
      <c r="M1177" s="378"/>
      <c r="N1177" s="379"/>
      <c r="O1177" s="380"/>
      <c r="P1177" s="378"/>
      <c r="Q1177" s="378"/>
      <c r="R1177" s="378"/>
      <c r="S1177" s="378"/>
      <c r="T1177" s="378"/>
      <c r="U1177" s="378"/>
      <c r="V1177" s="378"/>
      <c r="W1177" s="378"/>
      <c r="X1177" s="378"/>
      <c r="Y1177" s="378"/>
      <c r="Z1177" s="378"/>
      <c r="AA1177" s="378"/>
      <c r="AB1177" s="378"/>
      <c r="AC1177" s="378"/>
      <c r="AD1177" s="378"/>
      <c r="AE1177" s="378"/>
      <c r="AF1177" s="378"/>
      <c r="AG1177" s="378"/>
    </row>
    <row r="1178">
      <c r="A1178" s="378"/>
      <c r="B1178" s="477"/>
      <c r="C1178" s="378"/>
      <c r="D1178" s="378"/>
      <c r="E1178" s="378"/>
      <c r="F1178" s="378"/>
      <c r="G1178" s="378"/>
      <c r="H1178" s="378"/>
      <c r="I1178" s="376"/>
      <c r="J1178" s="377"/>
      <c r="K1178" s="378"/>
      <c r="L1178" s="378"/>
      <c r="M1178" s="378"/>
      <c r="N1178" s="379"/>
      <c r="O1178" s="380"/>
      <c r="P1178" s="378"/>
      <c r="Q1178" s="378"/>
      <c r="R1178" s="378"/>
      <c r="S1178" s="378"/>
      <c r="T1178" s="378"/>
      <c r="U1178" s="378"/>
      <c r="V1178" s="378"/>
      <c r="W1178" s="378"/>
      <c r="X1178" s="378"/>
      <c r="Y1178" s="378"/>
      <c r="Z1178" s="378"/>
      <c r="AA1178" s="378"/>
      <c r="AB1178" s="378"/>
      <c r="AC1178" s="378"/>
      <c r="AD1178" s="378"/>
      <c r="AE1178" s="378"/>
      <c r="AF1178" s="378"/>
      <c r="AG1178" s="378"/>
    </row>
    <row r="1179">
      <c r="A1179" s="378"/>
      <c r="B1179" s="477"/>
      <c r="C1179" s="378"/>
      <c r="D1179" s="378"/>
      <c r="E1179" s="378"/>
      <c r="F1179" s="378"/>
      <c r="G1179" s="378"/>
      <c r="H1179" s="378"/>
      <c r="I1179" s="376"/>
      <c r="J1179" s="377"/>
      <c r="K1179" s="378"/>
      <c r="L1179" s="378"/>
      <c r="M1179" s="378"/>
      <c r="N1179" s="379"/>
      <c r="O1179" s="380"/>
      <c r="P1179" s="378"/>
      <c r="Q1179" s="378"/>
      <c r="R1179" s="378"/>
      <c r="S1179" s="378"/>
      <c r="T1179" s="378"/>
      <c r="U1179" s="378"/>
      <c r="V1179" s="378"/>
      <c r="W1179" s="378"/>
      <c r="X1179" s="378"/>
      <c r="Y1179" s="378"/>
      <c r="Z1179" s="378"/>
      <c r="AA1179" s="378"/>
      <c r="AB1179" s="378"/>
      <c r="AC1179" s="378"/>
      <c r="AD1179" s="378"/>
      <c r="AE1179" s="378"/>
      <c r="AF1179" s="378"/>
      <c r="AG1179" s="378"/>
    </row>
    <row r="1180">
      <c r="A1180" s="378"/>
      <c r="B1180" s="477"/>
      <c r="C1180" s="378"/>
      <c r="D1180" s="378"/>
      <c r="E1180" s="378"/>
      <c r="F1180" s="378"/>
      <c r="G1180" s="378"/>
      <c r="H1180" s="378"/>
      <c r="I1180" s="376"/>
      <c r="J1180" s="377"/>
      <c r="K1180" s="378"/>
      <c r="L1180" s="378"/>
      <c r="M1180" s="378"/>
      <c r="N1180" s="379"/>
      <c r="O1180" s="380"/>
      <c r="P1180" s="378"/>
      <c r="Q1180" s="378"/>
      <c r="R1180" s="378"/>
      <c r="S1180" s="378"/>
      <c r="T1180" s="378"/>
      <c r="U1180" s="378"/>
      <c r="V1180" s="378"/>
      <c r="W1180" s="378"/>
      <c r="X1180" s="378"/>
      <c r="Y1180" s="378"/>
      <c r="Z1180" s="378"/>
      <c r="AA1180" s="378"/>
      <c r="AB1180" s="378"/>
      <c r="AC1180" s="378"/>
      <c r="AD1180" s="378"/>
      <c r="AE1180" s="378"/>
      <c r="AF1180" s="378"/>
      <c r="AG1180" s="378"/>
    </row>
    <row r="1181">
      <c r="A1181" s="378"/>
      <c r="B1181" s="477"/>
      <c r="C1181" s="378"/>
      <c r="D1181" s="378"/>
      <c r="E1181" s="378"/>
      <c r="F1181" s="378"/>
      <c r="G1181" s="378"/>
      <c r="H1181" s="378"/>
      <c r="I1181" s="376"/>
      <c r="J1181" s="377"/>
      <c r="K1181" s="378"/>
      <c r="L1181" s="378"/>
      <c r="M1181" s="378"/>
      <c r="N1181" s="379"/>
      <c r="O1181" s="380"/>
      <c r="P1181" s="378"/>
      <c r="Q1181" s="378"/>
      <c r="R1181" s="378"/>
      <c r="S1181" s="378"/>
      <c r="T1181" s="378"/>
      <c r="U1181" s="378"/>
      <c r="V1181" s="378"/>
      <c r="W1181" s="378"/>
      <c r="X1181" s="378"/>
      <c r="Y1181" s="378"/>
      <c r="Z1181" s="378"/>
      <c r="AA1181" s="378"/>
      <c r="AB1181" s="378"/>
      <c r="AC1181" s="378"/>
      <c r="AD1181" s="378"/>
      <c r="AE1181" s="378"/>
      <c r="AF1181" s="378"/>
      <c r="AG1181" s="378"/>
    </row>
    <row r="1182">
      <c r="A1182" s="378"/>
      <c r="B1182" s="477"/>
      <c r="C1182" s="378"/>
      <c r="D1182" s="378"/>
      <c r="E1182" s="378"/>
      <c r="F1182" s="378"/>
      <c r="G1182" s="378"/>
      <c r="H1182" s="378"/>
      <c r="I1182" s="376"/>
      <c r="J1182" s="377"/>
      <c r="K1182" s="378"/>
      <c r="L1182" s="378"/>
      <c r="M1182" s="378"/>
      <c r="N1182" s="379"/>
      <c r="O1182" s="380"/>
      <c r="P1182" s="378"/>
      <c r="Q1182" s="378"/>
      <c r="R1182" s="378"/>
      <c r="S1182" s="378"/>
      <c r="T1182" s="378"/>
      <c r="U1182" s="378"/>
      <c r="V1182" s="378"/>
      <c r="W1182" s="378"/>
      <c r="X1182" s="378"/>
      <c r="Y1182" s="378"/>
      <c r="Z1182" s="378"/>
      <c r="AA1182" s="378"/>
      <c r="AB1182" s="378"/>
      <c r="AC1182" s="378"/>
      <c r="AD1182" s="378"/>
      <c r="AE1182" s="378"/>
      <c r="AF1182" s="378"/>
      <c r="AG1182" s="378"/>
    </row>
    <row r="1183">
      <c r="A1183" s="378"/>
      <c r="B1183" s="477"/>
      <c r="C1183" s="378"/>
      <c r="D1183" s="378"/>
      <c r="E1183" s="378"/>
      <c r="F1183" s="378"/>
      <c r="G1183" s="378"/>
      <c r="H1183" s="378"/>
      <c r="I1183" s="376"/>
      <c r="J1183" s="377"/>
      <c r="K1183" s="378"/>
      <c r="L1183" s="378"/>
      <c r="M1183" s="378"/>
      <c r="N1183" s="379"/>
      <c r="O1183" s="380"/>
      <c r="P1183" s="378"/>
      <c r="Q1183" s="378"/>
      <c r="R1183" s="378"/>
      <c r="S1183" s="378"/>
      <c r="T1183" s="378"/>
      <c r="U1183" s="378"/>
      <c r="V1183" s="378"/>
      <c r="W1183" s="378"/>
      <c r="X1183" s="378"/>
      <c r="Y1183" s="378"/>
      <c r="Z1183" s="378"/>
      <c r="AA1183" s="378"/>
      <c r="AB1183" s="378"/>
      <c r="AC1183" s="378"/>
      <c r="AD1183" s="378"/>
      <c r="AE1183" s="378"/>
      <c r="AF1183" s="378"/>
      <c r="AG1183" s="378"/>
    </row>
    <row r="1184">
      <c r="A1184" s="378"/>
      <c r="B1184" s="477"/>
      <c r="C1184" s="378"/>
      <c r="D1184" s="378"/>
      <c r="E1184" s="378"/>
      <c r="F1184" s="378"/>
      <c r="G1184" s="378"/>
      <c r="H1184" s="378"/>
      <c r="I1184" s="376"/>
      <c r="J1184" s="377"/>
      <c r="K1184" s="378"/>
      <c r="L1184" s="378"/>
      <c r="M1184" s="378"/>
      <c r="N1184" s="379"/>
      <c r="O1184" s="380"/>
      <c r="P1184" s="378"/>
      <c r="Q1184" s="378"/>
      <c r="R1184" s="378"/>
      <c r="S1184" s="378"/>
      <c r="T1184" s="378"/>
      <c r="U1184" s="378"/>
      <c r="V1184" s="378"/>
      <c r="W1184" s="378"/>
      <c r="X1184" s="378"/>
      <c r="Y1184" s="378"/>
      <c r="Z1184" s="378"/>
      <c r="AA1184" s="378"/>
      <c r="AB1184" s="378"/>
      <c r="AC1184" s="378"/>
      <c r="AD1184" s="378"/>
      <c r="AE1184" s="378"/>
      <c r="AF1184" s="378"/>
      <c r="AG1184" s="378"/>
    </row>
    <row r="1185">
      <c r="A1185" s="378"/>
      <c r="B1185" s="477"/>
      <c r="C1185" s="378"/>
      <c r="D1185" s="378"/>
      <c r="E1185" s="378"/>
      <c r="F1185" s="378"/>
      <c r="G1185" s="378"/>
      <c r="H1185" s="378"/>
      <c r="I1185" s="376"/>
      <c r="J1185" s="377"/>
      <c r="K1185" s="378"/>
      <c r="L1185" s="378"/>
      <c r="M1185" s="378"/>
      <c r="N1185" s="379"/>
      <c r="O1185" s="380"/>
      <c r="P1185" s="378"/>
      <c r="Q1185" s="378"/>
      <c r="R1185" s="378"/>
      <c r="S1185" s="378"/>
      <c r="T1185" s="378"/>
      <c r="U1185" s="378"/>
      <c r="V1185" s="378"/>
      <c r="W1185" s="378"/>
      <c r="X1185" s="378"/>
      <c r="Y1185" s="378"/>
      <c r="Z1185" s="378"/>
      <c r="AA1185" s="378"/>
      <c r="AB1185" s="378"/>
      <c r="AC1185" s="378"/>
      <c r="AD1185" s="378"/>
      <c r="AE1185" s="378"/>
      <c r="AF1185" s="378"/>
      <c r="AG1185" s="378"/>
    </row>
    <row r="1186">
      <c r="A1186" s="378"/>
      <c r="B1186" s="477"/>
      <c r="C1186" s="378"/>
      <c r="D1186" s="378"/>
      <c r="E1186" s="378"/>
      <c r="F1186" s="378"/>
      <c r="G1186" s="378"/>
      <c r="H1186" s="378"/>
      <c r="I1186" s="376"/>
      <c r="J1186" s="377"/>
      <c r="K1186" s="378"/>
      <c r="L1186" s="378"/>
      <c r="M1186" s="378"/>
      <c r="N1186" s="379"/>
      <c r="O1186" s="380"/>
      <c r="P1186" s="378"/>
      <c r="Q1186" s="378"/>
      <c r="R1186" s="378"/>
      <c r="S1186" s="378"/>
      <c r="T1186" s="378"/>
      <c r="U1186" s="378"/>
      <c r="V1186" s="378"/>
      <c r="W1186" s="378"/>
      <c r="X1186" s="378"/>
      <c r="Y1186" s="378"/>
      <c r="Z1186" s="378"/>
      <c r="AA1186" s="378"/>
      <c r="AB1186" s="378"/>
      <c r="AC1186" s="378"/>
      <c r="AD1186" s="378"/>
      <c r="AE1186" s="378"/>
      <c r="AF1186" s="378"/>
      <c r="AG1186" s="378"/>
    </row>
    <row r="1187">
      <c r="A1187" s="378"/>
      <c r="B1187" s="477"/>
      <c r="C1187" s="378"/>
      <c r="D1187" s="378"/>
      <c r="E1187" s="378"/>
      <c r="F1187" s="378"/>
      <c r="G1187" s="378"/>
      <c r="H1187" s="378"/>
      <c r="I1187" s="376"/>
      <c r="J1187" s="377"/>
      <c r="K1187" s="378"/>
      <c r="L1187" s="378"/>
      <c r="M1187" s="378"/>
      <c r="N1187" s="379"/>
      <c r="O1187" s="380"/>
      <c r="P1187" s="378"/>
      <c r="Q1187" s="378"/>
      <c r="R1187" s="378"/>
      <c r="S1187" s="378"/>
      <c r="T1187" s="378"/>
      <c r="U1187" s="378"/>
      <c r="V1187" s="378"/>
      <c r="W1187" s="378"/>
      <c r="X1187" s="378"/>
      <c r="Y1187" s="378"/>
      <c r="Z1187" s="378"/>
      <c r="AA1187" s="378"/>
      <c r="AB1187" s="378"/>
      <c r="AC1187" s="378"/>
      <c r="AD1187" s="378"/>
      <c r="AE1187" s="378"/>
      <c r="AF1187" s="378"/>
      <c r="AG1187" s="378"/>
    </row>
    <row r="1188">
      <c r="A1188" s="378"/>
      <c r="B1188" s="477"/>
      <c r="C1188" s="378"/>
      <c r="D1188" s="378"/>
      <c r="E1188" s="378"/>
      <c r="F1188" s="378"/>
      <c r="G1188" s="378"/>
      <c r="H1188" s="378"/>
      <c r="I1188" s="376"/>
      <c r="J1188" s="377"/>
      <c r="K1188" s="378"/>
      <c r="L1188" s="378"/>
      <c r="M1188" s="378"/>
      <c r="N1188" s="379"/>
      <c r="O1188" s="380"/>
      <c r="P1188" s="378"/>
      <c r="Q1188" s="378"/>
      <c r="R1188" s="378"/>
      <c r="S1188" s="378"/>
      <c r="T1188" s="378"/>
      <c r="U1188" s="378"/>
      <c r="V1188" s="378"/>
      <c r="W1188" s="378"/>
      <c r="X1188" s="378"/>
      <c r="Y1188" s="378"/>
      <c r="Z1188" s="378"/>
      <c r="AA1188" s="378"/>
      <c r="AB1188" s="378"/>
      <c r="AC1188" s="378"/>
      <c r="AD1188" s="378"/>
      <c r="AE1188" s="378"/>
      <c r="AF1188" s="378"/>
      <c r="AG1188" s="378"/>
    </row>
    <row r="1189">
      <c r="A1189" s="378"/>
      <c r="B1189" s="477"/>
      <c r="C1189" s="378"/>
      <c r="D1189" s="378"/>
      <c r="E1189" s="378"/>
      <c r="F1189" s="378"/>
      <c r="G1189" s="378"/>
      <c r="H1189" s="378"/>
      <c r="I1189" s="376"/>
      <c r="J1189" s="377"/>
      <c r="K1189" s="378"/>
      <c r="L1189" s="378"/>
      <c r="M1189" s="378"/>
      <c r="N1189" s="379"/>
      <c r="O1189" s="380"/>
      <c r="P1189" s="378"/>
      <c r="Q1189" s="378"/>
      <c r="R1189" s="378"/>
      <c r="S1189" s="378"/>
      <c r="T1189" s="378"/>
      <c r="U1189" s="378"/>
      <c r="V1189" s="378"/>
      <c r="W1189" s="378"/>
      <c r="X1189" s="378"/>
      <c r="Y1189" s="378"/>
      <c r="Z1189" s="378"/>
      <c r="AA1189" s="378"/>
      <c r="AB1189" s="378"/>
      <c r="AC1189" s="378"/>
      <c r="AD1189" s="378"/>
      <c r="AE1189" s="378"/>
      <c r="AF1189" s="378"/>
      <c r="AG1189" s="378"/>
    </row>
    <row r="1190">
      <c r="A1190" s="378"/>
      <c r="B1190" s="477"/>
      <c r="C1190" s="378"/>
      <c r="D1190" s="378"/>
      <c r="E1190" s="378"/>
      <c r="F1190" s="378"/>
      <c r="G1190" s="378"/>
      <c r="H1190" s="378"/>
      <c r="I1190" s="376"/>
      <c r="J1190" s="377"/>
      <c r="K1190" s="378"/>
      <c r="L1190" s="378"/>
      <c r="M1190" s="378"/>
      <c r="N1190" s="379"/>
      <c r="O1190" s="380"/>
      <c r="P1190" s="378"/>
      <c r="Q1190" s="378"/>
      <c r="R1190" s="378"/>
      <c r="S1190" s="378"/>
      <c r="T1190" s="378"/>
      <c r="U1190" s="378"/>
      <c r="V1190" s="378"/>
      <c r="W1190" s="378"/>
      <c r="X1190" s="378"/>
      <c r="Y1190" s="378"/>
      <c r="Z1190" s="378"/>
      <c r="AA1190" s="378"/>
      <c r="AB1190" s="378"/>
      <c r="AC1190" s="378"/>
      <c r="AD1190" s="378"/>
      <c r="AE1190" s="378"/>
      <c r="AF1190" s="378"/>
      <c r="AG1190" s="378"/>
    </row>
    <row r="1191">
      <c r="A1191" s="378"/>
      <c r="B1191" s="477"/>
      <c r="C1191" s="378"/>
      <c r="D1191" s="378"/>
      <c r="E1191" s="378"/>
      <c r="F1191" s="378"/>
      <c r="G1191" s="378"/>
      <c r="H1191" s="378"/>
      <c r="I1191" s="376"/>
      <c r="J1191" s="377"/>
      <c r="K1191" s="378"/>
      <c r="L1191" s="378"/>
      <c r="M1191" s="378"/>
      <c r="N1191" s="379"/>
      <c r="O1191" s="380"/>
      <c r="P1191" s="378"/>
      <c r="Q1191" s="378"/>
      <c r="R1191" s="378"/>
      <c r="S1191" s="378"/>
      <c r="T1191" s="378"/>
      <c r="U1191" s="378"/>
      <c r="V1191" s="378"/>
      <c r="W1191" s="378"/>
      <c r="X1191" s="378"/>
      <c r="Y1191" s="378"/>
      <c r="Z1191" s="378"/>
      <c r="AA1191" s="378"/>
      <c r="AB1191" s="378"/>
      <c r="AC1191" s="378"/>
      <c r="AD1191" s="378"/>
      <c r="AE1191" s="378"/>
      <c r="AF1191" s="378"/>
      <c r="AG1191" s="378"/>
    </row>
    <row r="1192">
      <c r="A1192" s="378"/>
      <c r="B1192" s="477"/>
      <c r="C1192" s="378"/>
      <c r="D1192" s="378"/>
      <c r="E1192" s="378"/>
      <c r="F1192" s="378"/>
      <c r="G1192" s="378"/>
      <c r="H1192" s="378"/>
      <c r="I1192" s="376"/>
      <c r="J1192" s="377"/>
      <c r="K1192" s="378"/>
      <c r="L1192" s="378"/>
      <c r="M1192" s="378"/>
      <c r="N1192" s="379"/>
      <c r="O1192" s="380"/>
      <c r="P1192" s="378"/>
      <c r="Q1192" s="378"/>
      <c r="R1192" s="378"/>
      <c r="S1192" s="378"/>
      <c r="T1192" s="378"/>
      <c r="U1192" s="378"/>
      <c r="V1192" s="378"/>
      <c r="W1192" s="378"/>
      <c r="X1192" s="378"/>
      <c r="Y1192" s="378"/>
      <c r="Z1192" s="378"/>
      <c r="AA1192" s="378"/>
      <c r="AB1192" s="378"/>
      <c r="AC1192" s="378"/>
      <c r="AD1192" s="378"/>
      <c r="AE1192" s="378"/>
      <c r="AF1192" s="378"/>
      <c r="AG1192" s="378"/>
    </row>
    <row r="1193">
      <c r="A1193" s="378"/>
      <c r="B1193" s="477"/>
      <c r="C1193" s="378"/>
      <c r="D1193" s="378"/>
      <c r="E1193" s="378"/>
      <c r="F1193" s="378"/>
      <c r="G1193" s="378"/>
      <c r="H1193" s="378"/>
      <c r="I1193" s="376"/>
      <c r="J1193" s="377"/>
      <c r="K1193" s="378"/>
      <c r="L1193" s="378"/>
      <c r="M1193" s="378"/>
      <c r="N1193" s="379"/>
      <c r="O1193" s="380"/>
      <c r="P1193" s="378"/>
      <c r="Q1193" s="378"/>
      <c r="R1193" s="378"/>
      <c r="S1193" s="378"/>
      <c r="T1193" s="378"/>
      <c r="U1193" s="378"/>
      <c r="V1193" s="378"/>
      <c r="W1193" s="378"/>
      <c r="X1193" s="378"/>
      <c r="Y1193" s="378"/>
      <c r="Z1193" s="378"/>
      <c r="AA1193" s="378"/>
      <c r="AB1193" s="378"/>
      <c r="AC1193" s="378"/>
      <c r="AD1193" s="378"/>
      <c r="AE1193" s="378"/>
      <c r="AF1193" s="378"/>
      <c r="AG1193" s="378"/>
    </row>
    <row r="1194">
      <c r="A1194" s="378"/>
      <c r="B1194" s="477"/>
      <c r="C1194" s="378"/>
      <c r="D1194" s="378"/>
      <c r="E1194" s="378"/>
      <c r="F1194" s="378"/>
      <c r="G1194" s="378"/>
      <c r="H1194" s="378"/>
      <c r="I1194" s="376"/>
      <c r="J1194" s="377"/>
      <c r="K1194" s="378"/>
      <c r="L1194" s="378"/>
      <c r="M1194" s="378"/>
      <c r="N1194" s="379"/>
      <c r="O1194" s="380"/>
      <c r="P1194" s="378"/>
      <c r="Q1194" s="378"/>
      <c r="R1194" s="378"/>
      <c r="S1194" s="378"/>
      <c r="T1194" s="378"/>
      <c r="U1194" s="378"/>
      <c r="V1194" s="378"/>
      <c r="W1194" s="378"/>
      <c r="X1194" s="378"/>
      <c r="Y1194" s="378"/>
      <c r="Z1194" s="378"/>
      <c r="AA1194" s="378"/>
      <c r="AB1194" s="378"/>
      <c r="AC1194" s="378"/>
      <c r="AD1194" s="378"/>
      <c r="AE1194" s="378"/>
      <c r="AF1194" s="378"/>
      <c r="AG1194" s="378"/>
    </row>
    <row r="1195">
      <c r="A1195" s="378"/>
      <c r="B1195" s="477"/>
      <c r="C1195" s="378"/>
      <c r="D1195" s="378"/>
      <c r="E1195" s="378"/>
      <c r="F1195" s="378"/>
      <c r="G1195" s="378"/>
      <c r="H1195" s="378"/>
      <c r="I1195" s="376"/>
      <c r="J1195" s="377"/>
      <c r="K1195" s="378"/>
      <c r="L1195" s="378"/>
      <c r="M1195" s="378"/>
      <c r="N1195" s="379"/>
      <c r="O1195" s="380"/>
      <c r="P1195" s="378"/>
      <c r="Q1195" s="378"/>
      <c r="R1195" s="378"/>
      <c r="S1195" s="378"/>
      <c r="T1195" s="378"/>
      <c r="U1195" s="378"/>
      <c r="V1195" s="378"/>
      <c r="W1195" s="378"/>
      <c r="X1195" s="378"/>
      <c r="Y1195" s="378"/>
      <c r="Z1195" s="378"/>
      <c r="AA1195" s="378"/>
      <c r="AB1195" s="378"/>
      <c r="AC1195" s="378"/>
      <c r="AD1195" s="378"/>
      <c r="AE1195" s="378"/>
      <c r="AF1195" s="378"/>
      <c r="AG1195" s="378"/>
    </row>
    <row r="1196">
      <c r="A1196" s="378"/>
      <c r="B1196" s="477"/>
      <c r="C1196" s="378"/>
      <c r="D1196" s="378"/>
      <c r="E1196" s="378"/>
      <c r="F1196" s="378"/>
      <c r="G1196" s="378"/>
      <c r="H1196" s="378"/>
      <c r="I1196" s="376"/>
      <c r="J1196" s="377"/>
      <c r="K1196" s="378"/>
      <c r="L1196" s="378"/>
      <c r="M1196" s="378"/>
      <c r="N1196" s="379"/>
      <c r="O1196" s="380"/>
      <c r="P1196" s="378"/>
      <c r="Q1196" s="378"/>
      <c r="R1196" s="378"/>
      <c r="S1196" s="378"/>
      <c r="T1196" s="378"/>
      <c r="U1196" s="378"/>
      <c r="V1196" s="378"/>
      <c r="W1196" s="378"/>
      <c r="X1196" s="378"/>
      <c r="Y1196" s="378"/>
      <c r="Z1196" s="378"/>
      <c r="AA1196" s="378"/>
      <c r="AB1196" s="378"/>
      <c r="AC1196" s="378"/>
      <c r="AD1196" s="378"/>
      <c r="AE1196" s="378"/>
      <c r="AF1196" s="378"/>
      <c r="AG1196" s="378"/>
    </row>
    <row r="1197">
      <c r="A1197" s="378"/>
      <c r="B1197" s="477"/>
      <c r="C1197" s="378"/>
      <c r="D1197" s="378"/>
      <c r="E1197" s="378"/>
      <c r="F1197" s="378"/>
      <c r="G1197" s="378"/>
      <c r="H1197" s="378"/>
      <c r="I1197" s="376"/>
      <c r="J1197" s="377"/>
      <c r="K1197" s="378"/>
      <c r="L1197" s="378"/>
      <c r="M1197" s="378"/>
      <c r="N1197" s="379"/>
      <c r="O1197" s="380"/>
      <c r="P1197" s="378"/>
      <c r="Q1197" s="378"/>
      <c r="R1197" s="378"/>
      <c r="S1197" s="378"/>
      <c r="T1197" s="378"/>
      <c r="U1197" s="378"/>
      <c r="V1197" s="378"/>
      <c r="W1197" s="378"/>
      <c r="X1197" s="378"/>
      <c r="Y1197" s="378"/>
      <c r="Z1197" s="378"/>
      <c r="AA1197" s="378"/>
      <c r="AB1197" s="378"/>
      <c r="AC1197" s="378"/>
      <c r="AD1197" s="378"/>
      <c r="AE1197" s="378"/>
      <c r="AF1197" s="378"/>
      <c r="AG1197" s="378"/>
    </row>
    <row r="1198">
      <c r="A1198" s="378"/>
      <c r="B1198" s="477"/>
      <c r="C1198" s="378"/>
      <c r="D1198" s="378"/>
      <c r="E1198" s="378"/>
      <c r="F1198" s="378"/>
      <c r="G1198" s="378"/>
      <c r="H1198" s="378"/>
      <c r="I1198" s="376"/>
      <c r="J1198" s="377"/>
      <c r="K1198" s="378"/>
      <c r="L1198" s="378"/>
      <c r="M1198" s="378"/>
      <c r="N1198" s="379"/>
      <c r="O1198" s="380"/>
      <c r="P1198" s="378"/>
      <c r="Q1198" s="378"/>
      <c r="R1198" s="378"/>
      <c r="S1198" s="378"/>
      <c r="T1198" s="378"/>
      <c r="U1198" s="378"/>
      <c r="V1198" s="378"/>
      <c r="W1198" s="378"/>
      <c r="X1198" s="378"/>
      <c r="Y1198" s="378"/>
      <c r="Z1198" s="378"/>
      <c r="AA1198" s="378"/>
      <c r="AB1198" s="378"/>
      <c r="AC1198" s="378"/>
      <c r="AD1198" s="378"/>
      <c r="AE1198" s="378"/>
      <c r="AF1198" s="378"/>
      <c r="AG1198" s="378"/>
    </row>
    <row r="1199">
      <c r="A1199" s="378"/>
      <c r="B1199" s="477"/>
      <c r="C1199" s="378"/>
      <c r="D1199" s="378"/>
      <c r="E1199" s="378"/>
      <c r="F1199" s="378"/>
      <c r="G1199" s="378"/>
      <c r="H1199" s="378"/>
      <c r="I1199" s="376"/>
      <c r="J1199" s="377"/>
      <c r="K1199" s="378"/>
      <c r="L1199" s="378"/>
      <c r="M1199" s="378"/>
      <c r="N1199" s="379"/>
      <c r="O1199" s="380"/>
      <c r="P1199" s="378"/>
      <c r="Q1199" s="378"/>
      <c r="R1199" s="378"/>
      <c r="S1199" s="378"/>
      <c r="T1199" s="378"/>
      <c r="U1199" s="378"/>
      <c r="V1199" s="378"/>
      <c r="W1199" s="378"/>
      <c r="X1199" s="378"/>
      <c r="Y1199" s="378"/>
      <c r="Z1199" s="378"/>
      <c r="AA1199" s="378"/>
      <c r="AB1199" s="378"/>
      <c r="AC1199" s="378"/>
      <c r="AD1199" s="378"/>
      <c r="AE1199" s="378"/>
      <c r="AF1199" s="378"/>
      <c r="AG1199" s="378"/>
    </row>
    <row r="1200">
      <c r="A1200" s="378"/>
      <c r="B1200" s="477"/>
      <c r="C1200" s="378"/>
      <c r="D1200" s="378"/>
      <c r="E1200" s="378"/>
      <c r="F1200" s="378"/>
      <c r="G1200" s="378"/>
      <c r="H1200" s="378"/>
      <c r="I1200" s="376"/>
      <c r="J1200" s="377"/>
      <c r="K1200" s="378"/>
      <c r="L1200" s="378"/>
      <c r="M1200" s="378"/>
      <c r="N1200" s="379"/>
      <c r="O1200" s="380"/>
      <c r="P1200" s="378"/>
      <c r="Q1200" s="378"/>
      <c r="R1200" s="378"/>
      <c r="S1200" s="378"/>
      <c r="T1200" s="378"/>
      <c r="U1200" s="378"/>
      <c r="V1200" s="378"/>
      <c r="W1200" s="378"/>
      <c r="X1200" s="378"/>
      <c r="Y1200" s="378"/>
      <c r="Z1200" s="378"/>
      <c r="AA1200" s="378"/>
      <c r="AB1200" s="378"/>
      <c r="AC1200" s="378"/>
      <c r="AD1200" s="378"/>
      <c r="AE1200" s="378"/>
      <c r="AF1200" s="378"/>
      <c r="AG1200" s="378"/>
    </row>
    <row r="1201">
      <c r="A1201" s="378"/>
      <c r="B1201" s="477"/>
      <c r="C1201" s="378"/>
      <c r="D1201" s="378"/>
      <c r="E1201" s="378"/>
      <c r="F1201" s="378"/>
      <c r="G1201" s="378"/>
      <c r="H1201" s="378"/>
      <c r="I1201" s="376"/>
      <c r="J1201" s="377"/>
      <c r="K1201" s="378"/>
      <c r="L1201" s="378"/>
      <c r="M1201" s="378"/>
      <c r="N1201" s="379"/>
      <c r="O1201" s="380"/>
      <c r="P1201" s="378"/>
      <c r="Q1201" s="378"/>
      <c r="R1201" s="378"/>
      <c r="S1201" s="378"/>
      <c r="T1201" s="378"/>
      <c r="U1201" s="378"/>
      <c r="V1201" s="378"/>
      <c r="W1201" s="378"/>
      <c r="X1201" s="378"/>
      <c r="Y1201" s="378"/>
      <c r="Z1201" s="378"/>
      <c r="AA1201" s="378"/>
      <c r="AB1201" s="378"/>
      <c r="AC1201" s="378"/>
      <c r="AD1201" s="378"/>
      <c r="AE1201" s="378"/>
      <c r="AF1201" s="378"/>
      <c r="AG1201" s="378"/>
    </row>
    <row r="1202">
      <c r="A1202" s="378"/>
      <c r="B1202" s="477"/>
      <c r="C1202" s="378"/>
      <c r="D1202" s="378"/>
      <c r="E1202" s="378"/>
      <c r="F1202" s="378"/>
      <c r="G1202" s="378"/>
      <c r="H1202" s="378"/>
      <c r="I1202" s="376"/>
      <c r="J1202" s="377"/>
      <c r="K1202" s="378"/>
      <c r="L1202" s="378"/>
      <c r="M1202" s="378"/>
      <c r="N1202" s="379"/>
      <c r="O1202" s="380"/>
      <c r="P1202" s="378"/>
      <c r="Q1202" s="378"/>
      <c r="R1202" s="378"/>
      <c r="S1202" s="378"/>
      <c r="T1202" s="378"/>
      <c r="U1202" s="378"/>
      <c r="V1202" s="378"/>
      <c r="W1202" s="378"/>
      <c r="X1202" s="378"/>
      <c r="Y1202" s="378"/>
      <c r="Z1202" s="378"/>
      <c r="AA1202" s="378"/>
      <c r="AB1202" s="378"/>
      <c r="AC1202" s="378"/>
      <c r="AD1202" s="378"/>
      <c r="AE1202" s="378"/>
      <c r="AF1202" s="378"/>
      <c r="AG1202" s="378"/>
    </row>
    <row r="1203">
      <c r="A1203" s="378"/>
      <c r="B1203" s="477"/>
      <c r="C1203" s="378"/>
      <c r="D1203" s="378"/>
      <c r="E1203" s="378"/>
      <c r="F1203" s="378"/>
      <c r="G1203" s="378"/>
      <c r="H1203" s="378"/>
      <c r="I1203" s="376"/>
      <c r="J1203" s="377"/>
      <c r="K1203" s="378"/>
      <c r="L1203" s="378"/>
      <c r="M1203" s="378"/>
      <c r="N1203" s="379"/>
      <c r="O1203" s="380"/>
      <c r="P1203" s="378"/>
      <c r="Q1203" s="378"/>
      <c r="R1203" s="378"/>
      <c r="S1203" s="378"/>
      <c r="T1203" s="378"/>
      <c r="U1203" s="378"/>
      <c r="V1203" s="378"/>
      <c r="W1203" s="378"/>
      <c r="X1203" s="378"/>
      <c r="Y1203" s="378"/>
      <c r="Z1203" s="378"/>
      <c r="AA1203" s="378"/>
      <c r="AB1203" s="378"/>
      <c r="AC1203" s="378"/>
      <c r="AD1203" s="378"/>
      <c r="AE1203" s="378"/>
      <c r="AF1203" s="378"/>
      <c r="AG1203" s="378"/>
    </row>
    <row r="1204">
      <c r="A1204" s="378"/>
      <c r="B1204" s="477"/>
      <c r="C1204" s="378"/>
      <c r="D1204" s="378"/>
      <c r="E1204" s="378"/>
      <c r="F1204" s="378"/>
      <c r="G1204" s="378"/>
      <c r="H1204" s="378"/>
      <c r="I1204" s="376"/>
      <c r="J1204" s="377"/>
      <c r="K1204" s="378"/>
      <c r="L1204" s="378"/>
      <c r="M1204" s="378"/>
      <c r="N1204" s="379"/>
      <c r="O1204" s="380"/>
      <c r="P1204" s="378"/>
      <c r="Q1204" s="378"/>
      <c r="R1204" s="378"/>
      <c r="S1204" s="378"/>
      <c r="T1204" s="378"/>
      <c r="U1204" s="378"/>
      <c r="V1204" s="378"/>
      <c r="W1204" s="378"/>
      <c r="X1204" s="378"/>
      <c r="Y1204" s="378"/>
      <c r="Z1204" s="378"/>
      <c r="AA1204" s="378"/>
      <c r="AB1204" s="378"/>
      <c r="AC1204" s="378"/>
      <c r="AD1204" s="378"/>
      <c r="AE1204" s="378"/>
      <c r="AF1204" s="378"/>
      <c r="AG1204" s="378"/>
    </row>
    <row r="1205">
      <c r="A1205" s="378"/>
      <c r="B1205" s="477"/>
      <c r="C1205" s="378"/>
      <c r="D1205" s="378"/>
      <c r="E1205" s="378"/>
      <c r="F1205" s="378"/>
      <c r="G1205" s="378"/>
      <c r="H1205" s="378"/>
      <c r="I1205" s="376"/>
      <c r="J1205" s="377"/>
      <c r="K1205" s="378"/>
      <c r="L1205" s="378"/>
      <c r="M1205" s="378"/>
      <c r="N1205" s="379"/>
      <c r="O1205" s="380"/>
      <c r="P1205" s="378"/>
      <c r="Q1205" s="378"/>
      <c r="R1205" s="378"/>
      <c r="S1205" s="378"/>
      <c r="T1205" s="378"/>
      <c r="U1205" s="378"/>
      <c r="V1205" s="378"/>
      <c r="W1205" s="378"/>
      <c r="X1205" s="378"/>
      <c r="Y1205" s="378"/>
      <c r="Z1205" s="378"/>
      <c r="AA1205" s="378"/>
      <c r="AB1205" s="378"/>
      <c r="AC1205" s="378"/>
      <c r="AD1205" s="378"/>
      <c r="AE1205" s="378"/>
      <c r="AF1205" s="378"/>
      <c r="AG1205" s="378"/>
    </row>
    <row r="1206">
      <c r="A1206" s="378"/>
      <c r="B1206" s="477"/>
      <c r="C1206" s="378"/>
      <c r="D1206" s="378"/>
      <c r="E1206" s="378"/>
      <c r="F1206" s="378"/>
      <c r="G1206" s="378"/>
      <c r="H1206" s="378"/>
      <c r="I1206" s="376"/>
      <c r="J1206" s="377"/>
      <c r="K1206" s="378"/>
      <c r="L1206" s="378"/>
      <c r="M1206" s="378"/>
      <c r="N1206" s="379"/>
      <c r="O1206" s="380"/>
      <c r="P1206" s="378"/>
      <c r="Q1206" s="378"/>
      <c r="R1206" s="378"/>
      <c r="S1206" s="378"/>
      <c r="T1206" s="378"/>
      <c r="U1206" s="378"/>
      <c r="V1206" s="378"/>
      <c r="W1206" s="378"/>
      <c r="X1206" s="378"/>
      <c r="Y1206" s="378"/>
      <c r="Z1206" s="378"/>
      <c r="AA1206" s="378"/>
      <c r="AB1206" s="378"/>
      <c r="AC1206" s="378"/>
      <c r="AD1206" s="378"/>
      <c r="AE1206" s="378"/>
      <c r="AF1206" s="378"/>
      <c r="AG1206" s="378"/>
    </row>
    <row r="1207">
      <c r="A1207" s="378"/>
      <c r="B1207" s="477"/>
      <c r="C1207" s="378"/>
      <c r="D1207" s="378"/>
      <c r="E1207" s="378"/>
      <c r="F1207" s="378"/>
      <c r="G1207" s="378"/>
      <c r="H1207" s="378"/>
      <c r="I1207" s="376"/>
      <c r="J1207" s="377"/>
      <c r="K1207" s="378"/>
      <c r="L1207" s="378"/>
      <c r="M1207" s="378"/>
      <c r="N1207" s="379"/>
      <c r="O1207" s="380"/>
      <c r="P1207" s="378"/>
      <c r="Q1207" s="378"/>
      <c r="R1207" s="378"/>
      <c r="S1207" s="378"/>
      <c r="T1207" s="378"/>
      <c r="U1207" s="378"/>
      <c r="V1207" s="378"/>
      <c r="W1207" s="378"/>
      <c r="X1207" s="378"/>
      <c r="Y1207" s="378"/>
      <c r="Z1207" s="378"/>
      <c r="AA1207" s="378"/>
      <c r="AB1207" s="378"/>
      <c r="AC1207" s="378"/>
      <c r="AD1207" s="378"/>
      <c r="AE1207" s="378"/>
      <c r="AF1207" s="378"/>
      <c r="AG1207" s="378"/>
    </row>
    <row r="1208">
      <c r="A1208" s="378"/>
      <c r="B1208" s="477"/>
      <c r="C1208" s="378"/>
      <c r="D1208" s="378"/>
      <c r="E1208" s="378"/>
      <c r="F1208" s="378"/>
      <c r="G1208" s="378"/>
      <c r="H1208" s="378"/>
      <c r="I1208" s="376"/>
      <c r="J1208" s="377"/>
      <c r="K1208" s="378"/>
      <c r="L1208" s="378"/>
      <c r="M1208" s="378"/>
      <c r="N1208" s="379"/>
      <c r="O1208" s="380"/>
      <c r="P1208" s="378"/>
      <c r="Q1208" s="378"/>
      <c r="R1208" s="378"/>
      <c r="S1208" s="378"/>
      <c r="T1208" s="378"/>
      <c r="U1208" s="378"/>
      <c r="V1208" s="378"/>
      <c r="W1208" s="378"/>
      <c r="X1208" s="378"/>
      <c r="Y1208" s="378"/>
      <c r="Z1208" s="378"/>
      <c r="AA1208" s="378"/>
      <c r="AB1208" s="378"/>
      <c r="AC1208" s="378"/>
      <c r="AD1208" s="378"/>
      <c r="AE1208" s="378"/>
      <c r="AF1208" s="378"/>
      <c r="AG1208" s="378"/>
    </row>
    <row r="1209">
      <c r="A1209" s="378"/>
      <c r="B1209" s="477"/>
      <c r="C1209" s="378"/>
      <c r="D1209" s="378"/>
      <c r="E1209" s="378"/>
      <c r="F1209" s="378"/>
      <c r="G1209" s="378"/>
      <c r="H1209" s="378"/>
      <c r="I1209" s="376"/>
      <c r="J1209" s="377"/>
      <c r="K1209" s="378"/>
      <c r="L1209" s="378"/>
      <c r="M1209" s="378"/>
      <c r="N1209" s="379"/>
      <c r="O1209" s="380"/>
      <c r="P1209" s="378"/>
      <c r="Q1209" s="378"/>
      <c r="R1209" s="378"/>
      <c r="S1209" s="378"/>
      <c r="T1209" s="378"/>
      <c r="U1209" s="378"/>
      <c r="V1209" s="378"/>
      <c r="W1209" s="378"/>
      <c r="X1209" s="378"/>
      <c r="Y1209" s="378"/>
      <c r="Z1209" s="378"/>
      <c r="AA1209" s="378"/>
      <c r="AB1209" s="378"/>
      <c r="AC1209" s="378"/>
      <c r="AD1209" s="378"/>
      <c r="AE1209" s="378"/>
      <c r="AF1209" s="378"/>
      <c r="AG1209" s="378"/>
    </row>
    <row r="1210">
      <c r="A1210" s="378"/>
      <c r="B1210" s="477"/>
      <c r="C1210" s="378"/>
      <c r="D1210" s="378"/>
      <c r="E1210" s="378"/>
      <c r="F1210" s="378"/>
      <c r="G1210" s="378"/>
      <c r="H1210" s="378"/>
      <c r="I1210" s="376"/>
      <c r="J1210" s="377"/>
      <c r="K1210" s="378"/>
      <c r="L1210" s="378"/>
      <c r="M1210" s="378"/>
      <c r="N1210" s="379"/>
      <c r="O1210" s="380"/>
      <c r="P1210" s="378"/>
      <c r="Q1210" s="378"/>
      <c r="R1210" s="378"/>
      <c r="S1210" s="378"/>
      <c r="T1210" s="378"/>
      <c r="U1210" s="378"/>
      <c r="V1210" s="378"/>
      <c r="W1210" s="378"/>
      <c r="X1210" s="378"/>
      <c r="Y1210" s="378"/>
      <c r="Z1210" s="378"/>
      <c r="AA1210" s="378"/>
      <c r="AB1210" s="378"/>
      <c r="AC1210" s="378"/>
      <c r="AD1210" s="378"/>
      <c r="AE1210" s="378"/>
      <c r="AF1210" s="378"/>
      <c r="AG1210" s="378"/>
    </row>
    <row r="1211">
      <c r="A1211" s="378"/>
      <c r="B1211" s="477"/>
      <c r="C1211" s="378"/>
      <c r="D1211" s="378"/>
      <c r="E1211" s="378"/>
      <c r="F1211" s="378"/>
      <c r="G1211" s="378"/>
      <c r="H1211" s="378"/>
      <c r="I1211" s="376"/>
      <c r="J1211" s="377"/>
      <c r="K1211" s="378"/>
      <c r="L1211" s="378"/>
      <c r="M1211" s="378"/>
      <c r="N1211" s="379"/>
      <c r="O1211" s="380"/>
      <c r="P1211" s="378"/>
      <c r="Q1211" s="378"/>
      <c r="R1211" s="378"/>
      <c r="S1211" s="378"/>
      <c r="T1211" s="378"/>
      <c r="U1211" s="378"/>
      <c r="V1211" s="378"/>
      <c r="W1211" s="378"/>
      <c r="X1211" s="378"/>
      <c r="Y1211" s="378"/>
      <c r="Z1211" s="378"/>
      <c r="AA1211" s="378"/>
      <c r="AB1211" s="378"/>
      <c r="AC1211" s="378"/>
      <c r="AD1211" s="378"/>
      <c r="AE1211" s="378"/>
      <c r="AF1211" s="378"/>
      <c r="AG1211" s="378"/>
    </row>
    <row r="1212">
      <c r="A1212" s="378"/>
      <c r="B1212" s="477"/>
      <c r="C1212" s="378"/>
      <c r="D1212" s="378"/>
      <c r="E1212" s="378"/>
      <c r="F1212" s="378"/>
      <c r="G1212" s="378"/>
      <c r="H1212" s="378"/>
      <c r="I1212" s="376"/>
      <c r="J1212" s="377"/>
      <c r="K1212" s="378"/>
      <c r="L1212" s="378"/>
      <c r="M1212" s="378"/>
      <c r="N1212" s="379"/>
      <c r="O1212" s="380"/>
      <c r="P1212" s="378"/>
      <c r="Q1212" s="378"/>
      <c r="R1212" s="378"/>
      <c r="S1212" s="378"/>
      <c r="T1212" s="378"/>
      <c r="U1212" s="378"/>
      <c r="V1212" s="378"/>
      <c r="W1212" s="378"/>
      <c r="X1212" s="378"/>
      <c r="Y1212" s="378"/>
      <c r="Z1212" s="378"/>
      <c r="AA1212" s="378"/>
      <c r="AB1212" s="378"/>
      <c r="AC1212" s="378"/>
      <c r="AD1212" s="378"/>
      <c r="AE1212" s="378"/>
      <c r="AF1212" s="378"/>
      <c r="AG1212" s="378"/>
    </row>
    <row r="1213">
      <c r="A1213" s="378"/>
      <c r="B1213" s="477"/>
      <c r="C1213" s="378"/>
      <c r="D1213" s="378"/>
      <c r="E1213" s="378"/>
      <c r="F1213" s="378"/>
      <c r="G1213" s="378"/>
      <c r="H1213" s="378"/>
      <c r="I1213" s="376"/>
      <c r="J1213" s="377"/>
      <c r="K1213" s="378"/>
      <c r="L1213" s="378"/>
      <c r="M1213" s="378"/>
      <c r="N1213" s="379"/>
      <c r="O1213" s="380"/>
      <c r="P1213" s="378"/>
      <c r="Q1213" s="378"/>
      <c r="R1213" s="378"/>
      <c r="S1213" s="378"/>
      <c r="T1213" s="378"/>
      <c r="U1213" s="378"/>
      <c r="V1213" s="378"/>
      <c r="W1213" s="378"/>
      <c r="X1213" s="378"/>
      <c r="Y1213" s="378"/>
      <c r="Z1213" s="378"/>
      <c r="AA1213" s="378"/>
      <c r="AB1213" s="378"/>
      <c r="AC1213" s="378"/>
      <c r="AD1213" s="378"/>
      <c r="AE1213" s="378"/>
      <c r="AF1213" s="378"/>
      <c r="AG1213" s="378"/>
    </row>
    <row r="1214">
      <c r="A1214" s="378"/>
      <c r="B1214" s="477"/>
      <c r="C1214" s="378"/>
      <c r="D1214" s="378"/>
      <c r="E1214" s="378"/>
      <c r="F1214" s="378"/>
      <c r="G1214" s="378"/>
      <c r="H1214" s="378"/>
      <c r="I1214" s="376"/>
      <c r="J1214" s="377"/>
      <c r="K1214" s="378"/>
      <c r="L1214" s="378"/>
      <c r="M1214" s="378"/>
      <c r="N1214" s="379"/>
      <c r="O1214" s="380"/>
      <c r="P1214" s="378"/>
      <c r="Q1214" s="378"/>
      <c r="R1214" s="378"/>
      <c r="S1214" s="378"/>
      <c r="T1214" s="378"/>
      <c r="U1214" s="378"/>
      <c r="V1214" s="378"/>
      <c r="W1214" s="378"/>
      <c r="X1214" s="378"/>
      <c r="Y1214" s="378"/>
      <c r="Z1214" s="378"/>
      <c r="AA1214" s="378"/>
      <c r="AB1214" s="378"/>
      <c r="AC1214" s="378"/>
      <c r="AD1214" s="378"/>
      <c r="AE1214" s="378"/>
      <c r="AF1214" s="378"/>
      <c r="AG1214" s="378"/>
    </row>
    <row r="1215">
      <c r="A1215" s="378"/>
      <c r="B1215" s="477"/>
      <c r="C1215" s="378"/>
      <c r="D1215" s="378"/>
      <c r="E1215" s="378"/>
      <c r="F1215" s="378"/>
      <c r="G1215" s="378"/>
      <c r="H1215" s="378"/>
      <c r="I1215" s="376"/>
      <c r="J1215" s="377"/>
      <c r="K1215" s="378"/>
      <c r="L1215" s="378"/>
      <c r="M1215" s="378"/>
      <c r="N1215" s="379"/>
      <c r="O1215" s="380"/>
      <c r="P1215" s="378"/>
      <c r="Q1215" s="378"/>
      <c r="R1215" s="378"/>
      <c r="S1215" s="378"/>
      <c r="T1215" s="378"/>
      <c r="U1215" s="378"/>
      <c r="V1215" s="378"/>
      <c r="W1215" s="378"/>
      <c r="X1215" s="378"/>
      <c r="Y1215" s="378"/>
      <c r="Z1215" s="378"/>
      <c r="AA1215" s="378"/>
      <c r="AB1215" s="378"/>
      <c r="AC1215" s="378"/>
      <c r="AD1215" s="378"/>
      <c r="AE1215" s="378"/>
      <c r="AF1215" s="378"/>
      <c r="AG1215" s="378"/>
    </row>
    <row r="1216">
      <c r="A1216" s="378"/>
      <c r="B1216" s="477"/>
      <c r="C1216" s="378"/>
      <c r="D1216" s="378"/>
      <c r="E1216" s="378"/>
      <c r="F1216" s="378"/>
      <c r="G1216" s="378"/>
      <c r="H1216" s="378"/>
      <c r="I1216" s="376"/>
      <c r="J1216" s="377"/>
      <c r="K1216" s="378"/>
      <c r="L1216" s="378"/>
      <c r="M1216" s="378"/>
      <c r="N1216" s="379"/>
      <c r="O1216" s="380"/>
      <c r="P1216" s="378"/>
      <c r="Q1216" s="378"/>
      <c r="R1216" s="378"/>
      <c r="S1216" s="378"/>
      <c r="T1216" s="378"/>
      <c r="U1216" s="378"/>
      <c r="V1216" s="378"/>
      <c r="W1216" s="378"/>
      <c r="X1216" s="378"/>
      <c r="Y1216" s="378"/>
      <c r="Z1216" s="378"/>
      <c r="AA1216" s="378"/>
      <c r="AB1216" s="378"/>
      <c r="AC1216" s="378"/>
      <c r="AD1216" s="378"/>
      <c r="AE1216" s="378"/>
      <c r="AF1216" s="378"/>
      <c r="AG1216" s="378"/>
    </row>
    <row r="1217">
      <c r="A1217" s="378"/>
      <c r="B1217" s="477"/>
      <c r="C1217" s="378"/>
      <c r="D1217" s="378"/>
      <c r="E1217" s="378"/>
      <c r="F1217" s="378"/>
      <c r="G1217" s="378"/>
      <c r="H1217" s="378"/>
      <c r="I1217" s="376"/>
      <c r="J1217" s="377"/>
      <c r="K1217" s="378"/>
      <c r="L1217" s="378"/>
      <c r="M1217" s="378"/>
      <c r="N1217" s="379"/>
      <c r="O1217" s="380"/>
      <c r="P1217" s="378"/>
      <c r="Q1217" s="378"/>
      <c r="R1217" s="378"/>
      <c r="S1217" s="378"/>
      <c r="T1217" s="378"/>
      <c r="U1217" s="378"/>
      <c r="V1217" s="378"/>
      <c r="W1217" s="378"/>
      <c r="X1217" s="378"/>
      <c r="Y1217" s="378"/>
      <c r="Z1217" s="378"/>
      <c r="AA1217" s="378"/>
      <c r="AB1217" s="378"/>
      <c r="AC1217" s="378"/>
      <c r="AD1217" s="378"/>
      <c r="AE1217" s="378"/>
      <c r="AF1217" s="378"/>
      <c r="AG1217" s="378"/>
    </row>
    <row r="1218">
      <c r="A1218" s="378"/>
      <c r="B1218" s="477"/>
      <c r="C1218" s="378"/>
      <c r="D1218" s="378"/>
      <c r="E1218" s="378"/>
      <c r="F1218" s="378"/>
      <c r="G1218" s="378"/>
      <c r="H1218" s="378"/>
      <c r="I1218" s="376"/>
      <c r="J1218" s="377"/>
      <c r="K1218" s="378"/>
      <c r="L1218" s="378"/>
      <c r="M1218" s="378"/>
      <c r="N1218" s="379"/>
      <c r="O1218" s="380"/>
      <c r="P1218" s="378"/>
      <c r="Q1218" s="378"/>
      <c r="R1218" s="378"/>
      <c r="S1218" s="378"/>
      <c r="T1218" s="378"/>
      <c r="U1218" s="378"/>
      <c r="V1218" s="378"/>
      <c r="W1218" s="378"/>
      <c r="X1218" s="378"/>
      <c r="Y1218" s="378"/>
      <c r="Z1218" s="378"/>
      <c r="AA1218" s="378"/>
      <c r="AB1218" s="378"/>
      <c r="AC1218" s="378"/>
      <c r="AD1218" s="378"/>
      <c r="AE1218" s="378"/>
      <c r="AF1218" s="378"/>
      <c r="AG1218" s="378"/>
    </row>
    <row r="1219">
      <c r="A1219" s="378"/>
      <c r="B1219" s="477"/>
      <c r="C1219" s="378"/>
      <c r="D1219" s="378"/>
      <c r="E1219" s="378"/>
      <c r="F1219" s="378"/>
      <c r="G1219" s="378"/>
      <c r="H1219" s="378"/>
      <c r="I1219" s="376"/>
      <c r="J1219" s="377"/>
      <c r="K1219" s="378"/>
      <c r="L1219" s="378"/>
      <c r="M1219" s="378"/>
      <c r="N1219" s="379"/>
      <c r="O1219" s="380"/>
      <c r="P1219" s="378"/>
      <c r="Q1219" s="378"/>
      <c r="R1219" s="378"/>
      <c r="S1219" s="378"/>
      <c r="T1219" s="378"/>
      <c r="U1219" s="378"/>
      <c r="V1219" s="378"/>
      <c r="W1219" s="378"/>
      <c r="X1219" s="378"/>
      <c r="Y1219" s="378"/>
      <c r="Z1219" s="378"/>
      <c r="AA1219" s="378"/>
      <c r="AB1219" s="378"/>
      <c r="AC1219" s="378"/>
      <c r="AD1219" s="378"/>
      <c r="AE1219" s="378"/>
      <c r="AF1219" s="378"/>
      <c r="AG1219" s="378"/>
    </row>
    <row r="1220">
      <c r="A1220" s="378"/>
      <c r="B1220" s="477"/>
      <c r="C1220" s="378"/>
      <c r="D1220" s="378"/>
      <c r="E1220" s="378"/>
      <c r="F1220" s="378"/>
      <c r="G1220" s="378"/>
      <c r="H1220" s="378"/>
      <c r="I1220" s="376"/>
      <c r="J1220" s="377"/>
      <c r="K1220" s="378"/>
      <c r="L1220" s="378"/>
      <c r="M1220" s="378"/>
      <c r="N1220" s="379"/>
      <c r="O1220" s="380"/>
      <c r="P1220" s="378"/>
      <c r="Q1220" s="378"/>
      <c r="R1220" s="378"/>
      <c r="S1220" s="378"/>
      <c r="T1220" s="378"/>
      <c r="U1220" s="378"/>
      <c r="V1220" s="378"/>
      <c r="W1220" s="378"/>
      <c r="X1220" s="378"/>
      <c r="Y1220" s="378"/>
      <c r="Z1220" s="378"/>
      <c r="AA1220" s="378"/>
      <c r="AB1220" s="378"/>
      <c r="AC1220" s="378"/>
      <c r="AD1220" s="378"/>
      <c r="AE1220" s="378"/>
      <c r="AF1220" s="378"/>
      <c r="AG1220" s="378"/>
    </row>
    <row r="1221">
      <c r="A1221" s="378"/>
      <c r="B1221" s="477"/>
      <c r="C1221" s="378"/>
      <c r="D1221" s="378"/>
      <c r="E1221" s="378"/>
      <c r="F1221" s="378"/>
      <c r="G1221" s="378"/>
      <c r="H1221" s="378"/>
      <c r="I1221" s="376"/>
      <c r="J1221" s="377"/>
      <c r="K1221" s="378"/>
      <c r="L1221" s="378"/>
      <c r="M1221" s="378"/>
      <c r="N1221" s="379"/>
      <c r="O1221" s="380"/>
      <c r="P1221" s="378"/>
      <c r="Q1221" s="378"/>
      <c r="R1221" s="378"/>
      <c r="S1221" s="378"/>
      <c r="T1221" s="378"/>
      <c r="U1221" s="378"/>
      <c r="V1221" s="378"/>
      <c r="W1221" s="378"/>
      <c r="X1221" s="378"/>
      <c r="Y1221" s="378"/>
      <c r="Z1221" s="378"/>
      <c r="AA1221" s="378"/>
      <c r="AB1221" s="378"/>
      <c r="AC1221" s="378"/>
      <c r="AD1221" s="378"/>
      <c r="AE1221" s="378"/>
      <c r="AF1221" s="378"/>
      <c r="AG1221" s="378"/>
    </row>
    <row r="1222">
      <c r="A1222" s="378"/>
      <c r="B1222" s="477"/>
      <c r="C1222" s="378"/>
      <c r="D1222" s="378"/>
      <c r="E1222" s="378"/>
      <c r="F1222" s="378"/>
      <c r="G1222" s="378"/>
      <c r="H1222" s="378"/>
      <c r="I1222" s="376"/>
      <c r="J1222" s="377"/>
      <c r="K1222" s="378"/>
      <c r="L1222" s="378"/>
      <c r="M1222" s="378"/>
      <c r="N1222" s="379"/>
      <c r="O1222" s="380"/>
      <c r="P1222" s="378"/>
      <c r="Q1222" s="378"/>
      <c r="R1222" s="378"/>
      <c r="S1222" s="378"/>
      <c r="T1222" s="378"/>
      <c r="U1222" s="378"/>
      <c r="V1222" s="378"/>
      <c r="W1222" s="378"/>
      <c r="X1222" s="378"/>
      <c r="Y1222" s="378"/>
      <c r="Z1222" s="378"/>
      <c r="AA1222" s="378"/>
      <c r="AB1222" s="378"/>
      <c r="AC1222" s="378"/>
      <c r="AD1222" s="378"/>
      <c r="AE1222" s="378"/>
      <c r="AF1222" s="378"/>
      <c r="AG1222" s="378"/>
    </row>
    <row r="1223">
      <c r="A1223" s="378"/>
      <c r="B1223" s="477"/>
      <c r="C1223" s="378"/>
      <c r="D1223" s="378"/>
      <c r="E1223" s="378"/>
      <c r="F1223" s="378"/>
      <c r="G1223" s="378"/>
      <c r="H1223" s="378"/>
      <c r="I1223" s="376"/>
      <c r="J1223" s="377"/>
      <c r="K1223" s="378"/>
      <c r="L1223" s="378"/>
      <c r="M1223" s="378"/>
      <c r="N1223" s="379"/>
      <c r="O1223" s="380"/>
      <c r="P1223" s="378"/>
      <c r="Q1223" s="378"/>
      <c r="R1223" s="378"/>
      <c r="S1223" s="378"/>
      <c r="T1223" s="378"/>
      <c r="U1223" s="378"/>
      <c r="V1223" s="378"/>
      <c r="W1223" s="378"/>
      <c r="X1223" s="378"/>
      <c r="Y1223" s="378"/>
      <c r="Z1223" s="378"/>
      <c r="AA1223" s="378"/>
      <c r="AB1223" s="378"/>
      <c r="AC1223" s="378"/>
      <c r="AD1223" s="378"/>
      <c r="AE1223" s="378"/>
      <c r="AF1223" s="378"/>
      <c r="AG1223" s="378"/>
    </row>
    <row r="1224">
      <c r="A1224" s="378"/>
      <c r="B1224" s="477"/>
      <c r="C1224" s="378"/>
      <c r="D1224" s="378"/>
      <c r="E1224" s="378"/>
      <c r="F1224" s="378"/>
      <c r="G1224" s="378"/>
      <c r="H1224" s="378"/>
      <c r="I1224" s="376"/>
      <c r="J1224" s="377"/>
      <c r="K1224" s="378"/>
      <c r="L1224" s="378"/>
      <c r="M1224" s="378"/>
      <c r="N1224" s="379"/>
      <c r="O1224" s="380"/>
      <c r="P1224" s="378"/>
      <c r="Q1224" s="378"/>
      <c r="R1224" s="378"/>
      <c r="S1224" s="378"/>
      <c r="T1224" s="378"/>
      <c r="U1224" s="378"/>
      <c r="V1224" s="378"/>
      <c r="W1224" s="378"/>
      <c r="X1224" s="378"/>
      <c r="Y1224" s="378"/>
      <c r="Z1224" s="378"/>
      <c r="AA1224" s="378"/>
      <c r="AB1224" s="378"/>
      <c r="AC1224" s="378"/>
      <c r="AD1224" s="378"/>
      <c r="AE1224" s="378"/>
      <c r="AF1224" s="378"/>
      <c r="AG1224" s="378"/>
    </row>
    <row r="1225">
      <c r="A1225" s="378"/>
      <c r="B1225" s="477"/>
      <c r="C1225" s="378"/>
      <c r="D1225" s="378"/>
      <c r="E1225" s="378"/>
      <c r="F1225" s="378"/>
      <c r="G1225" s="378"/>
      <c r="H1225" s="378"/>
      <c r="I1225" s="376"/>
      <c r="J1225" s="377"/>
      <c r="K1225" s="378"/>
      <c r="L1225" s="378"/>
      <c r="M1225" s="378"/>
      <c r="N1225" s="379"/>
      <c r="O1225" s="380"/>
      <c r="P1225" s="378"/>
      <c r="Q1225" s="378"/>
      <c r="R1225" s="378"/>
      <c r="S1225" s="378"/>
      <c r="T1225" s="378"/>
      <c r="U1225" s="378"/>
      <c r="V1225" s="378"/>
      <c r="W1225" s="378"/>
      <c r="X1225" s="378"/>
      <c r="Y1225" s="378"/>
      <c r="Z1225" s="378"/>
      <c r="AA1225" s="378"/>
      <c r="AB1225" s="378"/>
      <c r="AC1225" s="378"/>
      <c r="AD1225" s="378"/>
      <c r="AE1225" s="378"/>
      <c r="AF1225" s="378"/>
      <c r="AG1225" s="378"/>
    </row>
    <row r="1226">
      <c r="A1226" s="378"/>
      <c r="B1226" s="477"/>
      <c r="C1226" s="378"/>
      <c r="D1226" s="378"/>
      <c r="E1226" s="378"/>
      <c r="F1226" s="378"/>
      <c r="G1226" s="378"/>
      <c r="H1226" s="378"/>
      <c r="I1226" s="376"/>
      <c r="J1226" s="377"/>
      <c r="K1226" s="378"/>
      <c r="L1226" s="378"/>
      <c r="M1226" s="378"/>
      <c r="N1226" s="379"/>
      <c r="O1226" s="380"/>
      <c r="P1226" s="378"/>
      <c r="Q1226" s="378"/>
      <c r="R1226" s="378"/>
      <c r="S1226" s="378"/>
      <c r="T1226" s="378"/>
      <c r="U1226" s="378"/>
      <c r="V1226" s="378"/>
      <c r="W1226" s="378"/>
      <c r="X1226" s="378"/>
      <c r="Y1226" s="378"/>
      <c r="Z1226" s="378"/>
      <c r="AA1226" s="378"/>
      <c r="AB1226" s="378"/>
      <c r="AC1226" s="378"/>
      <c r="AD1226" s="378"/>
      <c r="AE1226" s="378"/>
      <c r="AF1226" s="378"/>
      <c r="AG1226" s="378"/>
    </row>
    <row r="1227">
      <c r="A1227" s="378"/>
      <c r="B1227" s="477"/>
      <c r="C1227" s="378"/>
      <c r="D1227" s="378"/>
      <c r="E1227" s="378"/>
      <c r="F1227" s="378"/>
      <c r="G1227" s="378"/>
      <c r="H1227" s="378"/>
      <c r="I1227" s="376"/>
      <c r="J1227" s="377"/>
      <c r="K1227" s="378"/>
      <c r="L1227" s="378"/>
      <c r="M1227" s="378"/>
      <c r="N1227" s="379"/>
      <c r="O1227" s="380"/>
      <c r="P1227" s="378"/>
      <c r="Q1227" s="378"/>
      <c r="R1227" s="378"/>
      <c r="S1227" s="378"/>
      <c r="T1227" s="378"/>
      <c r="U1227" s="378"/>
      <c r="V1227" s="378"/>
      <c r="W1227" s="378"/>
      <c r="X1227" s="378"/>
      <c r="Y1227" s="378"/>
      <c r="Z1227" s="378"/>
      <c r="AA1227" s="378"/>
      <c r="AB1227" s="378"/>
      <c r="AC1227" s="378"/>
      <c r="AD1227" s="378"/>
      <c r="AE1227" s="378"/>
      <c r="AF1227" s="378"/>
      <c r="AG1227" s="378"/>
    </row>
    <row r="1228">
      <c r="A1228" s="378"/>
      <c r="B1228" s="477"/>
      <c r="C1228" s="378"/>
      <c r="D1228" s="378"/>
      <c r="E1228" s="378"/>
      <c r="F1228" s="378"/>
      <c r="G1228" s="378"/>
      <c r="H1228" s="378"/>
      <c r="I1228" s="376"/>
      <c r="J1228" s="377"/>
      <c r="K1228" s="378"/>
      <c r="L1228" s="378"/>
      <c r="M1228" s="378"/>
      <c r="N1228" s="379"/>
      <c r="O1228" s="380"/>
      <c r="P1228" s="378"/>
      <c r="Q1228" s="378"/>
      <c r="R1228" s="378"/>
      <c r="S1228" s="378"/>
      <c r="T1228" s="378"/>
      <c r="U1228" s="378"/>
      <c r="V1228" s="378"/>
      <c r="W1228" s="378"/>
      <c r="X1228" s="378"/>
      <c r="Y1228" s="378"/>
      <c r="Z1228" s="378"/>
      <c r="AA1228" s="378"/>
      <c r="AB1228" s="378"/>
      <c r="AC1228" s="378"/>
      <c r="AD1228" s="378"/>
      <c r="AE1228" s="378"/>
      <c r="AF1228" s="378"/>
      <c r="AG1228" s="378"/>
    </row>
    <row r="1229">
      <c r="A1229" s="378"/>
      <c r="B1229" s="477"/>
      <c r="C1229" s="378"/>
      <c r="D1229" s="378"/>
      <c r="E1229" s="378"/>
      <c r="F1229" s="378"/>
      <c r="G1229" s="378"/>
      <c r="H1229" s="378"/>
      <c r="I1229" s="376"/>
      <c r="J1229" s="377"/>
      <c r="K1229" s="378"/>
      <c r="L1229" s="378"/>
      <c r="M1229" s="378"/>
      <c r="N1229" s="379"/>
      <c r="O1229" s="380"/>
      <c r="P1229" s="378"/>
      <c r="Q1229" s="378"/>
      <c r="R1229" s="378"/>
      <c r="S1229" s="378"/>
      <c r="T1229" s="378"/>
      <c r="U1229" s="378"/>
      <c r="V1229" s="378"/>
      <c r="W1229" s="378"/>
      <c r="X1229" s="378"/>
      <c r="Y1229" s="378"/>
      <c r="Z1229" s="378"/>
      <c r="AA1229" s="378"/>
      <c r="AB1229" s="378"/>
      <c r="AC1229" s="378"/>
      <c r="AD1229" s="378"/>
      <c r="AE1229" s="378"/>
      <c r="AF1229" s="378"/>
      <c r="AG1229" s="378"/>
    </row>
    <row r="1230">
      <c r="A1230" s="378"/>
      <c r="B1230" s="477"/>
      <c r="C1230" s="378"/>
      <c r="D1230" s="378"/>
      <c r="E1230" s="378"/>
      <c r="F1230" s="378"/>
      <c r="G1230" s="378"/>
      <c r="H1230" s="378"/>
      <c r="I1230" s="376"/>
      <c r="J1230" s="377"/>
      <c r="K1230" s="378"/>
      <c r="L1230" s="378"/>
      <c r="M1230" s="378"/>
      <c r="N1230" s="379"/>
      <c r="O1230" s="380"/>
      <c r="P1230" s="378"/>
      <c r="Q1230" s="378"/>
      <c r="R1230" s="378"/>
      <c r="S1230" s="378"/>
      <c r="T1230" s="378"/>
      <c r="U1230" s="378"/>
      <c r="V1230" s="378"/>
      <c r="W1230" s="378"/>
      <c r="X1230" s="378"/>
      <c r="Y1230" s="378"/>
      <c r="Z1230" s="378"/>
      <c r="AA1230" s="378"/>
      <c r="AB1230" s="378"/>
      <c r="AC1230" s="378"/>
      <c r="AD1230" s="378"/>
      <c r="AE1230" s="378"/>
      <c r="AF1230" s="378"/>
      <c r="AG1230" s="378"/>
    </row>
    <row r="1231">
      <c r="A1231" s="378"/>
      <c r="B1231" s="477"/>
      <c r="C1231" s="378"/>
      <c r="D1231" s="378"/>
      <c r="E1231" s="378"/>
      <c r="F1231" s="378"/>
      <c r="G1231" s="378"/>
      <c r="H1231" s="378"/>
      <c r="I1231" s="376"/>
      <c r="J1231" s="377"/>
      <c r="K1231" s="378"/>
      <c r="L1231" s="378"/>
      <c r="M1231" s="378"/>
      <c r="N1231" s="379"/>
      <c r="O1231" s="380"/>
      <c r="P1231" s="378"/>
      <c r="Q1231" s="378"/>
      <c r="R1231" s="378"/>
      <c r="S1231" s="378"/>
      <c r="T1231" s="378"/>
      <c r="U1231" s="378"/>
      <c r="V1231" s="378"/>
      <c r="W1231" s="378"/>
      <c r="X1231" s="378"/>
      <c r="Y1231" s="378"/>
      <c r="Z1231" s="378"/>
      <c r="AA1231" s="378"/>
      <c r="AB1231" s="378"/>
      <c r="AC1231" s="378"/>
      <c r="AD1231" s="378"/>
      <c r="AE1231" s="378"/>
      <c r="AF1231" s="378"/>
      <c r="AG1231" s="378"/>
    </row>
    <row r="1232">
      <c r="A1232" s="378"/>
      <c r="B1232" s="477"/>
      <c r="C1232" s="378"/>
      <c r="D1232" s="378"/>
      <c r="E1232" s="378"/>
      <c r="F1232" s="378"/>
      <c r="G1232" s="378"/>
      <c r="H1232" s="378"/>
      <c r="I1232" s="376"/>
      <c r="J1232" s="377"/>
      <c r="K1232" s="378"/>
      <c r="L1232" s="378"/>
      <c r="M1232" s="378"/>
      <c r="N1232" s="379"/>
      <c r="O1232" s="380"/>
      <c r="P1232" s="378"/>
      <c r="Q1232" s="378"/>
      <c r="R1232" s="378"/>
      <c r="S1232" s="378"/>
      <c r="T1232" s="378"/>
      <c r="U1232" s="378"/>
      <c r="V1232" s="378"/>
      <c r="W1232" s="378"/>
      <c r="X1232" s="378"/>
      <c r="Y1232" s="378"/>
      <c r="Z1232" s="378"/>
      <c r="AA1232" s="378"/>
      <c r="AB1232" s="378"/>
      <c r="AC1232" s="378"/>
      <c r="AD1232" s="378"/>
      <c r="AE1232" s="378"/>
      <c r="AF1232" s="378"/>
      <c r="AG1232" s="378"/>
    </row>
    <row r="1233">
      <c r="A1233" s="378"/>
      <c r="B1233" s="477"/>
      <c r="C1233" s="378"/>
      <c r="D1233" s="378"/>
      <c r="E1233" s="378"/>
      <c r="F1233" s="378"/>
      <c r="G1233" s="378"/>
      <c r="H1233" s="378"/>
      <c r="I1233" s="376"/>
      <c r="J1233" s="377"/>
      <c r="K1233" s="378"/>
      <c r="L1233" s="378"/>
      <c r="M1233" s="378"/>
      <c r="N1233" s="379"/>
      <c r="O1233" s="380"/>
      <c r="P1233" s="378"/>
      <c r="Q1233" s="378"/>
      <c r="R1233" s="378"/>
      <c r="S1233" s="378"/>
      <c r="T1233" s="378"/>
      <c r="U1233" s="378"/>
      <c r="V1233" s="378"/>
      <c r="W1233" s="378"/>
      <c r="X1233" s="378"/>
      <c r="Y1233" s="378"/>
      <c r="Z1233" s="378"/>
      <c r="AA1233" s="378"/>
      <c r="AB1233" s="378"/>
      <c r="AC1233" s="378"/>
      <c r="AD1233" s="378"/>
      <c r="AE1233" s="378"/>
      <c r="AF1233" s="378"/>
      <c r="AG1233" s="378"/>
    </row>
    <row r="1234">
      <c r="A1234" s="378"/>
      <c r="B1234" s="477"/>
      <c r="C1234" s="378"/>
      <c r="D1234" s="378"/>
      <c r="E1234" s="378"/>
      <c r="F1234" s="378"/>
      <c r="G1234" s="378"/>
      <c r="H1234" s="378"/>
      <c r="I1234" s="376"/>
      <c r="J1234" s="377"/>
      <c r="K1234" s="378"/>
      <c r="L1234" s="378"/>
      <c r="M1234" s="378"/>
      <c r="N1234" s="379"/>
      <c r="O1234" s="380"/>
      <c r="P1234" s="378"/>
      <c r="Q1234" s="378"/>
      <c r="R1234" s="378"/>
      <c r="S1234" s="378"/>
      <c r="T1234" s="378"/>
      <c r="U1234" s="378"/>
      <c r="V1234" s="378"/>
      <c r="W1234" s="378"/>
      <c r="X1234" s="378"/>
      <c r="Y1234" s="378"/>
      <c r="Z1234" s="378"/>
      <c r="AA1234" s="378"/>
      <c r="AB1234" s="378"/>
      <c r="AC1234" s="378"/>
      <c r="AD1234" s="378"/>
      <c r="AE1234" s="378"/>
      <c r="AF1234" s="378"/>
      <c r="AG1234" s="378"/>
    </row>
    <row r="1235">
      <c r="A1235" s="378"/>
      <c r="B1235" s="477"/>
      <c r="C1235" s="378"/>
      <c r="D1235" s="378"/>
      <c r="E1235" s="378"/>
      <c r="F1235" s="378"/>
      <c r="G1235" s="378"/>
      <c r="H1235" s="378"/>
      <c r="I1235" s="376"/>
      <c r="J1235" s="377"/>
      <c r="K1235" s="378"/>
      <c r="L1235" s="378"/>
      <c r="M1235" s="378"/>
      <c r="N1235" s="379"/>
      <c r="O1235" s="380"/>
      <c r="P1235" s="378"/>
      <c r="Q1235" s="378"/>
      <c r="R1235" s="378"/>
      <c r="S1235" s="378"/>
      <c r="T1235" s="378"/>
      <c r="U1235" s="378"/>
      <c r="V1235" s="378"/>
      <c r="W1235" s="378"/>
      <c r="X1235" s="378"/>
      <c r="Y1235" s="378"/>
      <c r="Z1235" s="378"/>
      <c r="AA1235" s="378"/>
      <c r="AB1235" s="378"/>
      <c r="AC1235" s="378"/>
      <c r="AD1235" s="378"/>
      <c r="AE1235" s="378"/>
      <c r="AF1235" s="378"/>
      <c r="AG1235" s="378"/>
    </row>
    <row r="1236">
      <c r="A1236" s="378"/>
      <c r="B1236" s="477"/>
      <c r="C1236" s="378"/>
      <c r="D1236" s="378"/>
      <c r="E1236" s="378"/>
      <c r="F1236" s="378"/>
      <c r="G1236" s="378"/>
      <c r="H1236" s="378"/>
      <c r="I1236" s="376"/>
      <c r="J1236" s="377"/>
      <c r="K1236" s="378"/>
      <c r="L1236" s="378"/>
      <c r="M1236" s="378"/>
      <c r="N1236" s="379"/>
      <c r="O1236" s="380"/>
      <c r="P1236" s="378"/>
      <c r="Q1236" s="378"/>
      <c r="R1236" s="378"/>
      <c r="S1236" s="378"/>
      <c r="T1236" s="378"/>
      <c r="U1236" s="378"/>
      <c r="V1236" s="378"/>
      <c r="W1236" s="378"/>
      <c r="X1236" s="378"/>
      <c r="Y1236" s="378"/>
      <c r="Z1236" s="378"/>
      <c r="AA1236" s="378"/>
      <c r="AB1236" s="378"/>
      <c r="AC1236" s="378"/>
      <c r="AD1236" s="378"/>
      <c r="AE1236" s="378"/>
      <c r="AF1236" s="378"/>
      <c r="AG1236" s="378"/>
    </row>
    <row r="1237">
      <c r="A1237" s="378"/>
      <c r="B1237" s="477"/>
      <c r="C1237" s="378"/>
      <c r="D1237" s="378"/>
      <c r="E1237" s="378"/>
      <c r="F1237" s="378"/>
      <c r="G1237" s="378"/>
      <c r="H1237" s="378"/>
      <c r="I1237" s="376"/>
      <c r="J1237" s="377"/>
      <c r="K1237" s="378"/>
      <c r="L1237" s="378"/>
      <c r="M1237" s="378"/>
      <c r="N1237" s="379"/>
      <c r="O1237" s="380"/>
      <c r="P1237" s="378"/>
      <c r="Q1237" s="378"/>
      <c r="R1237" s="378"/>
      <c r="S1237" s="378"/>
      <c r="T1237" s="378"/>
      <c r="U1237" s="378"/>
      <c r="V1237" s="378"/>
      <c r="W1237" s="378"/>
      <c r="X1237" s="378"/>
      <c r="Y1237" s="378"/>
      <c r="Z1237" s="378"/>
      <c r="AA1237" s="378"/>
      <c r="AB1237" s="378"/>
      <c r="AC1237" s="378"/>
      <c r="AD1237" s="378"/>
      <c r="AE1237" s="378"/>
      <c r="AF1237" s="378"/>
      <c r="AG1237" s="378"/>
    </row>
    <row r="1238">
      <c r="A1238" s="378"/>
      <c r="B1238" s="477"/>
      <c r="C1238" s="378"/>
      <c r="D1238" s="378"/>
      <c r="E1238" s="378"/>
      <c r="F1238" s="378"/>
      <c r="G1238" s="378"/>
      <c r="H1238" s="378"/>
      <c r="I1238" s="376"/>
      <c r="J1238" s="377"/>
      <c r="K1238" s="378"/>
      <c r="L1238" s="378"/>
      <c r="M1238" s="378"/>
      <c r="N1238" s="379"/>
      <c r="O1238" s="380"/>
      <c r="P1238" s="378"/>
      <c r="Q1238" s="378"/>
      <c r="R1238" s="378"/>
      <c r="S1238" s="378"/>
      <c r="T1238" s="378"/>
      <c r="U1238" s="378"/>
      <c r="V1238" s="378"/>
      <c r="W1238" s="378"/>
      <c r="X1238" s="378"/>
      <c r="Y1238" s="378"/>
      <c r="Z1238" s="378"/>
      <c r="AA1238" s="378"/>
      <c r="AB1238" s="378"/>
      <c r="AC1238" s="378"/>
      <c r="AD1238" s="378"/>
      <c r="AE1238" s="378"/>
      <c r="AF1238" s="378"/>
      <c r="AG1238" s="378"/>
    </row>
    <row r="1239">
      <c r="A1239" s="378"/>
      <c r="B1239" s="477"/>
      <c r="C1239" s="378"/>
      <c r="D1239" s="378"/>
      <c r="E1239" s="378"/>
      <c r="F1239" s="378"/>
      <c r="G1239" s="378"/>
      <c r="H1239" s="378"/>
      <c r="I1239" s="376"/>
      <c r="J1239" s="377"/>
      <c r="K1239" s="378"/>
      <c r="L1239" s="378"/>
      <c r="M1239" s="378"/>
      <c r="N1239" s="379"/>
      <c r="O1239" s="380"/>
      <c r="P1239" s="378"/>
      <c r="Q1239" s="378"/>
      <c r="R1239" s="378"/>
      <c r="S1239" s="378"/>
      <c r="T1239" s="378"/>
      <c r="U1239" s="378"/>
      <c r="V1239" s="378"/>
      <c r="W1239" s="378"/>
      <c r="X1239" s="378"/>
      <c r="Y1239" s="378"/>
      <c r="Z1239" s="378"/>
      <c r="AA1239" s="378"/>
      <c r="AB1239" s="378"/>
      <c r="AC1239" s="378"/>
      <c r="AD1239" s="378"/>
      <c r="AE1239" s="378"/>
      <c r="AF1239" s="378"/>
      <c r="AG1239" s="378"/>
    </row>
    <row r="1240">
      <c r="A1240" s="378"/>
      <c r="B1240" s="477"/>
      <c r="C1240" s="378"/>
      <c r="D1240" s="378"/>
      <c r="E1240" s="378"/>
      <c r="F1240" s="378"/>
      <c r="G1240" s="378"/>
      <c r="H1240" s="378"/>
      <c r="I1240" s="376"/>
      <c r="J1240" s="377"/>
      <c r="K1240" s="378"/>
      <c r="L1240" s="378"/>
      <c r="M1240" s="378"/>
      <c r="N1240" s="379"/>
      <c r="O1240" s="380"/>
      <c r="P1240" s="378"/>
      <c r="Q1240" s="378"/>
      <c r="R1240" s="378"/>
      <c r="S1240" s="378"/>
      <c r="T1240" s="378"/>
      <c r="U1240" s="378"/>
      <c r="V1240" s="378"/>
      <c r="W1240" s="378"/>
      <c r="X1240" s="378"/>
      <c r="Y1240" s="378"/>
      <c r="Z1240" s="378"/>
      <c r="AA1240" s="378"/>
      <c r="AB1240" s="378"/>
      <c r="AC1240" s="378"/>
      <c r="AD1240" s="378"/>
      <c r="AE1240" s="378"/>
      <c r="AF1240" s="378"/>
      <c r="AG1240" s="378"/>
    </row>
    <row r="1241">
      <c r="A1241" s="378"/>
      <c r="B1241" s="477"/>
      <c r="C1241" s="378"/>
      <c r="D1241" s="378"/>
      <c r="E1241" s="378"/>
      <c r="F1241" s="378"/>
      <c r="G1241" s="378"/>
      <c r="H1241" s="378"/>
      <c r="I1241" s="376"/>
      <c r="J1241" s="377"/>
      <c r="K1241" s="378"/>
      <c r="L1241" s="378"/>
      <c r="M1241" s="378"/>
      <c r="N1241" s="379"/>
      <c r="O1241" s="380"/>
      <c r="P1241" s="378"/>
      <c r="Q1241" s="378"/>
      <c r="R1241" s="378"/>
      <c r="S1241" s="378"/>
      <c r="T1241" s="378"/>
      <c r="U1241" s="378"/>
      <c r="V1241" s="378"/>
      <c r="W1241" s="378"/>
      <c r="X1241" s="378"/>
      <c r="Y1241" s="378"/>
      <c r="Z1241" s="378"/>
      <c r="AA1241" s="378"/>
      <c r="AB1241" s="378"/>
      <c r="AC1241" s="378"/>
      <c r="AD1241" s="378"/>
      <c r="AE1241" s="378"/>
      <c r="AF1241" s="378"/>
      <c r="AG1241" s="378"/>
    </row>
    <row r="1242">
      <c r="A1242" s="378"/>
      <c r="B1242" s="477"/>
      <c r="C1242" s="378"/>
      <c r="D1242" s="378"/>
      <c r="E1242" s="378"/>
      <c r="F1242" s="378"/>
      <c r="G1242" s="378"/>
      <c r="H1242" s="378"/>
      <c r="I1242" s="376"/>
      <c r="J1242" s="377"/>
      <c r="K1242" s="378"/>
      <c r="L1242" s="378"/>
      <c r="M1242" s="378"/>
      <c r="N1242" s="379"/>
      <c r="O1242" s="380"/>
      <c r="P1242" s="378"/>
      <c r="Q1242" s="378"/>
      <c r="R1242" s="378"/>
      <c r="S1242" s="378"/>
      <c r="T1242" s="378"/>
      <c r="U1242" s="378"/>
      <c r="V1242" s="378"/>
      <c r="W1242" s="378"/>
      <c r="X1242" s="378"/>
      <c r="Y1242" s="378"/>
      <c r="Z1242" s="378"/>
      <c r="AA1242" s="378"/>
      <c r="AB1242" s="378"/>
      <c r="AC1242" s="378"/>
      <c r="AD1242" s="378"/>
      <c r="AE1242" s="378"/>
      <c r="AF1242" s="378"/>
      <c r="AG1242" s="378"/>
    </row>
    <row r="1243">
      <c r="A1243" s="378"/>
      <c r="B1243" s="477"/>
      <c r="C1243" s="378"/>
      <c r="D1243" s="378"/>
      <c r="E1243" s="378"/>
      <c r="F1243" s="378"/>
      <c r="G1243" s="378"/>
      <c r="H1243" s="378"/>
      <c r="I1243" s="376"/>
      <c r="J1243" s="377"/>
      <c r="K1243" s="378"/>
      <c r="L1243" s="378"/>
      <c r="M1243" s="378"/>
      <c r="N1243" s="379"/>
      <c r="O1243" s="380"/>
      <c r="P1243" s="378"/>
      <c r="Q1243" s="378"/>
      <c r="R1243" s="378"/>
      <c r="S1243" s="378"/>
      <c r="T1243" s="378"/>
      <c r="U1243" s="378"/>
      <c r="V1243" s="378"/>
      <c r="W1243" s="378"/>
      <c r="X1243" s="378"/>
      <c r="Y1243" s="378"/>
      <c r="Z1243" s="378"/>
      <c r="AA1243" s="378"/>
      <c r="AB1243" s="378"/>
      <c r="AC1243" s="378"/>
      <c r="AD1243" s="378"/>
      <c r="AE1243" s="378"/>
      <c r="AF1243" s="378"/>
      <c r="AG1243" s="378"/>
    </row>
    <row r="1244">
      <c r="A1244" s="378"/>
      <c r="B1244" s="477"/>
      <c r="C1244" s="378"/>
      <c r="D1244" s="378"/>
      <c r="E1244" s="378"/>
      <c r="F1244" s="378"/>
      <c r="G1244" s="378"/>
      <c r="H1244" s="378"/>
      <c r="I1244" s="376"/>
      <c r="J1244" s="377"/>
      <c r="K1244" s="378"/>
      <c r="L1244" s="378"/>
      <c r="M1244" s="378"/>
      <c r="N1244" s="379"/>
      <c r="O1244" s="380"/>
      <c r="P1244" s="378"/>
      <c r="Q1244" s="378"/>
      <c r="R1244" s="378"/>
      <c r="S1244" s="378"/>
      <c r="T1244" s="378"/>
      <c r="U1244" s="378"/>
      <c r="V1244" s="378"/>
      <c r="W1244" s="378"/>
      <c r="X1244" s="378"/>
      <c r="Y1244" s="378"/>
      <c r="Z1244" s="378"/>
      <c r="AA1244" s="378"/>
      <c r="AB1244" s="378"/>
      <c r="AC1244" s="378"/>
      <c r="AD1244" s="378"/>
      <c r="AE1244" s="378"/>
      <c r="AF1244" s="378"/>
      <c r="AG1244" s="378"/>
    </row>
    <row r="1245">
      <c r="A1245" s="378"/>
      <c r="B1245" s="477"/>
      <c r="C1245" s="378"/>
      <c r="D1245" s="378"/>
      <c r="E1245" s="378"/>
      <c r="F1245" s="378"/>
      <c r="G1245" s="378"/>
      <c r="H1245" s="378"/>
      <c r="I1245" s="376"/>
      <c r="J1245" s="377"/>
      <c r="K1245" s="378"/>
      <c r="L1245" s="378"/>
      <c r="M1245" s="378"/>
      <c r="N1245" s="379"/>
      <c r="O1245" s="380"/>
      <c r="P1245" s="378"/>
      <c r="Q1245" s="378"/>
      <c r="R1245" s="378"/>
      <c r="S1245" s="378"/>
      <c r="T1245" s="378"/>
      <c r="U1245" s="378"/>
      <c r="V1245" s="378"/>
      <c r="W1245" s="378"/>
      <c r="X1245" s="378"/>
      <c r="Y1245" s="378"/>
      <c r="Z1245" s="378"/>
      <c r="AA1245" s="378"/>
      <c r="AB1245" s="378"/>
      <c r="AC1245" s="378"/>
      <c r="AD1245" s="378"/>
      <c r="AE1245" s="378"/>
      <c r="AF1245" s="378"/>
      <c r="AG1245" s="378"/>
    </row>
    <row r="1246">
      <c r="A1246" s="378"/>
      <c r="B1246" s="477"/>
      <c r="C1246" s="378"/>
      <c r="D1246" s="378"/>
      <c r="E1246" s="378"/>
      <c r="F1246" s="378"/>
      <c r="G1246" s="378"/>
      <c r="H1246" s="378"/>
      <c r="I1246" s="376"/>
      <c r="J1246" s="377"/>
      <c r="K1246" s="378"/>
      <c r="L1246" s="378"/>
      <c r="M1246" s="378"/>
      <c r="N1246" s="379"/>
      <c r="O1246" s="380"/>
      <c r="P1246" s="378"/>
      <c r="Q1246" s="378"/>
      <c r="R1246" s="378"/>
      <c r="S1246" s="378"/>
      <c r="T1246" s="378"/>
      <c r="U1246" s="378"/>
      <c r="V1246" s="378"/>
      <c r="W1246" s="378"/>
      <c r="X1246" s="378"/>
      <c r="Y1246" s="378"/>
      <c r="Z1246" s="378"/>
      <c r="AA1246" s="378"/>
      <c r="AB1246" s="378"/>
      <c r="AC1246" s="378"/>
      <c r="AD1246" s="378"/>
      <c r="AE1246" s="378"/>
      <c r="AF1246" s="378"/>
      <c r="AG1246" s="378"/>
    </row>
    <row r="1247">
      <c r="A1247" s="378"/>
      <c r="B1247" s="477"/>
      <c r="C1247" s="378"/>
      <c r="D1247" s="378"/>
      <c r="E1247" s="378"/>
      <c r="F1247" s="378"/>
      <c r="G1247" s="378"/>
      <c r="H1247" s="378"/>
      <c r="I1247" s="376"/>
      <c r="J1247" s="377"/>
      <c r="K1247" s="378"/>
      <c r="L1247" s="378"/>
      <c r="M1247" s="378"/>
      <c r="N1247" s="379"/>
      <c r="O1247" s="380"/>
      <c r="P1247" s="378"/>
      <c r="Q1247" s="378"/>
      <c r="R1247" s="378"/>
      <c r="S1247" s="378"/>
      <c r="T1247" s="378"/>
      <c r="U1247" s="378"/>
      <c r="V1247" s="378"/>
      <c r="W1247" s="378"/>
      <c r="X1247" s="378"/>
      <c r="Y1247" s="378"/>
      <c r="Z1247" s="378"/>
      <c r="AA1247" s="378"/>
      <c r="AB1247" s="378"/>
      <c r="AC1247" s="378"/>
      <c r="AD1247" s="378"/>
      <c r="AE1247" s="378"/>
      <c r="AF1247" s="378"/>
      <c r="AG1247" s="378"/>
    </row>
    <row r="1248">
      <c r="A1248" s="378"/>
      <c r="B1248" s="477"/>
      <c r="C1248" s="378"/>
      <c r="D1248" s="378"/>
      <c r="E1248" s="378"/>
      <c r="F1248" s="378"/>
      <c r="G1248" s="378"/>
      <c r="H1248" s="378"/>
      <c r="I1248" s="376"/>
      <c r="J1248" s="377"/>
      <c r="K1248" s="378"/>
      <c r="L1248" s="378"/>
      <c r="M1248" s="378"/>
      <c r="N1248" s="379"/>
      <c r="O1248" s="380"/>
      <c r="P1248" s="378"/>
      <c r="Q1248" s="378"/>
      <c r="R1248" s="378"/>
      <c r="S1248" s="378"/>
      <c r="T1248" s="378"/>
      <c r="U1248" s="378"/>
      <c r="V1248" s="378"/>
      <c r="W1248" s="378"/>
      <c r="X1248" s="378"/>
      <c r="Y1248" s="378"/>
      <c r="Z1248" s="378"/>
      <c r="AA1248" s="378"/>
      <c r="AB1248" s="378"/>
      <c r="AC1248" s="378"/>
      <c r="AD1248" s="378"/>
      <c r="AE1248" s="378"/>
      <c r="AF1248" s="378"/>
      <c r="AG1248" s="378"/>
    </row>
    <row r="1249">
      <c r="A1249" s="378"/>
      <c r="B1249" s="477"/>
      <c r="C1249" s="378"/>
      <c r="D1249" s="378"/>
      <c r="E1249" s="378"/>
      <c r="F1249" s="378"/>
      <c r="G1249" s="378"/>
      <c r="H1249" s="378"/>
      <c r="I1249" s="376"/>
      <c r="J1249" s="377"/>
      <c r="K1249" s="378"/>
      <c r="L1249" s="378"/>
      <c r="M1249" s="378"/>
      <c r="N1249" s="379"/>
      <c r="O1249" s="380"/>
      <c r="P1249" s="378"/>
      <c r="Q1249" s="378"/>
      <c r="R1249" s="378"/>
      <c r="S1249" s="378"/>
      <c r="T1249" s="378"/>
      <c r="U1249" s="378"/>
      <c r="V1249" s="378"/>
      <c r="W1249" s="378"/>
      <c r="X1249" s="378"/>
      <c r="Y1249" s="378"/>
      <c r="Z1249" s="378"/>
      <c r="AA1249" s="378"/>
      <c r="AB1249" s="378"/>
      <c r="AC1249" s="378"/>
      <c r="AD1249" s="378"/>
      <c r="AE1249" s="378"/>
      <c r="AF1249" s="378"/>
      <c r="AG1249" s="378"/>
    </row>
    <row r="1250">
      <c r="A1250" s="378"/>
      <c r="B1250" s="477"/>
      <c r="C1250" s="378"/>
      <c r="D1250" s="378"/>
      <c r="E1250" s="378"/>
      <c r="F1250" s="378"/>
      <c r="G1250" s="378"/>
      <c r="H1250" s="378"/>
      <c r="I1250" s="376"/>
      <c r="J1250" s="377"/>
      <c r="K1250" s="378"/>
      <c r="L1250" s="378"/>
      <c r="M1250" s="378"/>
      <c r="N1250" s="379"/>
      <c r="O1250" s="380"/>
      <c r="P1250" s="378"/>
      <c r="Q1250" s="378"/>
      <c r="R1250" s="378"/>
      <c r="S1250" s="378"/>
      <c r="T1250" s="378"/>
      <c r="U1250" s="378"/>
      <c r="V1250" s="378"/>
      <c r="W1250" s="378"/>
      <c r="X1250" s="378"/>
      <c r="Y1250" s="378"/>
      <c r="Z1250" s="378"/>
      <c r="AA1250" s="378"/>
      <c r="AB1250" s="378"/>
      <c r="AC1250" s="378"/>
      <c r="AD1250" s="378"/>
      <c r="AE1250" s="378"/>
      <c r="AF1250" s="378"/>
      <c r="AG1250" s="378"/>
    </row>
    <row r="1251">
      <c r="A1251" s="378"/>
      <c r="B1251" s="477"/>
      <c r="C1251" s="378"/>
      <c r="D1251" s="378"/>
      <c r="E1251" s="378"/>
      <c r="F1251" s="378"/>
      <c r="G1251" s="378"/>
      <c r="H1251" s="378"/>
      <c r="I1251" s="376"/>
      <c r="J1251" s="377"/>
      <c r="K1251" s="378"/>
      <c r="L1251" s="378"/>
      <c r="M1251" s="378"/>
      <c r="N1251" s="379"/>
      <c r="O1251" s="380"/>
      <c r="P1251" s="378"/>
      <c r="Q1251" s="378"/>
      <c r="R1251" s="378"/>
      <c r="S1251" s="378"/>
      <c r="T1251" s="378"/>
      <c r="U1251" s="378"/>
      <c r="V1251" s="378"/>
      <c r="W1251" s="378"/>
      <c r="X1251" s="378"/>
      <c r="Y1251" s="378"/>
      <c r="Z1251" s="378"/>
      <c r="AA1251" s="378"/>
      <c r="AB1251" s="378"/>
      <c r="AC1251" s="378"/>
      <c r="AD1251" s="378"/>
      <c r="AE1251" s="378"/>
      <c r="AF1251" s="378"/>
      <c r="AG1251" s="378"/>
    </row>
    <row r="1252">
      <c r="A1252" s="378"/>
      <c r="B1252" s="477"/>
      <c r="C1252" s="378"/>
      <c r="D1252" s="378"/>
      <c r="E1252" s="378"/>
      <c r="F1252" s="378"/>
      <c r="G1252" s="378"/>
      <c r="H1252" s="378"/>
      <c r="I1252" s="376"/>
      <c r="J1252" s="377"/>
      <c r="K1252" s="378"/>
      <c r="L1252" s="378"/>
      <c r="M1252" s="378"/>
      <c r="N1252" s="379"/>
      <c r="O1252" s="380"/>
      <c r="P1252" s="378"/>
      <c r="Q1252" s="378"/>
      <c r="R1252" s="378"/>
      <c r="S1252" s="378"/>
      <c r="T1252" s="378"/>
      <c r="U1252" s="378"/>
      <c r="V1252" s="378"/>
      <c r="W1252" s="378"/>
      <c r="X1252" s="378"/>
      <c r="Y1252" s="378"/>
      <c r="Z1252" s="378"/>
      <c r="AA1252" s="378"/>
      <c r="AB1252" s="378"/>
      <c r="AC1252" s="378"/>
      <c r="AD1252" s="378"/>
      <c r="AE1252" s="378"/>
      <c r="AF1252" s="378"/>
      <c r="AG1252" s="378"/>
    </row>
    <row r="1253">
      <c r="A1253" s="378"/>
      <c r="B1253" s="477"/>
      <c r="C1253" s="378"/>
      <c r="D1253" s="378"/>
      <c r="E1253" s="378"/>
      <c r="F1253" s="378"/>
      <c r="G1253" s="378"/>
      <c r="H1253" s="378"/>
      <c r="I1253" s="376"/>
      <c r="J1253" s="377"/>
      <c r="K1253" s="378"/>
      <c r="L1253" s="378"/>
      <c r="M1253" s="378"/>
      <c r="N1253" s="379"/>
      <c r="O1253" s="380"/>
      <c r="P1253" s="378"/>
      <c r="Q1253" s="378"/>
      <c r="R1253" s="378"/>
      <c r="S1253" s="378"/>
      <c r="T1253" s="378"/>
      <c r="U1253" s="378"/>
      <c r="V1253" s="378"/>
      <c r="W1253" s="378"/>
      <c r="X1253" s="378"/>
      <c r="Y1253" s="378"/>
      <c r="Z1253" s="378"/>
      <c r="AA1253" s="378"/>
      <c r="AB1253" s="378"/>
      <c r="AC1253" s="378"/>
      <c r="AD1253" s="378"/>
      <c r="AE1253" s="378"/>
      <c r="AF1253" s="378"/>
      <c r="AG1253" s="378"/>
    </row>
    <row r="1254">
      <c r="A1254" s="378"/>
      <c r="B1254" s="477"/>
      <c r="C1254" s="378"/>
      <c r="D1254" s="378"/>
      <c r="E1254" s="378"/>
      <c r="F1254" s="378"/>
      <c r="G1254" s="378"/>
      <c r="H1254" s="378"/>
      <c r="I1254" s="376"/>
      <c r="J1254" s="377"/>
      <c r="K1254" s="378"/>
      <c r="L1254" s="378"/>
      <c r="M1254" s="378"/>
      <c r="N1254" s="379"/>
      <c r="O1254" s="380"/>
      <c r="P1254" s="378"/>
      <c r="Q1254" s="378"/>
      <c r="R1254" s="378"/>
      <c r="S1254" s="378"/>
      <c r="T1254" s="378"/>
      <c r="U1254" s="378"/>
      <c r="V1254" s="378"/>
      <c r="W1254" s="378"/>
      <c r="X1254" s="378"/>
      <c r="Y1254" s="378"/>
      <c r="Z1254" s="378"/>
      <c r="AA1254" s="378"/>
      <c r="AB1254" s="378"/>
      <c r="AC1254" s="378"/>
      <c r="AD1254" s="378"/>
      <c r="AE1254" s="378"/>
      <c r="AF1254" s="378"/>
      <c r="AG1254" s="378"/>
    </row>
    <row r="1255">
      <c r="A1255" s="378"/>
      <c r="B1255" s="477"/>
      <c r="C1255" s="378"/>
      <c r="D1255" s="378"/>
      <c r="E1255" s="378"/>
      <c r="F1255" s="378"/>
      <c r="G1255" s="378"/>
      <c r="H1255" s="378"/>
      <c r="I1255" s="376"/>
      <c r="J1255" s="377"/>
      <c r="K1255" s="378"/>
      <c r="L1255" s="378"/>
      <c r="M1255" s="378"/>
      <c r="N1255" s="379"/>
      <c r="O1255" s="380"/>
      <c r="P1255" s="378"/>
      <c r="Q1255" s="378"/>
      <c r="R1255" s="378"/>
      <c r="S1255" s="378"/>
      <c r="T1255" s="378"/>
      <c r="U1255" s="378"/>
      <c r="V1255" s="378"/>
      <c r="W1255" s="378"/>
      <c r="X1255" s="378"/>
      <c r="Y1255" s="378"/>
      <c r="Z1255" s="378"/>
      <c r="AA1255" s="378"/>
      <c r="AB1255" s="378"/>
      <c r="AC1255" s="378"/>
      <c r="AD1255" s="378"/>
      <c r="AE1255" s="378"/>
      <c r="AF1255" s="378"/>
      <c r="AG1255" s="378"/>
    </row>
    <row r="1256">
      <c r="A1256" s="378"/>
      <c r="B1256" s="477"/>
      <c r="C1256" s="378"/>
      <c r="D1256" s="378"/>
      <c r="E1256" s="378"/>
      <c r="F1256" s="378"/>
      <c r="G1256" s="378"/>
      <c r="H1256" s="378"/>
      <c r="I1256" s="376"/>
      <c r="J1256" s="377"/>
      <c r="K1256" s="378"/>
      <c r="L1256" s="378"/>
      <c r="M1256" s="378"/>
      <c r="N1256" s="379"/>
      <c r="O1256" s="380"/>
      <c r="P1256" s="378"/>
      <c r="Q1256" s="378"/>
      <c r="R1256" s="378"/>
      <c r="S1256" s="378"/>
      <c r="T1256" s="378"/>
      <c r="U1256" s="378"/>
      <c r="V1256" s="378"/>
      <c r="W1256" s="378"/>
      <c r="X1256" s="378"/>
      <c r="Y1256" s="378"/>
      <c r="Z1256" s="378"/>
      <c r="AA1256" s="378"/>
      <c r="AB1256" s="378"/>
      <c r="AC1256" s="378"/>
      <c r="AD1256" s="378"/>
      <c r="AE1256" s="378"/>
      <c r="AF1256" s="378"/>
      <c r="AG1256" s="378"/>
    </row>
    <row r="1257">
      <c r="A1257" s="378"/>
      <c r="B1257" s="477"/>
      <c r="C1257" s="378"/>
      <c r="D1257" s="378"/>
      <c r="E1257" s="378"/>
      <c r="F1257" s="378"/>
      <c r="G1257" s="378"/>
      <c r="H1257" s="378"/>
      <c r="I1257" s="376"/>
      <c r="J1257" s="377"/>
      <c r="K1257" s="378"/>
      <c r="L1257" s="378"/>
      <c r="M1257" s="378"/>
      <c r="N1257" s="379"/>
      <c r="O1257" s="380"/>
      <c r="P1257" s="378"/>
      <c r="Q1257" s="378"/>
      <c r="R1257" s="378"/>
      <c r="S1257" s="378"/>
      <c r="T1257" s="378"/>
      <c r="U1257" s="378"/>
      <c r="V1257" s="378"/>
      <c r="W1257" s="378"/>
      <c r="X1257" s="378"/>
      <c r="Y1257" s="378"/>
      <c r="Z1257" s="378"/>
      <c r="AA1257" s="378"/>
      <c r="AB1257" s="378"/>
      <c r="AC1257" s="378"/>
      <c r="AD1257" s="378"/>
      <c r="AE1257" s="378"/>
      <c r="AF1257" s="378"/>
      <c r="AG1257" s="378"/>
    </row>
    <row r="1258">
      <c r="A1258" s="378"/>
      <c r="B1258" s="477"/>
      <c r="C1258" s="378"/>
      <c r="D1258" s="378"/>
      <c r="E1258" s="378"/>
      <c r="F1258" s="378"/>
      <c r="G1258" s="378"/>
      <c r="H1258" s="378"/>
      <c r="I1258" s="376"/>
      <c r="J1258" s="377"/>
      <c r="K1258" s="378"/>
      <c r="L1258" s="378"/>
      <c r="M1258" s="378"/>
      <c r="N1258" s="379"/>
      <c r="O1258" s="380"/>
      <c r="P1258" s="378"/>
      <c r="Q1258" s="378"/>
      <c r="R1258" s="378"/>
      <c r="S1258" s="378"/>
      <c r="T1258" s="378"/>
      <c r="U1258" s="378"/>
      <c r="V1258" s="378"/>
      <c r="W1258" s="378"/>
      <c r="X1258" s="378"/>
      <c r="Y1258" s="378"/>
      <c r="Z1258" s="378"/>
      <c r="AA1258" s="378"/>
      <c r="AB1258" s="378"/>
      <c r="AC1258" s="378"/>
      <c r="AD1258" s="378"/>
      <c r="AE1258" s="378"/>
      <c r="AF1258" s="378"/>
      <c r="AG1258" s="378"/>
    </row>
    <row r="1259">
      <c r="A1259" s="378"/>
      <c r="B1259" s="477"/>
      <c r="C1259" s="378"/>
      <c r="D1259" s="378"/>
      <c r="E1259" s="378"/>
      <c r="F1259" s="378"/>
      <c r="G1259" s="378"/>
      <c r="H1259" s="378"/>
      <c r="I1259" s="376"/>
      <c r="J1259" s="377"/>
      <c r="K1259" s="378"/>
      <c r="L1259" s="378"/>
      <c r="M1259" s="378"/>
      <c r="N1259" s="379"/>
      <c r="O1259" s="380"/>
      <c r="P1259" s="378"/>
      <c r="Q1259" s="378"/>
      <c r="R1259" s="378"/>
      <c r="S1259" s="378"/>
      <c r="T1259" s="378"/>
      <c r="U1259" s="378"/>
      <c r="V1259" s="378"/>
      <c r="W1259" s="378"/>
      <c r="X1259" s="378"/>
      <c r="Y1259" s="378"/>
      <c r="Z1259" s="378"/>
      <c r="AA1259" s="378"/>
      <c r="AB1259" s="378"/>
      <c r="AC1259" s="378"/>
      <c r="AD1259" s="378"/>
      <c r="AE1259" s="378"/>
      <c r="AF1259" s="378"/>
      <c r="AG1259" s="378"/>
    </row>
    <row r="1260">
      <c r="A1260" s="378"/>
      <c r="B1260" s="477"/>
      <c r="C1260" s="378"/>
      <c r="D1260" s="378"/>
      <c r="E1260" s="378"/>
      <c r="F1260" s="378"/>
      <c r="G1260" s="378"/>
      <c r="H1260" s="378"/>
      <c r="I1260" s="376"/>
      <c r="J1260" s="377"/>
      <c r="K1260" s="378"/>
      <c r="L1260" s="378"/>
      <c r="M1260" s="378"/>
      <c r="N1260" s="379"/>
      <c r="O1260" s="380"/>
      <c r="P1260" s="378"/>
      <c r="Q1260" s="378"/>
      <c r="R1260" s="378"/>
      <c r="S1260" s="378"/>
      <c r="T1260" s="378"/>
      <c r="U1260" s="378"/>
      <c r="V1260" s="378"/>
      <c r="W1260" s="378"/>
      <c r="X1260" s="378"/>
      <c r="Y1260" s="378"/>
      <c r="Z1260" s="378"/>
      <c r="AA1260" s="378"/>
      <c r="AB1260" s="378"/>
      <c r="AC1260" s="378"/>
      <c r="AD1260" s="378"/>
      <c r="AE1260" s="378"/>
      <c r="AF1260" s="378"/>
      <c r="AG1260" s="378"/>
    </row>
    <row r="1261">
      <c r="A1261" s="378"/>
      <c r="B1261" s="477"/>
      <c r="C1261" s="378"/>
      <c r="D1261" s="378"/>
      <c r="E1261" s="378"/>
      <c r="F1261" s="378"/>
      <c r="G1261" s="378"/>
      <c r="H1261" s="378"/>
      <c r="I1261" s="376"/>
      <c r="J1261" s="377"/>
      <c r="K1261" s="378"/>
      <c r="L1261" s="378"/>
      <c r="M1261" s="378"/>
      <c r="N1261" s="379"/>
      <c r="O1261" s="380"/>
      <c r="P1261" s="378"/>
      <c r="Q1261" s="378"/>
      <c r="R1261" s="378"/>
      <c r="S1261" s="378"/>
      <c r="T1261" s="378"/>
      <c r="U1261" s="378"/>
      <c r="V1261" s="378"/>
      <c r="W1261" s="378"/>
      <c r="X1261" s="378"/>
      <c r="Y1261" s="378"/>
      <c r="Z1261" s="378"/>
      <c r="AA1261" s="378"/>
      <c r="AB1261" s="378"/>
      <c r="AC1261" s="378"/>
      <c r="AD1261" s="378"/>
      <c r="AE1261" s="378"/>
      <c r="AF1261" s="378"/>
      <c r="AG1261" s="378"/>
    </row>
    <row r="1262">
      <c r="A1262" s="378"/>
      <c r="B1262" s="477"/>
      <c r="C1262" s="378"/>
      <c r="D1262" s="378"/>
      <c r="E1262" s="378"/>
      <c r="F1262" s="378"/>
      <c r="G1262" s="378"/>
      <c r="H1262" s="378"/>
      <c r="I1262" s="376"/>
      <c r="J1262" s="377"/>
      <c r="K1262" s="378"/>
      <c r="L1262" s="378"/>
      <c r="M1262" s="378"/>
      <c r="N1262" s="379"/>
      <c r="O1262" s="380"/>
      <c r="P1262" s="378"/>
      <c r="Q1262" s="378"/>
      <c r="R1262" s="378"/>
      <c r="S1262" s="378"/>
      <c r="T1262" s="378"/>
      <c r="U1262" s="378"/>
      <c r="V1262" s="378"/>
      <c r="W1262" s="378"/>
      <c r="X1262" s="378"/>
      <c r="Y1262" s="378"/>
      <c r="Z1262" s="378"/>
      <c r="AA1262" s="378"/>
      <c r="AB1262" s="378"/>
      <c r="AC1262" s="378"/>
      <c r="AD1262" s="378"/>
      <c r="AE1262" s="378"/>
      <c r="AF1262" s="378"/>
      <c r="AG1262" s="378"/>
    </row>
    <row r="1263">
      <c r="A1263" s="378"/>
      <c r="B1263" s="477"/>
      <c r="C1263" s="378"/>
      <c r="D1263" s="378"/>
      <c r="E1263" s="378"/>
      <c r="F1263" s="378"/>
      <c r="G1263" s="378"/>
      <c r="H1263" s="378"/>
      <c r="I1263" s="376"/>
      <c r="J1263" s="377"/>
      <c r="K1263" s="378"/>
      <c r="L1263" s="378"/>
      <c r="M1263" s="378"/>
      <c r="N1263" s="379"/>
      <c r="O1263" s="380"/>
      <c r="P1263" s="378"/>
      <c r="Q1263" s="378"/>
      <c r="R1263" s="378"/>
      <c r="S1263" s="378"/>
      <c r="T1263" s="378"/>
      <c r="U1263" s="378"/>
      <c r="V1263" s="378"/>
      <c r="W1263" s="378"/>
      <c r="X1263" s="378"/>
      <c r="Y1263" s="378"/>
      <c r="Z1263" s="378"/>
      <c r="AA1263" s="378"/>
      <c r="AB1263" s="378"/>
      <c r="AC1263" s="378"/>
      <c r="AD1263" s="378"/>
      <c r="AE1263" s="378"/>
      <c r="AF1263" s="378"/>
      <c r="AG1263" s="378"/>
    </row>
    <row r="1264">
      <c r="A1264" s="378"/>
      <c r="B1264" s="477"/>
      <c r="C1264" s="378"/>
      <c r="D1264" s="378"/>
      <c r="E1264" s="378"/>
      <c r="F1264" s="378"/>
      <c r="G1264" s="378"/>
      <c r="H1264" s="378"/>
      <c r="I1264" s="376"/>
      <c r="J1264" s="377"/>
      <c r="K1264" s="378"/>
      <c r="L1264" s="378"/>
      <c r="M1264" s="378"/>
      <c r="N1264" s="379"/>
      <c r="O1264" s="380"/>
      <c r="P1264" s="378"/>
      <c r="Q1264" s="378"/>
      <c r="R1264" s="378"/>
      <c r="S1264" s="378"/>
      <c r="T1264" s="378"/>
      <c r="U1264" s="378"/>
      <c r="V1264" s="378"/>
      <c r="W1264" s="378"/>
      <c r="X1264" s="378"/>
      <c r="Y1264" s="378"/>
      <c r="Z1264" s="378"/>
      <c r="AA1264" s="378"/>
      <c r="AB1264" s="378"/>
      <c r="AC1264" s="378"/>
      <c r="AD1264" s="378"/>
      <c r="AE1264" s="378"/>
      <c r="AF1264" s="378"/>
      <c r="AG1264" s="378"/>
    </row>
    <row r="1265">
      <c r="A1265" s="378"/>
      <c r="B1265" s="477"/>
      <c r="C1265" s="378"/>
      <c r="D1265" s="378"/>
      <c r="E1265" s="378"/>
      <c r="F1265" s="378"/>
      <c r="G1265" s="378"/>
      <c r="H1265" s="378"/>
      <c r="I1265" s="376"/>
      <c r="J1265" s="377"/>
      <c r="K1265" s="378"/>
      <c r="L1265" s="378"/>
      <c r="M1265" s="378"/>
      <c r="N1265" s="379"/>
      <c r="O1265" s="380"/>
      <c r="P1265" s="378"/>
      <c r="Q1265" s="378"/>
      <c r="R1265" s="378"/>
      <c r="S1265" s="378"/>
      <c r="T1265" s="378"/>
      <c r="U1265" s="378"/>
      <c r="V1265" s="378"/>
      <c r="W1265" s="378"/>
      <c r="X1265" s="378"/>
      <c r="Y1265" s="378"/>
      <c r="Z1265" s="378"/>
      <c r="AA1265" s="378"/>
      <c r="AB1265" s="378"/>
      <c r="AC1265" s="378"/>
      <c r="AD1265" s="378"/>
      <c r="AE1265" s="378"/>
      <c r="AF1265" s="378"/>
      <c r="AG1265" s="378"/>
    </row>
    <row r="1266">
      <c r="A1266" s="378"/>
      <c r="B1266" s="477"/>
      <c r="C1266" s="378"/>
      <c r="D1266" s="378"/>
      <c r="E1266" s="378"/>
      <c r="F1266" s="378"/>
      <c r="G1266" s="378"/>
      <c r="H1266" s="378"/>
      <c r="I1266" s="376"/>
      <c r="J1266" s="377"/>
      <c r="K1266" s="378"/>
      <c r="L1266" s="378"/>
      <c r="M1266" s="378"/>
      <c r="N1266" s="379"/>
      <c r="O1266" s="380"/>
      <c r="P1266" s="378"/>
      <c r="Q1266" s="378"/>
      <c r="R1266" s="378"/>
      <c r="S1266" s="378"/>
      <c r="T1266" s="378"/>
      <c r="U1266" s="378"/>
      <c r="V1266" s="378"/>
      <c r="W1266" s="378"/>
      <c r="X1266" s="378"/>
      <c r="Y1266" s="378"/>
      <c r="Z1266" s="378"/>
      <c r="AA1266" s="378"/>
      <c r="AB1266" s="378"/>
      <c r="AC1266" s="378"/>
      <c r="AD1266" s="378"/>
      <c r="AE1266" s="378"/>
      <c r="AF1266" s="378"/>
      <c r="AG1266" s="378"/>
    </row>
    <row r="1267">
      <c r="A1267" s="378"/>
      <c r="B1267" s="477"/>
      <c r="C1267" s="378"/>
      <c r="D1267" s="378"/>
      <c r="E1267" s="378"/>
      <c r="F1267" s="378"/>
      <c r="G1267" s="378"/>
      <c r="H1267" s="378"/>
      <c r="I1267" s="376"/>
      <c r="J1267" s="377"/>
      <c r="K1267" s="378"/>
      <c r="L1267" s="378"/>
      <c r="M1267" s="378"/>
      <c r="N1267" s="379"/>
      <c r="O1267" s="380"/>
      <c r="P1267" s="378"/>
      <c r="Q1267" s="378"/>
      <c r="R1267" s="378"/>
      <c r="S1267" s="378"/>
      <c r="T1267" s="378"/>
      <c r="U1267" s="378"/>
      <c r="V1267" s="378"/>
      <c r="W1267" s="378"/>
      <c r="X1267" s="378"/>
      <c r="Y1267" s="378"/>
      <c r="Z1267" s="378"/>
      <c r="AA1267" s="378"/>
      <c r="AB1267" s="378"/>
      <c r="AC1267" s="378"/>
      <c r="AD1267" s="378"/>
      <c r="AE1267" s="378"/>
      <c r="AF1267" s="378"/>
      <c r="AG1267" s="378"/>
    </row>
    <row r="1268">
      <c r="A1268" s="378"/>
      <c r="B1268" s="477"/>
      <c r="C1268" s="378"/>
      <c r="D1268" s="378"/>
      <c r="E1268" s="378"/>
      <c r="F1268" s="378"/>
      <c r="G1268" s="378"/>
      <c r="H1268" s="378"/>
      <c r="I1268" s="376"/>
      <c r="J1268" s="377"/>
      <c r="K1268" s="378"/>
      <c r="L1268" s="378"/>
      <c r="M1268" s="378"/>
      <c r="N1268" s="379"/>
      <c r="O1268" s="380"/>
      <c r="P1268" s="378"/>
      <c r="Q1268" s="378"/>
      <c r="R1268" s="378"/>
      <c r="S1268" s="378"/>
      <c r="T1268" s="378"/>
      <c r="U1268" s="378"/>
      <c r="V1268" s="378"/>
      <c r="W1268" s="378"/>
      <c r="X1268" s="378"/>
      <c r="Y1268" s="378"/>
      <c r="Z1268" s="378"/>
      <c r="AA1268" s="378"/>
      <c r="AB1268" s="378"/>
      <c r="AC1268" s="378"/>
      <c r="AD1268" s="378"/>
      <c r="AE1268" s="378"/>
      <c r="AF1268" s="378"/>
      <c r="AG1268" s="378"/>
    </row>
    <row r="1269">
      <c r="A1269" s="378"/>
      <c r="B1269" s="477"/>
      <c r="C1269" s="378"/>
      <c r="D1269" s="378"/>
      <c r="E1269" s="378"/>
      <c r="F1269" s="378"/>
      <c r="G1269" s="378"/>
      <c r="H1269" s="378"/>
      <c r="I1269" s="376"/>
      <c r="J1269" s="377"/>
      <c r="K1269" s="378"/>
      <c r="L1269" s="378"/>
      <c r="M1269" s="378"/>
      <c r="N1269" s="379"/>
      <c r="O1269" s="380"/>
      <c r="P1269" s="378"/>
      <c r="Q1269" s="378"/>
      <c r="R1269" s="378"/>
      <c r="S1269" s="378"/>
      <c r="T1269" s="378"/>
      <c r="U1269" s="378"/>
      <c r="V1269" s="378"/>
      <c r="W1269" s="378"/>
      <c r="X1269" s="378"/>
      <c r="Y1269" s="378"/>
      <c r="Z1269" s="378"/>
      <c r="AA1269" s="378"/>
      <c r="AB1269" s="378"/>
      <c r="AC1269" s="378"/>
      <c r="AD1269" s="378"/>
      <c r="AE1269" s="378"/>
      <c r="AF1269" s="378"/>
      <c r="AG1269" s="378"/>
    </row>
    <row r="1270">
      <c r="A1270" s="378"/>
      <c r="B1270" s="477"/>
      <c r="C1270" s="378"/>
      <c r="D1270" s="378"/>
      <c r="E1270" s="378"/>
      <c r="F1270" s="378"/>
      <c r="G1270" s="378"/>
      <c r="H1270" s="378"/>
      <c r="I1270" s="376"/>
      <c r="J1270" s="377"/>
      <c r="K1270" s="378"/>
      <c r="L1270" s="378"/>
      <c r="M1270" s="378"/>
      <c r="N1270" s="379"/>
      <c r="O1270" s="380"/>
      <c r="P1270" s="378"/>
      <c r="Q1270" s="378"/>
      <c r="R1270" s="378"/>
      <c r="S1270" s="378"/>
      <c r="T1270" s="378"/>
      <c r="U1270" s="378"/>
      <c r="V1270" s="378"/>
      <c r="W1270" s="378"/>
      <c r="X1270" s="378"/>
      <c r="Y1270" s="378"/>
      <c r="Z1270" s="378"/>
      <c r="AA1270" s="378"/>
      <c r="AB1270" s="378"/>
      <c r="AC1270" s="378"/>
      <c r="AD1270" s="378"/>
      <c r="AE1270" s="378"/>
      <c r="AF1270" s="378"/>
      <c r="AG1270" s="378"/>
    </row>
    <row r="1271">
      <c r="A1271" s="378"/>
      <c r="B1271" s="477"/>
      <c r="C1271" s="378"/>
      <c r="D1271" s="378"/>
      <c r="E1271" s="378"/>
      <c r="F1271" s="378"/>
      <c r="G1271" s="378"/>
      <c r="H1271" s="378"/>
      <c r="I1271" s="376"/>
      <c r="J1271" s="377"/>
      <c r="K1271" s="378"/>
      <c r="L1271" s="378"/>
      <c r="M1271" s="378"/>
      <c r="N1271" s="379"/>
      <c r="O1271" s="380"/>
      <c r="P1271" s="378"/>
      <c r="Q1271" s="378"/>
      <c r="R1271" s="378"/>
      <c r="S1271" s="378"/>
      <c r="T1271" s="378"/>
      <c r="U1271" s="378"/>
      <c r="V1271" s="378"/>
      <c r="W1271" s="378"/>
      <c r="X1271" s="378"/>
      <c r="Y1271" s="378"/>
      <c r="Z1271" s="378"/>
      <c r="AA1271" s="378"/>
      <c r="AB1271" s="378"/>
      <c r="AC1271" s="378"/>
      <c r="AD1271" s="378"/>
      <c r="AE1271" s="378"/>
      <c r="AF1271" s="378"/>
      <c r="AG1271" s="378"/>
    </row>
    <row r="1272">
      <c r="A1272" s="378"/>
      <c r="B1272" s="477"/>
      <c r="C1272" s="378"/>
      <c r="D1272" s="378"/>
      <c r="E1272" s="378"/>
      <c r="F1272" s="378"/>
      <c r="G1272" s="378"/>
      <c r="H1272" s="378"/>
      <c r="I1272" s="376"/>
      <c r="J1272" s="377"/>
      <c r="K1272" s="378"/>
      <c r="L1272" s="378"/>
      <c r="M1272" s="378"/>
      <c r="N1272" s="379"/>
      <c r="O1272" s="380"/>
      <c r="P1272" s="378"/>
      <c r="Q1272" s="378"/>
      <c r="R1272" s="378"/>
      <c r="S1272" s="378"/>
      <c r="T1272" s="378"/>
      <c r="U1272" s="378"/>
      <c r="V1272" s="378"/>
      <c r="W1272" s="378"/>
      <c r="X1272" s="378"/>
      <c r="Y1272" s="378"/>
      <c r="Z1272" s="378"/>
      <c r="AA1272" s="378"/>
      <c r="AB1272" s="378"/>
      <c r="AC1272" s="378"/>
      <c r="AD1272" s="378"/>
      <c r="AE1272" s="378"/>
      <c r="AF1272" s="378"/>
      <c r="AG1272" s="378"/>
    </row>
    <row r="1273">
      <c r="A1273" s="378"/>
      <c r="B1273" s="477"/>
      <c r="C1273" s="378"/>
      <c r="D1273" s="378"/>
      <c r="E1273" s="378"/>
      <c r="F1273" s="378"/>
      <c r="G1273" s="378"/>
      <c r="H1273" s="378"/>
      <c r="I1273" s="376"/>
      <c r="J1273" s="377"/>
      <c r="K1273" s="378"/>
      <c r="L1273" s="378"/>
      <c r="M1273" s="378"/>
      <c r="N1273" s="379"/>
      <c r="O1273" s="380"/>
      <c r="P1273" s="378"/>
      <c r="Q1273" s="378"/>
      <c r="R1273" s="378"/>
      <c r="S1273" s="378"/>
      <c r="T1273" s="378"/>
      <c r="U1273" s="378"/>
      <c r="V1273" s="378"/>
      <c r="W1273" s="378"/>
      <c r="X1273" s="378"/>
      <c r="Y1273" s="378"/>
      <c r="Z1273" s="378"/>
      <c r="AA1273" s="378"/>
      <c r="AB1273" s="378"/>
      <c r="AC1273" s="378"/>
      <c r="AD1273" s="378"/>
      <c r="AE1273" s="378"/>
      <c r="AF1273" s="378"/>
      <c r="AG1273" s="378"/>
    </row>
    <row r="1274">
      <c r="A1274" s="378"/>
      <c r="B1274" s="477"/>
      <c r="C1274" s="378"/>
      <c r="D1274" s="378"/>
      <c r="E1274" s="378"/>
      <c r="F1274" s="378"/>
      <c r="G1274" s="378"/>
      <c r="H1274" s="378"/>
      <c r="I1274" s="376"/>
      <c r="J1274" s="377"/>
      <c r="K1274" s="378"/>
      <c r="L1274" s="378"/>
      <c r="M1274" s="378"/>
      <c r="N1274" s="379"/>
      <c r="O1274" s="380"/>
      <c r="P1274" s="378"/>
      <c r="Q1274" s="378"/>
      <c r="R1274" s="378"/>
      <c r="S1274" s="378"/>
      <c r="T1274" s="378"/>
      <c r="U1274" s="378"/>
      <c r="V1274" s="378"/>
      <c r="W1274" s="378"/>
      <c r="X1274" s="378"/>
      <c r="Y1274" s="378"/>
      <c r="Z1274" s="378"/>
      <c r="AA1274" s="378"/>
      <c r="AB1274" s="378"/>
      <c r="AC1274" s="378"/>
      <c r="AD1274" s="378"/>
      <c r="AE1274" s="378"/>
      <c r="AF1274" s="378"/>
      <c r="AG1274" s="378"/>
    </row>
    <row r="1275">
      <c r="A1275" s="378"/>
      <c r="B1275" s="477"/>
      <c r="C1275" s="378"/>
      <c r="D1275" s="378"/>
      <c r="E1275" s="378"/>
      <c r="F1275" s="378"/>
      <c r="G1275" s="378"/>
      <c r="H1275" s="378"/>
      <c r="I1275" s="376"/>
      <c r="J1275" s="377"/>
      <c r="K1275" s="378"/>
      <c r="L1275" s="378"/>
      <c r="M1275" s="378"/>
      <c r="N1275" s="379"/>
      <c r="O1275" s="380"/>
      <c r="P1275" s="378"/>
      <c r="Q1275" s="378"/>
      <c r="R1275" s="378"/>
      <c r="S1275" s="378"/>
      <c r="T1275" s="378"/>
      <c r="U1275" s="378"/>
      <c r="V1275" s="378"/>
      <c r="W1275" s="378"/>
      <c r="X1275" s="378"/>
      <c r="Y1275" s="378"/>
      <c r="Z1275" s="378"/>
      <c r="AA1275" s="378"/>
      <c r="AB1275" s="378"/>
      <c r="AC1275" s="378"/>
      <c r="AD1275" s="378"/>
      <c r="AE1275" s="378"/>
      <c r="AF1275" s="378"/>
      <c r="AG1275" s="378"/>
    </row>
    <row r="1276">
      <c r="A1276" s="378"/>
      <c r="B1276" s="477"/>
      <c r="C1276" s="378"/>
      <c r="D1276" s="378"/>
      <c r="E1276" s="378"/>
      <c r="F1276" s="378"/>
      <c r="G1276" s="378"/>
      <c r="H1276" s="378"/>
      <c r="I1276" s="376"/>
      <c r="J1276" s="377"/>
      <c r="K1276" s="378"/>
      <c r="L1276" s="378"/>
      <c r="M1276" s="378"/>
      <c r="N1276" s="379"/>
      <c r="O1276" s="380"/>
      <c r="P1276" s="378"/>
      <c r="Q1276" s="378"/>
      <c r="R1276" s="378"/>
      <c r="S1276" s="378"/>
      <c r="T1276" s="378"/>
      <c r="U1276" s="378"/>
      <c r="V1276" s="378"/>
      <c r="W1276" s="378"/>
      <c r="X1276" s="378"/>
      <c r="Y1276" s="378"/>
      <c r="Z1276" s="378"/>
      <c r="AA1276" s="378"/>
      <c r="AB1276" s="378"/>
      <c r="AC1276" s="378"/>
      <c r="AD1276" s="378"/>
      <c r="AE1276" s="378"/>
      <c r="AF1276" s="378"/>
      <c r="AG1276" s="378"/>
    </row>
    <row r="1277">
      <c r="A1277" s="378"/>
      <c r="B1277" s="477"/>
      <c r="C1277" s="378"/>
      <c r="D1277" s="378"/>
      <c r="E1277" s="378"/>
      <c r="F1277" s="378"/>
      <c r="G1277" s="378"/>
      <c r="H1277" s="378"/>
      <c r="I1277" s="376"/>
      <c r="J1277" s="377"/>
      <c r="K1277" s="378"/>
      <c r="L1277" s="378"/>
      <c r="M1277" s="378"/>
      <c r="N1277" s="379"/>
      <c r="O1277" s="380"/>
      <c r="P1277" s="378"/>
      <c r="Q1277" s="378"/>
      <c r="R1277" s="378"/>
      <c r="S1277" s="378"/>
      <c r="T1277" s="378"/>
      <c r="U1277" s="378"/>
      <c r="V1277" s="378"/>
      <c r="W1277" s="378"/>
      <c r="X1277" s="378"/>
      <c r="Y1277" s="378"/>
      <c r="Z1277" s="378"/>
      <c r="AA1277" s="378"/>
      <c r="AB1277" s="378"/>
      <c r="AC1277" s="378"/>
      <c r="AD1277" s="378"/>
      <c r="AE1277" s="378"/>
      <c r="AF1277" s="378"/>
      <c r="AG1277" s="378"/>
    </row>
    <row r="1278">
      <c r="A1278" s="378"/>
      <c r="B1278" s="477"/>
      <c r="C1278" s="378"/>
      <c r="D1278" s="378"/>
      <c r="E1278" s="378"/>
      <c r="F1278" s="378"/>
      <c r="G1278" s="378"/>
      <c r="H1278" s="378"/>
      <c r="I1278" s="376"/>
      <c r="J1278" s="377"/>
      <c r="K1278" s="378"/>
      <c r="L1278" s="378"/>
      <c r="M1278" s="378"/>
      <c r="N1278" s="379"/>
      <c r="O1278" s="380"/>
      <c r="P1278" s="378"/>
      <c r="Q1278" s="378"/>
      <c r="R1278" s="378"/>
      <c r="S1278" s="378"/>
      <c r="T1278" s="378"/>
      <c r="U1278" s="378"/>
      <c r="V1278" s="378"/>
      <c r="W1278" s="378"/>
      <c r="X1278" s="378"/>
      <c r="Y1278" s="378"/>
      <c r="Z1278" s="378"/>
      <c r="AA1278" s="378"/>
      <c r="AB1278" s="378"/>
      <c r="AC1278" s="378"/>
      <c r="AD1278" s="378"/>
      <c r="AE1278" s="378"/>
      <c r="AF1278" s="378"/>
      <c r="AG1278" s="378"/>
    </row>
    <row r="1279">
      <c r="A1279" s="378"/>
      <c r="B1279" s="477"/>
      <c r="C1279" s="378"/>
      <c r="D1279" s="378"/>
      <c r="E1279" s="378"/>
      <c r="F1279" s="378"/>
      <c r="G1279" s="378"/>
      <c r="H1279" s="378"/>
      <c r="I1279" s="376"/>
      <c r="J1279" s="377"/>
      <c r="K1279" s="378"/>
      <c r="L1279" s="378"/>
      <c r="M1279" s="378"/>
      <c r="N1279" s="379"/>
      <c r="O1279" s="380"/>
      <c r="P1279" s="378"/>
      <c r="Q1279" s="378"/>
      <c r="R1279" s="378"/>
      <c r="S1279" s="378"/>
      <c r="T1279" s="378"/>
      <c r="U1279" s="378"/>
      <c r="V1279" s="378"/>
      <c r="W1279" s="378"/>
      <c r="X1279" s="378"/>
      <c r="Y1279" s="378"/>
      <c r="Z1279" s="378"/>
      <c r="AA1279" s="378"/>
      <c r="AB1279" s="378"/>
      <c r="AC1279" s="378"/>
      <c r="AD1279" s="378"/>
      <c r="AE1279" s="378"/>
      <c r="AF1279" s="378"/>
      <c r="AG1279" s="378"/>
    </row>
    <row r="1280">
      <c r="A1280" s="378"/>
      <c r="B1280" s="477"/>
      <c r="C1280" s="378"/>
      <c r="D1280" s="378"/>
      <c r="E1280" s="378"/>
      <c r="F1280" s="378"/>
      <c r="G1280" s="378"/>
      <c r="H1280" s="378"/>
      <c r="I1280" s="376"/>
      <c r="J1280" s="377"/>
      <c r="K1280" s="378"/>
      <c r="L1280" s="378"/>
      <c r="M1280" s="378"/>
      <c r="N1280" s="379"/>
      <c r="O1280" s="380"/>
      <c r="P1280" s="378"/>
      <c r="Q1280" s="378"/>
      <c r="R1280" s="378"/>
      <c r="S1280" s="378"/>
      <c r="T1280" s="378"/>
      <c r="U1280" s="378"/>
      <c r="V1280" s="378"/>
      <c r="W1280" s="378"/>
      <c r="X1280" s="378"/>
      <c r="Y1280" s="378"/>
      <c r="Z1280" s="378"/>
      <c r="AA1280" s="378"/>
      <c r="AB1280" s="378"/>
      <c r="AC1280" s="378"/>
      <c r="AD1280" s="378"/>
      <c r="AE1280" s="378"/>
      <c r="AF1280" s="378"/>
      <c r="AG1280" s="378"/>
    </row>
    <row r="1281">
      <c r="A1281" s="378"/>
      <c r="B1281" s="477"/>
      <c r="C1281" s="378"/>
      <c r="D1281" s="378"/>
      <c r="E1281" s="378"/>
      <c r="F1281" s="378"/>
      <c r="G1281" s="378"/>
      <c r="H1281" s="378"/>
      <c r="I1281" s="376"/>
      <c r="J1281" s="377"/>
      <c r="K1281" s="378"/>
      <c r="L1281" s="378"/>
      <c r="M1281" s="378"/>
      <c r="N1281" s="379"/>
      <c r="O1281" s="380"/>
      <c r="P1281" s="378"/>
      <c r="Q1281" s="378"/>
      <c r="R1281" s="378"/>
      <c r="S1281" s="378"/>
      <c r="T1281" s="378"/>
      <c r="U1281" s="378"/>
      <c r="V1281" s="378"/>
      <c r="W1281" s="378"/>
      <c r="X1281" s="378"/>
      <c r="Y1281" s="378"/>
      <c r="Z1281" s="378"/>
      <c r="AA1281" s="378"/>
      <c r="AB1281" s="378"/>
      <c r="AC1281" s="378"/>
      <c r="AD1281" s="378"/>
      <c r="AE1281" s="378"/>
      <c r="AF1281" s="378"/>
      <c r="AG1281" s="378"/>
    </row>
    <row r="1282">
      <c r="A1282" s="378"/>
      <c r="B1282" s="477"/>
      <c r="C1282" s="378"/>
      <c r="D1282" s="378"/>
      <c r="E1282" s="378"/>
      <c r="F1282" s="378"/>
      <c r="G1282" s="378"/>
      <c r="H1282" s="378"/>
      <c r="I1282" s="376"/>
      <c r="J1282" s="377"/>
      <c r="K1282" s="378"/>
      <c r="L1282" s="378"/>
      <c r="M1282" s="378"/>
      <c r="N1282" s="379"/>
      <c r="O1282" s="380"/>
      <c r="P1282" s="378"/>
      <c r="Q1282" s="378"/>
      <c r="R1282" s="378"/>
      <c r="S1282" s="378"/>
      <c r="T1282" s="378"/>
      <c r="U1282" s="378"/>
      <c r="V1282" s="378"/>
      <c r="W1282" s="378"/>
      <c r="X1282" s="378"/>
      <c r="Y1282" s="378"/>
      <c r="Z1282" s="378"/>
      <c r="AA1282" s="378"/>
      <c r="AB1282" s="378"/>
      <c r="AC1282" s="378"/>
      <c r="AD1282" s="378"/>
      <c r="AE1282" s="378"/>
      <c r="AF1282" s="378"/>
      <c r="AG1282" s="378"/>
    </row>
    <row r="1283">
      <c r="A1283" s="378"/>
      <c r="B1283" s="477"/>
      <c r="C1283" s="378"/>
      <c r="D1283" s="378"/>
      <c r="E1283" s="378"/>
      <c r="F1283" s="378"/>
      <c r="G1283" s="378"/>
      <c r="H1283" s="378"/>
      <c r="I1283" s="376"/>
      <c r="J1283" s="377"/>
      <c r="K1283" s="378"/>
      <c r="L1283" s="378"/>
      <c r="M1283" s="378"/>
      <c r="N1283" s="379"/>
      <c r="O1283" s="380"/>
      <c r="P1283" s="378"/>
      <c r="Q1283" s="378"/>
      <c r="R1283" s="378"/>
      <c r="S1283" s="378"/>
      <c r="T1283" s="378"/>
      <c r="U1283" s="378"/>
      <c r="V1283" s="378"/>
      <c r="W1283" s="378"/>
      <c r="X1283" s="378"/>
      <c r="Y1283" s="378"/>
      <c r="Z1283" s="378"/>
      <c r="AA1283" s="378"/>
      <c r="AB1283" s="378"/>
      <c r="AC1283" s="378"/>
      <c r="AD1283" s="378"/>
      <c r="AE1283" s="378"/>
      <c r="AF1283" s="378"/>
      <c r="AG1283" s="378"/>
    </row>
    <row r="1284">
      <c r="A1284" s="378"/>
      <c r="B1284" s="477"/>
      <c r="C1284" s="378"/>
      <c r="D1284" s="378"/>
      <c r="E1284" s="378"/>
      <c r="F1284" s="378"/>
      <c r="G1284" s="378"/>
      <c r="H1284" s="378"/>
      <c r="I1284" s="376"/>
      <c r="J1284" s="377"/>
      <c r="K1284" s="378"/>
      <c r="L1284" s="378"/>
      <c r="M1284" s="378"/>
      <c r="N1284" s="379"/>
      <c r="O1284" s="380"/>
      <c r="P1284" s="378"/>
      <c r="Q1284" s="378"/>
      <c r="R1284" s="378"/>
      <c r="S1284" s="378"/>
      <c r="T1284" s="378"/>
      <c r="U1284" s="378"/>
      <c r="V1284" s="378"/>
      <c r="W1284" s="378"/>
      <c r="X1284" s="378"/>
      <c r="Y1284" s="378"/>
      <c r="Z1284" s="378"/>
      <c r="AA1284" s="378"/>
      <c r="AB1284" s="378"/>
      <c r="AC1284" s="378"/>
      <c r="AD1284" s="378"/>
      <c r="AE1284" s="378"/>
      <c r="AF1284" s="378"/>
      <c r="AG1284" s="378"/>
    </row>
    <row r="1285">
      <c r="A1285" s="378"/>
      <c r="B1285" s="477"/>
      <c r="C1285" s="378"/>
      <c r="D1285" s="378"/>
      <c r="E1285" s="378"/>
      <c r="F1285" s="378"/>
      <c r="G1285" s="378"/>
      <c r="H1285" s="378"/>
      <c r="I1285" s="376"/>
      <c r="J1285" s="377"/>
      <c r="K1285" s="378"/>
      <c r="L1285" s="378"/>
      <c r="M1285" s="378"/>
      <c r="N1285" s="379"/>
      <c r="O1285" s="380"/>
      <c r="P1285" s="378"/>
      <c r="Q1285" s="378"/>
      <c r="R1285" s="378"/>
      <c r="S1285" s="378"/>
      <c r="T1285" s="378"/>
      <c r="U1285" s="378"/>
      <c r="V1285" s="378"/>
      <c r="W1285" s="378"/>
      <c r="X1285" s="378"/>
      <c r="Y1285" s="378"/>
      <c r="Z1285" s="378"/>
      <c r="AA1285" s="378"/>
      <c r="AB1285" s="378"/>
      <c r="AC1285" s="378"/>
      <c r="AD1285" s="378"/>
      <c r="AE1285" s="378"/>
      <c r="AF1285" s="378"/>
      <c r="AG1285" s="378"/>
    </row>
    <row r="1286">
      <c r="A1286" s="378"/>
      <c r="B1286" s="477"/>
      <c r="C1286" s="378"/>
      <c r="D1286" s="378"/>
      <c r="E1286" s="378"/>
      <c r="F1286" s="378"/>
      <c r="G1286" s="378"/>
      <c r="H1286" s="378"/>
      <c r="I1286" s="376"/>
      <c r="J1286" s="377"/>
      <c r="K1286" s="378"/>
      <c r="L1286" s="378"/>
      <c r="M1286" s="378"/>
      <c r="N1286" s="379"/>
      <c r="O1286" s="380"/>
      <c r="P1286" s="378"/>
      <c r="Q1286" s="378"/>
      <c r="R1286" s="378"/>
      <c r="S1286" s="378"/>
      <c r="T1286" s="378"/>
      <c r="U1286" s="378"/>
      <c r="V1286" s="378"/>
      <c r="W1286" s="378"/>
      <c r="X1286" s="378"/>
      <c r="Y1286" s="378"/>
      <c r="Z1286" s="378"/>
      <c r="AA1286" s="378"/>
      <c r="AB1286" s="378"/>
      <c r="AC1286" s="378"/>
      <c r="AD1286" s="378"/>
      <c r="AE1286" s="378"/>
      <c r="AF1286" s="378"/>
      <c r="AG1286" s="378"/>
    </row>
    <row r="1287">
      <c r="A1287" s="378"/>
      <c r="B1287" s="477"/>
      <c r="C1287" s="378"/>
      <c r="D1287" s="378"/>
      <c r="E1287" s="378"/>
      <c r="F1287" s="378"/>
      <c r="G1287" s="378"/>
      <c r="H1287" s="378"/>
      <c r="I1287" s="376"/>
      <c r="J1287" s="377"/>
      <c r="K1287" s="378"/>
      <c r="L1287" s="378"/>
      <c r="M1287" s="378"/>
      <c r="N1287" s="379"/>
      <c r="O1287" s="380"/>
      <c r="P1287" s="378"/>
      <c r="Q1287" s="378"/>
      <c r="R1287" s="378"/>
      <c r="S1287" s="378"/>
      <c r="T1287" s="378"/>
      <c r="U1287" s="378"/>
      <c r="V1287" s="378"/>
      <c r="W1287" s="378"/>
      <c r="X1287" s="378"/>
      <c r="Y1287" s="378"/>
      <c r="Z1287" s="378"/>
      <c r="AA1287" s="378"/>
      <c r="AB1287" s="378"/>
      <c r="AC1287" s="378"/>
      <c r="AD1287" s="378"/>
      <c r="AE1287" s="378"/>
      <c r="AF1287" s="378"/>
      <c r="AG1287" s="378"/>
    </row>
    <row r="1288">
      <c r="A1288" s="378"/>
      <c r="B1288" s="477"/>
      <c r="C1288" s="378"/>
      <c r="D1288" s="378"/>
      <c r="E1288" s="378"/>
      <c r="F1288" s="378"/>
      <c r="G1288" s="378"/>
      <c r="H1288" s="378"/>
      <c r="I1288" s="376"/>
      <c r="J1288" s="377"/>
      <c r="K1288" s="378"/>
      <c r="L1288" s="378"/>
      <c r="M1288" s="378"/>
      <c r="N1288" s="379"/>
      <c r="O1288" s="380"/>
      <c r="P1288" s="378"/>
      <c r="Q1288" s="378"/>
      <c r="R1288" s="378"/>
      <c r="S1288" s="378"/>
      <c r="T1288" s="378"/>
      <c r="U1288" s="378"/>
      <c r="V1288" s="378"/>
      <c r="W1288" s="378"/>
      <c r="X1288" s="378"/>
      <c r="Y1288" s="378"/>
      <c r="Z1288" s="378"/>
      <c r="AA1288" s="378"/>
      <c r="AB1288" s="378"/>
      <c r="AC1288" s="378"/>
      <c r="AD1288" s="378"/>
      <c r="AE1288" s="378"/>
      <c r="AF1288" s="378"/>
      <c r="AG1288" s="378"/>
    </row>
    <row r="1289">
      <c r="A1289" s="378"/>
      <c r="B1289" s="477"/>
      <c r="C1289" s="378"/>
      <c r="D1289" s="378"/>
      <c r="E1289" s="378"/>
      <c r="F1289" s="378"/>
      <c r="G1289" s="378"/>
      <c r="H1289" s="378"/>
      <c r="I1289" s="376"/>
      <c r="J1289" s="377"/>
      <c r="K1289" s="378"/>
      <c r="L1289" s="378"/>
      <c r="M1289" s="378"/>
      <c r="N1289" s="379"/>
      <c r="O1289" s="380"/>
      <c r="P1289" s="378"/>
      <c r="Q1289" s="378"/>
      <c r="R1289" s="378"/>
      <c r="S1289" s="378"/>
      <c r="T1289" s="378"/>
      <c r="U1289" s="378"/>
      <c r="V1289" s="378"/>
      <c r="W1289" s="378"/>
      <c r="X1289" s="378"/>
      <c r="Y1289" s="378"/>
      <c r="Z1289" s="378"/>
      <c r="AA1289" s="378"/>
      <c r="AB1289" s="378"/>
      <c r="AC1289" s="378"/>
      <c r="AD1289" s="378"/>
      <c r="AE1289" s="378"/>
      <c r="AF1289" s="378"/>
      <c r="AG1289" s="378"/>
    </row>
    <row r="1290">
      <c r="A1290" s="378"/>
      <c r="B1290" s="477"/>
      <c r="C1290" s="378"/>
      <c r="D1290" s="378"/>
      <c r="E1290" s="378"/>
      <c r="F1290" s="378"/>
      <c r="G1290" s="378"/>
      <c r="H1290" s="378"/>
      <c r="I1290" s="376"/>
      <c r="J1290" s="377"/>
      <c r="K1290" s="378"/>
      <c r="L1290" s="378"/>
      <c r="M1290" s="378"/>
      <c r="N1290" s="379"/>
      <c r="O1290" s="380"/>
      <c r="P1290" s="378"/>
      <c r="Q1290" s="378"/>
      <c r="R1290" s="378"/>
      <c r="S1290" s="378"/>
      <c r="T1290" s="378"/>
      <c r="U1290" s="378"/>
      <c r="V1290" s="378"/>
      <c r="W1290" s="378"/>
      <c r="X1290" s="378"/>
      <c r="Y1290" s="378"/>
      <c r="Z1290" s="378"/>
      <c r="AA1290" s="378"/>
      <c r="AB1290" s="378"/>
      <c r="AC1290" s="378"/>
      <c r="AD1290" s="378"/>
      <c r="AE1290" s="378"/>
      <c r="AF1290" s="378"/>
      <c r="AG1290" s="378"/>
    </row>
    <row r="1291">
      <c r="A1291" s="378"/>
      <c r="B1291" s="477"/>
      <c r="C1291" s="378"/>
      <c r="D1291" s="378"/>
      <c r="E1291" s="378"/>
      <c r="F1291" s="378"/>
      <c r="G1291" s="378"/>
      <c r="H1291" s="378"/>
      <c r="I1291" s="376"/>
      <c r="J1291" s="377"/>
      <c r="K1291" s="378"/>
      <c r="L1291" s="378"/>
      <c r="M1291" s="378"/>
      <c r="N1291" s="379"/>
      <c r="O1291" s="380"/>
      <c r="P1291" s="378"/>
      <c r="Q1291" s="378"/>
      <c r="R1291" s="378"/>
      <c r="S1291" s="378"/>
      <c r="T1291" s="378"/>
      <c r="U1291" s="378"/>
      <c r="V1291" s="378"/>
      <c r="W1291" s="378"/>
      <c r="X1291" s="378"/>
      <c r="Y1291" s="378"/>
      <c r="Z1291" s="378"/>
      <c r="AA1291" s="378"/>
      <c r="AB1291" s="378"/>
      <c r="AC1291" s="378"/>
      <c r="AD1291" s="378"/>
      <c r="AE1291" s="378"/>
      <c r="AF1291" s="378"/>
      <c r="AG1291" s="378"/>
    </row>
    <row r="1292">
      <c r="A1292" s="378"/>
      <c r="B1292" s="477"/>
      <c r="C1292" s="378"/>
      <c r="D1292" s="378"/>
      <c r="E1292" s="378"/>
      <c r="F1292" s="378"/>
      <c r="G1292" s="378"/>
      <c r="H1292" s="378"/>
      <c r="I1292" s="376"/>
      <c r="J1292" s="377"/>
      <c r="K1292" s="378"/>
      <c r="L1292" s="378"/>
      <c r="M1292" s="378"/>
      <c r="N1292" s="379"/>
      <c r="O1292" s="380"/>
      <c r="P1292" s="378"/>
      <c r="Q1292" s="378"/>
      <c r="R1292" s="378"/>
      <c r="S1292" s="378"/>
      <c r="T1292" s="378"/>
      <c r="U1292" s="378"/>
      <c r="V1292" s="378"/>
      <c r="W1292" s="378"/>
      <c r="X1292" s="378"/>
      <c r="Y1292" s="378"/>
      <c r="Z1292" s="378"/>
      <c r="AA1292" s="378"/>
      <c r="AB1292" s="378"/>
      <c r="AC1292" s="378"/>
      <c r="AD1292" s="378"/>
      <c r="AE1292" s="378"/>
      <c r="AF1292" s="378"/>
      <c r="AG1292" s="378"/>
    </row>
    <row r="1293">
      <c r="A1293" s="378"/>
      <c r="B1293" s="477"/>
      <c r="C1293" s="378"/>
      <c r="D1293" s="378"/>
      <c r="E1293" s="378"/>
      <c r="F1293" s="378"/>
      <c r="G1293" s="378"/>
      <c r="H1293" s="378"/>
      <c r="I1293" s="376"/>
      <c r="J1293" s="377"/>
      <c r="K1293" s="378"/>
      <c r="L1293" s="378"/>
      <c r="M1293" s="378"/>
      <c r="N1293" s="379"/>
      <c r="O1293" s="380"/>
      <c r="P1293" s="378"/>
      <c r="Q1293" s="378"/>
      <c r="R1293" s="378"/>
      <c r="S1293" s="378"/>
      <c r="T1293" s="378"/>
      <c r="U1293" s="378"/>
      <c r="V1293" s="378"/>
      <c r="W1293" s="378"/>
      <c r="X1293" s="378"/>
      <c r="Y1293" s="378"/>
      <c r="Z1293" s="378"/>
      <c r="AA1293" s="378"/>
      <c r="AB1293" s="378"/>
      <c r="AC1293" s="378"/>
      <c r="AD1293" s="378"/>
      <c r="AE1293" s="378"/>
      <c r="AF1293" s="378"/>
      <c r="AG1293" s="378"/>
    </row>
    <row r="1294">
      <c r="A1294" s="378"/>
      <c r="B1294" s="477"/>
      <c r="C1294" s="378"/>
      <c r="D1294" s="378"/>
      <c r="E1294" s="378"/>
      <c r="F1294" s="378"/>
      <c r="G1294" s="378"/>
      <c r="H1294" s="378"/>
      <c r="I1294" s="376"/>
      <c r="J1294" s="377"/>
      <c r="K1294" s="378"/>
      <c r="L1294" s="378"/>
      <c r="M1294" s="378"/>
      <c r="N1294" s="379"/>
      <c r="O1294" s="380"/>
      <c r="P1294" s="378"/>
      <c r="Q1294" s="378"/>
      <c r="R1294" s="378"/>
      <c r="S1294" s="378"/>
      <c r="T1294" s="378"/>
      <c r="U1294" s="378"/>
      <c r="V1294" s="378"/>
      <c r="W1294" s="378"/>
      <c r="X1294" s="378"/>
      <c r="Y1294" s="378"/>
      <c r="Z1294" s="378"/>
      <c r="AA1294" s="378"/>
      <c r="AB1294" s="378"/>
      <c r="AC1294" s="378"/>
      <c r="AD1294" s="378"/>
      <c r="AE1294" s="378"/>
      <c r="AF1294" s="378"/>
      <c r="AG1294" s="378"/>
    </row>
    <row r="1295">
      <c r="A1295" s="378"/>
      <c r="B1295" s="477"/>
      <c r="C1295" s="378"/>
      <c r="D1295" s="378"/>
      <c r="E1295" s="378"/>
      <c r="F1295" s="378"/>
      <c r="G1295" s="378"/>
      <c r="H1295" s="378"/>
      <c r="I1295" s="376"/>
      <c r="J1295" s="377"/>
      <c r="K1295" s="378"/>
      <c r="L1295" s="378"/>
      <c r="M1295" s="378"/>
      <c r="N1295" s="379"/>
      <c r="O1295" s="380"/>
      <c r="P1295" s="378"/>
      <c r="Q1295" s="378"/>
      <c r="R1295" s="378"/>
      <c r="S1295" s="378"/>
      <c r="T1295" s="378"/>
      <c r="U1295" s="378"/>
      <c r="V1295" s="378"/>
      <c r="W1295" s="378"/>
      <c r="X1295" s="378"/>
      <c r="Y1295" s="378"/>
      <c r="Z1295" s="378"/>
      <c r="AA1295" s="378"/>
      <c r="AB1295" s="378"/>
      <c r="AC1295" s="378"/>
      <c r="AD1295" s="378"/>
      <c r="AE1295" s="378"/>
      <c r="AF1295" s="378"/>
      <c r="AG1295" s="378"/>
    </row>
    <row r="1296">
      <c r="A1296" s="378"/>
      <c r="B1296" s="477"/>
      <c r="C1296" s="378"/>
      <c r="D1296" s="378"/>
      <c r="E1296" s="378"/>
      <c r="F1296" s="378"/>
      <c r="G1296" s="378"/>
      <c r="H1296" s="378"/>
      <c r="I1296" s="376"/>
      <c r="J1296" s="377"/>
      <c r="K1296" s="378"/>
      <c r="L1296" s="378"/>
      <c r="M1296" s="378"/>
      <c r="N1296" s="379"/>
      <c r="O1296" s="380"/>
      <c r="P1296" s="378"/>
      <c r="Q1296" s="378"/>
      <c r="R1296" s="378"/>
      <c r="S1296" s="378"/>
      <c r="T1296" s="378"/>
      <c r="U1296" s="378"/>
      <c r="V1296" s="378"/>
      <c r="W1296" s="378"/>
      <c r="X1296" s="378"/>
      <c r="Y1296" s="378"/>
      <c r="Z1296" s="378"/>
      <c r="AA1296" s="378"/>
      <c r="AB1296" s="378"/>
      <c r="AC1296" s="378"/>
      <c r="AD1296" s="378"/>
      <c r="AE1296" s="378"/>
      <c r="AF1296" s="378"/>
      <c r="AG1296" s="378"/>
    </row>
    <row r="1297">
      <c r="A1297" s="378"/>
      <c r="B1297" s="477"/>
      <c r="C1297" s="378"/>
      <c r="D1297" s="378"/>
      <c r="E1297" s="378"/>
      <c r="F1297" s="378"/>
      <c r="G1297" s="378"/>
      <c r="H1297" s="378"/>
      <c r="I1297" s="376"/>
      <c r="J1297" s="377"/>
      <c r="K1297" s="378"/>
      <c r="L1297" s="378"/>
      <c r="M1297" s="378"/>
      <c r="N1297" s="379"/>
      <c r="O1297" s="380"/>
      <c r="P1297" s="378"/>
      <c r="Q1297" s="378"/>
      <c r="R1297" s="378"/>
      <c r="S1297" s="378"/>
      <c r="T1297" s="378"/>
      <c r="U1297" s="378"/>
      <c r="V1297" s="378"/>
      <c r="W1297" s="378"/>
      <c r="X1297" s="378"/>
      <c r="Y1297" s="378"/>
      <c r="Z1297" s="378"/>
      <c r="AA1297" s="378"/>
      <c r="AB1297" s="378"/>
      <c r="AC1297" s="378"/>
      <c r="AD1297" s="378"/>
      <c r="AE1297" s="378"/>
      <c r="AF1297" s="378"/>
      <c r="AG1297" s="378"/>
    </row>
    <row r="1298">
      <c r="A1298" s="378"/>
      <c r="B1298" s="477"/>
      <c r="C1298" s="378"/>
      <c r="D1298" s="378"/>
      <c r="E1298" s="378"/>
      <c r="F1298" s="378"/>
      <c r="G1298" s="378"/>
      <c r="H1298" s="378"/>
      <c r="I1298" s="376"/>
      <c r="J1298" s="377"/>
      <c r="K1298" s="378"/>
      <c r="L1298" s="378"/>
      <c r="M1298" s="378"/>
      <c r="N1298" s="379"/>
      <c r="O1298" s="380"/>
      <c r="P1298" s="378"/>
      <c r="Q1298" s="378"/>
      <c r="R1298" s="378"/>
      <c r="S1298" s="378"/>
      <c r="T1298" s="378"/>
      <c r="U1298" s="378"/>
      <c r="V1298" s="378"/>
      <c r="W1298" s="378"/>
      <c r="X1298" s="378"/>
      <c r="Y1298" s="378"/>
      <c r="Z1298" s="378"/>
      <c r="AA1298" s="378"/>
      <c r="AB1298" s="378"/>
      <c r="AC1298" s="378"/>
      <c r="AD1298" s="378"/>
      <c r="AE1298" s="378"/>
      <c r="AF1298" s="378"/>
      <c r="AG1298" s="378"/>
    </row>
    <row r="1299">
      <c r="A1299" s="378"/>
      <c r="B1299" s="477"/>
      <c r="C1299" s="378"/>
      <c r="D1299" s="378"/>
      <c r="E1299" s="378"/>
      <c r="F1299" s="378"/>
      <c r="G1299" s="378"/>
      <c r="H1299" s="378"/>
      <c r="I1299" s="376"/>
      <c r="J1299" s="377"/>
      <c r="K1299" s="378"/>
      <c r="L1299" s="378"/>
      <c r="M1299" s="378"/>
      <c r="N1299" s="379"/>
      <c r="O1299" s="380"/>
      <c r="P1299" s="378"/>
      <c r="Q1299" s="378"/>
      <c r="R1299" s="378"/>
      <c r="S1299" s="378"/>
      <c r="T1299" s="378"/>
      <c r="U1299" s="378"/>
      <c r="V1299" s="378"/>
      <c r="W1299" s="378"/>
      <c r="X1299" s="378"/>
      <c r="Y1299" s="378"/>
      <c r="Z1299" s="378"/>
      <c r="AA1299" s="378"/>
      <c r="AB1299" s="378"/>
      <c r="AC1299" s="378"/>
      <c r="AD1299" s="378"/>
      <c r="AE1299" s="378"/>
      <c r="AF1299" s="378"/>
      <c r="AG1299" s="378"/>
    </row>
    <row r="1300">
      <c r="A1300" s="378"/>
      <c r="B1300" s="477"/>
      <c r="C1300" s="378"/>
      <c r="D1300" s="378"/>
      <c r="E1300" s="378"/>
      <c r="F1300" s="378"/>
      <c r="G1300" s="378"/>
      <c r="H1300" s="378"/>
      <c r="I1300" s="376"/>
      <c r="J1300" s="377"/>
      <c r="K1300" s="378"/>
      <c r="L1300" s="378"/>
      <c r="M1300" s="378"/>
      <c r="N1300" s="379"/>
      <c r="O1300" s="380"/>
      <c r="P1300" s="378"/>
      <c r="Q1300" s="378"/>
      <c r="R1300" s="378"/>
      <c r="S1300" s="378"/>
      <c r="T1300" s="378"/>
      <c r="U1300" s="378"/>
      <c r="V1300" s="378"/>
      <c r="W1300" s="378"/>
      <c r="X1300" s="378"/>
      <c r="Y1300" s="378"/>
      <c r="Z1300" s="378"/>
      <c r="AA1300" s="378"/>
      <c r="AB1300" s="378"/>
      <c r="AC1300" s="378"/>
      <c r="AD1300" s="378"/>
      <c r="AE1300" s="378"/>
      <c r="AF1300" s="378"/>
      <c r="AG1300" s="378"/>
    </row>
    <row r="1301">
      <c r="A1301" s="378"/>
      <c r="B1301" s="477"/>
      <c r="C1301" s="378"/>
      <c r="D1301" s="378"/>
      <c r="E1301" s="378"/>
      <c r="F1301" s="378"/>
      <c r="G1301" s="378"/>
      <c r="H1301" s="378"/>
      <c r="I1301" s="376"/>
      <c r="J1301" s="377"/>
      <c r="K1301" s="378"/>
      <c r="L1301" s="378"/>
      <c r="M1301" s="378"/>
      <c r="N1301" s="379"/>
      <c r="O1301" s="380"/>
      <c r="P1301" s="378"/>
      <c r="Q1301" s="378"/>
      <c r="R1301" s="378"/>
      <c r="S1301" s="378"/>
      <c r="T1301" s="378"/>
      <c r="U1301" s="378"/>
      <c r="V1301" s="378"/>
      <c r="W1301" s="378"/>
      <c r="X1301" s="378"/>
      <c r="Y1301" s="378"/>
      <c r="Z1301" s="378"/>
      <c r="AA1301" s="378"/>
      <c r="AB1301" s="378"/>
      <c r="AC1301" s="378"/>
      <c r="AD1301" s="378"/>
      <c r="AE1301" s="378"/>
      <c r="AF1301" s="378"/>
      <c r="AG1301" s="378"/>
    </row>
    <row r="1302">
      <c r="A1302" s="378"/>
      <c r="B1302" s="477"/>
      <c r="C1302" s="378"/>
      <c r="D1302" s="378"/>
      <c r="E1302" s="378"/>
      <c r="F1302" s="378"/>
      <c r="G1302" s="378"/>
      <c r="H1302" s="378"/>
      <c r="I1302" s="376"/>
      <c r="J1302" s="377"/>
      <c r="K1302" s="378"/>
      <c r="L1302" s="378"/>
      <c r="M1302" s="378"/>
      <c r="N1302" s="379"/>
      <c r="O1302" s="380"/>
      <c r="P1302" s="378"/>
      <c r="Q1302" s="378"/>
      <c r="R1302" s="378"/>
      <c r="S1302" s="378"/>
      <c r="T1302" s="378"/>
      <c r="U1302" s="378"/>
      <c r="V1302" s="378"/>
      <c r="W1302" s="378"/>
      <c r="X1302" s="378"/>
      <c r="Y1302" s="378"/>
      <c r="Z1302" s="378"/>
      <c r="AA1302" s="378"/>
      <c r="AB1302" s="378"/>
      <c r="AC1302" s="378"/>
      <c r="AD1302" s="378"/>
      <c r="AE1302" s="378"/>
      <c r="AF1302" s="378"/>
      <c r="AG1302" s="378"/>
    </row>
    <row r="1303">
      <c r="A1303" s="378"/>
      <c r="B1303" s="477"/>
      <c r="C1303" s="378"/>
      <c r="D1303" s="378"/>
      <c r="E1303" s="378"/>
      <c r="F1303" s="378"/>
      <c r="G1303" s="378"/>
      <c r="H1303" s="378"/>
      <c r="I1303" s="376"/>
      <c r="J1303" s="377"/>
      <c r="K1303" s="378"/>
      <c r="L1303" s="378"/>
      <c r="M1303" s="378"/>
      <c r="N1303" s="379"/>
      <c r="O1303" s="380"/>
      <c r="P1303" s="378"/>
      <c r="Q1303" s="378"/>
      <c r="R1303" s="378"/>
      <c r="S1303" s="378"/>
      <c r="T1303" s="378"/>
      <c r="U1303" s="378"/>
      <c r="V1303" s="378"/>
      <c r="W1303" s="378"/>
      <c r="X1303" s="378"/>
      <c r="Y1303" s="378"/>
      <c r="Z1303" s="378"/>
      <c r="AA1303" s="378"/>
      <c r="AB1303" s="378"/>
      <c r="AC1303" s="378"/>
      <c r="AD1303" s="378"/>
      <c r="AE1303" s="378"/>
      <c r="AF1303" s="378"/>
      <c r="AG1303" s="378"/>
    </row>
    <row r="1304">
      <c r="A1304" s="378"/>
      <c r="B1304" s="477"/>
      <c r="C1304" s="378"/>
      <c r="D1304" s="378"/>
      <c r="E1304" s="378"/>
      <c r="F1304" s="378"/>
      <c r="G1304" s="378"/>
      <c r="H1304" s="378"/>
      <c r="I1304" s="376"/>
      <c r="J1304" s="377"/>
      <c r="K1304" s="378"/>
      <c r="L1304" s="378"/>
      <c r="M1304" s="378"/>
      <c r="N1304" s="379"/>
      <c r="O1304" s="380"/>
      <c r="P1304" s="378"/>
      <c r="Q1304" s="378"/>
      <c r="R1304" s="378"/>
      <c r="S1304" s="378"/>
      <c r="T1304" s="378"/>
      <c r="U1304" s="378"/>
      <c r="V1304" s="378"/>
      <c r="W1304" s="378"/>
      <c r="X1304" s="378"/>
      <c r="Y1304" s="378"/>
      <c r="Z1304" s="378"/>
      <c r="AA1304" s="378"/>
      <c r="AB1304" s="378"/>
      <c r="AC1304" s="378"/>
      <c r="AD1304" s="378"/>
      <c r="AE1304" s="378"/>
      <c r="AF1304" s="378"/>
      <c r="AG1304" s="378"/>
    </row>
    <row r="1305">
      <c r="A1305" s="378"/>
      <c r="B1305" s="477"/>
      <c r="C1305" s="378"/>
      <c r="D1305" s="378"/>
      <c r="E1305" s="378"/>
      <c r="F1305" s="378"/>
      <c r="G1305" s="378"/>
      <c r="H1305" s="378"/>
      <c r="I1305" s="376"/>
      <c r="J1305" s="377"/>
      <c r="K1305" s="378"/>
      <c r="L1305" s="378"/>
      <c r="M1305" s="378"/>
      <c r="N1305" s="379"/>
      <c r="O1305" s="380"/>
      <c r="P1305" s="378"/>
      <c r="Q1305" s="378"/>
      <c r="R1305" s="378"/>
      <c r="S1305" s="378"/>
      <c r="T1305" s="378"/>
      <c r="U1305" s="378"/>
      <c r="V1305" s="378"/>
      <c r="W1305" s="378"/>
      <c r="X1305" s="378"/>
      <c r="Y1305" s="378"/>
      <c r="Z1305" s="378"/>
      <c r="AA1305" s="378"/>
      <c r="AB1305" s="378"/>
      <c r="AC1305" s="378"/>
      <c r="AD1305" s="378"/>
      <c r="AE1305" s="378"/>
      <c r="AF1305" s="378"/>
      <c r="AG1305" s="378"/>
    </row>
    <row r="1306">
      <c r="A1306" s="378"/>
      <c r="B1306" s="477"/>
      <c r="C1306" s="378"/>
      <c r="D1306" s="378"/>
      <c r="E1306" s="378"/>
      <c r="F1306" s="378"/>
      <c r="G1306" s="378"/>
      <c r="H1306" s="378"/>
      <c r="I1306" s="376"/>
      <c r="J1306" s="377"/>
      <c r="K1306" s="378"/>
      <c r="L1306" s="378"/>
      <c r="M1306" s="378"/>
      <c r="N1306" s="379"/>
      <c r="O1306" s="380"/>
      <c r="P1306" s="378"/>
      <c r="Q1306" s="378"/>
      <c r="R1306" s="378"/>
      <c r="S1306" s="378"/>
      <c r="T1306" s="378"/>
      <c r="U1306" s="378"/>
      <c r="V1306" s="378"/>
      <c r="W1306" s="378"/>
      <c r="X1306" s="378"/>
      <c r="Y1306" s="378"/>
      <c r="Z1306" s="378"/>
      <c r="AA1306" s="378"/>
      <c r="AB1306" s="378"/>
      <c r="AC1306" s="378"/>
      <c r="AD1306" s="378"/>
      <c r="AE1306" s="378"/>
      <c r="AF1306" s="378"/>
      <c r="AG1306" s="378"/>
    </row>
    <row r="1307">
      <c r="A1307" s="378"/>
      <c r="B1307" s="477"/>
      <c r="C1307" s="378"/>
      <c r="D1307" s="378"/>
      <c r="E1307" s="378"/>
      <c r="F1307" s="378"/>
      <c r="G1307" s="378"/>
      <c r="H1307" s="378"/>
      <c r="I1307" s="376"/>
      <c r="J1307" s="377"/>
      <c r="K1307" s="378"/>
      <c r="L1307" s="378"/>
      <c r="M1307" s="378"/>
      <c r="N1307" s="379"/>
      <c r="O1307" s="380"/>
      <c r="P1307" s="378"/>
      <c r="Q1307" s="378"/>
      <c r="R1307" s="378"/>
      <c r="S1307" s="378"/>
      <c r="T1307" s="378"/>
      <c r="U1307" s="378"/>
      <c r="V1307" s="378"/>
      <c r="W1307" s="378"/>
      <c r="X1307" s="378"/>
      <c r="Y1307" s="378"/>
      <c r="Z1307" s="378"/>
      <c r="AA1307" s="378"/>
      <c r="AB1307" s="378"/>
      <c r="AC1307" s="378"/>
      <c r="AD1307" s="378"/>
      <c r="AE1307" s="378"/>
      <c r="AF1307" s="378"/>
      <c r="AG1307" s="378"/>
    </row>
    <row r="1308">
      <c r="A1308" s="378"/>
      <c r="B1308" s="477"/>
      <c r="C1308" s="378"/>
      <c r="D1308" s="378"/>
      <c r="E1308" s="378"/>
      <c r="F1308" s="378"/>
      <c r="G1308" s="378"/>
      <c r="H1308" s="378"/>
      <c r="I1308" s="376"/>
      <c r="J1308" s="377"/>
      <c r="K1308" s="378"/>
      <c r="L1308" s="378"/>
      <c r="M1308" s="378"/>
      <c r="N1308" s="379"/>
      <c r="O1308" s="380"/>
      <c r="P1308" s="378"/>
      <c r="Q1308" s="378"/>
      <c r="R1308" s="378"/>
      <c r="S1308" s="378"/>
      <c r="T1308" s="378"/>
      <c r="U1308" s="378"/>
      <c r="V1308" s="378"/>
      <c r="W1308" s="378"/>
      <c r="X1308" s="378"/>
      <c r="Y1308" s="378"/>
      <c r="Z1308" s="378"/>
      <c r="AA1308" s="378"/>
      <c r="AB1308" s="378"/>
      <c r="AC1308" s="378"/>
      <c r="AD1308" s="378"/>
      <c r="AE1308" s="378"/>
      <c r="AF1308" s="378"/>
      <c r="AG1308" s="378"/>
    </row>
    <row r="1309">
      <c r="A1309" s="378"/>
      <c r="B1309" s="477"/>
      <c r="C1309" s="378"/>
      <c r="D1309" s="378"/>
      <c r="E1309" s="378"/>
      <c r="F1309" s="378"/>
      <c r="G1309" s="378"/>
      <c r="H1309" s="378"/>
      <c r="I1309" s="376"/>
      <c r="J1309" s="377"/>
      <c r="K1309" s="378"/>
      <c r="L1309" s="378"/>
      <c r="M1309" s="378"/>
      <c r="N1309" s="379"/>
      <c r="O1309" s="380"/>
      <c r="P1309" s="378"/>
      <c r="Q1309" s="378"/>
      <c r="R1309" s="378"/>
      <c r="S1309" s="378"/>
      <c r="T1309" s="378"/>
      <c r="U1309" s="378"/>
      <c r="V1309" s="378"/>
      <c r="W1309" s="378"/>
      <c r="X1309" s="378"/>
      <c r="Y1309" s="378"/>
      <c r="Z1309" s="378"/>
      <c r="AA1309" s="378"/>
      <c r="AB1309" s="378"/>
      <c r="AC1309" s="378"/>
      <c r="AD1309" s="378"/>
      <c r="AE1309" s="378"/>
      <c r="AF1309" s="378"/>
      <c r="AG1309" s="378"/>
    </row>
    <row r="1310">
      <c r="A1310" s="378"/>
      <c r="B1310" s="477"/>
      <c r="C1310" s="378"/>
      <c r="D1310" s="378"/>
      <c r="E1310" s="378"/>
      <c r="F1310" s="378"/>
      <c r="G1310" s="378"/>
      <c r="H1310" s="378"/>
      <c r="I1310" s="376"/>
      <c r="J1310" s="377"/>
      <c r="K1310" s="378"/>
      <c r="L1310" s="378"/>
      <c r="M1310" s="378"/>
      <c r="N1310" s="379"/>
      <c r="O1310" s="380"/>
      <c r="P1310" s="378"/>
      <c r="Q1310" s="378"/>
      <c r="R1310" s="378"/>
      <c r="S1310" s="378"/>
      <c r="T1310" s="378"/>
      <c r="U1310" s="378"/>
      <c r="V1310" s="378"/>
      <c r="W1310" s="378"/>
      <c r="X1310" s="378"/>
      <c r="Y1310" s="378"/>
      <c r="Z1310" s="378"/>
      <c r="AA1310" s="378"/>
      <c r="AB1310" s="378"/>
      <c r="AC1310" s="378"/>
      <c r="AD1310" s="378"/>
      <c r="AE1310" s="378"/>
      <c r="AF1310" s="378"/>
      <c r="AG1310" s="378"/>
    </row>
    <row r="1311">
      <c r="A1311" s="378"/>
      <c r="B1311" s="477"/>
      <c r="C1311" s="378"/>
      <c r="D1311" s="378"/>
      <c r="E1311" s="378"/>
      <c r="F1311" s="378"/>
      <c r="G1311" s="378"/>
      <c r="H1311" s="378"/>
      <c r="I1311" s="376"/>
      <c r="J1311" s="377"/>
      <c r="K1311" s="378"/>
      <c r="L1311" s="378"/>
      <c r="M1311" s="378"/>
      <c r="N1311" s="379"/>
      <c r="O1311" s="380"/>
      <c r="P1311" s="378"/>
      <c r="Q1311" s="378"/>
      <c r="R1311" s="378"/>
      <c r="S1311" s="378"/>
      <c r="T1311" s="378"/>
      <c r="U1311" s="378"/>
      <c r="V1311" s="378"/>
      <c r="W1311" s="378"/>
      <c r="X1311" s="378"/>
      <c r="Y1311" s="378"/>
      <c r="Z1311" s="378"/>
      <c r="AA1311" s="378"/>
      <c r="AB1311" s="378"/>
      <c r="AC1311" s="378"/>
      <c r="AD1311" s="378"/>
      <c r="AE1311" s="378"/>
      <c r="AF1311" s="378"/>
      <c r="AG1311" s="378"/>
    </row>
    <row r="1312">
      <c r="A1312" s="378"/>
      <c r="B1312" s="477"/>
      <c r="C1312" s="378"/>
      <c r="D1312" s="378"/>
      <c r="E1312" s="378"/>
      <c r="F1312" s="378"/>
      <c r="G1312" s="378"/>
      <c r="H1312" s="378"/>
      <c r="I1312" s="376"/>
      <c r="J1312" s="377"/>
      <c r="K1312" s="378"/>
      <c r="L1312" s="378"/>
      <c r="M1312" s="378"/>
      <c r="N1312" s="379"/>
      <c r="O1312" s="380"/>
      <c r="P1312" s="378"/>
      <c r="Q1312" s="378"/>
      <c r="R1312" s="378"/>
      <c r="S1312" s="378"/>
      <c r="T1312" s="378"/>
      <c r="U1312" s="378"/>
      <c r="V1312" s="378"/>
      <c r="W1312" s="378"/>
      <c r="X1312" s="378"/>
      <c r="Y1312" s="378"/>
      <c r="Z1312" s="378"/>
      <c r="AA1312" s="378"/>
      <c r="AB1312" s="378"/>
      <c r="AC1312" s="378"/>
      <c r="AD1312" s="378"/>
      <c r="AE1312" s="378"/>
      <c r="AF1312" s="378"/>
      <c r="AG1312" s="378"/>
    </row>
    <row r="1313">
      <c r="A1313" s="378"/>
      <c r="B1313" s="477"/>
      <c r="C1313" s="378"/>
      <c r="D1313" s="378"/>
      <c r="E1313" s="378"/>
      <c r="F1313" s="378"/>
      <c r="G1313" s="378"/>
      <c r="H1313" s="378"/>
      <c r="I1313" s="376"/>
      <c r="J1313" s="377"/>
      <c r="K1313" s="378"/>
      <c r="L1313" s="378"/>
      <c r="M1313" s="378"/>
      <c r="N1313" s="379"/>
      <c r="O1313" s="380"/>
      <c r="P1313" s="378"/>
      <c r="Q1313" s="378"/>
      <c r="R1313" s="378"/>
      <c r="S1313" s="378"/>
      <c r="T1313" s="378"/>
      <c r="U1313" s="378"/>
      <c r="V1313" s="378"/>
      <c r="W1313" s="378"/>
      <c r="X1313" s="378"/>
      <c r="Y1313" s="378"/>
      <c r="Z1313" s="378"/>
      <c r="AA1313" s="378"/>
      <c r="AB1313" s="378"/>
      <c r="AC1313" s="378"/>
      <c r="AD1313" s="378"/>
      <c r="AE1313" s="378"/>
      <c r="AF1313" s="378"/>
      <c r="AG1313" s="378"/>
    </row>
    <row r="1314">
      <c r="A1314" s="378"/>
      <c r="B1314" s="477"/>
      <c r="C1314" s="378"/>
      <c r="D1314" s="378"/>
      <c r="E1314" s="378"/>
      <c r="F1314" s="378"/>
      <c r="G1314" s="378"/>
      <c r="H1314" s="378"/>
      <c r="I1314" s="376"/>
      <c r="J1314" s="377"/>
      <c r="K1314" s="378"/>
      <c r="L1314" s="378"/>
      <c r="M1314" s="378"/>
      <c r="N1314" s="379"/>
      <c r="O1314" s="380"/>
      <c r="P1314" s="378"/>
      <c r="Q1314" s="378"/>
      <c r="R1314" s="378"/>
      <c r="S1314" s="378"/>
      <c r="T1314" s="378"/>
      <c r="U1314" s="378"/>
      <c r="V1314" s="378"/>
      <c r="W1314" s="378"/>
      <c r="X1314" s="378"/>
      <c r="Y1314" s="378"/>
      <c r="Z1314" s="378"/>
      <c r="AA1314" s="378"/>
      <c r="AB1314" s="378"/>
      <c r="AC1314" s="378"/>
      <c r="AD1314" s="378"/>
      <c r="AE1314" s="378"/>
      <c r="AF1314" s="378"/>
      <c r="AG1314" s="378"/>
    </row>
    <row r="1315">
      <c r="A1315" s="378"/>
      <c r="B1315" s="477"/>
      <c r="C1315" s="378"/>
      <c r="D1315" s="378"/>
      <c r="E1315" s="378"/>
      <c r="F1315" s="378"/>
      <c r="G1315" s="378"/>
      <c r="H1315" s="378"/>
      <c r="I1315" s="376"/>
      <c r="J1315" s="377"/>
      <c r="K1315" s="378"/>
      <c r="L1315" s="378"/>
      <c r="M1315" s="378"/>
      <c r="N1315" s="379"/>
      <c r="O1315" s="380"/>
      <c r="P1315" s="378"/>
      <c r="Q1315" s="378"/>
      <c r="R1315" s="378"/>
      <c r="S1315" s="378"/>
      <c r="T1315" s="378"/>
      <c r="U1315" s="378"/>
      <c r="V1315" s="378"/>
      <c r="W1315" s="378"/>
      <c r="X1315" s="378"/>
      <c r="Y1315" s="378"/>
      <c r="Z1315" s="378"/>
      <c r="AA1315" s="378"/>
      <c r="AB1315" s="378"/>
      <c r="AC1315" s="378"/>
      <c r="AD1315" s="378"/>
      <c r="AE1315" s="378"/>
      <c r="AF1315" s="378"/>
      <c r="AG1315" s="378"/>
    </row>
    <row r="1316">
      <c r="A1316" s="378"/>
      <c r="B1316" s="477"/>
      <c r="C1316" s="378"/>
      <c r="D1316" s="378"/>
      <c r="E1316" s="378"/>
      <c r="F1316" s="378"/>
      <c r="G1316" s="378"/>
      <c r="H1316" s="378"/>
      <c r="I1316" s="376"/>
      <c r="J1316" s="377"/>
      <c r="K1316" s="378"/>
      <c r="L1316" s="378"/>
      <c r="M1316" s="378"/>
      <c r="N1316" s="379"/>
      <c r="O1316" s="380"/>
      <c r="P1316" s="378"/>
      <c r="Q1316" s="378"/>
      <c r="R1316" s="378"/>
      <c r="S1316" s="378"/>
      <c r="T1316" s="378"/>
      <c r="U1316" s="378"/>
      <c r="V1316" s="378"/>
      <c r="W1316" s="378"/>
      <c r="X1316" s="378"/>
      <c r="Y1316" s="378"/>
      <c r="Z1316" s="378"/>
      <c r="AA1316" s="378"/>
      <c r="AB1316" s="378"/>
      <c r="AC1316" s="378"/>
      <c r="AD1316" s="378"/>
      <c r="AE1316" s="378"/>
      <c r="AF1316" s="378"/>
      <c r="AG1316" s="378"/>
    </row>
    <row r="1317">
      <c r="A1317" s="378"/>
      <c r="B1317" s="477"/>
      <c r="C1317" s="378"/>
      <c r="D1317" s="378"/>
      <c r="E1317" s="378"/>
      <c r="F1317" s="378"/>
      <c r="G1317" s="378"/>
      <c r="H1317" s="378"/>
      <c r="I1317" s="376"/>
      <c r="J1317" s="377"/>
      <c r="K1317" s="378"/>
      <c r="L1317" s="378"/>
      <c r="M1317" s="378"/>
      <c r="N1317" s="379"/>
      <c r="O1317" s="380"/>
      <c r="P1317" s="378"/>
      <c r="Q1317" s="378"/>
      <c r="R1317" s="378"/>
      <c r="S1317" s="378"/>
      <c r="T1317" s="378"/>
      <c r="U1317" s="378"/>
      <c r="V1317" s="378"/>
      <c r="W1317" s="378"/>
      <c r="X1317" s="378"/>
      <c r="Y1317" s="378"/>
      <c r="Z1317" s="378"/>
      <c r="AA1317" s="378"/>
      <c r="AB1317" s="378"/>
      <c r="AC1317" s="378"/>
      <c r="AD1317" s="378"/>
      <c r="AE1317" s="378"/>
      <c r="AF1317" s="378"/>
      <c r="AG1317" s="378"/>
    </row>
    <row r="1318">
      <c r="A1318" s="378"/>
      <c r="B1318" s="477"/>
      <c r="C1318" s="378"/>
      <c r="D1318" s="378"/>
      <c r="E1318" s="378"/>
      <c r="F1318" s="378"/>
      <c r="G1318" s="378"/>
      <c r="H1318" s="378"/>
      <c r="I1318" s="376"/>
      <c r="J1318" s="377"/>
      <c r="K1318" s="378"/>
      <c r="L1318" s="378"/>
      <c r="M1318" s="378"/>
      <c r="N1318" s="379"/>
      <c r="O1318" s="380"/>
      <c r="P1318" s="378"/>
      <c r="Q1318" s="378"/>
      <c r="R1318" s="378"/>
      <c r="S1318" s="378"/>
      <c r="T1318" s="378"/>
      <c r="U1318" s="378"/>
      <c r="V1318" s="378"/>
      <c r="W1318" s="378"/>
      <c r="X1318" s="378"/>
      <c r="Y1318" s="378"/>
      <c r="Z1318" s="378"/>
      <c r="AA1318" s="378"/>
      <c r="AB1318" s="378"/>
      <c r="AC1318" s="378"/>
      <c r="AD1318" s="378"/>
      <c r="AE1318" s="378"/>
      <c r="AF1318" s="378"/>
      <c r="AG1318" s="378"/>
    </row>
    <row r="1319">
      <c r="A1319" s="378"/>
      <c r="B1319" s="477"/>
      <c r="C1319" s="378"/>
      <c r="D1319" s="378"/>
      <c r="E1319" s="378"/>
      <c r="F1319" s="378"/>
      <c r="G1319" s="378"/>
      <c r="H1319" s="378"/>
      <c r="I1319" s="376"/>
      <c r="J1319" s="377"/>
      <c r="K1319" s="378"/>
      <c r="L1319" s="378"/>
      <c r="M1319" s="378"/>
      <c r="N1319" s="379"/>
      <c r="O1319" s="380"/>
      <c r="P1319" s="378"/>
      <c r="Q1319" s="378"/>
      <c r="R1319" s="378"/>
      <c r="S1319" s="378"/>
      <c r="T1319" s="378"/>
      <c r="U1319" s="378"/>
      <c r="V1319" s="378"/>
      <c r="W1319" s="378"/>
      <c r="X1319" s="378"/>
      <c r="Y1319" s="378"/>
      <c r="Z1319" s="378"/>
      <c r="AA1319" s="378"/>
      <c r="AB1319" s="378"/>
      <c r="AC1319" s="378"/>
      <c r="AD1319" s="378"/>
      <c r="AE1319" s="378"/>
      <c r="AF1319" s="378"/>
      <c r="AG1319" s="378"/>
    </row>
    <row r="1320">
      <c r="A1320" s="378"/>
      <c r="B1320" s="477"/>
      <c r="C1320" s="378"/>
      <c r="D1320" s="378"/>
      <c r="E1320" s="378"/>
      <c r="F1320" s="378"/>
      <c r="G1320" s="378"/>
      <c r="H1320" s="378"/>
      <c r="I1320" s="376"/>
      <c r="J1320" s="377"/>
      <c r="K1320" s="378"/>
      <c r="L1320" s="378"/>
      <c r="M1320" s="378"/>
      <c r="N1320" s="379"/>
      <c r="O1320" s="380"/>
      <c r="P1320" s="378"/>
      <c r="Q1320" s="378"/>
      <c r="R1320" s="378"/>
      <c r="S1320" s="378"/>
      <c r="T1320" s="378"/>
      <c r="U1320" s="378"/>
      <c r="V1320" s="378"/>
      <c r="W1320" s="378"/>
      <c r="X1320" s="378"/>
      <c r="Y1320" s="378"/>
      <c r="Z1320" s="378"/>
      <c r="AA1320" s="378"/>
      <c r="AB1320" s="378"/>
      <c r="AC1320" s="378"/>
      <c r="AD1320" s="378"/>
      <c r="AE1320" s="378"/>
      <c r="AF1320" s="378"/>
      <c r="AG1320" s="378"/>
    </row>
    <row r="1321">
      <c r="A1321" s="378"/>
      <c r="B1321" s="477"/>
      <c r="C1321" s="378"/>
      <c r="D1321" s="378"/>
      <c r="E1321" s="378"/>
      <c r="F1321" s="378"/>
      <c r="G1321" s="378"/>
      <c r="H1321" s="378"/>
      <c r="I1321" s="376"/>
      <c r="J1321" s="377"/>
      <c r="K1321" s="378"/>
      <c r="L1321" s="378"/>
      <c r="M1321" s="378"/>
      <c r="N1321" s="379"/>
      <c r="O1321" s="380"/>
      <c r="P1321" s="378"/>
      <c r="Q1321" s="378"/>
      <c r="R1321" s="378"/>
      <c r="S1321" s="378"/>
      <c r="T1321" s="378"/>
      <c r="U1321" s="378"/>
      <c r="V1321" s="378"/>
      <c r="W1321" s="378"/>
      <c r="X1321" s="378"/>
      <c r="Y1321" s="378"/>
      <c r="Z1321" s="378"/>
      <c r="AA1321" s="378"/>
      <c r="AB1321" s="378"/>
      <c r="AC1321" s="378"/>
      <c r="AD1321" s="378"/>
      <c r="AE1321" s="378"/>
      <c r="AF1321" s="378"/>
      <c r="AG1321" s="378"/>
    </row>
    <row r="1322">
      <c r="A1322" s="378"/>
      <c r="B1322" s="477"/>
      <c r="C1322" s="378"/>
      <c r="D1322" s="378"/>
      <c r="E1322" s="378"/>
      <c r="F1322" s="378"/>
      <c r="G1322" s="378"/>
      <c r="H1322" s="378"/>
      <c r="I1322" s="376"/>
      <c r="J1322" s="377"/>
      <c r="K1322" s="378"/>
      <c r="L1322" s="378"/>
      <c r="M1322" s="378"/>
      <c r="N1322" s="379"/>
      <c r="O1322" s="380"/>
      <c r="P1322" s="378"/>
      <c r="Q1322" s="378"/>
      <c r="R1322" s="378"/>
      <c r="S1322" s="378"/>
      <c r="T1322" s="378"/>
      <c r="U1322" s="378"/>
      <c r="V1322" s="378"/>
      <c r="W1322" s="378"/>
      <c r="X1322" s="378"/>
      <c r="Y1322" s="378"/>
      <c r="Z1322" s="378"/>
      <c r="AA1322" s="378"/>
      <c r="AB1322" s="378"/>
      <c r="AC1322" s="378"/>
      <c r="AD1322" s="378"/>
      <c r="AE1322" s="378"/>
      <c r="AF1322" s="378"/>
      <c r="AG1322" s="378"/>
    </row>
    <row r="1323">
      <c r="A1323" s="378"/>
      <c r="B1323" s="477"/>
      <c r="C1323" s="378"/>
      <c r="D1323" s="378"/>
      <c r="E1323" s="378"/>
      <c r="F1323" s="378"/>
      <c r="G1323" s="378"/>
      <c r="H1323" s="378"/>
      <c r="I1323" s="376"/>
      <c r="J1323" s="377"/>
      <c r="K1323" s="378"/>
      <c r="L1323" s="378"/>
      <c r="M1323" s="378"/>
      <c r="N1323" s="379"/>
      <c r="O1323" s="380"/>
      <c r="P1323" s="378"/>
      <c r="Q1323" s="378"/>
      <c r="R1323" s="378"/>
      <c r="S1323" s="378"/>
      <c r="T1323" s="378"/>
      <c r="U1323" s="378"/>
      <c r="V1323" s="378"/>
      <c r="W1323" s="378"/>
      <c r="X1323" s="378"/>
      <c r="Y1323" s="378"/>
      <c r="Z1323" s="378"/>
      <c r="AA1323" s="378"/>
      <c r="AB1323" s="378"/>
      <c r="AC1323" s="378"/>
      <c r="AD1323" s="378"/>
      <c r="AE1323" s="378"/>
      <c r="AF1323" s="378"/>
      <c r="AG1323" s="378"/>
    </row>
    <row r="1324">
      <c r="A1324" s="378"/>
      <c r="B1324" s="477"/>
      <c r="C1324" s="378"/>
      <c r="D1324" s="378"/>
      <c r="E1324" s="378"/>
      <c r="F1324" s="378"/>
      <c r="G1324" s="378"/>
      <c r="H1324" s="378"/>
      <c r="I1324" s="376"/>
      <c r="J1324" s="377"/>
      <c r="K1324" s="378"/>
      <c r="L1324" s="378"/>
      <c r="M1324" s="378"/>
      <c r="N1324" s="379"/>
      <c r="O1324" s="380"/>
      <c r="P1324" s="378"/>
      <c r="Q1324" s="378"/>
      <c r="R1324" s="378"/>
      <c r="S1324" s="378"/>
      <c r="T1324" s="378"/>
      <c r="U1324" s="378"/>
      <c r="V1324" s="378"/>
      <c r="W1324" s="378"/>
      <c r="X1324" s="378"/>
      <c r="Y1324" s="378"/>
      <c r="Z1324" s="378"/>
      <c r="AA1324" s="378"/>
      <c r="AB1324" s="378"/>
      <c r="AC1324" s="378"/>
      <c r="AD1324" s="378"/>
      <c r="AE1324" s="378"/>
      <c r="AF1324" s="378"/>
      <c r="AG1324" s="378"/>
    </row>
    <row r="1325">
      <c r="A1325" s="378"/>
      <c r="B1325" s="477"/>
      <c r="C1325" s="378"/>
      <c r="D1325" s="378"/>
      <c r="E1325" s="378"/>
      <c r="F1325" s="378"/>
      <c r="G1325" s="378"/>
      <c r="H1325" s="378"/>
      <c r="I1325" s="376"/>
      <c r="J1325" s="377"/>
      <c r="K1325" s="378"/>
      <c r="L1325" s="378"/>
      <c r="M1325" s="378"/>
      <c r="N1325" s="379"/>
      <c r="O1325" s="380"/>
      <c r="P1325" s="378"/>
      <c r="Q1325" s="378"/>
      <c r="R1325" s="378"/>
      <c r="S1325" s="378"/>
      <c r="T1325" s="378"/>
      <c r="U1325" s="378"/>
      <c r="V1325" s="378"/>
      <c r="W1325" s="378"/>
      <c r="X1325" s="378"/>
      <c r="Y1325" s="378"/>
      <c r="Z1325" s="378"/>
      <c r="AA1325" s="378"/>
      <c r="AB1325" s="378"/>
      <c r="AC1325" s="378"/>
      <c r="AD1325" s="378"/>
      <c r="AE1325" s="378"/>
      <c r="AF1325" s="378"/>
      <c r="AG1325" s="378"/>
    </row>
    <row r="1326">
      <c r="A1326" s="378"/>
      <c r="B1326" s="477"/>
      <c r="C1326" s="378"/>
      <c r="D1326" s="378"/>
      <c r="E1326" s="378"/>
      <c r="F1326" s="378"/>
      <c r="G1326" s="378"/>
      <c r="H1326" s="378"/>
      <c r="I1326" s="376"/>
      <c r="J1326" s="377"/>
      <c r="K1326" s="378"/>
      <c r="L1326" s="378"/>
      <c r="M1326" s="378"/>
      <c r="N1326" s="379"/>
      <c r="O1326" s="380"/>
      <c r="P1326" s="378"/>
      <c r="Q1326" s="378"/>
      <c r="R1326" s="378"/>
      <c r="S1326" s="378"/>
      <c r="T1326" s="378"/>
      <c r="U1326" s="378"/>
      <c r="V1326" s="378"/>
      <c r="W1326" s="378"/>
      <c r="X1326" s="378"/>
      <c r="Y1326" s="378"/>
      <c r="Z1326" s="378"/>
      <c r="AA1326" s="378"/>
      <c r="AB1326" s="378"/>
      <c r="AC1326" s="378"/>
      <c r="AD1326" s="378"/>
      <c r="AE1326" s="378"/>
      <c r="AF1326" s="378"/>
      <c r="AG1326" s="378"/>
    </row>
    <row r="1327">
      <c r="A1327" s="378"/>
      <c r="B1327" s="477"/>
      <c r="C1327" s="378"/>
      <c r="D1327" s="378"/>
      <c r="E1327" s="378"/>
      <c r="F1327" s="378"/>
      <c r="G1327" s="378"/>
      <c r="H1327" s="378"/>
      <c r="I1327" s="376"/>
      <c r="J1327" s="377"/>
      <c r="K1327" s="378"/>
      <c r="L1327" s="378"/>
      <c r="M1327" s="378"/>
      <c r="N1327" s="379"/>
      <c r="O1327" s="380"/>
      <c r="P1327" s="378"/>
      <c r="Q1327" s="378"/>
      <c r="R1327" s="378"/>
      <c r="S1327" s="378"/>
      <c r="T1327" s="378"/>
      <c r="U1327" s="378"/>
      <c r="V1327" s="378"/>
      <c r="W1327" s="378"/>
      <c r="X1327" s="378"/>
      <c r="Y1327" s="378"/>
      <c r="Z1327" s="378"/>
      <c r="AA1327" s="378"/>
      <c r="AB1327" s="378"/>
      <c r="AC1327" s="378"/>
      <c r="AD1327" s="378"/>
      <c r="AE1327" s="378"/>
      <c r="AF1327" s="378"/>
      <c r="AG1327" s="378"/>
    </row>
    <row r="1328">
      <c r="A1328" s="378"/>
      <c r="B1328" s="477"/>
      <c r="C1328" s="378"/>
      <c r="D1328" s="378"/>
      <c r="E1328" s="378"/>
      <c r="F1328" s="378"/>
      <c r="G1328" s="378"/>
      <c r="H1328" s="378"/>
      <c r="I1328" s="376"/>
      <c r="J1328" s="377"/>
      <c r="K1328" s="378"/>
      <c r="L1328" s="378"/>
      <c r="M1328" s="378"/>
      <c r="N1328" s="379"/>
      <c r="O1328" s="380"/>
      <c r="P1328" s="378"/>
      <c r="Q1328" s="378"/>
      <c r="R1328" s="378"/>
      <c r="S1328" s="378"/>
      <c r="T1328" s="378"/>
      <c r="U1328" s="378"/>
      <c r="V1328" s="378"/>
      <c r="W1328" s="378"/>
      <c r="X1328" s="378"/>
      <c r="Y1328" s="378"/>
      <c r="Z1328" s="378"/>
      <c r="AA1328" s="378"/>
      <c r="AB1328" s="378"/>
      <c r="AC1328" s="378"/>
      <c r="AD1328" s="378"/>
      <c r="AE1328" s="378"/>
      <c r="AF1328" s="378"/>
      <c r="AG1328" s="378"/>
    </row>
    <row r="1329">
      <c r="A1329" s="378"/>
      <c r="B1329" s="477"/>
      <c r="C1329" s="378"/>
      <c r="D1329" s="378"/>
      <c r="E1329" s="378"/>
      <c r="F1329" s="378"/>
      <c r="G1329" s="378"/>
      <c r="H1329" s="378"/>
      <c r="I1329" s="376"/>
      <c r="J1329" s="377"/>
      <c r="K1329" s="378"/>
      <c r="L1329" s="378"/>
      <c r="M1329" s="378"/>
      <c r="N1329" s="379"/>
      <c r="O1329" s="380"/>
      <c r="P1329" s="378"/>
      <c r="Q1329" s="378"/>
      <c r="R1329" s="378"/>
      <c r="S1329" s="378"/>
      <c r="T1329" s="378"/>
      <c r="U1329" s="378"/>
      <c r="V1329" s="378"/>
      <c r="W1329" s="378"/>
      <c r="X1329" s="378"/>
      <c r="Y1329" s="378"/>
      <c r="Z1329" s="378"/>
      <c r="AA1329" s="378"/>
      <c r="AB1329" s="378"/>
      <c r="AC1329" s="378"/>
      <c r="AD1329" s="378"/>
      <c r="AE1329" s="378"/>
      <c r="AF1329" s="378"/>
      <c r="AG1329" s="378"/>
    </row>
    <row r="1330">
      <c r="A1330" s="378"/>
      <c r="B1330" s="477"/>
      <c r="C1330" s="378"/>
      <c r="D1330" s="378"/>
      <c r="E1330" s="378"/>
      <c r="F1330" s="378"/>
      <c r="G1330" s="378"/>
      <c r="H1330" s="378"/>
      <c r="I1330" s="376"/>
      <c r="J1330" s="377"/>
      <c r="K1330" s="378"/>
      <c r="L1330" s="378"/>
      <c r="M1330" s="378"/>
      <c r="N1330" s="379"/>
      <c r="O1330" s="380"/>
      <c r="P1330" s="378"/>
      <c r="Q1330" s="378"/>
      <c r="R1330" s="378"/>
      <c r="S1330" s="378"/>
      <c r="T1330" s="378"/>
      <c r="U1330" s="378"/>
      <c r="V1330" s="378"/>
      <c r="W1330" s="378"/>
      <c r="X1330" s="378"/>
      <c r="Y1330" s="378"/>
      <c r="Z1330" s="378"/>
      <c r="AA1330" s="378"/>
      <c r="AB1330" s="378"/>
      <c r="AC1330" s="378"/>
      <c r="AD1330" s="378"/>
      <c r="AE1330" s="378"/>
      <c r="AF1330" s="378"/>
      <c r="AG1330" s="378"/>
    </row>
    <row r="1331">
      <c r="A1331" s="378"/>
      <c r="B1331" s="477"/>
      <c r="C1331" s="378"/>
      <c r="D1331" s="378"/>
      <c r="E1331" s="378"/>
      <c r="F1331" s="378"/>
      <c r="G1331" s="378"/>
      <c r="H1331" s="378"/>
      <c r="I1331" s="376"/>
      <c r="J1331" s="377"/>
      <c r="K1331" s="378"/>
      <c r="L1331" s="378"/>
      <c r="M1331" s="378"/>
      <c r="N1331" s="379"/>
      <c r="O1331" s="380"/>
      <c r="P1331" s="378"/>
      <c r="Q1331" s="378"/>
      <c r="R1331" s="378"/>
      <c r="S1331" s="378"/>
      <c r="T1331" s="378"/>
      <c r="U1331" s="378"/>
      <c r="V1331" s="378"/>
      <c r="W1331" s="378"/>
      <c r="X1331" s="378"/>
      <c r="Y1331" s="378"/>
      <c r="Z1331" s="378"/>
      <c r="AA1331" s="378"/>
      <c r="AB1331" s="378"/>
      <c r="AC1331" s="378"/>
      <c r="AD1331" s="378"/>
      <c r="AE1331" s="378"/>
      <c r="AF1331" s="378"/>
      <c r="AG1331" s="378"/>
    </row>
    <row r="1332">
      <c r="A1332" s="378"/>
      <c r="B1332" s="477"/>
      <c r="C1332" s="378"/>
      <c r="D1332" s="378"/>
      <c r="E1332" s="378"/>
      <c r="F1332" s="378"/>
      <c r="G1332" s="378"/>
      <c r="H1332" s="378"/>
      <c r="I1332" s="376"/>
      <c r="J1332" s="377"/>
      <c r="K1332" s="378"/>
      <c r="L1332" s="378"/>
      <c r="M1332" s="378"/>
      <c r="N1332" s="379"/>
      <c r="O1332" s="380"/>
      <c r="P1332" s="378"/>
      <c r="Q1332" s="378"/>
      <c r="R1332" s="378"/>
      <c r="S1332" s="378"/>
      <c r="T1332" s="378"/>
      <c r="U1332" s="378"/>
      <c r="V1332" s="378"/>
      <c r="W1332" s="378"/>
      <c r="X1332" s="378"/>
      <c r="Y1332" s="378"/>
      <c r="Z1332" s="378"/>
      <c r="AA1332" s="378"/>
      <c r="AB1332" s="378"/>
      <c r="AC1332" s="378"/>
      <c r="AD1332" s="378"/>
      <c r="AE1332" s="378"/>
      <c r="AF1332" s="378"/>
      <c r="AG1332" s="378"/>
    </row>
    <row r="1333">
      <c r="A1333" s="378"/>
      <c r="B1333" s="477"/>
      <c r="C1333" s="378"/>
      <c r="D1333" s="378"/>
      <c r="E1333" s="378"/>
      <c r="F1333" s="378"/>
      <c r="G1333" s="378"/>
      <c r="H1333" s="378"/>
      <c r="I1333" s="376"/>
      <c r="J1333" s="377"/>
      <c r="K1333" s="378"/>
      <c r="L1333" s="378"/>
      <c r="M1333" s="378"/>
      <c r="N1333" s="379"/>
      <c r="O1333" s="380"/>
      <c r="P1333" s="378"/>
      <c r="Q1333" s="378"/>
      <c r="R1333" s="378"/>
      <c r="S1333" s="378"/>
      <c r="T1333" s="378"/>
      <c r="U1333" s="378"/>
      <c r="V1333" s="378"/>
      <c r="W1333" s="378"/>
      <c r="X1333" s="378"/>
      <c r="Y1333" s="378"/>
      <c r="Z1333" s="378"/>
      <c r="AA1333" s="378"/>
      <c r="AB1333" s="378"/>
      <c r="AC1333" s="378"/>
      <c r="AD1333" s="378"/>
      <c r="AE1333" s="378"/>
      <c r="AF1333" s="378"/>
      <c r="AG1333" s="378"/>
    </row>
    <row r="1334">
      <c r="A1334" s="378"/>
      <c r="B1334" s="477"/>
      <c r="C1334" s="378"/>
      <c r="D1334" s="378"/>
      <c r="E1334" s="378"/>
      <c r="F1334" s="378"/>
      <c r="G1334" s="378"/>
      <c r="H1334" s="378"/>
      <c r="I1334" s="376"/>
      <c r="J1334" s="377"/>
      <c r="K1334" s="378"/>
      <c r="L1334" s="378"/>
      <c r="M1334" s="378"/>
      <c r="N1334" s="379"/>
      <c r="O1334" s="380"/>
      <c r="P1334" s="378"/>
      <c r="Q1334" s="378"/>
      <c r="R1334" s="378"/>
      <c r="S1334" s="378"/>
      <c r="T1334" s="378"/>
      <c r="U1334" s="378"/>
      <c r="V1334" s="378"/>
      <c r="W1334" s="378"/>
      <c r="X1334" s="378"/>
      <c r="Y1334" s="378"/>
      <c r="Z1334" s="378"/>
      <c r="AA1334" s="378"/>
      <c r="AB1334" s="378"/>
      <c r="AC1334" s="378"/>
      <c r="AD1334" s="378"/>
      <c r="AE1334" s="378"/>
      <c r="AF1334" s="378"/>
      <c r="AG1334" s="378"/>
    </row>
    <row r="1335">
      <c r="A1335" s="378"/>
      <c r="B1335" s="477"/>
      <c r="C1335" s="378"/>
      <c r="D1335" s="378"/>
      <c r="E1335" s="378"/>
      <c r="F1335" s="378"/>
      <c r="G1335" s="378"/>
      <c r="H1335" s="378"/>
      <c r="I1335" s="376"/>
      <c r="J1335" s="377"/>
      <c r="K1335" s="378"/>
      <c r="L1335" s="378"/>
      <c r="M1335" s="378"/>
      <c r="N1335" s="379"/>
      <c r="O1335" s="380"/>
      <c r="P1335" s="378"/>
      <c r="Q1335" s="378"/>
      <c r="R1335" s="378"/>
      <c r="S1335" s="378"/>
      <c r="T1335" s="378"/>
      <c r="U1335" s="378"/>
      <c r="V1335" s="378"/>
      <c r="W1335" s="378"/>
      <c r="X1335" s="378"/>
      <c r="Y1335" s="378"/>
      <c r="Z1335" s="378"/>
      <c r="AA1335" s="378"/>
      <c r="AB1335" s="378"/>
      <c r="AC1335" s="378"/>
      <c r="AD1335" s="378"/>
      <c r="AE1335" s="378"/>
      <c r="AF1335" s="378"/>
      <c r="AG1335" s="378"/>
    </row>
    <row r="1336">
      <c r="A1336" s="378"/>
      <c r="B1336" s="477"/>
      <c r="C1336" s="378"/>
      <c r="D1336" s="378"/>
      <c r="E1336" s="378"/>
      <c r="F1336" s="378"/>
      <c r="G1336" s="378"/>
      <c r="H1336" s="378"/>
      <c r="I1336" s="376"/>
      <c r="J1336" s="377"/>
      <c r="K1336" s="378"/>
      <c r="L1336" s="378"/>
      <c r="M1336" s="378"/>
      <c r="N1336" s="379"/>
      <c r="O1336" s="380"/>
      <c r="P1336" s="378"/>
      <c r="Q1336" s="378"/>
      <c r="R1336" s="378"/>
      <c r="S1336" s="378"/>
      <c r="T1336" s="378"/>
      <c r="U1336" s="378"/>
      <c r="V1336" s="378"/>
      <c r="W1336" s="378"/>
      <c r="X1336" s="378"/>
      <c r="Y1336" s="378"/>
      <c r="Z1336" s="378"/>
      <c r="AA1336" s="378"/>
      <c r="AB1336" s="378"/>
      <c r="AC1336" s="378"/>
      <c r="AD1336" s="378"/>
      <c r="AE1336" s="378"/>
      <c r="AF1336" s="378"/>
      <c r="AG1336" s="378"/>
    </row>
    <row r="1337">
      <c r="A1337" s="378"/>
      <c r="B1337" s="477"/>
      <c r="C1337" s="378"/>
      <c r="D1337" s="378"/>
      <c r="E1337" s="378"/>
      <c r="F1337" s="378"/>
      <c r="G1337" s="378"/>
      <c r="H1337" s="378"/>
      <c r="I1337" s="376"/>
      <c r="J1337" s="377"/>
      <c r="K1337" s="378"/>
      <c r="L1337" s="378"/>
      <c r="M1337" s="378"/>
      <c r="N1337" s="379"/>
      <c r="O1337" s="380"/>
      <c r="P1337" s="378"/>
      <c r="Q1337" s="378"/>
      <c r="R1337" s="378"/>
      <c r="S1337" s="378"/>
      <c r="T1337" s="378"/>
      <c r="U1337" s="378"/>
      <c r="V1337" s="378"/>
      <c r="W1337" s="378"/>
      <c r="X1337" s="378"/>
      <c r="Y1337" s="378"/>
      <c r="Z1337" s="378"/>
      <c r="AA1337" s="378"/>
      <c r="AB1337" s="378"/>
      <c r="AC1337" s="378"/>
      <c r="AD1337" s="378"/>
      <c r="AE1337" s="378"/>
      <c r="AF1337" s="378"/>
      <c r="AG1337" s="378"/>
    </row>
    <row r="1338">
      <c r="A1338" s="378"/>
      <c r="B1338" s="477"/>
      <c r="C1338" s="378"/>
      <c r="D1338" s="378"/>
      <c r="E1338" s="378"/>
      <c r="F1338" s="378"/>
      <c r="G1338" s="378"/>
      <c r="H1338" s="378"/>
      <c r="I1338" s="376"/>
      <c r="J1338" s="377"/>
      <c r="K1338" s="378"/>
      <c r="L1338" s="378"/>
      <c r="M1338" s="378"/>
      <c r="N1338" s="379"/>
      <c r="O1338" s="380"/>
      <c r="P1338" s="378"/>
      <c r="Q1338" s="378"/>
      <c r="R1338" s="378"/>
      <c r="S1338" s="378"/>
      <c r="T1338" s="378"/>
      <c r="U1338" s="378"/>
      <c r="V1338" s="378"/>
      <c r="W1338" s="378"/>
      <c r="X1338" s="378"/>
      <c r="Y1338" s="378"/>
      <c r="Z1338" s="378"/>
      <c r="AA1338" s="378"/>
      <c r="AB1338" s="378"/>
      <c r="AC1338" s="378"/>
      <c r="AD1338" s="378"/>
      <c r="AE1338" s="378"/>
      <c r="AF1338" s="378"/>
      <c r="AG1338" s="378"/>
    </row>
    <row r="1339">
      <c r="A1339" s="378"/>
      <c r="B1339" s="477"/>
      <c r="C1339" s="378"/>
      <c r="D1339" s="378"/>
      <c r="E1339" s="378"/>
      <c r="F1339" s="378"/>
      <c r="G1339" s="378"/>
      <c r="H1339" s="378"/>
      <c r="I1339" s="376"/>
      <c r="J1339" s="377"/>
      <c r="K1339" s="378"/>
      <c r="L1339" s="378"/>
      <c r="M1339" s="378"/>
      <c r="N1339" s="379"/>
      <c r="O1339" s="380"/>
      <c r="P1339" s="378"/>
      <c r="Q1339" s="378"/>
      <c r="R1339" s="378"/>
      <c r="S1339" s="378"/>
      <c r="T1339" s="378"/>
      <c r="U1339" s="378"/>
      <c r="V1339" s="378"/>
      <c r="W1339" s="378"/>
      <c r="X1339" s="378"/>
      <c r="Y1339" s="378"/>
      <c r="Z1339" s="378"/>
      <c r="AA1339" s="378"/>
      <c r="AB1339" s="378"/>
      <c r="AC1339" s="378"/>
      <c r="AD1339" s="378"/>
      <c r="AE1339" s="378"/>
      <c r="AF1339" s="378"/>
      <c r="AG1339" s="378"/>
    </row>
    <row r="1340">
      <c r="A1340" s="378"/>
      <c r="B1340" s="477"/>
      <c r="C1340" s="378"/>
      <c r="D1340" s="378"/>
      <c r="E1340" s="378"/>
      <c r="F1340" s="378"/>
      <c r="G1340" s="378"/>
      <c r="H1340" s="378"/>
      <c r="I1340" s="376"/>
      <c r="J1340" s="377"/>
      <c r="K1340" s="378"/>
      <c r="L1340" s="378"/>
      <c r="M1340" s="378"/>
      <c r="N1340" s="379"/>
      <c r="O1340" s="380"/>
      <c r="P1340" s="378"/>
      <c r="Q1340" s="378"/>
      <c r="R1340" s="378"/>
      <c r="S1340" s="378"/>
      <c r="T1340" s="378"/>
      <c r="U1340" s="378"/>
      <c r="V1340" s="378"/>
      <c r="W1340" s="378"/>
      <c r="X1340" s="378"/>
      <c r="Y1340" s="378"/>
      <c r="Z1340" s="378"/>
      <c r="AA1340" s="378"/>
      <c r="AB1340" s="378"/>
      <c r="AC1340" s="378"/>
      <c r="AD1340" s="378"/>
      <c r="AE1340" s="378"/>
      <c r="AF1340" s="378"/>
      <c r="AG1340" s="378"/>
    </row>
    <row r="1341">
      <c r="A1341" s="378"/>
      <c r="B1341" s="477"/>
      <c r="C1341" s="378"/>
      <c r="D1341" s="378"/>
      <c r="E1341" s="378"/>
      <c r="F1341" s="378"/>
      <c r="G1341" s="378"/>
      <c r="H1341" s="378"/>
      <c r="I1341" s="376"/>
      <c r="J1341" s="377"/>
      <c r="K1341" s="378"/>
      <c r="L1341" s="378"/>
      <c r="M1341" s="378"/>
      <c r="N1341" s="379"/>
      <c r="O1341" s="380"/>
      <c r="P1341" s="378"/>
      <c r="Q1341" s="378"/>
      <c r="R1341" s="378"/>
      <c r="S1341" s="378"/>
      <c r="T1341" s="378"/>
      <c r="U1341" s="378"/>
      <c r="V1341" s="378"/>
      <c r="W1341" s="378"/>
      <c r="X1341" s="378"/>
      <c r="Y1341" s="378"/>
      <c r="Z1341" s="378"/>
      <c r="AA1341" s="378"/>
      <c r="AB1341" s="378"/>
      <c r="AC1341" s="378"/>
      <c r="AD1341" s="378"/>
      <c r="AE1341" s="378"/>
      <c r="AF1341" s="378"/>
      <c r="AG1341" s="378"/>
    </row>
    <row r="1342">
      <c r="A1342" s="378"/>
      <c r="B1342" s="477"/>
      <c r="C1342" s="378"/>
      <c r="D1342" s="378"/>
      <c r="E1342" s="378"/>
      <c r="F1342" s="378"/>
      <c r="G1342" s="378"/>
      <c r="H1342" s="378"/>
      <c r="I1342" s="376"/>
      <c r="J1342" s="377"/>
      <c r="K1342" s="378"/>
      <c r="L1342" s="378"/>
      <c r="M1342" s="378"/>
      <c r="N1342" s="379"/>
      <c r="O1342" s="380"/>
      <c r="P1342" s="378"/>
      <c r="Q1342" s="378"/>
      <c r="R1342" s="378"/>
      <c r="S1342" s="378"/>
      <c r="T1342" s="378"/>
      <c r="U1342" s="378"/>
      <c r="V1342" s="378"/>
      <c r="W1342" s="378"/>
      <c r="X1342" s="378"/>
      <c r="Y1342" s="378"/>
      <c r="Z1342" s="378"/>
      <c r="AA1342" s="378"/>
      <c r="AB1342" s="378"/>
      <c r="AC1342" s="378"/>
      <c r="AD1342" s="378"/>
      <c r="AE1342" s="378"/>
      <c r="AF1342" s="378"/>
      <c r="AG1342" s="378"/>
    </row>
    <row r="1343">
      <c r="A1343" s="378"/>
      <c r="B1343" s="477"/>
      <c r="C1343" s="378"/>
      <c r="D1343" s="378"/>
      <c r="E1343" s="378"/>
      <c r="F1343" s="378"/>
      <c r="G1343" s="378"/>
      <c r="H1343" s="378"/>
      <c r="I1343" s="376"/>
      <c r="J1343" s="377"/>
      <c r="K1343" s="378"/>
      <c r="L1343" s="378"/>
      <c r="M1343" s="378"/>
      <c r="N1343" s="379"/>
      <c r="O1343" s="380"/>
      <c r="P1343" s="378"/>
      <c r="Q1343" s="378"/>
      <c r="R1343" s="378"/>
      <c r="S1343" s="378"/>
      <c r="T1343" s="378"/>
      <c r="U1343" s="378"/>
      <c r="V1343" s="378"/>
      <c r="W1343" s="378"/>
      <c r="X1343" s="378"/>
      <c r="Y1343" s="378"/>
      <c r="Z1343" s="378"/>
      <c r="AA1343" s="378"/>
      <c r="AB1343" s="378"/>
      <c r="AC1343" s="378"/>
      <c r="AD1343" s="378"/>
      <c r="AE1343" s="378"/>
      <c r="AF1343" s="378"/>
      <c r="AG1343" s="378"/>
    </row>
    <row r="1344">
      <c r="A1344" s="378"/>
      <c r="B1344" s="477"/>
      <c r="C1344" s="378"/>
      <c r="D1344" s="378"/>
      <c r="E1344" s="378"/>
      <c r="F1344" s="378"/>
      <c r="G1344" s="378"/>
      <c r="H1344" s="378"/>
      <c r="I1344" s="376"/>
      <c r="J1344" s="377"/>
      <c r="K1344" s="378"/>
      <c r="L1344" s="378"/>
      <c r="M1344" s="378"/>
      <c r="N1344" s="379"/>
      <c r="O1344" s="380"/>
      <c r="P1344" s="378"/>
      <c r="Q1344" s="378"/>
      <c r="R1344" s="378"/>
      <c r="S1344" s="378"/>
      <c r="T1344" s="378"/>
      <c r="U1344" s="378"/>
      <c r="V1344" s="378"/>
      <c r="W1344" s="378"/>
      <c r="X1344" s="378"/>
      <c r="Y1344" s="378"/>
      <c r="Z1344" s="378"/>
      <c r="AA1344" s="378"/>
      <c r="AB1344" s="378"/>
      <c r="AC1344" s="378"/>
      <c r="AD1344" s="378"/>
      <c r="AE1344" s="378"/>
      <c r="AF1344" s="378"/>
      <c r="AG1344" s="378"/>
    </row>
    <row r="1345">
      <c r="A1345" s="378"/>
      <c r="B1345" s="477"/>
      <c r="C1345" s="378"/>
      <c r="D1345" s="378"/>
      <c r="E1345" s="378"/>
      <c r="F1345" s="378"/>
      <c r="G1345" s="378"/>
      <c r="H1345" s="378"/>
      <c r="I1345" s="376"/>
      <c r="J1345" s="377"/>
      <c r="K1345" s="378"/>
      <c r="L1345" s="378"/>
      <c r="M1345" s="378"/>
      <c r="N1345" s="379"/>
      <c r="O1345" s="380"/>
      <c r="P1345" s="378"/>
      <c r="Q1345" s="378"/>
      <c r="R1345" s="378"/>
      <c r="S1345" s="378"/>
      <c r="T1345" s="378"/>
      <c r="U1345" s="378"/>
      <c r="V1345" s="378"/>
      <c r="W1345" s="378"/>
      <c r="X1345" s="378"/>
      <c r="Y1345" s="378"/>
      <c r="Z1345" s="378"/>
      <c r="AA1345" s="378"/>
      <c r="AB1345" s="378"/>
      <c r="AC1345" s="378"/>
      <c r="AD1345" s="378"/>
      <c r="AE1345" s="378"/>
      <c r="AF1345" s="378"/>
      <c r="AG1345" s="378"/>
    </row>
    <row r="1346">
      <c r="A1346" s="378"/>
      <c r="B1346" s="477"/>
      <c r="C1346" s="378"/>
      <c r="D1346" s="378"/>
      <c r="E1346" s="378"/>
      <c r="F1346" s="378"/>
      <c r="G1346" s="378"/>
      <c r="H1346" s="378"/>
      <c r="I1346" s="376"/>
      <c r="J1346" s="377"/>
      <c r="K1346" s="378"/>
      <c r="L1346" s="378"/>
      <c r="M1346" s="378"/>
      <c r="N1346" s="379"/>
      <c r="O1346" s="380"/>
      <c r="P1346" s="378"/>
      <c r="Q1346" s="378"/>
      <c r="R1346" s="378"/>
      <c r="S1346" s="378"/>
      <c r="T1346" s="378"/>
      <c r="U1346" s="378"/>
      <c r="V1346" s="378"/>
      <c r="W1346" s="378"/>
      <c r="X1346" s="378"/>
      <c r="Y1346" s="378"/>
      <c r="Z1346" s="378"/>
      <c r="AA1346" s="378"/>
      <c r="AB1346" s="378"/>
      <c r="AC1346" s="378"/>
      <c r="AD1346" s="378"/>
      <c r="AE1346" s="378"/>
      <c r="AF1346" s="378"/>
      <c r="AG1346" s="378"/>
    </row>
    <row r="1347">
      <c r="A1347" s="378"/>
      <c r="B1347" s="477"/>
      <c r="C1347" s="378"/>
      <c r="D1347" s="378"/>
      <c r="E1347" s="378"/>
      <c r="F1347" s="378"/>
      <c r="G1347" s="378"/>
      <c r="H1347" s="378"/>
      <c r="I1347" s="376"/>
      <c r="J1347" s="377"/>
      <c r="K1347" s="378"/>
      <c r="L1347" s="378"/>
      <c r="M1347" s="378"/>
      <c r="N1347" s="379"/>
      <c r="O1347" s="380"/>
      <c r="P1347" s="378"/>
      <c r="Q1347" s="378"/>
      <c r="R1347" s="378"/>
      <c r="S1347" s="378"/>
      <c r="T1347" s="378"/>
      <c r="U1347" s="378"/>
      <c r="V1347" s="378"/>
      <c r="W1347" s="378"/>
      <c r="X1347" s="378"/>
      <c r="Y1347" s="378"/>
      <c r="Z1347" s="378"/>
      <c r="AA1347" s="378"/>
      <c r="AB1347" s="378"/>
      <c r="AC1347" s="378"/>
      <c r="AD1347" s="378"/>
      <c r="AE1347" s="378"/>
      <c r="AF1347" s="378"/>
      <c r="AG1347" s="378"/>
    </row>
    <row r="1348">
      <c r="A1348" s="378"/>
      <c r="B1348" s="477"/>
      <c r="C1348" s="378"/>
      <c r="D1348" s="378"/>
      <c r="E1348" s="378"/>
      <c r="F1348" s="378"/>
      <c r="G1348" s="378"/>
      <c r="H1348" s="378"/>
      <c r="I1348" s="376"/>
      <c r="J1348" s="377"/>
      <c r="K1348" s="378"/>
      <c r="L1348" s="378"/>
      <c r="M1348" s="378"/>
      <c r="N1348" s="379"/>
      <c r="O1348" s="380"/>
      <c r="P1348" s="378"/>
      <c r="Q1348" s="378"/>
      <c r="R1348" s="378"/>
      <c r="S1348" s="378"/>
      <c r="T1348" s="378"/>
      <c r="U1348" s="378"/>
      <c r="V1348" s="378"/>
      <c r="W1348" s="378"/>
      <c r="X1348" s="378"/>
      <c r="Y1348" s="378"/>
      <c r="Z1348" s="378"/>
      <c r="AA1348" s="378"/>
      <c r="AB1348" s="378"/>
      <c r="AC1348" s="378"/>
      <c r="AD1348" s="378"/>
      <c r="AE1348" s="378"/>
      <c r="AF1348" s="378"/>
      <c r="AG1348" s="378"/>
    </row>
    <row r="1349">
      <c r="A1349" s="378"/>
      <c r="B1349" s="477"/>
      <c r="C1349" s="378"/>
      <c r="D1349" s="378"/>
      <c r="E1349" s="378"/>
      <c r="F1349" s="378"/>
      <c r="G1349" s="378"/>
      <c r="H1349" s="378"/>
      <c r="I1349" s="376"/>
      <c r="J1349" s="377"/>
      <c r="K1349" s="378"/>
      <c r="L1349" s="378"/>
      <c r="M1349" s="378"/>
      <c r="N1349" s="379"/>
      <c r="O1349" s="380"/>
      <c r="P1349" s="378"/>
      <c r="Q1349" s="378"/>
      <c r="R1349" s="378"/>
      <c r="S1349" s="378"/>
      <c r="T1349" s="378"/>
      <c r="U1349" s="378"/>
      <c r="V1349" s="378"/>
      <c r="W1349" s="378"/>
      <c r="X1349" s="378"/>
      <c r="Y1349" s="378"/>
      <c r="Z1349" s="378"/>
      <c r="AA1349" s="378"/>
      <c r="AB1349" s="378"/>
      <c r="AC1349" s="378"/>
      <c r="AD1349" s="378"/>
      <c r="AE1349" s="378"/>
      <c r="AF1349" s="378"/>
      <c r="AG1349" s="378"/>
    </row>
    <row r="1350">
      <c r="A1350" s="378"/>
      <c r="B1350" s="477"/>
      <c r="C1350" s="378"/>
      <c r="D1350" s="378"/>
      <c r="E1350" s="378"/>
      <c r="F1350" s="378"/>
      <c r="G1350" s="378"/>
      <c r="H1350" s="378"/>
      <c r="I1350" s="376"/>
      <c r="J1350" s="377"/>
      <c r="K1350" s="378"/>
      <c r="L1350" s="378"/>
      <c r="M1350" s="378"/>
      <c r="N1350" s="379"/>
      <c r="O1350" s="380"/>
      <c r="P1350" s="378"/>
      <c r="Q1350" s="378"/>
      <c r="R1350" s="378"/>
      <c r="S1350" s="378"/>
      <c r="T1350" s="378"/>
      <c r="U1350" s="378"/>
      <c r="V1350" s="378"/>
      <c r="W1350" s="378"/>
      <c r="X1350" s="378"/>
      <c r="Y1350" s="378"/>
      <c r="Z1350" s="378"/>
      <c r="AA1350" s="378"/>
      <c r="AB1350" s="378"/>
      <c r="AC1350" s="378"/>
      <c r="AD1350" s="378"/>
      <c r="AE1350" s="378"/>
      <c r="AF1350" s="378"/>
      <c r="AG1350" s="378"/>
    </row>
    <row r="1351">
      <c r="A1351" s="378"/>
      <c r="B1351" s="477"/>
      <c r="C1351" s="378"/>
      <c r="D1351" s="378"/>
      <c r="E1351" s="378"/>
      <c r="F1351" s="378"/>
      <c r="G1351" s="378"/>
      <c r="H1351" s="378"/>
      <c r="I1351" s="376"/>
      <c r="J1351" s="377"/>
      <c r="K1351" s="378"/>
      <c r="L1351" s="378"/>
      <c r="M1351" s="378"/>
      <c r="N1351" s="379"/>
      <c r="O1351" s="380"/>
      <c r="P1351" s="378"/>
      <c r="Q1351" s="378"/>
      <c r="R1351" s="378"/>
      <c r="S1351" s="378"/>
      <c r="T1351" s="378"/>
      <c r="U1351" s="378"/>
      <c r="V1351" s="378"/>
      <c r="W1351" s="378"/>
      <c r="X1351" s="378"/>
      <c r="Y1351" s="378"/>
      <c r="Z1351" s="378"/>
      <c r="AA1351" s="378"/>
      <c r="AB1351" s="378"/>
      <c r="AC1351" s="378"/>
      <c r="AD1351" s="378"/>
      <c r="AE1351" s="378"/>
      <c r="AF1351" s="378"/>
      <c r="AG1351" s="378"/>
    </row>
    <row r="1352">
      <c r="A1352" s="378"/>
      <c r="B1352" s="477"/>
      <c r="C1352" s="378"/>
      <c r="D1352" s="378"/>
      <c r="E1352" s="378"/>
      <c r="F1352" s="378"/>
      <c r="G1352" s="378"/>
      <c r="H1352" s="378"/>
      <c r="I1352" s="376"/>
      <c r="J1352" s="377"/>
      <c r="K1352" s="378"/>
      <c r="L1352" s="378"/>
      <c r="M1352" s="378"/>
      <c r="N1352" s="379"/>
      <c r="O1352" s="380"/>
      <c r="P1352" s="378"/>
      <c r="Q1352" s="378"/>
      <c r="R1352" s="378"/>
      <c r="S1352" s="378"/>
      <c r="T1352" s="378"/>
      <c r="U1352" s="378"/>
      <c r="V1352" s="378"/>
      <c r="W1352" s="378"/>
      <c r="X1352" s="378"/>
      <c r="Y1352" s="378"/>
      <c r="Z1352" s="378"/>
      <c r="AA1352" s="378"/>
      <c r="AB1352" s="378"/>
      <c r="AC1352" s="378"/>
      <c r="AD1352" s="378"/>
      <c r="AE1352" s="378"/>
      <c r="AF1352" s="378"/>
      <c r="AG1352" s="378"/>
    </row>
    <row r="1353">
      <c r="A1353" s="378"/>
      <c r="B1353" s="477"/>
      <c r="C1353" s="378"/>
      <c r="D1353" s="378"/>
      <c r="E1353" s="378"/>
      <c r="F1353" s="378"/>
      <c r="G1353" s="378"/>
      <c r="H1353" s="378"/>
      <c r="I1353" s="376"/>
      <c r="J1353" s="377"/>
      <c r="K1353" s="378"/>
      <c r="L1353" s="378"/>
      <c r="M1353" s="378"/>
      <c r="N1353" s="379"/>
      <c r="O1353" s="380"/>
      <c r="P1353" s="378"/>
      <c r="Q1353" s="378"/>
      <c r="R1353" s="378"/>
      <c r="S1353" s="378"/>
      <c r="T1353" s="378"/>
      <c r="U1353" s="378"/>
      <c r="V1353" s="378"/>
      <c r="W1353" s="378"/>
      <c r="X1353" s="378"/>
      <c r="Y1353" s="378"/>
      <c r="Z1353" s="378"/>
      <c r="AA1353" s="378"/>
      <c r="AB1353" s="378"/>
      <c r="AC1353" s="378"/>
      <c r="AD1353" s="378"/>
      <c r="AE1353" s="378"/>
      <c r="AF1353" s="378"/>
      <c r="AG1353" s="378"/>
    </row>
    <row r="1354">
      <c r="A1354" s="378"/>
      <c r="B1354" s="477"/>
      <c r="C1354" s="378"/>
      <c r="D1354" s="378"/>
      <c r="E1354" s="378"/>
      <c r="F1354" s="378"/>
      <c r="G1354" s="378"/>
      <c r="H1354" s="378"/>
      <c r="I1354" s="376"/>
      <c r="J1354" s="377"/>
      <c r="K1354" s="378"/>
      <c r="L1354" s="378"/>
      <c r="M1354" s="378"/>
      <c r="N1354" s="379"/>
      <c r="O1354" s="380"/>
      <c r="P1354" s="378"/>
      <c r="Q1354" s="378"/>
      <c r="R1354" s="378"/>
      <c r="S1354" s="378"/>
      <c r="T1354" s="378"/>
      <c r="U1354" s="378"/>
      <c r="V1354" s="378"/>
      <c r="W1354" s="378"/>
      <c r="X1354" s="378"/>
      <c r="Y1354" s="378"/>
      <c r="Z1354" s="378"/>
      <c r="AA1354" s="378"/>
      <c r="AB1354" s="378"/>
      <c r="AC1354" s="378"/>
      <c r="AD1354" s="378"/>
      <c r="AE1354" s="378"/>
      <c r="AF1354" s="378"/>
      <c r="AG1354" s="378"/>
    </row>
    <row r="1355">
      <c r="A1355" s="378"/>
      <c r="B1355" s="477"/>
      <c r="C1355" s="378"/>
      <c r="D1355" s="378"/>
      <c r="E1355" s="378"/>
      <c r="F1355" s="378"/>
      <c r="G1355" s="378"/>
      <c r="H1355" s="378"/>
      <c r="I1355" s="376"/>
      <c r="J1355" s="377"/>
      <c r="K1355" s="378"/>
      <c r="L1355" s="378"/>
      <c r="M1355" s="378"/>
      <c r="N1355" s="379"/>
      <c r="O1355" s="380"/>
      <c r="P1355" s="378"/>
      <c r="Q1355" s="378"/>
      <c r="R1355" s="378"/>
      <c r="S1355" s="378"/>
      <c r="T1355" s="378"/>
      <c r="U1355" s="378"/>
      <c r="V1355" s="378"/>
      <c r="W1355" s="378"/>
      <c r="X1355" s="378"/>
      <c r="Y1355" s="378"/>
      <c r="Z1355" s="378"/>
      <c r="AA1355" s="378"/>
      <c r="AB1355" s="378"/>
      <c r="AC1355" s="378"/>
      <c r="AD1355" s="378"/>
      <c r="AE1355" s="378"/>
      <c r="AF1355" s="378"/>
      <c r="AG1355" s="378"/>
    </row>
    <row r="1356">
      <c r="A1356" s="378"/>
      <c r="B1356" s="477"/>
      <c r="C1356" s="378"/>
      <c r="D1356" s="378"/>
      <c r="E1356" s="378"/>
      <c r="F1356" s="378"/>
      <c r="G1356" s="378"/>
      <c r="H1356" s="378"/>
      <c r="I1356" s="376"/>
      <c r="J1356" s="377"/>
      <c r="K1356" s="378"/>
      <c r="L1356" s="378"/>
      <c r="M1356" s="378"/>
      <c r="N1356" s="379"/>
      <c r="O1356" s="380"/>
      <c r="P1356" s="378"/>
      <c r="Q1356" s="378"/>
      <c r="R1356" s="378"/>
      <c r="S1356" s="378"/>
      <c r="T1356" s="378"/>
      <c r="U1356" s="378"/>
      <c r="V1356" s="378"/>
      <c r="W1356" s="378"/>
      <c r="X1356" s="378"/>
      <c r="Y1356" s="378"/>
      <c r="Z1356" s="378"/>
      <c r="AA1356" s="378"/>
      <c r="AB1356" s="378"/>
      <c r="AC1356" s="378"/>
      <c r="AD1356" s="378"/>
      <c r="AE1356" s="378"/>
      <c r="AF1356" s="378"/>
      <c r="AG1356" s="378"/>
    </row>
    <row r="1357">
      <c r="A1357" s="378"/>
      <c r="B1357" s="477"/>
      <c r="C1357" s="378"/>
      <c r="D1357" s="378"/>
      <c r="E1357" s="378"/>
      <c r="F1357" s="378"/>
      <c r="G1357" s="378"/>
      <c r="H1357" s="378"/>
      <c r="I1357" s="376"/>
      <c r="J1357" s="377"/>
      <c r="K1357" s="378"/>
      <c r="L1357" s="378"/>
      <c r="M1357" s="378"/>
      <c r="N1357" s="379"/>
      <c r="O1357" s="380"/>
      <c r="P1357" s="378"/>
      <c r="Q1357" s="378"/>
      <c r="R1357" s="378"/>
      <c r="S1357" s="378"/>
      <c r="T1357" s="378"/>
      <c r="U1357" s="378"/>
      <c r="V1357" s="378"/>
      <c r="W1357" s="378"/>
      <c r="X1357" s="378"/>
      <c r="Y1357" s="378"/>
      <c r="Z1357" s="378"/>
      <c r="AA1357" s="378"/>
      <c r="AB1357" s="378"/>
      <c r="AC1357" s="378"/>
      <c r="AD1357" s="378"/>
      <c r="AE1357" s="378"/>
      <c r="AF1357" s="378"/>
      <c r="AG1357" s="378"/>
    </row>
    <row r="1358">
      <c r="A1358" s="378"/>
      <c r="B1358" s="477"/>
      <c r="C1358" s="378"/>
      <c r="D1358" s="378"/>
      <c r="E1358" s="378"/>
      <c r="F1358" s="378"/>
      <c r="G1358" s="378"/>
      <c r="H1358" s="378"/>
      <c r="I1358" s="376"/>
      <c r="J1358" s="377"/>
      <c r="K1358" s="378"/>
      <c r="L1358" s="378"/>
      <c r="M1358" s="378"/>
      <c r="N1358" s="379"/>
      <c r="O1358" s="380"/>
      <c r="P1358" s="378"/>
      <c r="Q1358" s="378"/>
      <c r="R1358" s="378"/>
      <c r="S1358" s="378"/>
      <c r="T1358" s="378"/>
      <c r="U1358" s="378"/>
      <c r="V1358" s="378"/>
      <c r="W1358" s="378"/>
      <c r="X1358" s="378"/>
      <c r="Y1358" s="378"/>
      <c r="Z1358" s="378"/>
      <c r="AA1358" s="378"/>
      <c r="AB1358" s="378"/>
      <c r="AC1358" s="378"/>
      <c r="AD1358" s="378"/>
      <c r="AE1358" s="378"/>
      <c r="AF1358" s="378"/>
      <c r="AG1358" s="378"/>
    </row>
    <row r="1359">
      <c r="A1359" s="378"/>
      <c r="B1359" s="477"/>
      <c r="C1359" s="378"/>
      <c r="D1359" s="378"/>
      <c r="E1359" s="378"/>
      <c r="F1359" s="378"/>
      <c r="G1359" s="378"/>
      <c r="H1359" s="378"/>
      <c r="I1359" s="376"/>
      <c r="J1359" s="377"/>
      <c r="K1359" s="378"/>
      <c r="L1359" s="378"/>
      <c r="M1359" s="378"/>
      <c r="N1359" s="379"/>
      <c r="O1359" s="380"/>
      <c r="P1359" s="378"/>
      <c r="Q1359" s="378"/>
      <c r="R1359" s="378"/>
      <c r="S1359" s="378"/>
      <c r="T1359" s="378"/>
      <c r="U1359" s="378"/>
      <c r="V1359" s="378"/>
      <c r="W1359" s="378"/>
      <c r="X1359" s="378"/>
      <c r="Y1359" s="378"/>
      <c r="Z1359" s="378"/>
      <c r="AA1359" s="378"/>
      <c r="AB1359" s="378"/>
      <c r="AC1359" s="378"/>
      <c r="AD1359" s="378"/>
      <c r="AE1359" s="378"/>
      <c r="AF1359" s="378"/>
      <c r="AG1359" s="378"/>
    </row>
    <row r="1360">
      <c r="A1360" s="378"/>
      <c r="B1360" s="477"/>
      <c r="C1360" s="378"/>
      <c r="D1360" s="378"/>
      <c r="E1360" s="378"/>
      <c r="F1360" s="378"/>
      <c r="G1360" s="378"/>
      <c r="H1360" s="378"/>
      <c r="I1360" s="376"/>
      <c r="J1360" s="377"/>
      <c r="K1360" s="378"/>
      <c r="L1360" s="378"/>
      <c r="M1360" s="378"/>
      <c r="N1360" s="379"/>
      <c r="O1360" s="380"/>
      <c r="P1360" s="378"/>
      <c r="Q1360" s="378"/>
      <c r="R1360" s="378"/>
      <c r="S1360" s="378"/>
      <c r="T1360" s="378"/>
      <c r="U1360" s="378"/>
      <c r="V1360" s="378"/>
      <c r="W1360" s="378"/>
      <c r="X1360" s="378"/>
      <c r="Y1360" s="378"/>
      <c r="Z1360" s="378"/>
      <c r="AA1360" s="378"/>
      <c r="AB1360" s="378"/>
      <c r="AC1360" s="378"/>
      <c r="AD1360" s="378"/>
      <c r="AE1360" s="378"/>
      <c r="AF1360" s="378"/>
      <c r="AG1360" s="378"/>
    </row>
    <row r="1361">
      <c r="A1361" s="378"/>
      <c r="B1361" s="477"/>
      <c r="C1361" s="378"/>
      <c r="D1361" s="378"/>
      <c r="E1361" s="378"/>
      <c r="F1361" s="378"/>
      <c r="G1361" s="378"/>
      <c r="H1361" s="378"/>
      <c r="I1361" s="376"/>
      <c r="J1361" s="377"/>
      <c r="K1361" s="378"/>
      <c r="L1361" s="378"/>
      <c r="M1361" s="378"/>
      <c r="N1361" s="379"/>
      <c r="O1361" s="380"/>
      <c r="P1361" s="378"/>
      <c r="Q1361" s="378"/>
      <c r="R1361" s="378"/>
      <c r="S1361" s="378"/>
      <c r="T1361" s="378"/>
      <c r="U1361" s="378"/>
      <c r="V1361" s="378"/>
      <c r="W1361" s="378"/>
      <c r="X1361" s="378"/>
      <c r="Y1361" s="378"/>
      <c r="Z1361" s="378"/>
      <c r="AA1361" s="378"/>
      <c r="AB1361" s="378"/>
      <c r="AC1361" s="378"/>
      <c r="AD1361" s="378"/>
      <c r="AE1361" s="378"/>
      <c r="AF1361" s="378"/>
      <c r="AG1361" s="378"/>
    </row>
    <row r="1362">
      <c r="A1362" s="378"/>
      <c r="B1362" s="477"/>
      <c r="C1362" s="378"/>
      <c r="D1362" s="378"/>
      <c r="E1362" s="378"/>
      <c r="F1362" s="378"/>
      <c r="G1362" s="378"/>
      <c r="H1362" s="378"/>
      <c r="I1362" s="376"/>
      <c r="J1362" s="377"/>
      <c r="K1362" s="378"/>
      <c r="L1362" s="378"/>
      <c r="M1362" s="378"/>
      <c r="N1362" s="379"/>
      <c r="O1362" s="380"/>
      <c r="P1362" s="378"/>
      <c r="Q1362" s="378"/>
      <c r="R1362" s="378"/>
      <c r="S1362" s="378"/>
      <c r="T1362" s="378"/>
      <c r="U1362" s="378"/>
      <c r="V1362" s="378"/>
      <c r="W1362" s="378"/>
      <c r="X1362" s="378"/>
      <c r="Y1362" s="378"/>
      <c r="Z1362" s="378"/>
      <c r="AA1362" s="378"/>
      <c r="AB1362" s="378"/>
      <c r="AC1362" s="378"/>
      <c r="AD1362" s="378"/>
      <c r="AE1362" s="378"/>
      <c r="AF1362" s="378"/>
      <c r="AG1362" s="378"/>
    </row>
    <row r="1363">
      <c r="A1363" s="378"/>
      <c r="B1363" s="477"/>
      <c r="C1363" s="378"/>
      <c r="D1363" s="378"/>
      <c r="E1363" s="378"/>
      <c r="F1363" s="378"/>
      <c r="G1363" s="378"/>
      <c r="H1363" s="378"/>
      <c r="I1363" s="376"/>
      <c r="J1363" s="377"/>
      <c r="K1363" s="378"/>
      <c r="L1363" s="378"/>
      <c r="M1363" s="378"/>
      <c r="N1363" s="379"/>
      <c r="O1363" s="380"/>
      <c r="P1363" s="378"/>
      <c r="Q1363" s="378"/>
      <c r="R1363" s="378"/>
      <c r="S1363" s="378"/>
      <c r="T1363" s="378"/>
      <c r="U1363" s="378"/>
      <c r="V1363" s="378"/>
      <c r="W1363" s="378"/>
      <c r="X1363" s="378"/>
      <c r="Y1363" s="378"/>
      <c r="Z1363" s="378"/>
      <c r="AA1363" s="378"/>
      <c r="AB1363" s="378"/>
      <c r="AC1363" s="378"/>
      <c r="AD1363" s="378"/>
      <c r="AE1363" s="378"/>
      <c r="AF1363" s="378"/>
      <c r="AG1363" s="378"/>
    </row>
    <row r="1364">
      <c r="A1364" s="378"/>
      <c r="B1364" s="477"/>
      <c r="C1364" s="378"/>
      <c r="D1364" s="378"/>
      <c r="E1364" s="378"/>
      <c r="F1364" s="378"/>
      <c r="G1364" s="378"/>
      <c r="H1364" s="378"/>
      <c r="I1364" s="376"/>
      <c r="J1364" s="377"/>
      <c r="K1364" s="378"/>
      <c r="L1364" s="378"/>
      <c r="M1364" s="378"/>
      <c r="N1364" s="379"/>
      <c r="O1364" s="380"/>
      <c r="P1364" s="378"/>
      <c r="Q1364" s="378"/>
      <c r="R1364" s="378"/>
      <c r="S1364" s="378"/>
      <c r="T1364" s="378"/>
      <c r="U1364" s="378"/>
      <c r="V1364" s="378"/>
      <c r="W1364" s="378"/>
      <c r="X1364" s="378"/>
      <c r="Y1364" s="378"/>
      <c r="Z1364" s="378"/>
      <c r="AA1364" s="378"/>
      <c r="AB1364" s="378"/>
      <c r="AC1364" s="378"/>
      <c r="AD1364" s="378"/>
      <c r="AE1364" s="378"/>
      <c r="AF1364" s="378"/>
      <c r="AG1364" s="378"/>
    </row>
    <row r="1365">
      <c r="A1365" s="378"/>
      <c r="B1365" s="477"/>
      <c r="C1365" s="378"/>
      <c r="D1365" s="378"/>
      <c r="E1365" s="378"/>
      <c r="F1365" s="378"/>
      <c r="G1365" s="378"/>
      <c r="H1365" s="378"/>
      <c r="I1365" s="376"/>
      <c r="J1365" s="377"/>
      <c r="K1365" s="378"/>
      <c r="L1365" s="378"/>
      <c r="M1365" s="378"/>
      <c r="N1365" s="379"/>
      <c r="O1365" s="380"/>
      <c r="P1365" s="378"/>
      <c r="Q1365" s="378"/>
      <c r="R1365" s="378"/>
      <c r="S1365" s="378"/>
      <c r="T1365" s="378"/>
      <c r="U1365" s="378"/>
      <c r="V1365" s="378"/>
      <c r="W1365" s="378"/>
      <c r="X1365" s="378"/>
      <c r="Y1365" s="378"/>
      <c r="Z1365" s="378"/>
      <c r="AA1365" s="378"/>
      <c r="AB1365" s="378"/>
      <c r="AC1365" s="378"/>
      <c r="AD1365" s="378"/>
      <c r="AE1365" s="378"/>
      <c r="AF1365" s="378"/>
      <c r="AG1365" s="378"/>
    </row>
    <row r="1366">
      <c r="A1366" s="378"/>
      <c r="B1366" s="477"/>
      <c r="C1366" s="378"/>
      <c r="D1366" s="378"/>
      <c r="E1366" s="378"/>
      <c r="F1366" s="378"/>
      <c r="G1366" s="378"/>
      <c r="H1366" s="378"/>
      <c r="I1366" s="376"/>
      <c r="J1366" s="377"/>
      <c r="K1366" s="378"/>
      <c r="L1366" s="378"/>
      <c r="M1366" s="378"/>
      <c r="N1366" s="379"/>
      <c r="O1366" s="380"/>
      <c r="P1366" s="378"/>
      <c r="Q1366" s="378"/>
      <c r="R1366" s="378"/>
      <c r="S1366" s="378"/>
      <c r="T1366" s="378"/>
      <c r="U1366" s="378"/>
      <c r="V1366" s="378"/>
      <c r="W1366" s="378"/>
      <c r="X1366" s="378"/>
      <c r="Y1366" s="378"/>
      <c r="Z1366" s="378"/>
      <c r="AA1366" s="378"/>
      <c r="AB1366" s="378"/>
      <c r="AC1366" s="378"/>
      <c r="AD1366" s="378"/>
      <c r="AE1366" s="378"/>
      <c r="AF1366" s="378"/>
      <c r="AG1366" s="378"/>
    </row>
    <row r="1367">
      <c r="A1367" s="378"/>
      <c r="B1367" s="477"/>
      <c r="C1367" s="378"/>
      <c r="D1367" s="378"/>
      <c r="E1367" s="378"/>
      <c r="F1367" s="378"/>
      <c r="G1367" s="378"/>
      <c r="H1367" s="378"/>
      <c r="I1367" s="376"/>
      <c r="J1367" s="377"/>
      <c r="K1367" s="378"/>
      <c r="L1367" s="378"/>
      <c r="M1367" s="378"/>
      <c r="N1367" s="379"/>
      <c r="O1367" s="380"/>
      <c r="P1367" s="378"/>
      <c r="Q1367" s="378"/>
      <c r="R1367" s="378"/>
      <c r="S1367" s="378"/>
      <c r="T1367" s="378"/>
      <c r="U1367" s="378"/>
      <c r="V1367" s="378"/>
      <c r="W1367" s="378"/>
      <c r="X1367" s="378"/>
      <c r="Y1367" s="378"/>
      <c r="Z1367" s="378"/>
      <c r="AA1367" s="378"/>
      <c r="AB1367" s="378"/>
      <c r="AC1367" s="378"/>
      <c r="AD1367" s="378"/>
      <c r="AE1367" s="378"/>
      <c r="AF1367" s="378"/>
      <c r="AG1367" s="378"/>
    </row>
    <row r="1368">
      <c r="A1368" s="378"/>
      <c r="B1368" s="477"/>
      <c r="C1368" s="378"/>
      <c r="D1368" s="378"/>
      <c r="E1368" s="378"/>
      <c r="F1368" s="378"/>
      <c r="G1368" s="378"/>
      <c r="H1368" s="378"/>
      <c r="I1368" s="376"/>
      <c r="J1368" s="377"/>
      <c r="K1368" s="378"/>
      <c r="L1368" s="378"/>
      <c r="M1368" s="378"/>
      <c r="N1368" s="379"/>
      <c r="O1368" s="380"/>
      <c r="P1368" s="378"/>
      <c r="Q1368" s="378"/>
      <c r="R1368" s="378"/>
      <c r="S1368" s="378"/>
      <c r="T1368" s="378"/>
      <c r="U1368" s="378"/>
      <c r="V1368" s="378"/>
      <c r="W1368" s="378"/>
      <c r="X1368" s="378"/>
      <c r="Y1368" s="378"/>
      <c r="Z1368" s="378"/>
      <c r="AA1368" s="378"/>
      <c r="AB1368" s="378"/>
      <c r="AC1368" s="378"/>
      <c r="AD1368" s="378"/>
      <c r="AE1368" s="378"/>
      <c r="AF1368" s="378"/>
      <c r="AG1368" s="378"/>
    </row>
    <row r="1369">
      <c r="A1369" s="378"/>
      <c r="B1369" s="477"/>
      <c r="C1369" s="378"/>
      <c r="D1369" s="378"/>
      <c r="E1369" s="378"/>
      <c r="F1369" s="378"/>
      <c r="G1369" s="378"/>
      <c r="H1369" s="378"/>
      <c r="I1369" s="376"/>
      <c r="J1369" s="377"/>
      <c r="K1369" s="378"/>
      <c r="L1369" s="378"/>
      <c r="M1369" s="378"/>
      <c r="N1369" s="379"/>
      <c r="O1369" s="380"/>
      <c r="P1369" s="378"/>
      <c r="Q1369" s="378"/>
      <c r="R1369" s="378"/>
      <c r="S1369" s="378"/>
      <c r="T1369" s="378"/>
      <c r="U1369" s="378"/>
      <c r="V1369" s="378"/>
      <c r="W1369" s="378"/>
      <c r="X1369" s="378"/>
      <c r="Y1369" s="378"/>
      <c r="Z1369" s="378"/>
      <c r="AA1369" s="378"/>
      <c r="AB1369" s="378"/>
      <c r="AC1369" s="378"/>
      <c r="AD1369" s="378"/>
      <c r="AE1369" s="378"/>
      <c r="AF1369" s="378"/>
      <c r="AG1369" s="378"/>
    </row>
    <row r="1370">
      <c r="A1370" s="378"/>
      <c r="B1370" s="477"/>
      <c r="C1370" s="378"/>
      <c r="D1370" s="378"/>
      <c r="E1370" s="378"/>
      <c r="F1370" s="378"/>
      <c r="G1370" s="378"/>
      <c r="H1370" s="378"/>
      <c r="I1370" s="376"/>
      <c r="J1370" s="377"/>
      <c r="K1370" s="378"/>
      <c r="L1370" s="378"/>
      <c r="M1370" s="378"/>
      <c r="N1370" s="379"/>
      <c r="O1370" s="380"/>
      <c r="P1370" s="378"/>
      <c r="Q1370" s="378"/>
      <c r="R1370" s="378"/>
      <c r="S1370" s="378"/>
      <c r="T1370" s="378"/>
      <c r="U1370" s="378"/>
      <c r="V1370" s="378"/>
      <c r="W1370" s="378"/>
      <c r="X1370" s="378"/>
      <c r="Y1370" s="378"/>
      <c r="Z1370" s="378"/>
      <c r="AA1370" s="378"/>
      <c r="AB1370" s="378"/>
      <c r="AC1370" s="378"/>
      <c r="AD1370" s="378"/>
      <c r="AE1370" s="378"/>
      <c r="AF1370" s="378"/>
      <c r="AG1370" s="378"/>
    </row>
    <row r="1371">
      <c r="A1371" s="378"/>
      <c r="B1371" s="477"/>
      <c r="C1371" s="378"/>
      <c r="D1371" s="378"/>
      <c r="E1371" s="378"/>
      <c r="F1371" s="378"/>
      <c r="G1371" s="378"/>
      <c r="H1371" s="378"/>
      <c r="I1371" s="376"/>
      <c r="J1371" s="377"/>
      <c r="K1371" s="378"/>
      <c r="L1371" s="378"/>
      <c r="M1371" s="378"/>
      <c r="N1371" s="379"/>
      <c r="O1371" s="380"/>
      <c r="P1371" s="378"/>
      <c r="Q1371" s="378"/>
      <c r="R1371" s="378"/>
      <c r="S1371" s="378"/>
      <c r="T1371" s="378"/>
      <c r="U1371" s="378"/>
      <c r="V1371" s="378"/>
      <c r="W1371" s="378"/>
      <c r="X1371" s="378"/>
      <c r="Y1371" s="378"/>
      <c r="Z1371" s="378"/>
      <c r="AA1371" s="378"/>
      <c r="AB1371" s="378"/>
      <c r="AC1371" s="378"/>
      <c r="AD1371" s="378"/>
      <c r="AE1371" s="378"/>
      <c r="AF1371" s="378"/>
      <c r="AG1371" s="378"/>
    </row>
    <row r="1372">
      <c r="A1372" s="378"/>
      <c r="B1372" s="477"/>
      <c r="C1372" s="378"/>
      <c r="D1372" s="378"/>
      <c r="E1372" s="378"/>
      <c r="F1372" s="378"/>
      <c r="G1372" s="378"/>
      <c r="H1372" s="378"/>
      <c r="I1372" s="376"/>
      <c r="J1372" s="377"/>
      <c r="K1372" s="378"/>
      <c r="L1372" s="378"/>
      <c r="M1372" s="378"/>
      <c r="N1372" s="379"/>
      <c r="O1372" s="380"/>
      <c r="P1372" s="378"/>
      <c r="Q1372" s="378"/>
      <c r="R1372" s="378"/>
      <c r="S1372" s="378"/>
      <c r="T1372" s="378"/>
      <c r="U1372" s="378"/>
      <c r="V1372" s="378"/>
      <c r="W1372" s="378"/>
      <c r="X1372" s="378"/>
      <c r="Y1372" s="378"/>
      <c r="Z1372" s="378"/>
      <c r="AA1372" s="378"/>
      <c r="AB1372" s="378"/>
      <c r="AC1372" s="378"/>
      <c r="AD1372" s="378"/>
      <c r="AE1372" s="378"/>
      <c r="AF1372" s="378"/>
      <c r="AG1372" s="378"/>
    </row>
    <row r="1373">
      <c r="A1373" s="378"/>
      <c r="B1373" s="477"/>
      <c r="C1373" s="378"/>
      <c r="D1373" s="378"/>
      <c r="E1373" s="378"/>
      <c r="F1373" s="378"/>
      <c r="G1373" s="378"/>
      <c r="H1373" s="378"/>
      <c r="I1373" s="376"/>
      <c r="J1373" s="377"/>
      <c r="K1373" s="378"/>
      <c r="L1373" s="378"/>
      <c r="M1373" s="378"/>
      <c r="N1373" s="379"/>
      <c r="O1373" s="380"/>
      <c r="P1373" s="378"/>
      <c r="Q1373" s="378"/>
      <c r="R1373" s="378"/>
      <c r="S1373" s="378"/>
      <c r="T1373" s="378"/>
      <c r="U1373" s="378"/>
      <c r="V1373" s="378"/>
      <c r="W1373" s="378"/>
      <c r="X1373" s="378"/>
      <c r="Y1373" s="378"/>
      <c r="Z1373" s="378"/>
      <c r="AA1373" s="378"/>
      <c r="AB1373" s="378"/>
      <c r="AC1373" s="378"/>
      <c r="AD1373" s="378"/>
      <c r="AE1373" s="378"/>
      <c r="AF1373" s="378"/>
      <c r="AG1373" s="378"/>
    </row>
    <row r="1374">
      <c r="A1374" s="378"/>
      <c r="B1374" s="477"/>
      <c r="C1374" s="378"/>
      <c r="D1374" s="378"/>
      <c r="E1374" s="378"/>
      <c r="F1374" s="378"/>
      <c r="G1374" s="378"/>
      <c r="H1374" s="378"/>
      <c r="I1374" s="376"/>
      <c r="J1374" s="377"/>
      <c r="K1374" s="378"/>
      <c r="L1374" s="378"/>
      <c r="M1374" s="378"/>
      <c r="N1374" s="379"/>
      <c r="O1374" s="380"/>
      <c r="P1374" s="378"/>
      <c r="Q1374" s="378"/>
      <c r="R1374" s="378"/>
      <c r="S1374" s="378"/>
      <c r="T1374" s="378"/>
      <c r="U1374" s="378"/>
      <c r="V1374" s="378"/>
      <c r="W1374" s="378"/>
      <c r="X1374" s="378"/>
      <c r="Y1374" s="378"/>
      <c r="Z1374" s="378"/>
      <c r="AA1374" s="378"/>
      <c r="AB1374" s="378"/>
      <c r="AC1374" s="378"/>
      <c r="AD1374" s="378"/>
      <c r="AE1374" s="378"/>
      <c r="AF1374" s="378"/>
      <c r="AG1374" s="378"/>
    </row>
    <row r="1375">
      <c r="A1375" s="378"/>
      <c r="B1375" s="477"/>
      <c r="C1375" s="378"/>
      <c r="D1375" s="378"/>
      <c r="E1375" s="378"/>
      <c r="F1375" s="378"/>
      <c r="G1375" s="378"/>
      <c r="H1375" s="378"/>
      <c r="I1375" s="376"/>
      <c r="J1375" s="377"/>
      <c r="K1375" s="378"/>
      <c r="L1375" s="378"/>
      <c r="M1375" s="378"/>
      <c r="N1375" s="379"/>
      <c r="O1375" s="380"/>
      <c r="P1375" s="378"/>
      <c r="Q1375" s="378"/>
      <c r="R1375" s="378"/>
      <c r="S1375" s="378"/>
      <c r="T1375" s="378"/>
      <c r="U1375" s="378"/>
      <c r="V1375" s="378"/>
      <c r="W1375" s="378"/>
      <c r="X1375" s="378"/>
      <c r="Y1375" s="378"/>
      <c r="Z1375" s="378"/>
      <c r="AA1375" s="378"/>
      <c r="AB1375" s="378"/>
      <c r="AC1375" s="378"/>
      <c r="AD1375" s="378"/>
      <c r="AE1375" s="378"/>
      <c r="AF1375" s="378"/>
      <c r="AG1375" s="378"/>
    </row>
    <row r="1376">
      <c r="A1376" s="378"/>
      <c r="B1376" s="477"/>
      <c r="C1376" s="378"/>
      <c r="D1376" s="378"/>
      <c r="E1376" s="378"/>
      <c r="F1376" s="378"/>
      <c r="G1376" s="378"/>
      <c r="H1376" s="378"/>
      <c r="I1376" s="376"/>
      <c r="J1376" s="377"/>
      <c r="K1376" s="378"/>
      <c r="L1376" s="378"/>
      <c r="M1376" s="378"/>
      <c r="N1376" s="379"/>
      <c r="O1376" s="380"/>
      <c r="P1376" s="378"/>
      <c r="Q1376" s="378"/>
      <c r="R1376" s="378"/>
      <c r="S1376" s="378"/>
      <c r="T1376" s="378"/>
      <c r="U1376" s="378"/>
      <c r="V1376" s="378"/>
      <c r="W1376" s="378"/>
      <c r="X1376" s="378"/>
      <c r="Y1376" s="378"/>
      <c r="Z1376" s="378"/>
      <c r="AA1376" s="378"/>
      <c r="AB1376" s="378"/>
      <c r="AC1376" s="378"/>
      <c r="AD1376" s="378"/>
      <c r="AE1376" s="378"/>
      <c r="AF1376" s="378"/>
      <c r="AG1376" s="378"/>
    </row>
    <row r="1377">
      <c r="A1377" s="378"/>
      <c r="B1377" s="477"/>
      <c r="C1377" s="378"/>
      <c r="D1377" s="378"/>
      <c r="E1377" s="378"/>
      <c r="F1377" s="378"/>
      <c r="G1377" s="378"/>
      <c r="H1377" s="378"/>
      <c r="I1377" s="376"/>
      <c r="J1377" s="377"/>
      <c r="K1377" s="378"/>
      <c r="L1377" s="378"/>
      <c r="M1377" s="378"/>
      <c r="N1377" s="379"/>
      <c r="O1377" s="380"/>
      <c r="P1377" s="378"/>
      <c r="Q1377" s="378"/>
      <c r="R1377" s="378"/>
      <c r="S1377" s="378"/>
      <c r="T1377" s="378"/>
      <c r="U1377" s="378"/>
      <c r="V1377" s="378"/>
      <c r="W1377" s="378"/>
      <c r="X1377" s="378"/>
      <c r="Y1377" s="378"/>
      <c r="Z1377" s="378"/>
      <c r="AA1377" s="378"/>
      <c r="AB1377" s="378"/>
      <c r="AC1377" s="378"/>
      <c r="AD1377" s="378"/>
      <c r="AE1377" s="378"/>
      <c r="AF1377" s="378"/>
      <c r="AG1377" s="378"/>
    </row>
    <row r="1378">
      <c r="A1378" s="378"/>
      <c r="B1378" s="477"/>
      <c r="C1378" s="378"/>
      <c r="D1378" s="378"/>
      <c r="E1378" s="378"/>
      <c r="F1378" s="378"/>
      <c r="G1378" s="378"/>
      <c r="H1378" s="378"/>
      <c r="I1378" s="376"/>
      <c r="J1378" s="377"/>
      <c r="K1378" s="378"/>
      <c r="L1378" s="378"/>
      <c r="M1378" s="378"/>
      <c r="N1378" s="379"/>
      <c r="O1378" s="380"/>
      <c r="P1378" s="378"/>
      <c r="Q1378" s="378"/>
      <c r="R1378" s="378"/>
      <c r="S1378" s="378"/>
      <c r="T1378" s="378"/>
      <c r="U1378" s="378"/>
      <c r="V1378" s="378"/>
      <c r="W1378" s="378"/>
      <c r="X1378" s="378"/>
      <c r="Y1378" s="378"/>
      <c r="Z1378" s="378"/>
      <c r="AA1378" s="378"/>
      <c r="AB1378" s="378"/>
      <c r="AC1378" s="378"/>
      <c r="AD1378" s="378"/>
      <c r="AE1378" s="378"/>
      <c r="AF1378" s="378"/>
      <c r="AG1378" s="378"/>
    </row>
    <row r="1379">
      <c r="A1379" s="378"/>
      <c r="B1379" s="477"/>
      <c r="C1379" s="378"/>
      <c r="D1379" s="378"/>
      <c r="E1379" s="378"/>
      <c r="F1379" s="378"/>
      <c r="G1379" s="378"/>
      <c r="H1379" s="378"/>
      <c r="I1379" s="376"/>
      <c r="J1379" s="377"/>
      <c r="K1379" s="378"/>
      <c r="L1379" s="378"/>
      <c r="M1379" s="378"/>
      <c r="N1379" s="379"/>
      <c r="O1379" s="380"/>
      <c r="P1379" s="378"/>
      <c r="Q1379" s="378"/>
      <c r="R1379" s="378"/>
      <c r="S1379" s="378"/>
      <c r="T1379" s="378"/>
      <c r="U1379" s="378"/>
      <c r="V1379" s="378"/>
      <c r="W1379" s="378"/>
      <c r="X1379" s="378"/>
      <c r="Y1379" s="378"/>
      <c r="Z1379" s="378"/>
      <c r="AA1379" s="378"/>
      <c r="AB1379" s="378"/>
      <c r="AC1379" s="378"/>
      <c r="AD1379" s="378"/>
      <c r="AE1379" s="378"/>
      <c r="AF1379" s="378"/>
      <c r="AG1379" s="378"/>
    </row>
    <row r="1380">
      <c r="A1380" s="378"/>
      <c r="B1380" s="477"/>
      <c r="C1380" s="378"/>
      <c r="D1380" s="378"/>
      <c r="E1380" s="378"/>
      <c r="F1380" s="378"/>
      <c r="G1380" s="378"/>
      <c r="H1380" s="378"/>
      <c r="I1380" s="376"/>
      <c r="J1380" s="377"/>
      <c r="K1380" s="378"/>
      <c r="L1380" s="378"/>
      <c r="M1380" s="378"/>
      <c r="N1380" s="379"/>
      <c r="O1380" s="380"/>
      <c r="P1380" s="378"/>
      <c r="Q1380" s="378"/>
      <c r="R1380" s="378"/>
      <c r="S1380" s="378"/>
      <c r="T1380" s="378"/>
      <c r="U1380" s="378"/>
      <c r="V1380" s="378"/>
      <c r="W1380" s="378"/>
      <c r="X1380" s="378"/>
      <c r="Y1380" s="378"/>
      <c r="Z1380" s="378"/>
      <c r="AA1380" s="378"/>
      <c r="AB1380" s="378"/>
      <c r="AC1380" s="378"/>
      <c r="AD1380" s="378"/>
      <c r="AE1380" s="378"/>
      <c r="AF1380" s="378"/>
      <c r="AG1380" s="378"/>
    </row>
    <row r="1381">
      <c r="A1381" s="378"/>
      <c r="B1381" s="477"/>
      <c r="C1381" s="378"/>
      <c r="D1381" s="378"/>
      <c r="E1381" s="378"/>
      <c r="F1381" s="378"/>
      <c r="G1381" s="378"/>
      <c r="H1381" s="378"/>
      <c r="I1381" s="376"/>
      <c r="J1381" s="377"/>
      <c r="K1381" s="378"/>
      <c r="L1381" s="378"/>
      <c r="M1381" s="378"/>
      <c r="N1381" s="379"/>
      <c r="O1381" s="380"/>
      <c r="P1381" s="378"/>
      <c r="Q1381" s="378"/>
      <c r="R1381" s="378"/>
      <c r="S1381" s="378"/>
      <c r="T1381" s="378"/>
      <c r="U1381" s="378"/>
      <c r="V1381" s="378"/>
      <c r="W1381" s="378"/>
      <c r="X1381" s="378"/>
      <c r="Y1381" s="378"/>
      <c r="Z1381" s="378"/>
      <c r="AA1381" s="378"/>
      <c r="AB1381" s="378"/>
      <c r="AC1381" s="378"/>
      <c r="AD1381" s="378"/>
      <c r="AE1381" s="378"/>
      <c r="AF1381" s="378"/>
      <c r="AG1381" s="378"/>
    </row>
    <row r="1382">
      <c r="A1382" s="378"/>
      <c r="B1382" s="477"/>
      <c r="C1382" s="378"/>
      <c r="D1382" s="378"/>
      <c r="E1382" s="378"/>
      <c r="F1382" s="378"/>
      <c r="G1382" s="378"/>
      <c r="H1382" s="378"/>
      <c r="I1382" s="376"/>
      <c r="J1382" s="377"/>
      <c r="K1382" s="378"/>
      <c r="L1382" s="378"/>
      <c r="M1382" s="378"/>
      <c r="N1382" s="379"/>
      <c r="O1382" s="380"/>
      <c r="P1382" s="378"/>
      <c r="Q1382" s="378"/>
      <c r="R1382" s="378"/>
      <c r="S1382" s="378"/>
      <c r="T1382" s="378"/>
      <c r="U1382" s="378"/>
      <c r="V1382" s="378"/>
      <c r="W1382" s="378"/>
      <c r="X1382" s="378"/>
      <c r="Y1382" s="378"/>
      <c r="Z1382" s="378"/>
      <c r="AA1382" s="378"/>
      <c r="AB1382" s="378"/>
      <c r="AC1382" s="378"/>
      <c r="AD1382" s="378"/>
      <c r="AE1382" s="378"/>
      <c r="AF1382" s="378"/>
      <c r="AG1382" s="378"/>
    </row>
    <row r="1383">
      <c r="A1383" s="378"/>
      <c r="B1383" s="477"/>
      <c r="C1383" s="378"/>
      <c r="D1383" s="378"/>
      <c r="E1383" s="378"/>
      <c r="F1383" s="378"/>
      <c r="G1383" s="378"/>
      <c r="H1383" s="378"/>
      <c r="I1383" s="376"/>
      <c r="J1383" s="377"/>
      <c r="K1383" s="378"/>
      <c r="L1383" s="378"/>
      <c r="M1383" s="378"/>
      <c r="N1383" s="379"/>
      <c r="O1383" s="380"/>
      <c r="P1383" s="378"/>
      <c r="Q1383" s="378"/>
      <c r="R1383" s="378"/>
      <c r="S1383" s="378"/>
      <c r="T1383" s="378"/>
      <c r="U1383" s="378"/>
      <c r="V1383" s="378"/>
      <c r="W1383" s="378"/>
      <c r="X1383" s="378"/>
      <c r="Y1383" s="378"/>
      <c r="Z1383" s="378"/>
      <c r="AA1383" s="378"/>
      <c r="AB1383" s="378"/>
      <c r="AC1383" s="378"/>
      <c r="AD1383" s="378"/>
      <c r="AE1383" s="378"/>
      <c r="AF1383" s="378"/>
      <c r="AG1383" s="378"/>
    </row>
    <row r="1384">
      <c r="A1384" s="378"/>
      <c r="B1384" s="477"/>
      <c r="C1384" s="378"/>
      <c r="D1384" s="378"/>
      <c r="E1384" s="378"/>
      <c r="F1384" s="378"/>
      <c r="G1384" s="378"/>
      <c r="H1384" s="378"/>
      <c r="I1384" s="376"/>
      <c r="J1384" s="377"/>
      <c r="K1384" s="378"/>
      <c r="L1384" s="378"/>
      <c r="M1384" s="378"/>
      <c r="N1384" s="379"/>
      <c r="O1384" s="380"/>
      <c r="P1384" s="378"/>
      <c r="Q1384" s="378"/>
      <c r="R1384" s="378"/>
      <c r="S1384" s="378"/>
      <c r="T1384" s="378"/>
      <c r="U1384" s="378"/>
      <c r="V1384" s="378"/>
      <c r="W1384" s="378"/>
      <c r="X1384" s="378"/>
      <c r="Y1384" s="378"/>
      <c r="Z1384" s="378"/>
      <c r="AA1384" s="378"/>
      <c r="AB1384" s="378"/>
      <c r="AC1384" s="378"/>
      <c r="AD1384" s="378"/>
      <c r="AE1384" s="378"/>
      <c r="AF1384" s="378"/>
      <c r="AG1384" s="378"/>
    </row>
    <row r="1385">
      <c r="A1385" s="378"/>
      <c r="B1385" s="477"/>
      <c r="C1385" s="378"/>
      <c r="D1385" s="378"/>
      <c r="E1385" s="378"/>
      <c r="F1385" s="378"/>
      <c r="G1385" s="378"/>
      <c r="H1385" s="378"/>
      <c r="I1385" s="376"/>
      <c r="J1385" s="377"/>
      <c r="K1385" s="378"/>
      <c r="L1385" s="378"/>
      <c r="M1385" s="378"/>
      <c r="N1385" s="379"/>
      <c r="O1385" s="380"/>
      <c r="P1385" s="378"/>
      <c r="Q1385" s="378"/>
      <c r="R1385" s="378"/>
      <c r="S1385" s="378"/>
      <c r="T1385" s="378"/>
      <c r="U1385" s="378"/>
      <c r="V1385" s="378"/>
      <c r="W1385" s="378"/>
      <c r="X1385" s="378"/>
      <c r="Y1385" s="378"/>
      <c r="Z1385" s="378"/>
      <c r="AA1385" s="378"/>
      <c r="AB1385" s="378"/>
      <c r="AC1385" s="378"/>
      <c r="AD1385" s="378"/>
      <c r="AE1385" s="378"/>
      <c r="AF1385" s="378"/>
      <c r="AG1385" s="378"/>
    </row>
    <row r="1386">
      <c r="A1386" s="378"/>
      <c r="B1386" s="477"/>
      <c r="C1386" s="378"/>
      <c r="D1386" s="378"/>
      <c r="E1386" s="378"/>
      <c r="F1386" s="378"/>
      <c r="G1386" s="378"/>
      <c r="H1386" s="378"/>
      <c r="I1386" s="376"/>
      <c r="J1386" s="377"/>
      <c r="K1386" s="378"/>
      <c r="L1386" s="378"/>
      <c r="M1386" s="378"/>
      <c r="N1386" s="379"/>
      <c r="O1386" s="380"/>
      <c r="P1386" s="378"/>
      <c r="Q1386" s="378"/>
      <c r="R1386" s="378"/>
      <c r="S1386" s="378"/>
      <c r="T1386" s="378"/>
      <c r="U1386" s="378"/>
      <c r="V1386" s="378"/>
      <c r="W1386" s="378"/>
      <c r="X1386" s="378"/>
      <c r="Y1386" s="378"/>
      <c r="Z1386" s="378"/>
      <c r="AA1386" s="378"/>
      <c r="AB1386" s="378"/>
      <c r="AC1386" s="378"/>
      <c r="AD1386" s="378"/>
      <c r="AE1386" s="378"/>
      <c r="AF1386" s="378"/>
      <c r="AG1386" s="378"/>
    </row>
    <row r="1387">
      <c r="A1387" s="378"/>
      <c r="B1387" s="477"/>
      <c r="C1387" s="378"/>
      <c r="D1387" s="378"/>
      <c r="E1387" s="378"/>
      <c r="F1387" s="378"/>
      <c r="G1387" s="378"/>
      <c r="H1387" s="378"/>
      <c r="I1387" s="376"/>
      <c r="J1387" s="377"/>
      <c r="K1387" s="378"/>
      <c r="L1387" s="378"/>
      <c r="M1387" s="378"/>
      <c r="N1387" s="379"/>
      <c r="O1387" s="380"/>
      <c r="P1387" s="378"/>
      <c r="Q1387" s="378"/>
      <c r="R1387" s="378"/>
      <c r="S1387" s="378"/>
      <c r="T1387" s="378"/>
      <c r="U1387" s="378"/>
      <c r="V1387" s="378"/>
      <c r="W1387" s="378"/>
      <c r="X1387" s="378"/>
      <c r="Y1387" s="378"/>
      <c r="Z1387" s="378"/>
      <c r="AA1387" s="378"/>
      <c r="AB1387" s="378"/>
      <c r="AC1387" s="378"/>
      <c r="AD1387" s="378"/>
      <c r="AE1387" s="378"/>
      <c r="AF1387" s="378"/>
      <c r="AG1387" s="378"/>
    </row>
    <row r="1388">
      <c r="A1388" s="378"/>
      <c r="B1388" s="477"/>
      <c r="C1388" s="378"/>
      <c r="D1388" s="378"/>
      <c r="E1388" s="378"/>
      <c r="F1388" s="378"/>
      <c r="G1388" s="378"/>
      <c r="H1388" s="378"/>
      <c r="I1388" s="376"/>
      <c r="J1388" s="377"/>
      <c r="K1388" s="378"/>
      <c r="L1388" s="378"/>
      <c r="M1388" s="378"/>
      <c r="N1388" s="379"/>
      <c r="O1388" s="380"/>
      <c r="P1388" s="378"/>
      <c r="Q1388" s="378"/>
      <c r="R1388" s="378"/>
      <c r="S1388" s="378"/>
      <c r="T1388" s="378"/>
      <c r="U1388" s="378"/>
      <c r="V1388" s="378"/>
      <c r="W1388" s="378"/>
      <c r="X1388" s="378"/>
      <c r="Y1388" s="378"/>
      <c r="Z1388" s="378"/>
      <c r="AA1388" s="378"/>
      <c r="AB1388" s="378"/>
      <c r="AC1388" s="378"/>
      <c r="AD1388" s="378"/>
      <c r="AE1388" s="378"/>
      <c r="AF1388" s="378"/>
      <c r="AG1388" s="378"/>
    </row>
    <row r="1389">
      <c r="A1389" s="378"/>
      <c r="B1389" s="477"/>
      <c r="C1389" s="378"/>
      <c r="D1389" s="378"/>
      <c r="E1389" s="378"/>
      <c r="F1389" s="378"/>
      <c r="G1389" s="378"/>
      <c r="H1389" s="378"/>
      <c r="I1389" s="376"/>
      <c r="J1389" s="377"/>
      <c r="K1389" s="378"/>
      <c r="L1389" s="378"/>
      <c r="M1389" s="378"/>
      <c r="N1389" s="379"/>
      <c r="O1389" s="380"/>
      <c r="P1389" s="378"/>
      <c r="Q1389" s="378"/>
      <c r="R1389" s="378"/>
      <c r="S1389" s="378"/>
      <c r="T1389" s="378"/>
      <c r="U1389" s="378"/>
      <c r="V1389" s="378"/>
      <c r="W1389" s="378"/>
      <c r="X1389" s="378"/>
      <c r="Y1389" s="378"/>
      <c r="Z1389" s="378"/>
      <c r="AA1389" s="378"/>
      <c r="AB1389" s="378"/>
      <c r="AC1389" s="378"/>
      <c r="AD1389" s="378"/>
      <c r="AE1389" s="378"/>
      <c r="AF1389" s="378"/>
      <c r="AG1389" s="378"/>
    </row>
    <row r="1390">
      <c r="A1390" s="378"/>
      <c r="B1390" s="477"/>
      <c r="C1390" s="378"/>
      <c r="D1390" s="378"/>
      <c r="E1390" s="378"/>
      <c r="F1390" s="378"/>
      <c r="G1390" s="378"/>
      <c r="H1390" s="378"/>
      <c r="I1390" s="376"/>
      <c r="J1390" s="377"/>
      <c r="K1390" s="378"/>
      <c r="L1390" s="378"/>
      <c r="M1390" s="378"/>
      <c r="N1390" s="379"/>
      <c r="O1390" s="380"/>
      <c r="P1390" s="378"/>
      <c r="Q1390" s="378"/>
      <c r="R1390" s="378"/>
      <c r="S1390" s="378"/>
      <c r="T1390" s="378"/>
      <c r="U1390" s="378"/>
      <c r="V1390" s="378"/>
      <c r="W1390" s="378"/>
      <c r="X1390" s="378"/>
      <c r="Y1390" s="378"/>
      <c r="Z1390" s="378"/>
      <c r="AA1390" s="378"/>
      <c r="AB1390" s="378"/>
      <c r="AC1390" s="378"/>
      <c r="AD1390" s="378"/>
      <c r="AE1390" s="378"/>
      <c r="AF1390" s="378"/>
      <c r="AG1390" s="378"/>
    </row>
    <row r="1391">
      <c r="A1391" s="378"/>
      <c r="B1391" s="477"/>
      <c r="C1391" s="378"/>
      <c r="D1391" s="378"/>
      <c r="E1391" s="378"/>
      <c r="F1391" s="378"/>
      <c r="G1391" s="378"/>
      <c r="H1391" s="378"/>
      <c r="I1391" s="376"/>
      <c r="J1391" s="377"/>
      <c r="K1391" s="378"/>
      <c r="L1391" s="378"/>
      <c r="M1391" s="378"/>
      <c r="N1391" s="379"/>
      <c r="O1391" s="380"/>
      <c r="P1391" s="378"/>
      <c r="Q1391" s="378"/>
      <c r="R1391" s="378"/>
      <c r="S1391" s="378"/>
      <c r="T1391" s="378"/>
      <c r="U1391" s="378"/>
      <c r="V1391" s="378"/>
      <c r="W1391" s="378"/>
      <c r="X1391" s="378"/>
      <c r="Y1391" s="378"/>
      <c r="Z1391" s="378"/>
      <c r="AA1391" s="378"/>
      <c r="AB1391" s="378"/>
      <c r="AC1391" s="378"/>
      <c r="AD1391" s="378"/>
      <c r="AE1391" s="378"/>
      <c r="AF1391" s="378"/>
      <c r="AG1391" s="378"/>
    </row>
    <row r="1392">
      <c r="A1392" s="378"/>
      <c r="B1392" s="477"/>
      <c r="C1392" s="378"/>
      <c r="D1392" s="378"/>
      <c r="E1392" s="378"/>
      <c r="F1392" s="378"/>
      <c r="G1392" s="378"/>
      <c r="H1392" s="378"/>
      <c r="I1392" s="376"/>
      <c r="J1392" s="377"/>
      <c r="K1392" s="378"/>
      <c r="L1392" s="378"/>
      <c r="M1392" s="378"/>
      <c r="N1392" s="379"/>
      <c r="O1392" s="380"/>
      <c r="P1392" s="378"/>
      <c r="Q1392" s="378"/>
      <c r="R1392" s="378"/>
      <c r="S1392" s="378"/>
      <c r="T1392" s="378"/>
      <c r="U1392" s="378"/>
      <c r="V1392" s="378"/>
      <c r="W1392" s="378"/>
      <c r="X1392" s="378"/>
      <c r="Y1392" s="378"/>
      <c r="Z1392" s="378"/>
      <c r="AA1392" s="378"/>
      <c r="AB1392" s="378"/>
      <c r="AC1392" s="378"/>
      <c r="AD1392" s="378"/>
      <c r="AE1392" s="378"/>
      <c r="AF1392" s="378"/>
      <c r="AG1392" s="378"/>
    </row>
    <row r="1393">
      <c r="A1393" s="378"/>
      <c r="B1393" s="477"/>
      <c r="C1393" s="378"/>
      <c r="D1393" s="378"/>
      <c r="E1393" s="378"/>
      <c r="F1393" s="378"/>
      <c r="G1393" s="378"/>
      <c r="H1393" s="378"/>
      <c r="I1393" s="376"/>
      <c r="J1393" s="377"/>
      <c r="K1393" s="378"/>
      <c r="L1393" s="378"/>
      <c r="M1393" s="378"/>
      <c r="N1393" s="379"/>
      <c r="O1393" s="380"/>
      <c r="P1393" s="378"/>
      <c r="Q1393" s="378"/>
      <c r="R1393" s="378"/>
      <c r="S1393" s="378"/>
      <c r="T1393" s="378"/>
      <c r="U1393" s="378"/>
      <c r="V1393" s="378"/>
      <c r="W1393" s="378"/>
      <c r="X1393" s="378"/>
      <c r="Y1393" s="378"/>
      <c r="Z1393" s="378"/>
      <c r="AA1393" s="378"/>
      <c r="AB1393" s="378"/>
      <c r="AC1393" s="378"/>
      <c r="AD1393" s="378"/>
      <c r="AE1393" s="378"/>
      <c r="AF1393" s="378"/>
      <c r="AG1393" s="378"/>
    </row>
    <row r="1394">
      <c r="A1394" s="378"/>
      <c r="B1394" s="477"/>
      <c r="C1394" s="378"/>
      <c r="D1394" s="378"/>
      <c r="E1394" s="378"/>
      <c r="F1394" s="378"/>
      <c r="G1394" s="378"/>
      <c r="H1394" s="378"/>
      <c r="I1394" s="376"/>
      <c r="J1394" s="377"/>
      <c r="K1394" s="378"/>
      <c r="L1394" s="378"/>
      <c r="M1394" s="378"/>
      <c r="N1394" s="379"/>
      <c r="O1394" s="380"/>
      <c r="P1394" s="378"/>
      <c r="Q1394" s="378"/>
      <c r="R1394" s="378"/>
      <c r="S1394" s="378"/>
      <c r="T1394" s="378"/>
      <c r="U1394" s="378"/>
      <c r="V1394" s="378"/>
      <c r="W1394" s="378"/>
      <c r="X1394" s="378"/>
      <c r="Y1394" s="378"/>
      <c r="Z1394" s="378"/>
      <c r="AA1394" s="378"/>
      <c r="AB1394" s="378"/>
      <c r="AC1394" s="378"/>
      <c r="AD1394" s="378"/>
      <c r="AE1394" s="378"/>
      <c r="AF1394" s="378"/>
      <c r="AG1394" s="378"/>
    </row>
    <row r="1395">
      <c r="A1395" s="378"/>
      <c r="B1395" s="477"/>
      <c r="C1395" s="378"/>
      <c r="D1395" s="378"/>
      <c r="E1395" s="378"/>
      <c r="F1395" s="378"/>
      <c r="G1395" s="378"/>
      <c r="H1395" s="378"/>
      <c r="I1395" s="376"/>
      <c r="J1395" s="377"/>
      <c r="K1395" s="378"/>
      <c r="L1395" s="378"/>
      <c r="M1395" s="378"/>
      <c r="N1395" s="379"/>
      <c r="O1395" s="380"/>
      <c r="P1395" s="378"/>
      <c r="Q1395" s="378"/>
      <c r="R1395" s="378"/>
      <c r="S1395" s="378"/>
      <c r="T1395" s="378"/>
      <c r="U1395" s="378"/>
      <c r="V1395" s="378"/>
      <c r="W1395" s="378"/>
      <c r="X1395" s="378"/>
      <c r="Y1395" s="378"/>
      <c r="Z1395" s="378"/>
      <c r="AA1395" s="378"/>
      <c r="AB1395" s="378"/>
      <c r="AC1395" s="378"/>
      <c r="AD1395" s="378"/>
      <c r="AE1395" s="378"/>
      <c r="AF1395" s="378"/>
      <c r="AG1395" s="378"/>
    </row>
    <row r="1396">
      <c r="A1396" s="378"/>
      <c r="B1396" s="477"/>
      <c r="C1396" s="378"/>
      <c r="D1396" s="378"/>
      <c r="E1396" s="378"/>
      <c r="F1396" s="378"/>
      <c r="G1396" s="378"/>
      <c r="H1396" s="378"/>
      <c r="I1396" s="376"/>
      <c r="J1396" s="377"/>
      <c r="K1396" s="378"/>
      <c r="L1396" s="378"/>
      <c r="M1396" s="378"/>
      <c r="N1396" s="379"/>
      <c r="O1396" s="380"/>
      <c r="P1396" s="378"/>
      <c r="Q1396" s="378"/>
      <c r="R1396" s="378"/>
      <c r="S1396" s="378"/>
      <c r="T1396" s="378"/>
      <c r="U1396" s="378"/>
      <c r="V1396" s="378"/>
      <c r="W1396" s="378"/>
      <c r="X1396" s="378"/>
      <c r="Y1396" s="378"/>
      <c r="Z1396" s="378"/>
      <c r="AA1396" s="378"/>
      <c r="AB1396" s="378"/>
      <c r="AC1396" s="378"/>
      <c r="AD1396" s="378"/>
      <c r="AE1396" s="378"/>
      <c r="AF1396" s="378"/>
      <c r="AG1396" s="378"/>
    </row>
    <row r="1397">
      <c r="A1397" s="378"/>
      <c r="B1397" s="477"/>
      <c r="C1397" s="378"/>
      <c r="D1397" s="378"/>
      <c r="E1397" s="378"/>
      <c r="F1397" s="378"/>
      <c r="G1397" s="378"/>
      <c r="H1397" s="378"/>
      <c r="I1397" s="376"/>
      <c r="J1397" s="377"/>
      <c r="K1397" s="378"/>
      <c r="L1397" s="378"/>
      <c r="M1397" s="378"/>
      <c r="N1397" s="379"/>
      <c r="O1397" s="380"/>
      <c r="P1397" s="378"/>
      <c r="Q1397" s="378"/>
      <c r="R1397" s="378"/>
      <c r="S1397" s="378"/>
      <c r="T1397" s="378"/>
      <c r="U1397" s="378"/>
      <c r="V1397" s="378"/>
      <c r="W1397" s="378"/>
      <c r="X1397" s="378"/>
      <c r="Y1397" s="378"/>
      <c r="Z1397" s="378"/>
      <c r="AA1397" s="378"/>
      <c r="AB1397" s="378"/>
      <c r="AC1397" s="378"/>
      <c r="AD1397" s="378"/>
      <c r="AE1397" s="378"/>
      <c r="AF1397" s="378"/>
      <c r="AG1397" s="378"/>
    </row>
    <row r="1398">
      <c r="A1398" s="378"/>
      <c r="B1398" s="477"/>
      <c r="C1398" s="378"/>
      <c r="D1398" s="378"/>
      <c r="E1398" s="378"/>
      <c r="F1398" s="378"/>
      <c r="G1398" s="378"/>
      <c r="H1398" s="378"/>
      <c r="I1398" s="376"/>
      <c r="J1398" s="377"/>
      <c r="K1398" s="378"/>
      <c r="L1398" s="378"/>
      <c r="M1398" s="378"/>
      <c r="N1398" s="379"/>
      <c r="O1398" s="380"/>
      <c r="P1398" s="378"/>
      <c r="Q1398" s="378"/>
      <c r="R1398" s="378"/>
      <c r="S1398" s="378"/>
      <c r="T1398" s="378"/>
      <c r="U1398" s="378"/>
      <c r="V1398" s="378"/>
      <c r="W1398" s="378"/>
      <c r="X1398" s="378"/>
      <c r="Y1398" s="378"/>
      <c r="Z1398" s="378"/>
      <c r="AA1398" s="378"/>
      <c r="AB1398" s="378"/>
      <c r="AC1398" s="378"/>
      <c r="AD1398" s="378"/>
      <c r="AE1398" s="378"/>
      <c r="AF1398" s="378"/>
      <c r="AG1398" s="378"/>
    </row>
    <row r="1399">
      <c r="A1399" s="378"/>
      <c r="B1399" s="477"/>
      <c r="C1399" s="378"/>
      <c r="D1399" s="378"/>
      <c r="E1399" s="378"/>
      <c r="F1399" s="378"/>
      <c r="G1399" s="378"/>
      <c r="H1399" s="378"/>
      <c r="I1399" s="376"/>
      <c r="J1399" s="377"/>
      <c r="K1399" s="378"/>
      <c r="L1399" s="378"/>
      <c r="M1399" s="378"/>
      <c r="N1399" s="379"/>
      <c r="O1399" s="380"/>
      <c r="P1399" s="378"/>
      <c r="Q1399" s="378"/>
      <c r="R1399" s="378"/>
      <c r="S1399" s="378"/>
      <c r="T1399" s="378"/>
      <c r="U1399" s="378"/>
      <c r="V1399" s="378"/>
      <c r="W1399" s="378"/>
      <c r="X1399" s="378"/>
      <c r="Y1399" s="378"/>
      <c r="Z1399" s="378"/>
      <c r="AA1399" s="378"/>
      <c r="AB1399" s="378"/>
      <c r="AC1399" s="378"/>
      <c r="AD1399" s="378"/>
      <c r="AE1399" s="378"/>
      <c r="AF1399" s="378"/>
      <c r="AG1399" s="378"/>
    </row>
    <row r="1400">
      <c r="A1400" s="378"/>
      <c r="B1400" s="477"/>
      <c r="C1400" s="378"/>
      <c r="D1400" s="378"/>
      <c r="E1400" s="378"/>
      <c r="F1400" s="378"/>
      <c r="G1400" s="378"/>
      <c r="H1400" s="378"/>
      <c r="I1400" s="376"/>
      <c r="J1400" s="377"/>
      <c r="K1400" s="378"/>
      <c r="L1400" s="378"/>
      <c r="M1400" s="378"/>
      <c r="N1400" s="379"/>
      <c r="O1400" s="380"/>
      <c r="P1400" s="378"/>
      <c r="Q1400" s="378"/>
      <c r="R1400" s="378"/>
      <c r="S1400" s="378"/>
      <c r="T1400" s="378"/>
      <c r="U1400" s="378"/>
      <c r="V1400" s="378"/>
      <c r="W1400" s="378"/>
      <c r="X1400" s="378"/>
      <c r="Y1400" s="378"/>
      <c r="Z1400" s="378"/>
      <c r="AA1400" s="378"/>
      <c r="AB1400" s="378"/>
      <c r="AC1400" s="378"/>
      <c r="AD1400" s="378"/>
      <c r="AE1400" s="378"/>
      <c r="AF1400" s="378"/>
      <c r="AG1400" s="378"/>
    </row>
    <row r="1401">
      <c r="A1401" s="378"/>
      <c r="B1401" s="477"/>
      <c r="C1401" s="378"/>
      <c r="D1401" s="378"/>
      <c r="E1401" s="378"/>
      <c r="F1401" s="378"/>
      <c r="G1401" s="378"/>
      <c r="H1401" s="378"/>
      <c r="I1401" s="376"/>
      <c r="J1401" s="377"/>
      <c r="K1401" s="378"/>
      <c r="L1401" s="378"/>
      <c r="M1401" s="378"/>
      <c r="N1401" s="379"/>
      <c r="O1401" s="380"/>
      <c r="P1401" s="378"/>
      <c r="Q1401" s="378"/>
      <c r="R1401" s="378"/>
      <c r="S1401" s="378"/>
      <c r="T1401" s="378"/>
      <c r="U1401" s="378"/>
      <c r="V1401" s="378"/>
      <c r="W1401" s="378"/>
      <c r="X1401" s="378"/>
      <c r="Y1401" s="378"/>
      <c r="Z1401" s="378"/>
      <c r="AA1401" s="378"/>
      <c r="AB1401" s="378"/>
      <c r="AC1401" s="378"/>
      <c r="AD1401" s="378"/>
      <c r="AE1401" s="378"/>
      <c r="AF1401" s="378"/>
      <c r="AG1401" s="378"/>
    </row>
    <row r="1402">
      <c r="A1402" s="378"/>
      <c r="B1402" s="477"/>
      <c r="C1402" s="378"/>
      <c r="D1402" s="378"/>
      <c r="E1402" s="378"/>
      <c r="F1402" s="378"/>
      <c r="G1402" s="378"/>
      <c r="H1402" s="378"/>
      <c r="I1402" s="376"/>
      <c r="J1402" s="377"/>
      <c r="K1402" s="378"/>
      <c r="L1402" s="378"/>
      <c r="M1402" s="378"/>
      <c r="N1402" s="379"/>
      <c r="O1402" s="380"/>
      <c r="P1402" s="378"/>
      <c r="Q1402" s="378"/>
      <c r="R1402" s="378"/>
      <c r="S1402" s="378"/>
      <c r="T1402" s="378"/>
      <c r="U1402" s="378"/>
      <c r="V1402" s="378"/>
      <c r="W1402" s="378"/>
      <c r="X1402" s="378"/>
      <c r="Y1402" s="378"/>
      <c r="Z1402" s="378"/>
      <c r="AA1402" s="378"/>
      <c r="AB1402" s="378"/>
      <c r="AC1402" s="378"/>
      <c r="AD1402" s="378"/>
      <c r="AE1402" s="378"/>
      <c r="AF1402" s="378"/>
      <c r="AG1402" s="378"/>
    </row>
    <row r="1403">
      <c r="A1403" s="378"/>
      <c r="B1403" s="477"/>
      <c r="C1403" s="378"/>
      <c r="D1403" s="378"/>
      <c r="E1403" s="378"/>
      <c r="F1403" s="378"/>
      <c r="G1403" s="378"/>
      <c r="H1403" s="378"/>
      <c r="I1403" s="376"/>
      <c r="J1403" s="377"/>
      <c r="K1403" s="378"/>
      <c r="L1403" s="378"/>
      <c r="M1403" s="378"/>
      <c r="N1403" s="379"/>
      <c r="O1403" s="380"/>
      <c r="P1403" s="378"/>
      <c r="Q1403" s="378"/>
      <c r="R1403" s="378"/>
      <c r="S1403" s="378"/>
      <c r="T1403" s="378"/>
      <c r="U1403" s="378"/>
      <c r="V1403" s="378"/>
      <c r="W1403" s="378"/>
      <c r="X1403" s="378"/>
      <c r="Y1403" s="378"/>
      <c r="Z1403" s="378"/>
      <c r="AA1403" s="378"/>
      <c r="AB1403" s="378"/>
      <c r="AC1403" s="378"/>
      <c r="AD1403" s="378"/>
      <c r="AE1403" s="378"/>
      <c r="AF1403" s="378"/>
      <c r="AG1403" s="378"/>
    </row>
    <row r="1404">
      <c r="A1404" s="378"/>
      <c r="B1404" s="477"/>
      <c r="C1404" s="378"/>
      <c r="D1404" s="378"/>
      <c r="E1404" s="378"/>
      <c r="F1404" s="378"/>
      <c r="G1404" s="378"/>
      <c r="H1404" s="378"/>
      <c r="I1404" s="376"/>
      <c r="J1404" s="377"/>
      <c r="K1404" s="378"/>
      <c r="L1404" s="378"/>
      <c r="M1404" s="378"/>
      <c r="N1404" s="379"/>
      <c r="O1404" s="380"/>
      <c r="P1404" s="378"/>
      <c r="Q1404" s="378"/>
      <c r="R1404" s="378"/>
      <c r="S1404" s="378"/>
      <c r="T1404" s="378"/>
      <c r="U1404" s="378"/>
      <c r="V1404" s="378"/>
      <c r="W1404" s="378"/>
      <c r="X1404" s="378"/>
      <c r="Y1404" s="378"/>
      <c r="Z1404" s="378"/>
      <c r="AA1404" s="378"/>
      <c r="AB1404" s="378"/>
      <c r="AC1404" s="378"/>
      <c r="AD1404" s="378"/>
      <c r="AE1404" s="378"/>
      <c r="AF1404" s="378"/>
      <c r="AG1404" s="378"/>
    </row>
    <row r="1405">
      <c r="A1405" s="378"/>
      <c r="B1405" s="477"/>
      <c r="C1405" s="378"/>
      <c r="D1405" s="378"/>
      <c r="E1405" s="378"/>
      <c r="F1405" s="378"/>
      <c r="G1405" s="378"/>
      <c r="H1405" s="378"/>
      <c r="I1405" s="376"/>
      <c r="J1405" s="377"/>
      <c r="K1405" s="378"/>
      <c r="L1405" s="378"/>
      <c r="M1405" s="378"/>
      <c r="N1405" s="379"/>
      <c r="O1405" s="380"/>
      <c r="P1405" s="378"/>
      <c r="Q1405" s="378"/>
      <c r="R1405" s="378"/>
      <c r="S1405" s="378"/>
      <c r="T1405" s="378"/>
      <c r="U1405" s="378"/>
      <c r="V1405" s="378"/>
      <c r="W1405" s="378"/>
      <c r="X1405" s="378"/>
      <c r="Y1405" s="378"/>
      <c r="Z1405" s="378"/>
      <c r="AA1405" s="378"/>
      <c r="AB1405" s="378"/>
      <c r="AC1405" s="378"/>
      <c r="AD1405" s="378"/>
      <c r="AE1405" s="378"/>
      <c r="AF1405" s="378"/>
      <c r="AG1405" s="378"/>
    </row>
    <row r="1406">
      <c r="A1406" s="378"/>
      <c r="B1406" s="477"/>
      <c r="C1406" s="378"/>
      <c r="D1406" s="378"/>
      <c r="E1406" s="378"/>
      <c r="F1406" s="378"/>
      <c r="G1406" s="378"/>
      <c r="H1406" s="378"/>
      <c r="I1406" s="376"/>
      <c r="J1406" s="377"/>
      <c r="K1406" s="378"/>
      <c r="L1406" s="378"/>
      <c r="M1406" s="378"/>
      <c r="N1406" s="379"/>
      <c r="O1406" s="380"/>
      <c r="P1406" s="378"/>
      <c r="Q1406" s="378"/>
      <c r="R1406" s="378"/>
      <c r="S1406" s="378"/>
      <c r="T1406" s="378"/>
      <c r="U1406" s="378"/>
      <c r="V1406" s="378"/>
      <c r="W1406" s="378"/>
      <c r="X1406" s="378"/>
      <c r="Y1406" s="378"/>
      <c r="Z1406" s="378"/>
      <c r="AA1406" s="378"/>
      <c r="AB1406" s="378"/>
      <c r="AC1406" s="378"/>
      <c r="AD1406" s="378"/>
      <c r="AE1406" s="378"/>
      <c r="AF1406" s="378"/>
      <c r="AG1406" s="378"/>
    </row>
    <row r="1407">
      <c r="A1407" s="378"/>
      <c r="B1407" s="477"/>
      <c r="C1407" s="378"/>
      <c r="D1407" s="378"/>
      <c r="E1407" s="378"/>
      <c r="F1407" s="378"/>
      <c r="G1407" s="378"/>
      <c r="H1407" s="378"/>
      <c r="I1407" s="376"/>
      <c r="J1407" s="377"/>
      <c r="K1407" s="378"/>
      <c r="L1407" s="378"/>
      <c r="M1407" s="378"/>
      <c r="N1407" s="379"/>
      <c r="O1407" s="380"/>
      <c r="P1407" s="378"/>
      <c r="Q1407" s="378"/>
      <c r="R1407" s="378"/>
      <c r="S1407" s="378"/>
      <c r="T1407" s="378"/>
      <c r="U1407" s="378"/>
      <c r="V1407" s="378"/>
      <c r="W1407" s="378"/>
      <c r="X1407" s="378"/>
      <c r="Y1407" s="378"/>
      <c r="Z1407" s="378"/>
      <c r="AA1407" s="378"/>
      <c r="AB1407" s="378"/>
      <c r="AC1407" s="378"/>
      <c r="AD1407" s="378"/>
      <c r="AE1407" s="378"/>
      <c r="AF1407" s="378"/>
      <c r="AG1407" s="378"/>
    </row>
    <row r="1408">
      <c r="A1408" s="378"/>
      <c r="B1408" s="477"/>
      <c r="C1408" s="378"/>
      <c r="D1408" s="378"/>
      <c r="E1408" s="378"/>
      <c r="F1408" s="378"/>
      <c r="G1408" s="378"/>
      <c r="H1408" s="378"/>
      <c r="I1408" s="376"/>
      <c r="J1408" s="377"/>
      <c r="K1408" s="378"/>
      <c r="L1408" s="378"/>
      <c r="M1408" s="378"/>
      <c r="N1408" s="379"/>
      <c r="O1408" s="380"/>
      <c r="P1408" s="378"/>
      <c r="Q1408" s="378"/>
      <c r="R1408" s="378"/>
      <c r="S1408" s="378"/>
      <c r="T1408" s="378"/>
      <c r="U1408" s="378"/>
      <c r="V1408" s="378"/>
      <c r="W1408" s="378"/>
      <c r="X1408" s="378"/>
      <c r="Y1408" s="378"/>
      <c r="Z1408" s="378"/>
      <c r="AA1408" s="378"/>
      <c r="AB1408" s="378"/>
      <c r="AC1408" s="378"/>
      <c r="AD1408" s="378"/>
      <c r="AE1408" s="378"/>
      <c r="AF1408" s="378"/>
      <c r="AG1408" s="378"/>
    </row>
    <row r="1409">
      <c r="A1409" s="378"/>
      <c r="B1409" s="477"/>
      <c r="C1409" s="378"/>
      <c r="D1409" s="378"/>
      <c r="E1409" s="378"/>
      <c r="F1409" s="378"/>
      <c r="G1409" s="378"/>
      <c r="H1409" s="378"/>
      <c r="I1409" s="376"/>
      <c r="J1409" s="377"/>
      <c r="K1409" s="378"/>
      <c r="L1409" s="378"/>
      <c r="M1409" s="378"/>
      <c r="N1409" s="379"/>
      <c r="O1409" s="380"/>
      <c r="P1409" s="378"/>
      <c r="Q1409" s="378"/>
      <c r="R1409" s="378"/>
      <c r="S1409" s="378"/>
      <c r="T1409" s="378"/>
      <c r="U1409" s="378"/>
      <c r="V1409" s="378"/>
      <c r="W1409" s="378"/>
      <c r="X1409" s="378"/>
      <c r="Y1409" s="378"/>
      <c r="Z1409" s="378"/>
      <c r="AA1409" s="378"/>
      <c r="AB1409" s="378"/>
      <c r="AC1409" s="378"/>
      <c r="AD1409" s="378"/>
      <c r="AE1409" s="378"/>
      <c r="AF1409" s="378"/>
      <c r="AG1409" s="378"/>
    </row>
    <row r="1410">
      <c r="A1410" s="378"/>
      <c r="B1410" s="477"/>
      <c r="C1410" s="378"/>
      <c r="D1410" s="378"/>
      <c r="E1410" s="378"/>
      <c r="F1410" s="378"/>
      <c r="G1410" s="378"/>
      <c r="H1410" s="378"/>
      <c r="I1410" s="376"/>
      <c r="J1410" s="377"/>
      <c r="K1410" s="378"/>
      <c r="L1410" s="378"/>
      <c r="M1410" s="378"/>
      <c r="N1410" s="379"/>
      <c r="O1410" s="380"/>
      <c r="P1410" s="378"/>
      <c r="Q1410" s="378"/>
      <c r="R1410" s="378"/>
      <c r="S1410" s="378"/>
      <c r="T1410" s="378"/>
      <c r="U1410" s="378"/>
      <c r="V1410" s="378"/>
      <c r="W1410" s="378"/>
      <c r="X1410" s="378"/>
      <c r="Y1410" s="378"/>
      <c r="Z1410" s="378"/>
      <c r="AA1410" s="378"/>
      <c r="AB1410" s="378"/>
      <c r="AC1410" s="378"/>
      <c r="AD1410" s="378"/>
      <c r="AE1410" s="378"/>
      <c r="AF1410" s="378"/>
      <c r="AG1410" s="378"/>
    </row>
    <row r="1411">
      <c r="A1411" s="378"/>
      <c r="B1411" s="477"/>
      <c r="C1411" s="378"/>
      <c r="D1411" s="378"/>
      <c r="E1411" s="378"/>
      <c r="F1411" s="378"/>
      <c r="G1411" s="378"/>
      <c r="H1411" s="378"/>
      <c r="I1411" s="376"/>
      <c r="J1411" s="377"/>
      <c r="K1411" s="378"/>
      <c r="L1411" s="378"/>
      <c r="M1411" s="378"/>
      <c r="N1411" s="379"/>
      <c r="O1411" s="380"/>
      <c r="P1411" s="378"/>
      <c r="Q1411" s="378"/>
      <c r="R1411" s="378"/>
      <c r="S1411" s="378"/>
      <c r="T1411" s="378"/>
      <c r="U1411" s="378"/>
      <c r="V1411" s="378"/>
      <c r="W1411" s="378"/>
      <c r="X1411" s="378"/>
      <c r="Y1411" s="378"/>
      <c r="Z1411" s="378"/>
      <c r="AA1411" s="378"/>
      <c r="AB1411" s="378"/>
      <c r="AC1411" s="378"/>
      <c r="AD1411" s="378"/>
      <c r="AE1411" s="378"/>
      <c r="AF1411" s="378"/>
      <c r="AG1411" s="378"/>
    </row>
    <row r="1412">
      <c r="A1412" s="378"/>
      <c r="B1412" s="477"/>
      <c r="C1412" s="378"/>
      <c r="D1412" s="378"/>
      <c r="E1412" s="378"/>
      <c r="F1412" s="378"/>
      <c r="G1412" s="378"/>
      <c r="H1412" s="378"/>
      <c r="I1412" s="376"/>
      <c r="J1412" s="377"/>
      <c r="K1412" s="378"/>
      <c r="L1412" s="378"/>
      <c r="M1412" s="378"/>
      <c r="N1412" s="379"/>
      <c r="O1412" s="380"/>
      <c r="P1412" s="378"/>
      <c r="Q1412" s="378"/>
      <c r="R1412" s="378"/>
      <c r="S1412" s="378"/>
      <c r="T1412" s="378"/>
      <c r="U1412" s="378"/>
      <c r="V1412" s="378"/>
      <c r="W1412" s="378"/>
      <c r="X1412" s="378"/>
      <c r="Y1412" s="378"/>
      <c r="Z1412" s="378"/>
      <c r="AA1412" s="378"/>
      <c r="AB1412" s="378"/>
      <c r="AC1412" s="378"/>
      <c r="AD1412" s="378"/>
      <c r="AE1412" s="378"/>
      <c r="AF1412" s="378"/>
      <c r="AG1412" s="378"/>
    </row>
    <row r="1413">
      <c r="A1413" s="378"/>
      <c r="B1413" s="477"/>
      <c r="C1413" s="378"/>
      <c r="D1413" s="378"/>
      <c r="E1413" s="378"/>
      <c r="F1413" s="378"/>
      <c r="G1413" s="378"/>
      <c r="H1413" s="378"/>
      <c r="I1413" s="376"/>
      <c r="J1413" s="377"/>
      <c r="K1413" s="378"/>
      <c r="L1413" s="378"/>
      <c r="M1413" s="378"/>
      <c r="N1413" s="379"/>
      <c r="O1413" s="380"/>
      <c r="P1413" s="378"/>
      <c r="Q1413" s="378"/>
      <c r="R1413" s="378"/>
      <c r="S1413" s="378"/>
      <c r="T1413" s="378"/>
      <c r="U1413" s="378"/>
      <c r="V1413" s="378"/>
      <c r="W1413" s="378"/>
      <c r="X1413" s="378"/>
      <c r="Y1413" s="378"/>
      <c r="Z1413" s="378"/>
      <c r="AA1413" s="378"/>
      <c r="AB1413" s="378"/>
      <c r="AC1413" s="378"/>
      <c r="AD1413" s="378"/>
      <c r="AE1413" s="378"/>
      <c r="AF1413" s="378"/>
      <c r="AG1413" s="378"/>
    </row>
    <row r="1414">
      <c r="A1414" s="378"/>
      <c r="B1414" s="477"/>
      <c r="C1414" s="378"/>
      <c r="D1414" s="378"/>
      <c r="E1414" s="378"/>
      <c r="F1414" s="378"/>
      <c r="G1414" s="378"/>
      <c r="H1414" s="378"/>
      <c r="I1414" s="376"/>
      <c r="J1414" s="377"/>
      <c r="K1414" s="378"/>
      <c r="L1414" s="378"/>
      <c r="M1414" s="378"/>
      <c r="N1414" s="379"/>
      <c r="O1414" s="380"/>
      <c r="P1414" s="378"/>
      <c r="Q1414" s="378"/>
      <c r="R1414" s="378"/>
      <c r="S1414" s="378"/>
      <c r="T1414" s="378"/>
      <c r="U1414" s="378"/>
      <c r="V1414" s="378"/>
      <c r="W1414" s="378"/>
      <c r="X1414" s="378"/>
      <c r="Y1414" s="378"/>
      <c r="Z1414" s="378"/>
      <c r="AA1414" s="378"/>
      <c r="AB1414" s="378"/>
      <c r="AC1414" s="378"/>
      <c r="AD1414" s="378"/>
      <c r="AE1414" s="378"/>
      <c r="AF1414" s="378"/>
      <c r="AG1414" s="378"/>
    </row>
    <row r="1415">
      <c r="A1415" s="378"/>
      <c r="B1415" s="477"/>
      <c r="C1415" s="378"/>
      <c r="D1415" s="378"/>
      <c r="E1415" s="378"/>
      <c r="F1415" s="378"/>
      <c r="G1415" s="378"/>
      <c r="H1415" s="378"/>
      <c r="I1415" s="376"/>
      <c r="J1415" s="377"/>
      <c r="K1415" s="378"/>
      <c r="L1415" s="378"/>
      <c r="M1415" s="378"/>
      <c r="N1415" s="379"/>
      <c r="O1415" s="380"/>
      <c r="P1415" s="378"/>
      <c r="Q1415" s="378"/>
      <c r="R1415" s="378"/>
      <c r="S1415" s="378"/>
      <c r="T1415" s="378"/>
      <c r="U1415" s="378"/>
      <c r="V1415" s="378"/>
      <c r="W1415" s="378"/>
      <c r="X1415" s="378"/>
      <c r="Y1415" s="378"/>
      <c r="Z1415" s="378"/>
      <c r="AA1415" s="378"/>
      <c r="AB1415" s="378"/>
      <c r="AC1415" s="378"/>
      <c r="AD1415" s="378"/>
      <c r="AE1415" s="378"/>
      <c r="AF1415" s="378"/>
      <c r="AG1415" s="378"/>
    </row>
    <row r="1416">
      <c r="A1416" s="378"/>
      <c r="B1416" s="477"/>
      <c r="C1416" s="378"/>
      <c r="D1416" s="378"/>
      <c r="E1416" s="378"/>
      <c r="F1416" s="378"/>
      <c r="G1416" s="378"/>
      <c r="H1416" s="378"/>
      <c r="I1416" s="376"/>
      <c r="J1416" s="377"/>
      <c r="K1416" s="378"/>
      <c r="L1416" s="378"/>
      <c r="M1416" s="378"/>
      <c r="N1416" s="379"/>
      <c r="O1416" s="380"/>
      <c r="P1416" s="378"/>
      <c r="Q1416" s="378"/>
      <c r="R1416" s="378"/>
      <c r="S1416" s="378"/>
      <c r="T1416" s="378"/>
      <c r="U1416" s="378"/>
      <c r="V1416" s="378"/>
      <c r="W1416" s="378"/>
      <c r="X1416" s="378"/>
      <c r="Y1416" s="378"/>
      <c r="Z1416" s="378"/>
      <c r="AA1416" s="378"/>
      <c r="AB1416" s="378"/>
      <c r="AC1416" s="378"/>
      <c r="AD1416" s="378"/>
      <c r="AE1416" s="378"/>
      <c r="AF1416" s="378"/>
      <c r="AG1416" s="378"/>
    </row>
    <row r="1417">
      <c r="A1417" s="378"/>
      <c r="B1417" s="477"/>
      <c r="C1417" s="378"/>
      <c r="D1417" s="378"/>
      <c r="E1417" s="378"/>
      <c r="F1417" s="378"/>
      <c r="G1417" s="378"/>
      <c r="H1417" s="378"/>
      <c r="I1417" s="376"/>
      <c r="J1417" s="377"/>
      <c r="K1417" s="378"/>
      <c r="L1417" s="378"/>
      <c r="M1417" s="378"/>
      <c r="N1417" s="379"/>
      <c r="O1417" s="380"/>
      <c r="P1417" s="378"/>
      <c r="Q1417" s="378"/>
      <c r="R1417" s="378"/>
      <c r="S1417" s="378"/>
      <c r="T1417" s="378"/>
      <c r="U1417" s="378"/>
      <c r="V1417" s="378"/>
      <c r="W1417" s="378"/>
      <c r="X1417" s="378"/>
      <c r="Y1417" s="378"/>
      <c r="Z1417" s="378"/>
      <c r="AA1417" s="378"/>
      <c r="AB1417" s="378"/>
      <c r="AC1417" s="378"/>
      <c r="AD1417" s="378"/>
      <c r="AE1417" s="378"/>
      <c r="AF1417" s="378"/>
      <c r="AG1417" s="378"/>
    </row>
    <row r="1418">
      <c r="A1418" s="378"/>
      <c r="B1418" s="477"/>
      <c r="C1418" s="378"/>
      <c r="D1418" s="378"/>
      <c r="E1418" s="378"/>
      <c r="F1418" s="378"/>
      <c r="G1418" s="378"/>
      <c r="H1418" s="378"/>
      <c r="I1418" s="376"/>
      <c r="J1418" s="377"/>
      <c r="K1418" s="378"/>
      <c r="L1418" s="378"/>
      <c r="M1418" s="378"/>
      <c r="N1418" s="379"/>
      <c r="O1418" s="380"/>
      <c r="P1418" s="378"/>
      <c r="Q1418" s="378"/>
      <c r="R1418" s="378"/>
      <c r="S1418" s="378"/>
      <c r="T1418" s="378"/>
      <c r="U1418" s="378"/>
      <c r="V1418" s="378"/>
      <c r="W1418" s="378"/>
      <c r="X1418" s="378"/>
      <c r="Y1418" s="378"/>
      <c r="Z1418" s="378"/>
      <c r="AA1418" s="378"/>
      <c r="AB1418" s="378"/>
      <c r="AC1418" s="378"/>
      <c r="AD1418" s="378"/>
      <c r="AE1418" s="378"/>
      <c r="AF1418" s="378"/>
      <c r="AG1418" s="378"/>
    </row>
    <row r="1419">
      <c r="A1419" s="378"/>
      <c r="B1419" s="477"/>
      <c r="C1419" s="378"/>
      <c r="D1419" s="378"/>
      <c r="E1419" s="378"/>
      <c r="F1419" s="378"/>
      <c r="G1419" s="378"/>
      <c r="H1419" s="378"/>
      <c r="I1419" s="376"/>
      <c r="J1419" s="377"/>
      <c r="K1419" s="378"/>
      <c r="L1419" s="378"/>
      <c r="M1419" s="378"/>
      <c r="N1419" s="379"/>
      <c r="O1419" s="380"/>
      <c r="P1419" s="378"/>
      <c r="Q1419" s="378"/>
      <c r="R1419" s="378"/>
      <c r="S1419" s="378"/>
      <c r="T1419" s="378"/>
      <c r="U1419" s="378"/>
      <c r="V1419" s="378"/>
      <c r="W1419" s="378"/>
      <c r="X1419" s="378"/>
      <c r="Y1419" s="378"/>
      <c r="Z1419" s="378"/>
      <c r="AA1419" s="378"/>
      <c r="AB1419" s="378"/>
      <c r="AC1419" s="378"/>
      <c r="AD1419" s="378"/>
      <c r="AE1419" s="378"/>
      <c r="AF1419" s="378"/>
      <c r="AG1419" s="378"/>
    </row>
    <row r="1420">
      <c r="A1420" s="378"/>
      <c r="B1420" s="477"/>
      <c r="C1420" s="378"/>
      <c r="D1420" s="378"/>
      <c r="E1420" s="378"/>
      <c r="F1420" s="378"/>
      <c r="G1420" s="378"/>
      <c r="H1420" s="378"/>
      <c r="I1420" s="376"/>
      <c r="J1420" s="377"/>
      <c r="K1420" s="378"/>
      <c r="L1420" s="378"/>
      <c r="M1420" s="378"/>
      <c r="N1420" s="379"/>
      <c r="O1420" s="380"/>
      <c r="P1420" s="378"/>
      <c r="Q1420" s="378"/>
      <c r="R1420" s="378"/>
      <c r="S1420" s="378"/>
      <c r="T1420" s="378"/>
      <c r="U1420" s="378"/>
      <c r="V1420" s="378"/>
      <c r="W1420" s="378"/>
      <c r="X1420" s="378"/>
      <c r="Y1420" s="378"/>
      <c r="Z1420" s="378"/>
      <c r="AA1420" s="378"/>
      <c r="AB1420" s="378"/>
      <c r="AC1420" s="378"/>
      <c r="AD1420" s="378"/>
      <c r="AE1420" s="378"/>
      <c r="AF1420" s="378"/>
      <c r="AG1420" s="378"/>
    </row>
    <row r="1421">
      <c r="A1421" s="378"/>
      <c r="B1421" s="477"/>
      <c r="C1421" s="378"/>
      <c r="D1421" s="378"/>
      <c r="E1421" s="378"/>
      <c r="F1421" s="378"/>
      <c r="G1421" s="378"/>
      <c r="H1421" s="378"/>
      <c r="I1421" s="376"/>
      <c r="J1421" s="377"/>
      <c r="K1421" s="378"/>
      <c r="L1421" s="378"/>
      <c r="M1421" s="378"/>
      <c r="N1421" s="379"/>
      <c r="O1421" s="380"/>
      <c r="P1421" s="378"/>
      <c r="Q1421" s="378"/>
      <c r="R1421" s="378"/>
      <c r="S1421" s="378"/>
      <c r="T1421" s="378"/>
      <c r="U1421" s="378"/>
      <c r="V1421" s="378"/>
      <c r="W1421" s="378"/>
      <c r="X1421" s="378"/>
      <c r="Y1421" s="378"/>
      <c r="Z1421" s="378"/>
      <c r="AA1421" s="378"/>
      <c r="AB1421" s="378"/>
      <c r="AC1421" s="378"/>
      <c r="AD1421" s="378"/>
      <c r="AE1421" s="378"/>
      <c r="AF1421" s="378"/>
      <c r="AG1421" s="378"/>
    </row>
    <row r="1422">
      <c r="A1422" s="378"/>
      <c r="B1422" s="477"/>
      <c r="C1422" s="378"/>
      <c r="D1422" s="378"/>
      <c r="E1422" s="378"/>
      <c r="F1422" s="378"/>
      <c r="G1422" s="378"/>
      <c r="H1422" s="378"/>
      <c r="I1422" s="376"/>
      <c r="J1422" s="377"/>
      <c r="K1422" s="378"/>
      <c r="L1422" s="378"/>
      <c r="M1422" s="378"/>
      <c r="N1422" s="379"/>
      <c r="O1422" s="380"/>
      <c r="P1422" s="378"/>
      <c r="Q1422" s="378"/>
      <c r="R1422" s="378"/>
      <c r="S1422" s="378"/>
      <c r="T1422" s="378"/>
      <c r="U1422" s="378"/>
      <c r="V1422" s="378"/>
      <c r="W1422" s="378"/>
      <c r="X1422" s="378"/>
      <c r="Y1422" s="378"/>
      <c r="Z1422" s="378"/>
      <c r="AA1422" s="378"/>
      <c r="AB1422" s="378"/>
      <c r="AC1422" s="378"/>
      <c r="AD1422" s="378"/>
      <c r="AE1422" s="378"/>
      <c r="AF1422" s="378"/>
      <c r="AG1422" s="378"/>
    </row>
    <row r="1423">
      <c r="A1423" s="378"/>
      <c r="B1423" s="477"/>
      <c r="C1423" s="378"/>
      <c r="D1423" s="378"/>
      <c r="E1423" s="378"/>
      <c r="F1423" s="378"/>
      <c r="G1423" s="378"/>
      <c r="H1423" s="378"/>
      <c r="I1423" s="376"/>
      <c r="J1423" s="377"/>
      <c r="K1423" s="378"/>
      <c r="L1423" s="378"/>
      <c r="M1423" s="378"/>
      <c r="N1423" s="379"/>
      <c r="O1423" s="380"/>
      <c r="P1423" s="378"/>
      <c r="Q1423" s="378"/>
      <c r="R1423" s="378"/>
      <c r="S1423" s="378"/>
      <c r="T1423" s="378"/>
      <c r="U1423" s="378"/>
      <c r="V1423" s="378"/>
      <c r="W1423" s="378"/>
      <c r="X1423" s="378"/>
      <c r="Y1423" s="378"/>
      <c r="Z1423" s="378"/>
      <c r="AA1423" s="378"/>
      <c r="AB1423" s="378"/>
      <c r="AC1423" s="378"/>
      <c r="AD1423" s="378"/>
      <c r="AE1423" s="378"/>
      <c r="AF1423" s="378"/>
      <c r="AG1423" s="378"/>
    </row>
    <row r="1424">
      <c r="A1424" s="378"/>
      <c r="B1424" s="477"/>
      <c r="C1424" s="378"/>
      <c r="D1424" s="378"/>
      <c r="E1424" s="378"/>
      <c r="F1424" s="378"/>
      <c r="G1424" s="378"/>
      <c r="H1424" s="378"/>
      <c r="I1424" s="376"/>
      <c r="J1424" s="377"/>
      <c r="K1424" s="378"/>
      <c r="L1424" s="378"/>
      <c r="M1424" s="378"/>
      <c r="N1424" s="379"/>
      <c r="O1424" s="380"/>
      <c r="P1424" s="378"/>
      <c r="Q1424" s="378"/>
      <c r="R1424" s="378"/>
      <c r="S1424" s="378"/>
      <c r="T1424" s="378"/>
      <c r="U1424" s="378"/>
      <c r="V1424" s="378"/>
      <c r="W1424" s="378"/>
      <c r="X1424" s="378"/>
      <c r="Y1424" s="378"/>
      <c r="Z1424" s="378"/>
      <c r="AA1424" s="378"/>
      <c r="AB1424" s="378"/>
      <c r="AC1424" s="378"/>
      <c r="AD1424" s="378"/>
      <c r="AE1424" s="378"/>
      <c r="AF1424" s="378"/>
      <c r="AG1424" s="378"/>
    </row>
    <row r="1425">
      <c r="A1425" s="378"/>
      <c r="B1425" s="477"/>
      <c r="C1425" s="378"/>
      <c r="D1425" s="378"/>
      <c r="E1425" s="378"/>
      <c r="F1425" s="378"/>
      <c r="G1425" s="378"/>
      <c r="H1425" s="378"/>
      <c r="I1425" s="376"/>
      <c r="J1425" s="377"/>
      <c r="K1425" s="378"/>
      <c r="L1425" s="378"/>
      <c r="M1425" s="378"/>
      <c r="N1425" s="379"/>
      <c r="O1425" s="380"/>
      <c r="P1425" s="378"/>
      <c r="Q1425" s="378"/>
      <c r="R1425" s="378"/>
      <c r="S1425" s="378"/>
      <c r="T1425" s="378"/>
      <c r="U1425" s="378"/>
      <c r="V1425" s="378"/>
      <c r="W1425" s="378"/>
      <c r="X1425" s="378"/>
      <c r="Y1425" s="378"/>
      <c r="Z1425" s="378"/>
      <c r="AA1425" s="378"/>
      <c r="AB1425" s="378"/>
      <c r="AC1425" s="378"/>
      <c r="AD1425" s="378"/>
      <c r="AE1425" s="378"/>
      <c r="AF1425" s="378"/>
      <c r="AG1425" s="378"/>
    </row>
    <row r="1426">
      <c r="A1426" s="378"/>
      <c r="B1426" s="477"/>
      <c r="C1426" s="378"/>
      <c r="D1426" s="378"/>
      <c r="E1426" s="378"/>
      <c r="F1426" s="378"/>
      <c r="G1426" s="378"/>
      <c r="H1426" s="378"/>
      <c r="I1426" s="376"/>
      <c r="J1426" s="377"/>
      <c r="K1426" s="378"/>
      <c r="L1426" s="378"/>
      <c r="M1426" s="378"/>
      <c r="N1426" s="379"/>
      <c r="O1426" s="380"/>
      <c r="P1426" s="378"/>
      <c r="Q1426" s="378"/>
      <c r="R1426" s="378"/>
      <c r="S1426" s="378"/>
      <c r="T1426" s="378"/>
      <c r="U1426" s="378"/>
      <c r="V1426" s="378"/>
      <c r="W1426" s="378"/>
      <c r="X1426" s="378"/>
      <c r="Y1426" s="378"/>
      <c r="Z1426" s="378"/>
      <c r="AA1426" s="378"/>
      <c r="AB1426" s="378"/>
      <c r="AC1426" s="378"/>
      <c r="AD1426" s="378"/>
      <c r="AE1426" s="378"/>
      <c r="AF1426" s="378"/>
      <c r="AG1426" s="378"/>
    </row>
    <row r="1427">
      <c r="A1427" s="378"/>
      <c r="B1427" s="477"/>
      <c r="C1427" s="378"/>
      <c r="D1427" s="378"/>
      <c r="E1427" s="378"/>
      <c r="F1427" s="378"/>
      <c r="G1427" s="378"/>
      <c r="H1427" s="378"/>
      <c r="I1427" s="376"/>
      <c r="J1427" s="377"/>
      <c r="K1427" s="378"/>
      <c r="L1427" s="378"/>
      <c r="M1427" s="378"/>
      <c r="N1427" s="379"/>
      <c r="O1427" s="380"/>
      <c r="P1427" s="378"/>
      <c r="Q1427" s="378"/>
      <c r="R1427" s="378"/>
      <c r="S1427" s="378"/>
      <c r="T1427" s="378"/>
      <c r="U1427" s="378"/>
      <c r="V1427" s="378"/>
      <c r="W1427" s="378"/>
      <c r="X1427" s="378"/>
      <c r="Y1427" s="378"/>
      <c r="Z1427" s="378"/>
      <c r="AA1427" s="378"/>
      <c r="AB1427" s="378"/>
      <c r="AC1427" s="378"/>
      <c r="AD1427" s="378"/>
      <c r="AE1427" s="378"/>
      <c r="AF1427" s="378"/>
      <c r="AG1427" s="378"/>
    </row>
    <row r="1428">
      <c r="A1428" s="378"/>
      <c r="B1428" s="477"/>
      <c r="C1428" s="378"/>
      <c r="D1428" s="378"/>
      <c r="E1428" s="378"/>
      <c r="F1428" s="378"/>
      <c r="G1428" s="378"/>
      <c r="H1428" s="378"/>
      <c r="I1428" s="376"/>
      <c r="J1428" s="377"/>
      <c r="K1428" s="378"/>
      <c r="L1428" s="378"/>
      <c r="M1428" s="378"/>
      <c r="N1428" s="379"/>
      <c r="O1428" s="380"/>
      <c r="P1428" s="378"/>
      <c r="Q1428" s="378"/>
      <c r="R1428" s="378"/>
      <c r="S1428" s="378"/>
      <c r="T1428" s="378"/>
      <c r="U1428" s="378"/>
      <c r="V1428" s="378"/>
      <c r="W1428" s="378"/>
      <c r="X1428" s="378"/>
      <c r="Y1428" s="378"/>
      <c r="Z1428" s="378"/>
      <c r="AA1428" s="378"/>
      <c r="AB1428" s="378"/>
      <c r="AC1428" s="378"/>
      <c r="AD1428" s="378"/>
      <c r="AE1428" s="378"/>
      <c r="AF1428" s="378"/>
      <c r="AG1428" s="378"/>
    </row>
    <row r="1429">
      <c r="A1429" s="378"/>
      <c r="B1429" s="477"/>
      <c r="C1429" s="378"/>
      <c r="D1429" s="378"/>
      <c r="E1429" s="378"/>
      <c r="F1429" s="378"/>
      <c r="G1429" s="378"/>
      <c r="H1429" s="378"/>
      <c r="I1429" s="376"/>
      <c r="J1429" s="377"/>
      <c r="K1429" s="378"/>
      <c r="L1429" s="378"/>
      <c r="M1429" s="378"/>
      <c r="N1429" s="379"/>
      <c r="O1429" s="380"/>
      <c r="P1429" s="378"/>
      <c r="Q1429" s="378"/>
      <c r="R1429" s="378"/>
      <c r="S1429" s="378"/>
      <c r="T1429" s="378"/>
      <c r="U1429" s="378"/>
      <c r="V1429" s="378"/>
      <c r="W1429" s="378"/>
      <c r="X1429" s="378"/>
      <c r="Y1429" s="378"/>
      <c r="Z1429" s="378"/>
      <c r="AA1429" s="378"/>
      <c r="AB1429" s="378"/>
      <c r="AC1429" s="378"/>
      <c r="AD1429" s="378"/>
      <c r="AE1429" s="378"/>
      <c r="AF1429" s="378"/>
      <c r="AG1429" s="378"/>
    </row>
    <row r="1430">
      <c r="A1430" s="378"/>
      <c r="B1430" s="477"/>
      <c r="C1430" s="378"/>
      <c r="D1430" s="378"/>
      <c r="E1430" s="378"/>
      <c r="F1430" s="378"/>
      <c r="G1430" s="378"/>
      <c r="H1430" s="378"/>
      <c r="I1430" s="376"/>
      <c r="J1430" s="377"/>
      <c r="K1430" s="378"/>
      <c r="L1430" s="378"/>
      <c r="M1430" s="378"/>
      <c r="N1430" s="379"/>
      <c r="O1430" s="380"/>
      <c r="P1430" s="378"/>
      <c r="Q1430" s="378"/>
      <c r="R1430" s="378"/>
      <c r="S1430" s="378"/>
      <c r="T1430" s="378"/>
      <c r="U1430" s="378"/>
      <c r="V1430" s="378"/>
      <c r="W1430" s="378"/>
      <c r="X1430" s="378"/>
      <c r="Y1430" s="378"/>
      <c r="Z1430" s="378"/>
      <c r="AA1430" s="378"/>
      <c r="AB1430" s="378"/>
      <c r="AC1430" s="378"/>
      <c r="AD1430" s="378"/>
      <c r="AE1430" s="378"/>
      <c r="AF1430" s="378"/>
      <c r="AG1430" s="378"/>
    </row>
    <row r="1431">
      <c r="A1431" s="378"/>
      <c r="B1431" s="477"/>
      <c r="C1431" s="378"/>
      <c r="D1431" s="378"/>
      <c r="E1431" s="378"/>
      <c r="F1431" s="378"/>
      <c r="G1431" s="378"/>
      <c r="H1431" s="378"/>
      <c r="I1431" s="376"/>
      <c r="J1431" s="377"/>
      <c r="K1431" s="378"/>
      <c r="L1431" s="378"/>
      <c r="M1431" s="378"/>
      <c r="N1431" s="379"/>
      <c r="O1431" s="380"/>
      <c r="P1431" s="378"/>
      <c r="Q1431" s="378"/>
      <c r="R1431" s="378"/>
      <c r="S1431" s="378"/>
      <c r="T1431" s="378"/>
      <c r="U1431" s="378"/>
      <c r="V1431" s="378"/>
      <c r="W1431" s="378"/>
      <c r="X1431" s="378"/>
      <c r="Y1431" s="378"/>
      <c r="Z1431" s="378"/>
      <c r="AA1431" s="378"/>
      <c r="AB1431" s="378"/>
      <c r="AC1431" s="378"/>
      <c r="AD1431" s="378"/>
      <c r="AE1431" s="378"/>
      <c r="AF1431" s="378"/>
      <c r="AG1431" s="378"/>
    </row>
    <row r="1432">
      <c r="A1432" s="378"/>
      <c r="B1432" s="477"/>
      <c r="C1432" s="378"/>
      <c r="D1432" s="378"/>
      <c r="E1432" s="378"/>
      <c r="F1432" s="378"/>
      <c r="G1432" s="378"/>
      <c r="H1432" s="378"/>
      <c r="I1432" s="376"/>
      <c r="J1432" s="377"/>
      <c r="K1432" s="378"/>
      <c r="L1432" s="378"/>
      <c r="M1432" s="378"/>
      <c r="N1432" s="379"/>
      <c r="O1432" s="380"/>
      <c r="P1432" s="378"/>
      <c r="Q1432" s="378"/>
      <c r="R1432" s="378"/>
      <c r="S1432" s="378"/>
      <c r="T1432" s="378"/>
      <c r="U1432" s="378"/>
      <c r="V1432" s="378"/>
      <c r="W1432" s="378"/>
      <c r="X1432" s="378"/>
      <c r="Y1432" s="378"/>
      <c r="Z1432" s="378"/>
      <c r="AA1432" s="378"/>
      <c r="AB1432" s="378"/>
      <c r="AC1432" s="378"/>
      <c r="AD1432" s="378"/>
      <c r="AE1432" s="378"/>
      <c r="AF1432" s="378"/>
      <c r="AG1432" s="378"/>
    </row>
    <row r="1433">
      <c r="A1433" s="378"/>
      <c r="B1433" s="477"/>
      <c r="C1433" s="378"/>
      <c r="D1433" s="378"/>
      <c r="E1433" s="378"/>
      <c r="F1433" s="378"/>
      <c r="G1433" s="378"/>
      <c r="H1433" s="378"/>
      <c r="I1433" s="376"/>
      <c r="J1433" s="377"/>
      <c r="K1433" s="378"/>
      <c r="L1433" s="378"/>
      <c r="M1433" s="378"/>
      <c r="N1433" s="379"/>
      <c r="O1433" s="380"/>
      <c r="P1433" s="378"/>
      <c r="Q1433" s="378"/>
      <c r="R1433" s="378"/>
      <c r="S1433" s="378"/>
      <c r="T1433" s="378"/>
      <c r="U1433" s="378"/>
      <c r="V1433" s="378"/>
      <c r="W1433" s="378"/>
      <c r="X1433" s="378"/>
      <c r="Y1433" s="378"/>
      <c r="Z1433" s="378"/>
      <c r="AA1433" s="378"/>
      <c r="AB1433" s="378"/>
      <c r="AC1433" s="378"/>
      <c r="AD1433" s="378"/>
      <c r="AE1433" s="378"/>
      <c r="AF1433" s="378"/>
      <c r="AG1433" s="378"/>
    </row>
    <row r="1434">
      <c r="A1434" s="378"/>
      <c r="B1434" s="477"/>
      <c r="C1434" s="378"/>
      <c r="D1434" s="378"/>
      <c r="E1434" s="378"/>
      <c r="F1434" s="378"/>
      <c r="G1434" s="378"/>
      <c r="H1434" s="378"/>
      <c r="I1434" s="376"/>
      <c r="J1434" s="377"/>
      <c r="K1434" s="378"/>
      <c r="L1434" s="378"/>
      <c r="M1434" s="378"/>
      <c r="N1434" s="379"/>
      <c r="O1434" s="380"/>
      <c r="P1434" s="378"/>
      <c r="Q1434" s="378"/>
      <c r="R1434" s="378"/>
      <c r="S1434" s="378"/>
      <c r="T1434" s="378"/>
      <c r="U1434" s="378"/>
      <c r="V1434" s="378"/>
      <c r="W1434" s="378"/>
      <c r="X1434" s="378"/>
      <c r="Y1434" s="378"/>
      <c r="Z1434" s="378"/>
      <c r="AA1434" s="378"/>
      <c r="AB1434" s="378"/>
      <c r="AC1434" s="378"/>
      <c r="AD1434" s="378"/>
      <c r="AE1434" s="378"/>
      <c r="AF1434" s="378"/>
      <c r="AG1434" s="378"/>
    </row>
    <row r="1435">
      <c r="A1435" s="378"/>
      <c r="B1435" s="477"/>
      <c r="C1435" s="378"/>
      <c r="D1435" s="378"/>
      <c r="E1435" s="378"/>
      <c r="F1435" s="378"/>
      <c r="G1435" s="378"/>
      <c r="H1435" s="378"/>
      <c r="I1435" s="376"/>
      <c r="J1435" s="377"/>
      <c r="K1435" s="378"/>
      <c r="L1435" s="378"/>
      <c r="M1435" s="378"/>
      <c r="N1435" s="379"/>
      <c r="O1435" s="380"/>
      <c r="P1435" s="378"/>
      <c r="Q1435" s="378"/>
      <c r="R1435" s="378"/>
      <c r="S1435" s="378"/>
      <c r="T1435" s="378"/>
      <c r="U1435" s="378"/>
      <c r="V1435" s="378"/>
      <c r="W1435" s="378"/>
      <c r="X1435" s="378"/>
      <c r="Y1435" s="378"/>
      <c r="Z1435" s="378"/>
      <c r="AA1435" s="378"/>
      <c r="AB1435" s="378"/>
      <c r="AC1435" s="378"/>
      <c r="AD1435" s="378"/>
      <c r="AE1435" s="378"/>
      <c r="AF1435" s="378"/>
      <c r="AG1435" s="378"/>
    </row>
    <row r="1436">
      <c r="A1436" s="378"/>
      <c r="B1436" s="477"/>
      <c r="C1436" s="378"/>
      <c r="D1436" s="378"/>
      <c r="E1436" s="378"/>
      <c r="F1436" s="378"/>
      <c r="G1436" s="378"/>
      <c r="H1436" s="378"/>
      <c r="I1436" s="376"/>
      <c r="J1436" s="377"/>
      <c r="K1436" s="378"/>
      <c r="L1436" s="378"/>
      <c r="M1436" s="378"/>
      <c r="N1436" s="379"/>
      <c r="O1436" s="380"/>
      <c r="P1436" s="378"/>
      <c r="Q1436" s="378"/>
      <c r="R1436" s="378"/>
      <c r="S1436" s="378"/>
      <c r="T1436" s="378"/>
      <c r="U1436" s="378"/>
      <c r="V1436" s="378"/>
      <c r="W1436" s="378"/>
      <c r="X1436" s="378"/>
      <c r="Y1436" s="378"/>
      <c r="Z1436" s="378"/>
      <c r="AA1436" s="378"/>
      <c r="AB1436" s="378"/>
      <c r="AC1436" s="378"/>
      <c r="AD1436" s="378"/>
      <c r="AE1436" s="378"/>
      <c r="AF1436" s="378"/>
      <c r="AG1436" s="378"/>
    </row>
    <row r="1437">
      <c r="A1437" s="378"/>
      <c r="B1437" s="477"/>
      <c r="C1437" s="378"/>
      <c r="D1437" s="378"/>
      <c r="E1437" s="378"/>
      <c r="F1437" s="378"/>
      <c r="G1437" s="378"/>
      <c r="H1437" s="378"/>
      <c r="I1437" s="376"/>
      <c r="J1437" s="377"/>
      <c r="K1437" s="378"/>
      <c r="L1437" s="378"/>
      <c r="M1437" s="378"/>
      <c r="N1437" s="379"/>
      <c r="O1437" s="380"/>
      <c r="P1437" s="378"/>
      <c r="Q1437" s="378"/>
      <c r="R1437" s="378"/>
      <c r="S1437" s="378"/>
      <c r="T1437" s="378"/>
      <c r="U1437" s="378"/>
      <c r="V1437" s="378"/>
      <c r="W1437" s="378"/>
      <c r="X1437" s="378"/>
      <c r="Y1437" s="378"/>
      <c r="Z1437" s="378"/>
      <c r="AA1437" s="378"/>
      <c r="AB1437" s="378"/>
      <c r="AC1437" s="378"/>
      <c r="AD1437" s="378"/>
      <c r="AE1437" s="378"/>
      <c r="AF1437" s="378"/>
      <c r="AG1437" s="378"/>
    </row>
    <row r="1438">
      <c r="A1438" s="378"/>
      <c r="B1438" s="477"/>
      <c r="C1438" s="378"/>
      <c r="D1438" s="378"/>
      <c r="E1438" s="378"/>
      <c r="F1438" s="378"/>
      <c r="G1438" s="378"/>
      <c r="H1438" s="378"/>
      <c r="I1438" s="376"/>
      <c r="J1438" s="377"/>
      <c r="K1438" s="378"/>
      <c r="L1438" s="378"/>
      <c r="M1438" s="378"/>
      <c r="N1438" s="379"/>
      <c r="O1438" s="380"/>
      <c r="P1438" s="378"/>
      <c r="Q1438" s="378"/>
      <c r="R1438" s="378"/>
      <c r="S1438" s="378"/>
      <c r="T1438" s="378"/>
      <c r="U1438" s="378"/>
      <c r="V1438" s="378"/>
      <c r="W1438" s="378"/>
      <c r="X1438" s="378"/>
      <c r="Y1438" s="378"/>
      <c r="Z1438" s="378"/>
      <c r="AA1438" s="378"/>
      <c r="AB1438" s="378"/>
      <c r="AC1438" s="378"/>
      <c r="AD1438" s="378"/>
      <c r="AE1438" s="378"/>
      <c r="AF1438" s="378"/>
      <c r="AG1438" s="378"/>
    </row>
    <row r="1439">
      <c r="A1439" s="378"/>
      <c r="B1439" s="477"/>
      <c r="C1439" s="378"/>
      <c r="D1439" s="378"/>
      <c r="E1439" s="378"/>
      <c r="F1439" s="378"/>
      <c r="G1439" s="378"/>
      <c r="H1439" s="378"/>
      <c r="I1439" s="376"/>
      <c r="J1439" s="377"/>
      <c r="K1439" s="378"/>
      <c r="L1439" s="378"/>
      <c r="M1439" s="378"/>
      <c r="N1439" s="379"/>
      <c r="O1439" s="380"/>
      <c r="P1439" s="378"/>
      <c r="Q1439" s="378"/>
      <c r="R1439" s="378"/>
      <c r="S1439" s="378"/>
      <c r="T1439" s="378"/>
      <c r="U1439" s="378"/>
      <c r="V1439" s="378"/>
      <c r="W1439" s="378"/>
      <c r="X1439" s="378"/>
      <c r="Y1439" s="378"/>
      <c r="Z1439" s="378"/>
      <c r="AA1439" s="378"/>
      <c r="AB1439" s="378"/>
      <c r="AC1439" s="378"/>
      <c r="AD1439" s="378"/>
      <c r="AE1439" s="378"/>
      <c r="AF1439" s="378"/>
      <c r="AG1439" s="378"/>
    </row>
    <row r="1440">
      <c r="A1440" s="378"/>
      <c r="B1440" s="477"/>
      <c r="C1440" s="378"/>
      <c r="D1440" s="378"/>
      <c r="E1440" s="378"/>
      <c r="F1440" s="378"/>
      <c r="G1440" s="378"/>
      <c r="H1440" s="378"/>
      <c r="I1440" s="376"/>
      <c r="J1440" s="377"/>
      <c r="K1440" s="378"/>
      <c r="L1440" s="378"/>
      <c r="M1440" s="378"/>
      <c r="N1440" s="379"/>
      <c r="O1440" s="380"/>
      <c r="P1440" s="378"/>
      <c r="Q1440" s="378"/>
      <c r="R1440" s="378"/>
      <c r="S1440" s="378"/>
      <c r="T1440" s="378"/>
      <c r="U1440" s="378"/>
      <c r="V1440" s="378"/>
      <c r="W1440" s="378"/>
      <c r="X1440" s="378"/>
      <c r="Y1440" s="378"/>
      <c r="Z1440" s="378"/>
      <c r="AA1440" s="378"/>
      <c r="AB1440" s="378"/>
      <c r="AC1440" s="378"/>
      <c r="AD1440" s="378"/>
      <c r="AE1440" s="378"/>
      <c r="AF1440" s="378"/>
      <c r="AG1440" s="378"/>
    </row>
    <row r="1441">
      <c r="A1441" s="378"/>
      <c r="B1441" s="477"/>
      <c r="C1441" s="378"/>
      <c r="D1441" s="378"/>
      <c r="E1441" s="378"/>
      <c r="F1441" s="378"/>
      <c r="G1441" s="378"/>
      <c r="H1441" s="378"/>
      <c r="I1441" s="376"/>
      <c r="J1441" s="377"/>
      <c r="K1441" s="378"/>
      <c r="L1441" s="378"/>
      <c r="M1441" s="378"/>
      <c r="N1441" s="379"/>
      <c r="O1441" s="380"/>
      <c r="P1441" s="378"/>
      <c r="Q1441" s="378"/>
      <c r="R1441" s="378"/>
      <c r="S1441" s="378"/>
      <c r="T1441" s="378"/>
      <c r="U1441" s="378"/>
      <c r="V1441" s="378"/>
      <c r="W1441" s="378"/>
      <c r="X1441" s="378"/>
      <c r="Y1441" s="378"/>
      <c r="Z1441" s="378"/>
      <c r="AA1441" s="378"/>
      <c r="AB1441" s="378"/>
      <c r="AC1441" s="378"/>
      <c r="AD1441" s="378"/>
      <c r="AE1441" s="378"/>
      <c r="AF1441" s="378"/>
      <c r="AG1441" s="378"/>
    </row>
    <row r="1442">
      <c r="A1442" s="378"/>
      <c r="B1442" s="477"/>
      <c r="C1442" s="378"/>
      <c r="D1442" s="378"/>
      <c r="E1442" s="378"/>
      <c r="F1442" s="378"/>
      <c r="G1442" s="378"/>
      <c r="H1442" s="378"/>
      <c r="I1442" s="376"/>
      <c r="J1442" s="377"/>
      <c r="K1442" s="378"/>
      <c r="L1442" s="378"/>
      <c r="M1442" s="378"/>
      <c r="N1442" s="379"/>
      <c r="O1442" s="380"/>
      <c r="P1442" s="378"/>
      <c r="Q1442" s="378"/>
      <c r="R1442" s="378"/>
      <c r="S1442" s="378"/>
      <c r="T1442" s="378"/>
      <c r="U1442" s="378"/>
      <c r="V1442" s="378"/>
      <c r="W1442" s="378"/>
      <c r="X1442" s="378"/>
      <c r="Y1442" s="378"/>
      <c r="Z1442" s="378"/>
      <c r="AA1442" s="378"/>
      <c r="AB1442" s="378"/>
      <c r="AC1442" s="378"/>
      <c r="AD1442" s="378"/>
      <c r="AE1442" s="378"/>
      <c r="AF1442" s="378"/>
      <c r="AG1442" s="378"/>
    </row>
    <row r="1443">
      <c r="A1443" s="378"/>
      <c r="B1443" s="477"/>
      <c r="C1443" s="378"/>
      <c r="D1443" s="378"/>
      <c r="E1443" s="378"/>
      <c r="F1443" s="378"/>
      <c r="G1443" s="378"/>
      <c r="H1443" s="378"/>
      <c r="I1443" s="376"/>
      <c r="J1443" s="377"/>
      <c r="K1443" s="378"/>
      <c r="L1443" s="378"/>
      <c r="M1443" s="378"/>
      <c r="N1443" s="379"/>
      <c r="O1443" s="380"/>
      <c r="P1443" s="378"/>
      <c r="Q1443" s="378"/>
      <c r="R1443" s="378"/>
      <c r="S1443" s="378"/>
      <c r="T1443" s="378"/>
      <c r="U1443" s="378"/>
      <c r="V1443" s="378"/>
      <c r="W1443" s="378"/>
      <c r="X1443" s="378"/>
      <c r="Y1443" s="378"/>
      <c r="Z1443" s="378"/>
      <c r="AA1443" s="378"/>
      <c r="AB1443" s="378"/>
      <c r="AC1443" s="378"/>
      <c r="AD1443" s="378"/>
      <c r="AE1443" s="378"/>
      <c r="AF1443" s="378"/>
      <c r="AG1443" s="378"/>
    </row>
    <row r="1444">
      <c r="A1444" s="378"/>
      <c r="B1444" s="477"/>
      <c r="C1444" s="378"/>
      <c r="D1444" s="378"/>
      <c r="E1444" s="378"/>
      <c r="F1444" s="378"/>
      <c r="G1444" s="378"/>
      <c r="H1444" s="378"/>
      <c r="I1444" s="376"/>
      <c r="J1444" s="377"/>
      <c r="K1444" s="378"/>
      <c r="L1444" s="378"/>
      <c r="M1444" s="378"/>
      <c r="N1444" s="379"/>
      <c r="O1444" s="380"/>
      <c r="P1444" s="378"/>
      <c r="Q1444" s="378"/>
      <c r="R1444" s="378"/>
      <c r="S1444" s="378"/>
      <c r="T1444" s="378"/>
      <c r="U1444" s="378"/>
      <c r="V1444" s="378"/>
      <c r="W1444" s="378"/>
      <c r="X1444" s="378"/>
      <c r="Y1444" s="378"/>
      <c r="Z1444" s="378"/>
      <c r="AA1444" s="378"/>
      <c r="AB1444" s="378"/>
      <c r="AC1444" s="378"/>
      <c r="AD1444" s="378"/>
      <c r="AE1444" s="378"/>
      <c r="AF1444" s="378"/>
      <c r="AG1444" s="378"/>
    </row>
    <row r="1445">
      <c r="A1445" s="378"/>
      <c r="B1445" s="477"/>
      <c r="C1445" s="378"/>
      <c r="D1445" s="378"/>
      <c r="E1445" s="378"/>
      <c r="F1445" s="378"/>
      <c r="G1445" s="378"/>
      <c r="H1445" s="378"/>
      <c r="I1445" s="376"/>
      <c r="J1445" s="377"/>
      <c r="K1445" s="378"/>
      <c r="L1445" s="378"/>
      <c r="M1445" s="378"/>
      <c r="N1445" s="379"/>
      <c r="O1445" s="380"/>
      <c r="P1445" s="378"/>
      <c r="Q1445" s="378"/>
      <c r="R1445" s="378"/>
      <c r="S1445" s="378"/>
      <c r="T1445" s="378"/>
      <c r="U1445" s="378"/>
      <c r="V1445" s="378"/>
      <c r="W1445" s="378"/>
      <c r="X1445" s="378"/>
      <c r="Y1445" s="378"/>
      <c r="Z1445" s="378"/>
      <c r="AA1445" s="378"/>
      <c r="AB1445" s="378"/>
      <c r="AC1445" s="378"/>
      <c r="AD1445" s="378"/>
      <c r="AE1445" s="378"/>
      <c r="AF1445" s="378"/>
      <c r="AG1445" s="378"/>
    </row>
    <row r="1446">
      <c r="A1446" s="378"/>
      <c r="B1446" s="477"/>
      <c r="C1446" s="378"/>
      <c r="D1446" s="378"/>
      <c r="E1446" s="378"/>
      <c r="F1446" s="378"/>
      <c r="G1446" s="378"/>
      <c r="H1446" s="378"/>
      <c r="I1446" s="376"/>
      <c r="J1446" s="377"/>
      <c r="K1446" s="378"/>
      <c r="L1446" s="378"/>
      <c r="M1446" s="378"/>
      <c r="N1446" s="379"/>
      <c r="O1446" s="380"/>
      <c r="P1446" s="378"/>
      <c r="Q1446" s="378"/>
      <c r="R1446" s="378"/>
      <c r="S1446" s="378"/>
      <c r="T1446" s="378"/>
      <c r="U1446" s="378"/>
      <c r="V1446" s="378"/>
      <c r="W1446" s="378"/>
      <c r="X1446" s="378"/>
      <c r="Y1446" s="378"/>
      <c r="Z1446" s="378"/>
      <c r="AA1446" s="378"/>
      <c r="AB1446" s="378"/>
      <c r="AC1446" s="378"/>
      <c r="AD1446" s="378"/>
      <c r="AE1446" s="378"/>
      <c r="AF1446" s="378"/>
      <c r="AG1446" s="378"/>
    </row>
    <row r="1447">
      <c r="A1447" s="378"/>
      <c r="B1447" s="477"/>
      <c r="C1447" s="378"/>
      <c r="D1447" s="378"/>
      <c r="E1447" s="378"/>
      <c r="F1447" s="378"/>
      <c r="G1447" s="378"/>
      <c r="H1447" s="378"/>
      <c r="I1447" s="376"/>
      <c r="J1447" s="377"/>
      <c r="K1447" s="378"/>
      <c r="L1447" s="378"/>
      <c r="M1447" s="378"/>
      <c r="N1447" s="379"/>
      <c r="O1447" s="380"/>
      <c r="P1447" s="378"/>
      <c r="Q1447" s="378"/>
      <c r="R1447" s="378"/>
      <c r="S1447" s="378"/>
      <c r="T1447" s="378"/>
      <c r="U1447" s="378"/>
      <c r="V1447" s="378"/>
      <c r="W1447" s="378"/>
      <c r="X1447" s="378"/>
      <c r="Y1447" s="378"/>
      <c r="Z1447" s="378"/>
      <c r="AA1447" s="378"/>
      <c r="AB1447" s="378"/>
      <c r="AC1447" s="378"/>
      <c r="AD1447" s="378"/>
      <c r="AE1447" s="378"/>
      <c r="AF1447" s="378"/>
      <c r="AG1447" s="378"/>
    </row>
    <row r="1448">
      <c r="A1448" s="378"/>
      <c r="B1448" s="477"/>
      <c r="C1448" s="378"/>
      <c r="D1448" s="378"/>
      <c r="E1448" s="378"/>
      <c r="F1448" s="378"/>
      <c r="G1448" s="378"/>
      <c r="H1448" s="378"/>
      <c r="I1448" s="376"/>
      <c r="J1448" s="377"/>
      <c r="K1448" s="378"/>
      <c r="L1448" s="378"/>
      <c r="M1448" s="378"/>
      <c r="N1448" s="379"/>
      <c r="O1448" s="380"/>
      <c r="P1448" s="378"/>
      <c r="Q1448" s="378"/>
      <c r="R1448" s="378"/>
      <c r="S1448" s="378"/>
      <c r="T1448" s="378"/>
      <c r="U1448" s="378"/>
      <c r="V1448" s="378"/>
      <c r="W1448" s="378"/>
      <c r="X1448" s="378"/>
      <c r="Y1448" s="378"/>
      <c r="Z1448" s="378"/>
      <c r="AA1448" s="378"/>
      <c r="AB1448" s="378"/>
      <c r="AC1448" s="378"/>
      <c r="AD1448" s="378"/>
      <c r="AE1448" s="378"/>
      <c r="AF1448" s="378"/>
      <c r="AG1448" s="378"/>
    </row>
    <row r="1449">
      <c r="A1449" s="378"/>
      <c r="B1449" s="477"/>
      <c r="C1449" s="378"/>
      <c r="D1449" s="378"/>
      <c r="E1449" s="378"/>
      <c r="F1449" s="378"/>
      <c r="G1449" s="378"/>
      <c r="H1449" s="378"/>
      <c r="I1449" s="376"/>
      <c r="J1449" s="377"/>
      <c r="K1449" s="378"/>
      <c r="L1449" s="378"/>
      <c r="M1449" s="378"/>
      <c r="N1449" s="379"/>
      <c r="O1449" s="380"/>
      <c r="P1449" s="378"/>
      <c r="Q1449" s="378"/>
      <c r="R1449" s="378"/>
      <c r="S1449" s="378"/>
      <c r="T1449" s="378"/>
      <c r="U1449" s="378"/>
      <c r="V1449" s="378"/>
      <c r="W1449" s="378"/>
      <c r="X1449" s="378"/>
      <c r="Y1449" s="378"/>
      <c r="Z1449" s="378"/>
      <c r="AA1449" s="378"/>
      <c r="AB1449" s="378"/>
      <c r="AC1449" s="378"/>
      <c r="AD1449" s="378"/>
      <c r="AE1449" s="378"/>
      <c r="AF1449" s="378"/>
      <c r="AG1449" s="378"/>
    </row>
    <row r="1450">
      <c r="A1450" s="378"/>
      <c r="B1450" s="477"/>
      <c r="C1450" s="378"/>
      <c r="D1450" s="378"/>
      <c r="E1450" s="378"/>
      <c r="F1450" s="378"/>
      <c r="G1450" s="378"/>
      <c r="H1450" s="378"/>
      <c r="I1450" s="376"/>
      <c r="J1450" s="377"/>
      <c r="K1450" s="378"/>
      <c r="L1450" s="378"/>
      <c r="M1450" s="378"/>
      <c r="N1450" s="379"/>
      <c r="O1450" s="380"/>
      <c r="P1450" s="378"/>
      <c r="Q1450" s="378"/>
      <c r="R1450" s="378"/>
      <c r="S1450" s="378"/>
      <c r="T1450" s="378"/>
      <c r="U1450" s="378"/>
      <c r="V1450" s="378"/>
      <c r="W1450" s="378"/>
      <c r="X1450" s="378"/>
      <c r="Y1450" s="378"/>
      <c r="Z1450" s="378"/>
      <c r="AA1450" s="378"/>
      <c r="AB1450" s="378"/>
      <c r="AC1450" s="378"/>
      <c r="AD1450" s="378"/>
      <c r="AE1450" s="378"/>
      <c r="AF1450" s="378"/>
      <c r="AG1450" s="378"/>
    </row>
    <row r="1451">
      <c r="A1451" s="378"/>
      <c r="B1451" s="477"/>
      <c r="C1451" s="378"/>
      <c r="D1451" s="378"/>
      <c r="E1451" s="378"/>
      <c r="F1451" s="378"/>
      <c r="G1451" s="378"/>
      <c r="H1451" s="378"/>
      <c r="I1451" s="376"/>
      <c r="J1451" s="377"/>
      <c r="K1451" s="378"/>
      <c r="L1451" s="378"/>
      <c r="M1451" s="378"/>
      <c r="N1451" s="379"/>
      <c r="O1451" s="380"/>
      <c r="P1451" s="378"/>
      <c r="Q1451" s="378"/>
      <c r="R1451" s="378"/>
      <c r="S1451" s="378"/>
      <c r="T1451" s="378"/>
      <c r="U1451" s="378"/>
      <c r="V1451" s="378"/>
      <c r="W1451" s="378"/>
      <c r="X1451" s="378"/>
      <c r="Y1451" s="378"/>
      <c r="Z1451" s="378"/>
      <c r="AA1451" s="378"/>
      <c r="AB1451" s="378"/>
      <c r="AC1451" s="378"/>
      <c r="AD1451" s="378"/>
      <c r="AE1451" s="378"/>
      <c r="AF1451" s="378"/>
      <c r="AG1451" s="378"/>
    </row>
    <row r="1452">
      <c r="A1452" s="378"/>
      <c r="B1452" s="477"/>
      <c r="C1452" s="378"/>
      <c r="D1452" s="378"/>
      <c r="E1452" s="378"/>
      <c r="F1452" s="378"/>
      <c r="G1452" s="378"/>
      <c r="H1452" s="378"/>
      <c r="I1452" s="376"/>
      <c r="J1452" s="377"/>
      <c r="K1452" s="378"/>
      <c r="L1452" s="378"/>
      <c r="M1452" s="378"/>
      <c r="N1452" s="379"/>
      <c r="O1452" s="380"/>
      <c r="P1452" s="378"/>
      <c r="Q1452" s="378"/>
      <c r="R1452" s="378"/>
      <c r="S1452" s="378"/>
      <c r="T1452" s="378"/>
      <c r="U1452" s="378"/>
      <c r="V1452" s="378"/>
      <c r="W1452" s="378"/>
      <c r="X1452" s="378"/>
      <c r="Y1452" s="378"/>
      <c r="Z1452" s="378"/>
      <c r="AA1452" s="378"/>
      <c r="AB1452" s="378"/>
      <c r="AC1452" s="378"/>
      <c r="AD1452" s="378"/>
      <c r="AE1452" s="378"/>
      <c r="AF1452" s="378"/>
      <c r="AG1452" s="378"/>
    </row>
    <row r="1453">
      <c r="A1453" s="378"/>
      <c r="B1453" s="477"/>
      <c r="C1453" s="378"/>
      <c r="D1453" s="378"/>
      <c r="E1453" s="378"/>
      <c r="F1453" s="378"/>
      <c r="G1453" s="378"/>
      <c r="H1453" s="378"/>
      <c r="I1453" s="376"/>
      <c r="J1453" s="377"/>
      <c r="K1453" s="378"/>
      <c r="L1453" s="378"/>
      <c r="M1453" s="378"/>
      <c r="N1453" s="379"/>
      <c r="O1453" s="380"/>
      <c r="P1453" s="378"/>
      <c r="Q1453" s="378"/>
      <c r="R1453" s="378"/>
      <c r="S1453" s="378"/>
      <c r="T1453" s="378"/>
      <c r="U1453" s="378"/>
      <c r="V1453" s="378"/>
      <c r="W1453" s="378"/>
      <c r="X1453" s="378"/>
      <c r="Y1453" s="378"/>
      <c r="Z1453" s="378"/>
      <c r="AA1453" s="378"/>
      <c r="AB1453" s="378"/>
      <c r="AC1453" s="378"/>
      <c r="AD1453" s="378"/>
      <c r="AE1453" s="378"/>
      <c r="AF1453" s="378"/>
      <c r="AG1453" s="378"/>
    </row>
    <row r="1454">
      <c r="A1454" s="378"/>
      <c r="B1454" s="477"/>
      <c r="C1454" s="378"/>
      <c r="D1454" s="378"/>
      <c r="E1454" s="378"/>
      <c r="F1454" s="378"/>
      <c r="G1454" s="378"/>
      <c r="H1454" s="378"/>
      <c r="I1454" s="376"/>
      <c r="J1454" s="377"/>
      <c r="K1454" s="378"/>
      <c r="L1454" s="378"/>
      <c r="M1454" s="378"/>
      <c r="N1454" s="379"/>
      <c r="O1454" s="380"/>
      <c r="P1454" s="378"/>
      <c r="Q1454" s="378"/>
      <c r="R1454" s="378"/>
      <c r="S1454" s="378"/>
      <c r="T1454" s="378"/>
      <c r="U1454" s="378"/>
      <c r="V1454" s="378"/>
      <c r="W1454" s="378"/>
      <c r="X1454" s="378"/>
      <c r="Y1454" s="378"/>
      <c r="Z1454" s="378"/>
      <c r="AA1454" s="378"/>
      <c r="AB1454" s="378"/>
      <c r="AC1454" s="378"/>
      <c r="AD1454" s="378"/>
      <c r="AE1454" s="378"/>
      <c r="AF1454" s="378"/>
      <c r="AG1454" s="378"/>
    </row>
    <row r="1455">
      <c r="A1455" s="378"/>
      <c r="B1455" s="477"/>
      <c r="C1455" s="378"/>
      <c r="D1455" s="378"/>
      <c r="E1455" s="378"/>
      <c r="F1455" s="378"/>
      <c r="G1455" s="378"/>
      <c r="H1455" s="378"/>
      <c r="I1455" s="376"/>
      <c r="J1455" s="377"/>
      <c r="K1455" s="378"/>
      <c r="L1455" s="378"/>
      <c r="M1455" s="378"/>
      <c r="N1455" s="379"/>
      <c r="O1455" s="380"/>
      <c r="P1455" s="378"/>
      <c r="Q1455" s="378"/>
      <c r="R1455" s="378"/>
      <c r="S1455" s="378"/>
      <c r="T1455" s="378"/>
      <c r="U1455" s="378"/>
      <c r="V1455" s="378"/>
      <c r="W1455" s="378"/>
      <c r="X1455" s="378"/>
      <c r="Y1455" s="378"/>
      <c r="Z1455" s="378"/>
      <c r="AA1455" s="378"/>
      <c r="AB1455" s="378"/>
      <c r="AC1455" s="378"/>
      <c r="AD1455" s="378"/>
      <c r="AE1455" s="378"/>
      <c r="AF1455" s="378"/>
      <c r="AG1455" s="378"/>
    </row>
    <row r="1456">
      <c r="A1456" s="378"/>
      <c r="B1456" s="477"/>
      <c r="C1456" s="378"/>
      <c r="D1456" s="378"/>
      <c r="E1456" s="378"/>
      <c r="F1456" s="378"/>
      <c r="G1456" s="378"/>
      <c r="H1456" s="378"/>
      <c r="I1456" s="376"/>
      <c r="J1456" s="377"/>
      <c r="K1456" s="378"/>
      <c r="L1456" s="378"/>
      <c r="M1456" s="378"/>
      <c r="N1456" s="379"/>
      <c r="O1456" s="380"/>
      <c r="P1456" s="378"/>
      <c r="Q1456" s="378"/>
      <c r="R1456" s="378"/>
      <c r="S1456" s="378"/>
      <c r="T1456" s="378"/>
      <c r="U1456" s="378"/>
      <c r="V1456" s="378"/>
      <c r="W1456" s="378"/>
      <c r="X1456" s="378"/>
      <c r="Y1456" s="378"/>
      <c r="Z1456" s="378"/>
      <c r="AA1456" s="378"/>
      <c r="AB1456" s="378"/>
      <c r="AC1456" s="378"/>
      <c r="AD1456" s="378"/>
      <c r="AE1456" s="378"/>
      <c r="AF1456" s="378"/>
      <c r="AG1456" s="378"/>
    </row>
    <row r="1457">
      <c r="A1457" s="378"/>
      <c r="B1457" s="477"/>
      <c r="C1457" s="378"/>
      <c r="D1457" s="378"/>
      <c r="E1457" s="378"/>
      <c r="F1457" s="378"/>
      <c r="G1457" s="378"/>
      <c r="H1457" s="378"/>
      <c r="I1457" s="376"/>
      <c r="J1457" s="377"/>
      <c r="K1457" s="378"/>
      <c r="L1457" s="378"/>
      <c r="M1457" s="378"/>
      <c r="N1457" s="379"/>
      <c r="O1457" s="380"/>
      <c r="P1457" s="378"/>
      <c r="Q1457" s="378"/>
      <c r="R1457" s="378"/>
      <c r="S1457" s="378"/>
      <c r="T1457" s="378"/>
      <c r="U1457" s="378"/>
      <c r="V1457" s="378"/>
      <c r="W1457" s="378"/>
      <c r="X1457" s="378"/>
      <c r="Y1457" s="378"/>
      <c r="Z1457" s="378"/>
      <c r="AA1457" s="378"/>
      <c r="AB1457" s="378"/>
      <c r="AC1457" s="378"/>
      <c r="AD1457" s="378"/>
      <c r="AE1457" s="378"/>
      <c r="AF1457" s="378"/>
      <c r="AG1457" s="378"/>
    </row>
    <row r="1458">
      <c r="A1458" s="378"/>
      <c r="B1458" s="477"/>
      <c r="C1458" s="378"/>
      <c r="D1458" s="378"/>
      <c r="E1458" s="378"/>
      <c r="F1458" s="378"/>
      <c r="G1458" s="378"/>
      <c r="H1458" s="378"/>
      <c r="I1458" s="376"/>
      <c r="J1458" s="377"/>
      <c r="K1458" s="378"/>
      <c r="L1458" s="378"/>
      <c r="M1458" s="378"/>
      <c r="N1458" s="379"/>
      <c r="O1458" s="380"/>
      <c r="P1458" s="378"/>
      <c r="Q1458" s="378"/>
      <c r="R1458" s="378"/>
      <c r="S1458" s="378"/>
      <c r="T1458" s="378"/>
      <c r="U1458" s="378"/>
      <c r="V1458" s="378"/>
      <c r="W1458" s="378"/>
      <c r="X1458" s="378"/>
      <c r="Y1458" s="378"/>
      <c r="Z1458" s="378"/>
      <c r="AA1458" s="378"/>
      <c r="AB1458" s="378"/>
      <c r="AC1458" s="378"/>
      <c r="AD1458" s="378"/>
      <c r="AE1458" s="378"/>
      <c r="AF1458" s="378"/>
      <c r="AG1458" s="378"/>
    </row>
    <row r="1459">
      <c r="A1459" s="378"/>
      <c r="B1459" s="477"/>
      <c r="C1459" s="378"/>
      <c r="D1459" s="378"/>
      <c r="E1459" s="378"/>
      <c r="F1459" s="378"/>
      <c r="G1459" s="378"/>
      <c r="H1459" s="378"/>
      <c r="I1459" s="376"/>
      <c r="J1459" s="377"/>
      <c r="K1459" s="378"/>
      <c r="L1459" s="378"/>
      <c r="M1459" s="378"/>
      <c r="N1459" s="379"/>
      <c r="O1459" s="380"/>
      <c r="P1459" s="378"/>
      <c r="Q1459" s="378"/>
      <c r="R1459" s="378"/>
      <c r="S1459" s="378"/>
      <c r="T1459" s="378"/>
      <c r="U1459" s="378"/>
      <c r="V1459" s="378"/>
      <c r="W1459" s="378"/>
      <c r="X1459" s="378"/>
      <c r="Y1459" s="378"/>
      <c r="Z1459" s="378"/>
      <c r="AA1459" s="378"/>
      <c r="AB1459" s="378"/>
      <c r="AC1459" s="378"/>
      <c r="AD1459" s="378"/>
      <c r="AE1459" s="378"/>
      <c r="AF1459" s="378"/>
      <c r="AG1459" s="378"/>
    </row>
    <row r="1460">
      <c r="A1460" s="378"/>
      <c r="B1460" s="477"/>
      <c r="C1460" s="378"/>
      <c r="D1460" s="378"/>
      <c r="E1460" s="378"/>
      <c r="F1460" s="378"/>
      <c r="G1460" s="378"/>
      <c r="H1460" s="378"/>
      <c r="I1460" s="376"/>
      <c r="J1460" s="377"/>
      <c r="K1460" s="378"/>
      <c r="L1460" s="378"/>
      <c r="M1460" s="378"/>
      <c r="N1460" s="379"/>
      <c r="O1460" s="380"/>
      <c r="P1460" s="378"/>
      <c r="Q1460" s="378"/>
      <c r="R1460" s="378"/>
      <c r="S1460" s="378"/>
      <c r="T1460" s="378"/>
      <c r="U1460" s="378"/>
      <c r="V1460" s="378"/>
      <c r="W1460" s="378"/>
      <c r="X1460" s="378"/>
      <c r="Y1460" s="378"/>
      <c r="Z1460" s="378"/>
      <c r="AA1460" s="378"/>
      <c r="AB1460" s="378"/>
      <c r="AC1460" s="378"/>
      <c r="AD1460" s="378"/>
      <c r="AE1460" s="378"/>
      <c r="AF1460" s="378"/>
      <c r="AG1460" s="378"/>
    </row>
    <row r="1461">
      <c r="A1461" s="378"/>
      <c r="B1461" s="477"/>
      <c r="C1461" s="378"/>
      <c r="D1461" s="378"/>
      <c r="E1461" s="378"/>
      <c r="F1461" s="378"/>
      <c r="G1461" s="378"/>
      <c r="H1461" s="378"/>
      <c r="I1461" s="376"/>
      <c r="J1461" s="377"/>
      <c r="K1461" s="378"/>
      <c r="L1461" s="378"/>
      <c r="M1461" s="378"/>
      <c r="N1461" s="379"/>
      <c r="O1461" s="380"/>
      <c r="P1461" s="378"/>
      <c r="Q1461" s="378"/>
      <c r="R1461" s="378"/>
      <c r="S1461" s="378"/>
      <c r="T1461" s="378"/>
      <c r="U1461" s="378"/>
      <c r="V1461" s="378"/>
      <c r="W1461" s="378"/>
      <c r="X1461" s="378"/>
      <c r="Y1461" s="378"/>
      <c r="Z1461" s="378"/>
      <c r="AA1461" s="378"/>
      <c r="AB1461" s="378"/>
      <c r="AC1461" s="378"/>
      <c r="AD1461" s="378"/>
      <c r="AE1461" s="378"/>
      <c r="AF1461" s="378"/>
      <c r="AG1461" s="378"/>
    </row>
    <row r="1462">
      <c r="A1462" s="378"/>
      <c r="B1462" s="477"/>
      <c r="C1462" s="378"/>
      <c r="D1462" s="378"/>
      <c r="E1462" s="378"/>
      <c r="F1462" s="378"/>
      <c r="G1462" s="378"/>
      <c r="H1462" s="378"/>
      <c r="I1462" s="376"/>
      <c r="J1462" s="377"/>
      <c r="K1462" s="378"/>
      <c r="L1462" s="378"/>
      <c r="M1462" s="378"/>
      <c r="N1462" s="379"/>
      <c r="O1462" s="380"/>
      <c r="P1462" s="378"/>
      <c r="Q1462" s="378"/>
      <c r="R1462" s="378"/>
      <c r="S1462" s="378"/>
      <c r="T1462" s="378"/>
      <c r="U1462" s="378"/>
      <c r="V1462" s="378"/>
      <c r="W1462" s="378"/>
      <c r="X1462" s="378"/>
      <c r="Y1462" s="378"/>
      <c r="Z1462" s="378"/>
      <c r="AA1462" s="378"/>
      <c r="AB1462" s="378"/>
      <c r="AC1462" s="378"/>
      <c r="AD1462" s="378"/>
      <c r="AE1462" s="378"/>
      <c r="AF1462" s="378"/>
      <c r="AG1462" s="378"/>
    </row>
    <row r="1463">
      <c r="A1463" s="378"/>
      <c r="B1463" s="477"/>
      <c r="C1463" s="378"/>
      <c r="D1463" s="378"/>
      <c r="E1463" s="378"/>
      <c r="F1463" s="378"/>
      <c r="G1463" s="378"/>
      <c r="H1463" s="378"/>
      <c r="I1463" s="376"/>
      <c r="J1463" s="377"/>
      <c r="K1463" s="378"/>
      <c r="L1463" s="378"/>
      <c r="M1463" s="378"/>
      <c r="N1463" s="379"/>
      <c r="O1463" s="380"/>
      <c r="P1463" s="378"/>
      <c r="Q1463" s="378"/>
      <c r="R1463" s="378"/>
      <c r="S1463" s="378"/>
      <c r="T1463" s="378"/>
      <c r="U1463" s="378"/>
      <c r="V1463" s="378"/>
      <c r="W1463" s="378"/>
      <c r="X1463" s="378"/>
      <c r="Y1463" s="378"/>
      <c r="Z1463" s="378"/>
      <c r="AA1463" s="378"/>
      <c r="AB1463" s="378"/>
      <c r="AC1463" s="378"/>
      <c r="AD1463" s="378"/>
      <c r="AE1463" s="378"/>
      <c r="AF1463" s="378"/>
      <c r="AG1463" s="378"/>
    </row>
    <row r="1464">
      <c r="A1464" s="378"/>
      <c r="B1464" s="477"/>
      <c r="C1464" s="378"/>
      <c r="D1464" s="378"/>
      <c r="E1464" s="378"/>
      <c r="F1464" s="378"/>
      <c r="G1464" s="378"/>
      <c r="H1464" s="378"/>
      <c r="I1464" s="376"/>
      <c r="J1464" s="377"/>
      <c r="K1464" s="378"/>
      <c r="L1464" s="378"/>
      <c r="M1464" s="378"/>
      <c r="N1464" s="379"/>
      <c r="O1464" s="380"/>
      <c r="P1464" s="378"/>
      <c r="Q1464" s="378"/>
      <c r="R1464" s="378"/>
      <c r="S1464" s="378"/>
      <c r="T1464" s="378"/>
      <c r="U1464" s="378"/>
      <c r="V1464" s="378"/>
      <c r="W1464" s="378"/>
      <c r="X1464" s="378"/>
      <c r="Y1464" s="378"/>
      <c r="Z1464" s="378"/>
      <c r="AA1464" s="378"/>
      <c r="AB1464" s="378"/>
      <c r="AC1464" s="378"/>
      <c r="AD1464" s="378"/>
      <c r="AE1464" s="378"/>
      <c r="AF1464" s="378"/>
      <c r="AG1464" s="378"/>
    </row>
    <row r="1465">
      <c r="A1465" s="378"/>
      <c r="B1465" s="477"/>
      <c r="C1465" s="378"/>
      <c r="D1465" s="378"/>
      <c r="E1465" s="378"/>
      <c r="F1465" s="378"/>
      <c r="G1465" s="378"/>
      <c r="H1465" s="378"/>
      <c r="I1465" s="376"/>
      <c r="J1465" s="377"/>
      <c r="K1465" s="378"/>
      <c r="L1465" s="378"/>
      <c r="M1465" s="378"/>
      <c r="N1465" s="379"/>
      <c r="O1465" s="380"/>
      <c r="P1465" s="378"/>
      <c r="Q1465" s="378"/>
      <c r="R1465" s="378"/>
      <c r="S1465" s="378"/>
      <c r="T1465" s="378"/>
      <c r="U1465" s="378"/>
      <c r="V1465" s="378"/>
      <c r="W1465" s="378"/>
      <c r="X1465" s="378"/>
      <c r="Y1465" s="378"/>
      <c r="Z1465" s="378"/>
      <c r="AA1465" s="378"/>
      <c r="AB1465" s="378"/>
      <c r="AC1465" s="378"/>
      <c r="AD1465" s="378"/>
      <c r="AE1465" s="378"/>
      <c r="AF1465" s="378"/>
      <c r="AG1465" s="378"/>
    </row>
    <row r="1466">
      <c r="A1466" s="378"/>
      <c r="B1466" s="477"/>
      <c r="C1466" s="378"/>
      <c r="D1466" s="378"/>
      <c r="E1466" s="378"/>
      <c r="F1466" s="378"/>
      <c r="G1466" s="378"/>
      <c r="H1466" s="378"/>
      <c r="I1466" s="376"/>
      <c r="J1466" s="377"/>
      <c r="K1466" s="378"/>
      <c r="L1466" s="378"/>
      <c r="M1466" s="378"/>
      <c r="N1466" s="379"/>
      <c r="O1466" s="380"/>
      <c r="P1466" s="378"/>
      <c r="Q1466" s="378"/>
      <c r="R1466" s="378"/>
      <c r="S1466" s="378"/>
      <c r="T1466" s="378"/>
      <c r="U1466" s="378"/>
      <c r="V1466" s="378"/>
      <c r="W1466" s="378"/>
      <c r="X1466" s="378"/>
      <c r="Y1466" s="378"/>
      <c r="Z1466" s="378"/>
      <c r="AA1466" s="378"/>
      <c r="AB1466" s="378"/>
      <c r="AC1466" s="378"/>
      <c r="AD1466" s="378"/>
      <c r="AE1466" s="378"/>
      <c r="AF1466" s="378"/>
      <c r="AG1466" s="378"/>
    </row>
    <row r="1467">
      <c r="A1467" s="378"/>
      <c r="B1467" s="477"/>
      <c r="C1467" s="378"/>
      <c r="D1467" s="378"/>
      <c r="E1467" s="378"/>
      <c r="F1467" s="378"/>
      <c r="G1467" s="378"/>
      <c r="H1467" s="378"/>
      <c r="I1467" s="376"/>
      <c r="J1467" s="377"/>
      <c r="K1467" s="378"/>
      <c r="L1467" s="378"/>
      <c r="M1467" s="378"/>
      <c r="N1467" s="379"/>
      <c r="O1467" s="380"/>
      <c r="P1467" s="378"/>
      <c r="Q1467" s="378"/>
      <c r="R1467" s="378"/>
      <c r="S1467" s="378"/>
      <c r="T1467" s="378"/>
      <c r="U1467" s="378"/>
      <c r="V1467" s="378"/>
      <c r="W1467" s="378"/>
      <c r="X1467" s="378"/>
      <c r="Y1467" s="378"/>
      <c r="Z1467" s="378"/>
      <c r="AA1467" s="378"/>
      <c r="AB1467" s="378"/>
      <c r="AC1467" s="378"/>
      <c r="AD1467" s="378"/>
      <c r="AE1467" s="378"/>
      <c r="AF1467" s="378"/>
      <c r="AG1467" s="378"/>
    </row>
    <row r="1468">
      <c r="A1468" s="378"/>
      <c r="B1468" s="477"/>
      <c r="C1468" s="378"/>
      <c r="D1468" s="378"/>
      <c r="E1468" s="378"/>
      <c r="F1468" s="378"/>
      <c r="G1468" s="378"/>
      <c r="H1468" s="378"/>
      <c r="I1468" s="376"/>
      <c r="J1468" s="377"/>
      <c r="K1468" s="378"/>
      <c r="L1468" s="378"/>
      <c r="M1468" s="378"/>
      <c r="N1468" s="379"/>
      <c r="O1468" s="380"/>
      <c r="P1468" s="378"/>
      <c r="Q1468" s="378"/>
      <c r="R1468" s="378"/>
      <c r="S1468" s="378"/>
      <c r="T1468" s="378"/>
      <c r="U1468" s="378"/>
      <c r="V1468" s="378"/>
      <c r="W1468" s="378"/>
      <c r="X1468" s="378"/>
      <c r="Y1468" s="378"/>
      <c r="Z1468" s="378"/>
      <c r="AA1468" s="378"/>
      <c r="AB1468" s="378"/>
      <c r="AC1468" s="378"/>
      <c r="AD1468" s="378"/>
      <c r="AE1468" s="378"/>
      <c r="AF1468" s="378"/>
      <c r="AG1468" s="378"/>
    </row>
    <row r="1469">
      <c r="A1469" s="378"/>
      <c r="B1469" s="477"/>
      <c r="C1469" s="378"/>
      <c r="D1469" s="378"/>
      <c r="E1469" s="378"/>
      <c r="F1469" s="378"/>
      <c r="G1469" s="378"/>
      <c r="H1469" s="378"/>
      <c r="I1469" s="376"/>
      <c r="J1469" s="377"/>
      <c r="K1469" s="378"/>
      <c r="L1469" s="378"/>
      <c r="M1469" s="378"/>
      <c r="N1469" s="379"/>
      <c r="O1469" s="380"/>
      <c r="P1469" s="378"/>
      <c r="Q1469" s="378"/>
      <c r="R1469" s="378"/>
      <c r="S1469" s="378"/>
      <c r="T1469" s="378"/>
      <c r="U1469" s="378"/>
      <c r="V1469" s="378"/>
      <c r="W1469" s="378"/>
      <c r="X1469" s="378"/>
      <c r="Y1469" s="378"/>
      <c r="Z1469" s="378"/>
      <c r="AA1469" s="378"/>
      <c r="AB1469" s="378"/>
      <c r="AC1469" s="378"/>
      <c r="AD1469" s="378"/>
      <c r="AE1469" s="378"/>
      <c r="AF1469" s="378"/>
      <c r="AG1469" s="378"/>
    </row>
    <row r="1470">
      <c r="A1470" s="378"/>
      <c r="B1470" s="477"/>
      <c r="C1470" s="378"/>
      <c r="D1470" s="378"/>
      <c r="E1470" s="378"/>
      <c r="F1470" s="378"/>
      <c r="G1470" s="378"/>
      <c r="H1470" s="378"/>
      <c r="I1470" s="376"/>
      <c r="J1470" s="377"/>
      <c r="K1470" s="378"/>
      <c r="L1470" s="378"/>
      <c r="M1470" s="378"/>
      <c r="N1470" s="379"/>
      <c r="O1470" s="380"/>
      <c r="P1470" s="378"/>
      <c r="Q1470" s="378"/>
      <c r="R1470" s="378"/>
      <c r="S1470" s="378"/>
      <c r="T1470" s="378"/>
      <c r="U1470" s="378"/>
      <c r="V1470" s="378"/>
      <c r="W1470" s="378"/>
      <c r="X1470" s="378"/>
      <c r="Y1470" s="378"/>
      <c r="Z1470" s="378"/>
      <c r="AA1470" s="378"/>
      <c r="AB1470" s="378"/>
      <c r="AC1470" s="378"/>
      <c r="AD1470" s="378"/>
      <c r="AE1470" s="378"/>
      <c r="AF1470" s="378"/>
      <c r="AG1470" s="378"/>
    </row>
    <row r="1471">
      <c r="A1471" s="378"/>
      <c r="B1471" s="477"/>
      <c r="C1471" s="378"/>
      <c r="D1471" s="378"/>
      <c r="E1471" s="378"/>
      <c r="F1471" s="378"/>
      <c r="G1471" s="378"/>
      <c r="H1471" s="378"/>
      <c r="I1471" s="376"/>
      <c r="J1471" s="377"/>
      <c r="K1471" s="378"/>
      <c r="L1471" s="378"/>
      <c r="M1471" s="378"/>
      <c r="N1471" s="379"/>
      <c r="O1471" s="380"/>
      <c r="P1471" s="378"/>
      <c r="Q1471" s="378"/>
      <c r="R1471" s="378"/>
      <c r="S1471" s="378"/>
      <c r="T1471" s="378"/>
      <c r="U1471" s="378"/>
      <c r="V1471" s="378"/>
      <c r="W1471" s="378"/>
      <c r="X1471" s="378"/>
      <c r="Y1471" s="378"/>
      <c r="Z1471" s="378"/>
      <c r="AA1471" s="378"/>
      <c r="AB1471" s="378"/>
      <c r="AC1471" s="378"/>
      <c r="AD1471" s="378"/>
      <c r="AE1471" s="378"/>
      <c r="AF1471" s="378"/>
      <c r="AG1471" s="378"/>
    </row>
    <row r="1472">
      <c r="A1472" s="378"/>
      <c r="B1472" s="477"/>
      <c r="C1472" s="378"/>
      <c r="D1472" s="378"/>
      <c r="E1472" s="378"/>
      <c r="F1472" s="378"/>
      <c r="G1472" s="378"/>
      <c r="H1472" s="378"/>
      <c r="I1472" s="376"/>
      <c r="J1472" s="377"/>
      <c r="K1472" s="378"/>
      <c r="L1472" s="378"/>
      <c r="M1472" s="378"/>
      <c r="N1472" s="379"/>
      <c r="O1472" s="380"/>
      <c r="P1472" s="378"/>
      <c r="Q1472" s="378"/>
      <c r="R1472" s="378"/>
      <c r="S1472" s="378"/>
      <c r="T1472" s="378"/>
      <c r="U1472" s="378"/>
      <c r="V1472" s="378"/>
      <c r="W1472" s="378"/>
      <c r="X1472" s="378"/>
      <c r="Y1472" s="378"/>
      <c r="Z1472" s="378"/>
      <c r="AA1472" s="378"/>
      <c r="AB1472" s="378"/>
      <c r="AC1472" s="378"/>
      <c r="AD1472" s="378"/>
      <c r="AE1472" s="378"/>
      <c r="AF1472" s="378"/>
      <c r="AG1472" s="378"/>
    </row>
    <row r="1473">
      <c r="A1473" s="378"/>
      <c r="B1473" s="477"/>
      <c r="C1473" s="378"/>
      <c r="D1473" s="378"/>
      <c r="E1473" s="378"/>
      <c r="F1473" s="378"/>
      <c r="G1473" s="378"/>
      <c r="H1473" s="378"/>
      <c r="I1473" s="376"/>
      <c r="J1473" s="377"/>
      <c r="K1473" s="378"/>
      <c r="L1473" s="378"/>
      <c r="M1473" s="378"/>
      <c r="N1473" s="379"/>
      <c r="O1473" s="380"/>
      <c r="P1473" s="378"/>
      <c r="Q1473" s="378"/>
      <c r="R1473" s="378"/>
      <c r="S1473" s="378"/>
      <c r="T1473" s="378"/>
      <c r="U1473" s="378"/>
      <c r="V1473" s="378"/>
      <c r="W1473" s="378"/>
      <c r="X1473" s="378"/>
      <c r="Y1473" s="378"/>
      <c r="Z1473" s="378"/>
      <c r="AA1473" s="378"/>
      <c r="AB1473" s="378"/>
      <c r="AC1473" s="378"/>
      <c r="AD1473" s="378"/>
      <c r="AE1473" s="378"/>
      <c r="AF1473" s="378"/>
      <c r="AG1473" s="378"/>
    </row>
    <row r="1474">
      <c r="A1474" s="378"/>
      <c r="B1474" s="477"/>
      <c r="C1474" s="378"/>
      <c r="D1474" s="378"/>
      <c r="E1474" s="378"/>
      <c r="F1474" s="378"/>
      <c r="G1474" s="378"/>
      <c r="H1474" s="378"/>
      <c r="I1474" s="376"/>
      <c r="J1474" s="377"/>
      <c r="K1474" s="378"/>
      <c r="L1474" s="378"/>
      <c r="M1474" s="378"/>
      <c r="N1474" s="379"/>
      <c r="O1474" s="380"/>
      <c r="P1474" s="378"/>
      <c r="Q1474" s="378"/>
      <c r="R1474" s="378"/>
      <c r="S1474" s="378"/>
      <c r="T1474" s="378"/>
      <c r="U1474" s="378"/>
      <c r="V1474" s="378"/>
      <c r="W1474" s="378"/>
      <c r="X1474" s="378"/>
      <c r="Y1474" s="378"/>
      <c r="Z1474" s="378"/>
      <c r="AA1474" s="378"/>
      <c r="AB1474" s="378"/>
      <c r="AC1474" s="378"/>
      <c r="AD1474" s="378"/>
      <c r="AE1474" s="378"/>
      <c r="AF1474" s="378"/>
      <c r="AG1474" s="378"/>
    </row>
    <row r="1475">
      <c r="A1475" s="378"/>
      <c r="B1475" s="477"/>
      <c r="C1475" s="378"/>
      <c r="D1475" s="378"/>
      <c r="E1475" s="378"/>
      <c r="F1475" s="378"/>
      <c r="G1475" s="378"/>
      <c r="H1475" s="378"/>
      <c r="I1475" s="376"/>
      <c r="J1475" s="377"/>
      <c r="K1475" s="378"/>
      <c r="L1475" s="378"/>
      <c r="M1475" s="378"/>
      <c r="N1475" s="379"/>
      <c r="O1475" s="380"/>
      <c r="P1475" s="378"/>
      <c r="Q1475" s="378"/>
      <c r="R1475" s="378"/>
      <c r="S1475" s="378"/>
      <c r="T1475" s="378"/>
      <c r="U1475" s="378"/>
      <c r="V1475" s="378"/>
      <c r="W1475" s="378"/>
      <c r="X1475" s="378"/>
      <c r="Y1475" s="378"/>
      <c r="Z1475" s="378"/>
      <c r="AA1475" s="378"/>
      <c r="AB1475" s="378"/>
      <c r="AC1475" s="378"/>
      <c r="AD1475" s="378"/>
      <c r="AE1475" s="378"/>
      <c r="AF1475" s="378"/>
      <c r="AG1475" s="378"/>
    </row>
    <row r="1476">
      <c r="A1476" s="378"/>
      <c r="B1476" s="477"/>
      <c r="C1476" s="378"/>
      <c r="D1476" s="378"/>
      <c r="E1476" s="378"/>
      <c r="F1476" s="378"/>
      <c r="G1476" s="378"/>
      <c r="H1476" s="378"/>
      <c r="I1476" s="376"/>
      <c r="J1476" s="377"/>
      <c r="K1476" s="378"/>
      <c r="L1476" s="378"/>
      <c r="M1476" s="378"/>
      <c r="N1476" s="379"/>
      <c r="O1476" s="380"/>
      <c r="P1476" s="378"/>
      <c r="Q1476" s="378"/>
      <c r="R1476" s="378"/>
      <c r="S1476" s="378"/>
      <c r="T1476" s="378"/>
      <c r="U1476" s="378"/>
      <c r="V1476" s="378"/>
      <c r="W1476" s="378"/>
      <c r="X1476" s="378"/>
      <c r="Y1476" s="378"/>
      <c r="Z1476" s="378"/>
      <c r="AA1476" s="378"/>
      <c r="AB1476" s="378"/>
      <c r="AC1476" s="378"/>
      <c r="AD1476" s="378"/>
      <c r="AE1476" s="378"/>
      <c r="AF1476" s="378"/>
      <c r="AG1476" s="378"/>
    </row>
    <row r="1477">
      <c r="A1477" s="378"/>
      <c r="B1477" s="477"/>
      <c r="C1477" s="378"/>
      <c r="D1477" s="378"/>
      <c r="E1477" s="378"/>
      <c r="F1477" s="378"/>
      <c r="G1477" s="378"/>
      <c r="H1477" s="378"/>
      <c r="I1477" s="376"/>
      <c r="J1477" s="377"/>
      <c r="K1477" s="378"/>
      <c r="L1477" s="378"/>
      <c r="M1477" s="378"/>
      <c r="N1477" s="379"/>
      <c r="O1477" s="380"/>
      <c r="P1477" s="378"/>
      <c r="Q1477" s="378"/>
      <c r="R1477" s="378"/>
      <c r="S1477" s="378"/>
      <c r="T1477" s="378"/>
      <c r="U1477" s="378"/>
      <c r="V1477" s="378"/>
      <c r="W1477" s="378"/>
      <c r="X1477" s="378"/>
      <c r="Y1477" s="378"/>
      <c r="Z1477" s="378"/>
      <c r="AA1477" s="378"/>
      <c r="AB1477" s="378"/>
      <c r="AC1477" s="378"/>
      <c r="AD1477" s="378"/>
      <c r="AE1477" s="378"/>
      <c r="AF1477" s="378"/>
      <c r="AG1477" s="378"/>
    </row>
    <row r="1478">
      <c r="A1478" s="378"/>
      <c r="B1478" s="477"/>
      <c r="C1478" s="378"/>
      <c r="D1478" s="378"/>
      <c r="E1478" s="378"/>
      <c r="F1478" s="378"/>
      <c r="G1478" s="378"/>
      <c r="H1478" s="378"/>
      <c r="I1478" s="376"/>
      <c r="J1478" s="377"/>
      <c r="K1478" s="378"/>
      <c r="L1478" s="378"/>
      <c r="M1478" s="378"/>
      <c r="N1478" s="379"/>
      <c r="O1478" s="380"/>
      <c r="P1478" s="378"/>
      <c r="Q1478" s="378"/>
      <c r="R1478" s="378"/>
      <c r="S1478" s="378"/>
      <c r="T1478" s="378"/>
      <c r="U1478" s="378"/>
      <c r="V1478" s="378"/>
      <c r="W1478" s="378"/>
      <c r="X1478" s="378"/>
      <c r="Y1478" s="378"/>
      <c r="Z1478" s="378"/>
      <c r="AA1478" s="378"/>
      <c r="AB1478" s="378"/>
      <c r="AC1478" s="378"/>
      <c r="AD1478" s="378"/>
      <c r="AE1478" s="378"/>
      <c r="AF1478" s="378"/>
      <c r="AG1478" s="378"/>
    </row>
    <row r="1479">
      <c r="A1479" s="378"/>
      <c r="B1479" s="477"/>
      <c r="C1479" s="378"/>
      <c r="D1479" s="378"/>
      <c r="E1479" s="378"/>
      <c r="F1479" s="378"/>
      <c r="G1479" s="378"/>
      <c r="H1479" s="378"/>
      <c r="I1479" s="376"/>
      <c r="J1479" s="377"/>
      <c r="K1479" s="378"/>
      <c r="L1479" s="378"/>
      <c r="M1479" s="378"/>
      <c r="N1479" s="379"/>
      <c r="O1479" s="380"/>
      <c r="P1479" s="378"/>
      <c r="Q1479" s="378"/>
      <c r="R1479" s="378"/>
      <c r="S1479" s="378"/>
      <c r="T1479" s="378"/>
      <c r="U1479" s="378"/>
      <c r="V1479" s="378"/>
      <c r="W1479" s="378"/>
      <c r="X1479" s="378"/>
      <c r="Y1479" s="378"/>
      <c r="Z1479" s="378"/>
      <c r="AA1479" s="378"/>
      <c r="AB1479" s="378"/>
      <c r="AC1479" s="378"/>
      <c r="AD1479" s="378"/>
      <c r="AE1479" s="378"/>
      <c r="AF1479" s="378"/>
      <c r="AG1479" s="378"/>
    </row>
    <row r="1480">
      <c r="A1480" s="378"/>
      <c r="B1480" s="477"/>
      <c r="C1480" s="378"/>
      <c r="D1480" s="378"/>
      <c r="E1480" s="378"/>
      <c r="F1480" s="378"/>
      <c r="G1480" s="378"/>
      <c r="H1480" s="378"/>
      <c r="I1480" s="376"/>
      <c r="J1480" s="377"/>
      <c r="K1480" s="378"/>
      <c r="L1480" s="378"/>
      <c r="M1480" s="378"/>
      <c r="N1480" s="379"/>
      <c r="O1480" s="380"/>
      <c r="P1480" s="378"/>
      <c r="Q1480" s="378"/>
      <c r="R1480" s="378"/>
      <c r="S1480" s="378"/>
      <c r="T1480" s="378"/>
      <c r="U1480" s="378"/>
      <c r="V1480" s="378"/>
      <c r="W1480" s="378"/>
      <c r="X1480" s="378"/>
      <c r="Y1480" s="378"/>
      <c r="Z1480" s="378"/>
      <c r="AA1480" s="378"/>
      <c r="AB1480" s="378"/>
      <c r="AC1480" s="378"/>
      <c r="AD1480" s="378"/>
      <c r="AE1480" s="378"/>
      <c r="AF1480" s="378"/>
      <c r="AG1480" s="378"/>
    </row>
    <row r="1481">
      <c r="A1481" s="378"/>
      <c r="B1481" s="477"/>
      <c r="C1481" s="378"/>
      <c r="D1481" s="378"/>
      <c r="E1481" s="378"/>
      <c r="F1481" s="378"/>
      <c r="G1481" s="378"/>
      <c r="H1481" s="378"/>
      <c r="I1481" s="376"/>
      <c r="J1481" s="377"/>
      <c r="K1481" s="378"/>
      <c r="L1481" s="378"/>
      <c r="M1481" s="378"/>
      <c r="N1481" s="379"/>
      <c r="O1481" s="380"/>
      <c r="P1481" s="378"/>
      <c r="Q1481" s="378"/>
      <c r="R1481" s="378"/>
      <c r="S1481" s="378"/>
      <c r="T1481" s="378"/>
      <c r="U1481" s="378"/>
      <c r="V1481" s="378"/>
      <c r="W1481" s="378"/>
      <c r="X1481" s="378"/>
      <c r="Y1481" s="378"/>
      <c r="Z1481" s="378"/>
      <c r="AA1481" s="378"/>
      <c r="AB1481" s="378"/>
      <c r="AC1481" s="378"/>
      <c r="AD1481" s="378"/>
      <c r="AE1481" s="378"/>
      <c r="AF1481" s="378"/>
      <c r="AG1481" s="378"/>
    </row>
    <row r="1482">
      <c r="A1482" s="378"/>
      <c r="B1482" s="477"/>
      <c r="C1482" s="378"/>
      <c r="D1482" s="378"/>
      <c r="E1482" s="378"/>
      <c r="F1482" s="378"/>
      <c r="G1482" s="378"/>
      <c r="H1482" s="378"/>
      <c r="I1482" s="376"/>
      <c r="J1482" s="377"/>
      <c r="K1482" s="378"/>
      <c r="L1482" s="378"/>
      <c r="M1482" s="378"/>
      <c r="N1482" s="379"/>
      <c r="O1482" s="380"/>
      <c r="P1482" s="378"/>
      <c r="Q1482" s="378"/>
      <c r="R1482" s="378"/>
      <c r="S1482" s="378"/>
      <c r="T1482" s="378"/>
      <c r="U1482" s="378"/>
      <c r="V1482" s="378"/>
      <c r="W1482" s="378"/>
      <c r="X1482" s="378"/>
      <c r="Y1482" s="378"/>
      <c r="Z1482" s="378"/>
      <c r="AA1482" s="378"/>
      <c r="AB1482" s="378"/>
      <c r="AC1482" s="378"/>
      <c r="AD1482" s="378"/>
      <c r="AE1482" s="378"/>
      <c r="AF1482" s="378"/>
      <c r="AG1482" s="378"/>
    </row>
    <row r="1483">
      <c r="A1483" s="378"/>
      <c r="B1483" s="477"/>
      <c r="C1483" s="378"/>
      <c r="D1483" s="378"/>
      <c r="E1483" s="378"/>
      <c r="F1483" s="378"/>
      <c r="G1483" s="378"/>
      <c r="H1483" s="378"/>
      <c r="I1483" s="376"/>
      <c r="J1483" s="377"/>
      <c r="K1483" s="378"/>
      <c r="L1483" s="378"/>
      <c r="M1483" s="378"/>
      <c r="N1483" s="379"/>
      <c r="O1483" s="380"/>
      <c r="P1483" s="378"/>
      <c r="Q1483" s="378"/>
      <c r="R1483" s="378"/>
      <c r="S1483" s="378"/>
      <c r="T1483" s="378"/>
      <c r="U1483" s="378"/>
      <c r="V1483" s="378"/>
      <c r="W1483" s="378"/>
      <c r="X1483" s="378"/>
      <c r="Y1483" s="378"/>
      <c r="Z1483" s="378"/>
      <c r="AA1483" s="378"/>
      <c r="AB1483" s="378"/>
      <c r="AC1483" s="378"/>
      <c r="AD1483" s="378"/>
      <c r="AE1483" s="378"/>
      <c r="AF1483" s="378"/>
      <c r="AG1483" s="378"/>
    </row>
    <row r="1484">
      <c r="A1484" s="378"/>
      <c r="B1484" s="477"/>
      <c r="C1484" s="378"/>
      <c r="D1484" s="378"/>
      <c r="E1484" s="378"/>
      <c r="F1484" s="378"/>
      <c r="G1484" s="378"/>
      <c r="H1484" s="378"/>
      <c r="I1484" s="376"/>
      <c r="J1484" s="377"/>
      <c r="K1484" s="378"/>
      <c r="L1484" s="378"/>
      <c r="M1484" s="378"/>
      <c r="N1484" s="379"/>
      <c r="O1484" s="380"/>
      <c r="P1484" s="378"/>
      <c r="Q1484" s="378"/>
      <c r="R1484" s="378"/>
      <c r="S1484" s="378"/>
      <c r="T1484" s="378"/>
      <c r="U1484" s="378"/>
      <c r="V1484" s="378"/>
      <c r="W1484" s="378"/>
      <c r="X1484" s="378"/>
      <c r="Y1484" s="378"/>
      <c r="Z1484" s="378"/>
      <c r="AA1484" s="378"/>
      <c r="AB1484" s="378"/>
      <c r="AC1484" s="378"/>
      <c r="AD1484" s="378"/>
      <c r="AE1484" s="378"/>
      <c r="AF1484" s="378"/>
      <c r="AG1484" s="378"/>
    </row>
    <row r="1485">
      <c r="A1485" s="378"/>
      <c r="B1485" s="477"/>
      <c r="C1485" s="378"/>
      <c r="D1485" s="378"/>
      <c r="E1485" s="378"/>
      <c r="F1485" s="378"/>
      <c r="G1485" s="378"/>
      <c r="H1485" s="378"/>
      <c r="I1485" s="376"/>
      <c r="J1485" s="377"/>
      <c r="K1485" s="378"/>
      <c r="L1485" s="378"/>
      <c r="M1485" s="378"/>
      <c r="N1485" s="379"/>
      <c r="O1485" s="380"/>
      <c r="P1485" s="378"/>
      <c r="Q1485" s="378"/>
      <c r="R1485" s="378"/>
      <c r="S1485" s="378"/>
      <c r="T1485" s="378"/>
      <c r="U1485" s="378"/>
      <c r="V1485" s="378"/>
      <c r="W1485" s="378"/>
      <c r="X1485" s="378"/>
      <c r="Y1485" s="378"/>
      <c r="Z1485" s="378"/>
      <c r="AA1485" s="378"/>
      <c r="AB1485" s="378"/>
      <c r="AC1485" s="378"/>
      <c r="AD1485" s="378"/>
      <c r="AE1485" s="378"/>
      <c r="AF1485" s="378"/>
      <c r="AG1485" s="378"/>
    </row>
    <row r="1486">
      <c r="A1486" s="378"/>
      <c r="B1486" s="477"/>
      <c r="C1486" s="378"/>
      <c r="D1486" s="378"/>
      <c r="E1486" s="378"/>
      <c r="F1486" s="378"/>
      <c r="G1486" s="378"/>
      <c r="H1486" s="378"/>
      <c r="I1486" s="376"/>
      <c r="J1486" s="377"/>
      <c r="K1486" s="378"/>
      <c r="L1486" s="378"/>
      <c r="M1486" s="378"/>
      <c r="N1486" s="379"/>
      <c r="O1486" s="380"/>
      <c r="P1486" s="378"/>
      <c r="Q1486" s="378"/>
      <c r="R1486" s="378"/>
      <c r="S1486" s="378"/>
      <c r="T1486" s="378"/>
      <c r="U1486" s="378"/>
      <c r="V1486" s="378"/>
      <c r="W1486" s="378"/>
      <c r="X1486" s="378"/>
      <c r="Y1486" s="378"/>
      <c r="Z1486" s="378"/>
      <c r="AA1486" s="378"/>
      <c r="AB1486" s="378"/>
      <c r="AC1486" s="378"/>
      <c r="AD1486" s="378"/>
      <c r="AE1486" s="378"/>
      <c r="AF1486" s="378"/>
      <c r="AG1486" s="378"/>
    </row>
    <row r="1487">
      <c r="A1487" s="378"/>
      <c r="B1487" s="477"/>
      <c r="C1487" s="378"/>
      <c r="D1487" s="378"/>
      <c r="E1487" s="378"/>
      <c r="F1487" s="378"/>
      <c r="G1487" s="378"/>
      <c r="H1487" s="378"/>
      <c r="I1487" s="376"/>
      <c r="J1487" s="377"/>
      <c r="K1487" s="378"/>
      <c r="L1487" s="378"/>
      <c r="M1487" s="378"/>
      <c r="N1487" s="379"/>
      <c r="O1487" s="380"/>
      <c r="P1487" s="378"/>
      <c r="Q1487" s="378"/>
      <c r="R1487" s="378"/>
      <c r="S1487" s="378"/>
      <c r="T1487" s="378"/>
      <c r="U1487" s="378"/>
      <c r="V1487" s="378"/>
      <c r="W1487" s="378"/>
      <c r="X1487" s="378"/>
      <c r="Y1487" s="378"/>
      <c r="Z1487" s="378"/>
      <c r="AA1487" s="378"/>
      <c r="AB1487" s="378"/>
      <c r="AC1487" s="378"/>
      <c r="AD1487" s="378"/>
      <c r="AE1487" s="378"/>
      <c r="AF1487" s="378"/>
      <c r="AG1487" s="378"/>
    </row>
    <row r="1488">
      <c r="A1488" s="378"/>
      <c r="B1488" s="477"/>
      <c r="C1488" s="378"/>
      <c r="D1488" s="378"/>
      <c r="E1488" s="378"/>
      <c r="F1488" s="378"/>
      <c r="G1488" s="378"/>
      <c r="H1488" s="378"/>
      <c r="I1488" s="376"/>
      <c r="J1488" s="377"/>
      <c r="K1488" s="378"/>
      <c r="L1488" s="378"/>
      <c r="M1488" s="378"/>
      <c r="N1488" s="379"/>
      <c r="O1488" s="380"/>
      <c r="P1488" s="378"/>
      <c r="Q1488" s="378"/>
      <c r="R1488" s="378"/>
      <c r="S1488" s="378"/>
      <c r="T1488" s="378"/>
      <c r="U1488" s="378"/>
      <c r="V1488" s="378"/>
      <c r="W1488" s="378"/>
      <c r="X1488" s="378"/>
      <c r="Y1488" s="378"/>
      <c r="Z1488" s="378"/>
      <c r="AA1488" s="378"/>
      <c r="AB1488" s="378"/>
      <c r="AC1488" s="378"/>
      <c r="AD1488" s="378"/>
      <c r="AE1488" s="378"/>
      <c r="AF1488" s="378"/>
      <c r="AG1488" s="378"/>
    </row>
    <row r="1489">
      <c r="A1489" s="378"/>
      <c r="B1489" s="477"/>
      <c r="C1489" s="378"/>
      <c r="D1489" s="378"/>
      <c r="E1489" s="378"/>
      <c r="F1489" s="378"/>
      <c r="G1489" s="378"/>
      <c r="H1489" s="378"/>
      <c r="I1489" s="376"/>
      <c r="J1489" s="377"/>
      <c r="K1489" s="378"/>
      <c r="L1489" s="378"/>
      <c r="M1489" s="378"/>
      <c r="N1489" s="379"/>
      <c r="O1489" s="380"/>
      <c r="P1489" s="378"/>
      <c r="Q1489" s="378"/>
      <c r="R1489" s="378"/>
      <c r="S1489" s="378"/>
      <c r="T1489" s="378"/>
      <c r="U1489" s="378"/>
      <c r="V1489" s="378"/>
      <c r="W1489" s="378"/>
      <c r="X1489" s="378"/>
      <c r="Y1489" s="378"/>
      <c r="Z1489" s="378"/>
      <c r="AA1489" s="378"/>
      <c r="AB1489" s="378"/>
      <c r="AC1489" s="378"/>
      <c r="AD1489" s="378"/>
      <c r="AE1489" s="378"/>
      <c r="AF1489" s="378"/>
      <c r="AG1489" s="378"/>
    </row>
    <row r="1490">
      <c r="A1490" s="378"/>
      <c r="B1490" s="477"/>
      <c r="C1490" s="378"/>
      <c r="D1490" s="378"/>
      <c r="E1490" s="378"/>
      <c r="F1490" s="378"/>
      <c r="G1490" s="378"/>
      <c r="H1490" s="378"/>
      <c r="I1490" s="376"/>
      <c r="J1490" s="377"/>
      <c r="K1490" s="378"/>
      <c r="L1490" s="378"/>
      <c r="M1490" s="378"/>
      <c r="N1490" s="379"/>
      <c r="O1490" s="380"/>
      <c r="P1490" s="378"/>
      <c r="Q1490" s="378"/>
      <c r="R1490" s="378"/>
      <c r="S1490" s="378"/>
      <c r="T1490" s="378"/>
      <c r="U1490" s="378"/>
      <c r="V1490" s="378"/>
      <c r="W1490" s="378"/>
      <c r="X1490" s="378"/>
      <c r="Y1490" s="378"/>
      <c r="Z1490" s="378"/>
      <c r="AA1490" s="378"/>
      <c r="AB1490" s="378"/>
      <c r="AC1490" s="378"/>
      <c r="AD1490" s="378"/>
      <c r="AE1490" s="378"/>
      <c r="AF1490" s="378"/>
      <c r="AG1490" s="378"/>
    </row>
    <row r="1491">
      <c r="A1491" s="378"/>
      <c r="B1491" s="477"/>
      <c r="C1491" s="378"/>
      <c r="D1491" s="378"/>
      <c r="E1491" s="378"/>
      <c r="F1491" s="378"/>
      <c r="G1491" s="378"/>
      <c r="H1491" s="378"/>
      <c r="I1491" s="376"/>
      <c r="J1491" s="377"/>
      <c r="K1491" s="378"/>
      <c r="L1491" s="378"/>
      <c r="M1491" s="378"/>
      <c r="N1491" s="379"/>
      <c r="O1491" s="380"/>
      <c r="P1491" s="378"/>
      <c r="Q1491" s="378"/>
      <c r="R1491" s="378"/>
      <c r="S1491" s="378"/>
      <c r="T1491" s="378"/>
      <c r="U1491" s="378"/>
      <c r="V1491" s="378"/>
      <c r="W1491" s="378"/>
      <c r="X1491" s="378"/>
      <c r="Y1491" s="378"/>
      <c r="Z1491" s="378"/>
      <c r="AA1491" s="378"/>
      <c r="AB1491" s="378"/>
      <c r="AC1491" s="378"/>
      <c r="AD1491" s="378"/>
      <c r="AE1491" s="378"/>
      <c r="AF1491" s="378"/>
      <c r="AG1491" s="378"/>
    </row>
    <row r="1492">
      <c r="A1492" s="378"/>
      <c r="B1492" s="477"/>
      <c r="C1492" s="378"/>
      <c r="D1492" s="378"/>
      <c r="E1492" s="378"/>
      <c r="F1492" s="378"/>
      <c r="G1492" s="378"/>
      <c r="H1492" s="378"/>
      <c r="I1492" s="376"/>
      <c r="J1492" s="377"/>
      <c r="K1492" s="378"/>
      <c r="L1492" s="378"/>
      <c r="M1492" s="378"/>
      <c r="N1492" s="379"/>
      <c r="O1492" s="380"/>
      <c r="P1492" s="378"/>
      <c r="Q1492" s="378"/>
      <c r="R1492" s="378"/>
      <c r="S1492" s="378"/>
      <c r="T1492" s="378"/>
      <c r="U1492" s="378"/>
      <c r="V1492" s="378"/>
      <c r="W1492" s="378"/>
      <c r="X1492" s="378"/>
      <c r="Y1492" s="378"/>
      <c r="Z1492" s="378"/>
      <c r="AA1492" s="378"/>
      <c r="AB1492" s="378"/>
      <c r="AC1492" s="378"/>
      <c r="AD1492" s="378"/>
      <c r="AE1492" s="378"/>
      <c r="AF1492" s="378"/>
      <c r="AG1492" s="378"/>
    </row>
    <row r="1493">
      <c r="A1493" s="378"/>
      <c r="B1493" s="477"/>
      <c r="C1493" s="378"/>
      <c r="D1493" s="378"/>
      <c r="E1493" s="378"/>
      <c r="F1493" s="378"/>
      <c r="G1493" s="378"/>
      <c r="H1493" s="378"/>
      <c r="I1493" s="376"/>
      <c r="J1493" s="377"/>
      <c r="K1493" s="378"/>
      <c r="L1493" s="378"/>
      <c r="M1493" s="378"/>
      <c r="N1493" s="379"/>
      <c r="O1493" s="380"/>
      <c r="P1493" s="378"/>
      <c r="Q1493" s="378"/>
      <c r="R1493" s="378"/>
      <c r="S1493" s="378"/>
      <c r="T1493" s="378"/>
      <c r="U1493" s="378"/>
      <c r="V1493" s="378"/>
      <c r="W1493" s="378"/>
      <c r="X1493" s="378"/>
      <c r="Y1493" s="378"/>
      <c r="Z1493" s="378"/>
      <c r="AA1493" s="378"/>
      <c r="AB1493" s="378"/>
      <c r="AC1493" s="378"/>
      <c r="AD1493" s="378"/>
      <c r="AE1493" s="378"/>
      <c r="AF1493" s="378"/>
      <c r="AG1493" s="378"/>
    </row>
    <row r="1494">
      <c r="A1494" s="378"/>
      <c r="B1494" s="477"/>
      <c r="C1494" s="378"/>
      <c r="D1494" s="378"/>
      <c r="E1494" s="378"/>
      <c r="F1494" s="378"/>
      <c r="G1494" s="378"/>
      <c r="H1494" s="378"/>
      <c r="I1494" s="376"/>
      <c r="J1494" s="377"/>
      <c r="K1494" s="378"/>
      <c r="L1494" s="378"/>
      <c r="M1494" s="378"/>
      <c r="N1494" s="379"/>
      <c r="O1494" s="380"/>
      <c r="P1494" s="378"/>
      <c r="Q1494" s="378"/>
      <c r="R1494" s="378"/>
      <c r="S1494" s="378"/>
      <c r="T1494" s="378"/>
      <c r="U1494" s="378"/>
      <c r="V1494" s="378"/>
      <c r="W1494" s="378"/>
      <c r="X1494" s="378"/>
      <c r="Y1494" s="378"/>
      <c r="Z1494" s="378"/>
      <c r="AA1494" s="378"/>
      <c r="AB1494" s="378"/>
      <c r="AC1494" s="378"/>
      <c r="AD1494" s="378"/>
      <c r="AE1494" s="378"/>
      <c r="AF1494" s="378"/>
      <c r="AG1494" s="378"/>
    </row>
    <row r="1495">
      <c r="A1495" s="378"/>
      <c r="B1495" s="477"/>
      <c r="C1495" s="378"/>
      <c r="D1495" s="378"/>
      <c r="E1495" s="378"/>
      <c r="F1495" s="378"/>
      <c r="G1495" s="378"/>
      <c r="H1495" s="378"/>
      <c r="I1495" s="376"/>
      <c r="J1495" s="377"/>
      <c r="K1495" s="378"/>
      <c r="L1495" s="378"/>
      <c r="M1495" s="378"/>
      <c r="N1495" s="379"/>
      <c r="O1495" s="380"/>
      <c r="P1495" s="378"/>
      <c r="Q1495" s="378"/>
      <c r="R1495" s="378"/>
      <c r="S1495" s="378"/>
      <c r="T1495" s="378"/>
      <c r="U1495" s="378"/>
      <c r="V1495" s="378"/>
      <c r="W1495" s="378"/>
      <c r="X1495" s="378"/>
      <c r="Y1495" s="378"/>
      <c r="Z1495" s="378"/>
      <c r="AA1495" s="378"/>
      <c r="AB1495" s="378"/>
      <c r="AC1495" s="378"/>
      <c r="AD1495" s="378"/>
      <c r="AE1495" s="378"/>
      <c r="AF1495" s="378"/>
      <c r="AG1495" s="378"/>
    </row>
    <row r="1496">
      <c r="A1496" s="378"/>
      <c r="B1496" s="477"/>
      <c r="C1496" s="378"/>
      <c r="D1496" s="378"/>
      <c r="E1496" s="378"/>
      <c r="F1496" s="378"/>
      <c r="G1496" s="378"/>
      <c r="H1496" s="378"/>
      <c r="I1496" s="376"/>
      <c r="J1496" s="377"/>
      <c r="K1496" s="378"/>
      <c r="L1496" s="378"/>
      <c r="M1496" s="378"/>
      <c r="N1496" s="379"/>
      <c r="O1496" s="380"/>
      <c r="P1496" s="378"/>
      <c r="Q1496" s="378"/>
      <c r="R1496" s="378"/>
      <c r="S1496" s="378"/>
      <c r="T1496" s="378"/>
      <c r="U1496" s="378"/>
      <c r="V1496" s="378"/>
      <c r="W1496" s="378"/>
      <c r="X1496" s="378"/>
      <c r="Y1496" s="378"/>
      <c r="Z1496" s="378"/>
      <c r="AA1496" s="378"/>
      <c r="AB1496" s="378"/>
      <c r="AC1496" s="378"/>
      <c r="AD1496" s="378"/>
      <c r="AE1496" s="378"/>
      <c r="AF1496" s="378"/>
      <c r="AG1496" s="378"/>
    </row>
    <row r="1497">
      <c r="A1497" s="378"/>
      <c r="B1497" s="477"/>
      <c r="C1497" s="378"/>
      <c r="D1497" s="378"/>
      <c r="E1497" s="378"/>
      <c r="F1497" s="378"/>
      <c r="G1497" s="378"/>
      <c r="H1497" s="378"/>
      <c r="I1497" s="376"/>
      <c r="J1497" s="377"/>
      <c r="K1497" s="378"/>
      <c r="L1497" s="378"/>
      <c r="M1497" s="378"/>
      <c r="N1497" s="379"/>
      <c r="O1497" s="380"/>
      <c r="P1497" s="378"/>
      <c r="Q1497" s="378"/>
      <c r="R1497" s="378"/>
      <c r="S1497" s="378"/>
      <c r="T1497" s="378"/>
      <c r="U1497" s="378"/>
      <c r="V1497" s="378"/>
      <c r="W1497" s="378"/>
      <c r="X1497" s="378"/>
      <c r="Y1497" s="378"/>
      <c r="Z1497" s="378"/>
      <c r="AA1497" s="378"/>
      <c r="AB1497" s="378"/>
      <c r="AC1497" s="378"/>
      <c r="AD1497" s="378"/>
      <c r="AE1497" s="378"/>
      <c r="AF1497" s="378"/>
      <c r="AG1497" s="378"/>
    </row>
    <row r="1498">
      <c r="A1498" s="378"/>
      <c r="B1498" s="477"/>
      <c r="C1498" s="378"/>
      <c r="D1498" s="378"/>
      <c r="E1498" s="378"/>
      <c r="F1498" s="378"/>
      <c r="G1498" s="378"/>
      <c r="H1498" s="378"/>
      <c r="I1498" s="376"/>
      <c r="J1498" s="377"/>
      <c r="K1498" s="378"/>
      <c r="L1498" s="378"/>
      <c r="M1498" s="378"/>
      <c r="N1498" s="379"/>
      <c r="O1498" s="380"/>
      <c r="P1498" s="378"/>
      <c r="Q1498" s="378"/>
      <c r="R1498" s="378"/>
      <c r="S1498" s="378"/>
      <c r="T1498" s="378"/>
      <c r="U1498" s="378"/>
      <c r="V1498" s="378"/>
      <c r="W1498" s="378"/>
      <c r="X1498" s="378"/>
      <c r="Y1498" s="378"/>
      <c r="Z1498" s="378"/>
      <c r="AA1498" s="378"/>
      <c r="AB1498" s="378"/>
      <c r="AC1498" s="378"/>
      <c r="AD1498" s="378"/>
      <c r="AE1498" s="378"/>
      <c r="AF1498" s="378"/>
      <c r="AG1498" s="378"/>
    </row>
    <row r="1499">
      <c r="A1499" s="378"/>
      <c r="B1499" s="477"/>
      <c r="C1499" s="378"/>
      <c r="D1499" s="378"/>
      <c r="E1499" s="378"/>
      <c r="F1499" s="378"/>
      <c r="G1499" s="378"/>
      <c r="H1499" s="378"/>
      <c r="I1499" s="376"/>
      <c r="J1499" s="377"/>
      <c r="K1499" s="378"/>
      <c r="L1499" s="378"/>
      <c r="M1499" s="378"/>
      <c r="N1499" s="379"/>
      <c r="O1499" s="380"/>
      <c r="P1499" s="378"/>
      <c r="Q1499" s="378"/>
      <c r="R1499" s="378"/>
      <c r="S1499" s="378"/>
      <c r="T1499" s="378"/>
      <c r="U1499" s="378"/>
      <c r="V1499" s="378"/>
      <c r="W1499" s="378"/>
      <c r="X1499" s="378"/>
      <c r="Y1499" s="378"/>
      <c r="Z1499" s="378"/>
      <c r="AA1499" s="378"/>
      <c r="AB1499" s="378"/>
      <c r="AC1499" s="378"/>
      <c r="AD1499" s="378"/>
      <c r="AE1499" s="378"/>
      <c r="AF1499" s="378"/>
      <c r="AG1499" s="378"/>
    </row>
    <row r="1500">
      <c r="A1500" s="378"/>
      <c r="B1500" s="477"/>
      <c r="C1500" s="378"/>
      <c r="D1500" s="378"/>
      <c r="E1500" s="378"/>
      <c r="F1500" s="378"/>
      <c r="G1500" s="378"/>
      <c r="H1500" s="378"/>
      <c r="I1500" s="376"/>
      <c r="J1500" s="377"/>
      <c r="K1500" s="378"/>
      <c r="L1500" s="378"/>
      <c r="M1500" s="378"/>
      <c r="N1500" s="379"/>
      <c r="O1500" s="380"/>
      <c r="P1500" s="378"/>
      <c r="Q1500" s="378"/>
      <c r="R1500" s="378"/>
      <c r="S1500" s="378"/>
      <c r="T1500" s="378"/>
      <c r="U1500" s="378"/>
      <c r="V1500" s="378"/>
      <c r="W1500" s="378"/>
      <c r="X1500" s="378"/>
      <c r="Y1500" s="378"/>
      <c r="Z1500" s="378"/>
      <c r="AA1500" s="378"/>
      <c r="AB1500" s="378"/>
      <c r="AC1500" s="378"/>
      <c r="AD1500" s="378"/>
      <c r="AE1500" s="378"/>
      <c r="AF1500" s="378"/>
      <c r="AG1500" s="378"/>
    </row>
    <row r="1501">
      <c r="A1501" s="378"/>
      <c r="B1501" s="477"/>
      <c r="C1501" s="378"/>
      <c r="D1501" s="378"/>
      <c r="E1501" s="378"/>
      <c r="F1501" s="378"/>
      <c r="G1501" s="378"/>
      <c r="H1501" s="378"/>
      <c r="I1501" s="376"/>
      <c r="J1501" s="377"/>
      <c r="K1501" s="378"/>
      <c r="L1501" s="378"/>
      <c r="M1501" s="378"/>
      <c r="N1501" s="379"/>
      <c r="O1501" s="380"/>
      <c r="P1501" s="378"/>
      <c r="Q1501" s="378"/>
      <c r="R1501" s="378"/>
      <c r="S1501" s="378"/>
      <c r="T1501" s="378"/>
      <c r="U1501" s="378"/>
      <c r="V1501" s="378"/>
      <c r="W1501" s="378"/>
      <c r="X1501" s="378"/>
      <c r="Y1501" s="378"/>
      <c r="Z1501" s="378"/>
      <c r="AA1501" s="378"/>
      <c r="AB1501" s="378"/>
      <c r="AC1501" s="378"/>
      <c r="AD1501" s="378"/>
      <c r="AE1501" s="378"/>
      <c r="AF1501" s="378"/>
      <c r="AG1501" s="378"/>
    </row>
    <row r="1502">
      <c r="A1502" s="378"/>
      <c r="B1502" s="477"/>
      <c r="C1502" s="378"/>
      <c r="D1502" s="378"/>
      <c r="E1502" s="378"/>
      <c r="F1502" s="378"/>
      <c r="G1502" s="378"/>
      <c r="H1502" s="378"/>
      <c r="I1502" s="376"/>
      <c r="J1502" s="377"/>
      <c r="K1502" s="378"/>
      <c r="L1502" s="378"/>
      <c r="M1502" s="378"/>
      <c r="N1502" s="379"/>
      <c r="O1502" s="380"/>
      <c r="P1502" s="378"/>
      <c r="Q1502" s="378"/>
      <c r="R1502" s="378"/>
      <c r="S1502" s="378"/>
      <c r="T1502" s="378"/>
      <c r="U1502" s="378"/>
      <c r="V1502" s="378"/>
      <c r="W1502" s="378"/>
      <c r="X1502" s="378"/>
      <c r="Y1502" s="378"/>
      <c r="Z1502" s="378"/>
      <c r="AA1502" s="378"/>
      <c r="AB1502" s="378"/>
      <c r="AC1502" s="378"/>
      <c r="AD1502" s="378"/>
      <c r="AE1502" s="378"/>
      <c r="AF1502" s="378"/>
      <c r="AG1502" s="378"/>
    </row>
    <row r="1503">
      <c r="A1503" s="378"/>
      <c r="B1503" s="477"/>
      <c r="C1503" s="378"/>
      <c r="D1503" s="378"/>
      <c r="E1503" s="378"/>
      <c r="F1503" s="378"/>
      <c r="G1503" s="378"/>
      <c r="H1503" s="378"/>
      <c r="I1503" s="376"/>
      <c r="J1503" s="377"/>
      <c r="K1503" s="378"/>
      <c r="L1503" s="378"/>
      <c r="M1503" s="378"/>
      <c r="N1503" s="379"/>
      <c r="O1503" s="380"/>
      <c r="P1503" s="378"/>
      <c r="Q1503" s="378"/>
      <c r="R1503" s="378"/>
      <c r="S1503" s="378"/>
      <c r="T1503" s="378"/>
      <c r="U1503" s="378"/>
      <c r="V1503" s="378"/>
      <c r="W1503" s="378"/>
      <c r="X1503" s="378"/>
      <c r="Y1503" s="378"/>
      <c r="Z1503" s="378"/>
      <c r="AA1503" s="378"/>
      <c r="AB1503" s="378"/>
      <c r="AC1503" s="378"/>
      <c r="AD1503" s="378"/>
      <c r="AE1503" s="378"/>
      <c r="AF1503" s="378"/>
      <c r="AG1503" s="378"/>
    </row>
    <row r="1504">
      <c r="A1504" s="378"/>
      <c r="B1504" s="477"/>
      <c r="C1504" s="378"/>
      <c r="D1504" s="378"/>
      <c r="E1504" s="378"/>
      <c r="F1504" s="378"/>
      <c r="G1504" s="378"/>
      <c r="H1504" s="378"/>
      <c r="I1504" s="376"/>
      <c r="J1504" s="377"/>
      <c r="K1504" s="378"/>
      <c r="L1504" s="378"/>
      <c r="M1504" s="378"/>
      <c r="N1504" s="379"/>
      <c r="O1504" s="380"/>
      <c r="P1504" s="378"/>
      <c r="Q1504" s="378"/>
      <c r="R1504" s="378"/>
      <c r="S1504" s="378"/>
      <c r="T1504" s="378"/>
      <c r="U1504" s="378"/>
      <c r="V1504" s="378"/>
      <c r="W1504" s="378"/>
      <c r="X1504" s="378"/>
      <c r="Y1504" s="378"/>
      <c r="Z1504" s="378"/>
      <c r="AA1504" s="378"/>
      <c r="AB1504" s="378"/>
      <c r="AC1504" s="378"/>
      <c r="AD1504" s="378"/>
      <c r="AE1504" s="378"/>
      <c r="AF1504" s="378"/>
      <c r="AG1504" s="378"/>
    </row>
    <row r="1505">
      <c r="A1505" s="378"/>
      <c r="B1505" s="477"/>
      <c r="C1505" s="378"/>
      <c r="D1505" s="378"/>
      <c r="E1505" s="378"/>
      <c r="F1505" s="378"/>
      <c r="G1505" s="378"/>
      <c r="H1505" s="378"/>
      <c r="I1505" s="376"/>
      <c r="J1505" s="377"/>
      <c r="K1505" s="378"/>
      <c r="L1505" s="378"/>
      <c r="M1505" s="378"/>
      <c r="N1505" s="379"/>
      <c r="O1505" s="380"/>
      <c r="P1505" s="378"/>
      <c r="Q1505" s="378"/>
      <c r="R1505" s="378"/>
      <c r="S1505" s="378"/>
      <c r="T1505" s="378"/>
      <c r="U1505" s="378"/>
      <c r="V1505" s="378"/>
      <c r="W1505" s="378"/>
      <c r="X1505" s="378"/>
      <c r="Y1505" s="378"/>
      <c r="Z1505" s="378"/>
      <c r="AA1505" s="378"/>
      <c r="AB1505" s="378"/>
      <c r="AC1505" s="378"/>
      <c r="AD1505" s="378"/>
      <c r="AE1505" s="378"/>
      <c r="AF1505" s="378"/>
      <c r="AG1505" s="378"/>
    </row>
    <row r="1506">
      <c r="A1506" s="378"/>
      <c r="B1506" s="477"/>
      <c r="C1506" s="378"/>
      <c r="D1506" s="378"/>
      <c r="E1506" s="378"/>
      <c r="F1506" s="378"/>
      <c r="G1506" s="378"/>
      <c r="H1506" s="378"/>
      <c r="I1506" s="376"/>
      <c r="J1506" s="377"/>
      <c r="K1506" s="378"/>
      <c r="L1506" s="378"/>
      <c r="M1506" s="378"/>
      <c r="N1506" s="379"/>
      <c r="O1506" s="380"/>
      <c r="P1506" s="378"/>
      <c r="Q1506" s="378"/>
      <c r="R1506" s="378"/>
      <c r="S1506" s="378"/>
      <c r="T1506" s="378"/>
      <c r="U1506" s="378"/>
      <c r="V1506" s="378"/>
      <c r="W1506" s="378"/>
      <c r="X1506" s="378"/>
      <c r="Y1506" s="378"/>
      <c r="Z1506" s="378"/>
      <c r="AA1506" s="378"/>
      <c r="AB1506" s="378"/>
      <c r="AC1506" s="378"/>
      <c r="AD1506" s="378"/>
      <c r="AE1506" s="378"/>
      <c r="AF1506" s="378"/>
      <c r="AG1506" s="378"/>
    </row>
    <row r="1507">
      <c r="A1507" s="378"/>
      <c r="B1507" s="477"/>
      <c r="C1507" s="378"/>
      <c r="D1507" s="378"/>
      <c r="E1507" s="378"/>
      <c r="F1507" s="378"/>
      <c r="G1507" s="378"/>
      <c r="H1507" s="378"/>
      <c r="I1507" s="376"/>
      <c r="J1507" s="377"/>
      <c r="K1507" s="378"/>
      <c r="L1507" s="378"/>
      <c r="M1507" s="378"/>
      <c r="N1507" s="379"/>
      <c r="O1507" s="380"/>
      <c r="P1507" s="378"/>
      <c r="Q1507" s="378"/>
      <c r="R1507" s="378"/>
      <c r="S1507" s="378"/>
      <c r="T1507" s="378"/>
      <c r="U1507" s="378"/>
      <c r="V1507" s="378"/>
      <c r="W1507" s="378"/>
      <c r="X1507" s="378"/>
      <c r="Y1507" s="378"/>
      <c r="Z1507" s="378"/>
      <c r="AA1507" s="378"/>
      <c r="AB1507" s="378"/>
      <c r="AC1507" s="378"/>
      <c r="AD1507" s="378"/>
      <c r="AE1507" s="378"/>
      <c r="AF1507" s="378"/>
      <c r="AG1507" s="378"/>
    </row>
    <row r="1508">
      <c r="A1508" s="378"/>
      <c r="B1508" s="477"/>
      <c r="C1508" s="378"/>
      <c r="D1508" s="378"/>
      <c r="E1508" s="378"/>
      <c r="F1508" s="378"/>
      <c r="G1508" s="378"/>
      <c r="H1508" s="378"/>
      <c r="I1508" s="376"/>
      <c r="J1508" s="377"/>
      <c r="K1508" s="378"/>
      <c r="L1508" s="378"/>
      <c r="M1508" s="378"/>
      <c r="N1508" s="379"/>
      <c r="O1508" s="380"/>
      <c r="P1508" s="378"/>
      <c r="Q1508" s="378"/>
      <c r="R1508" s="378"/>
      <c r="S1508" s="378"/>
      <c r="T1508" s="378"/>
      <c r="U1508" s="378"/>
      <c r="V1508" s="378"/>
      <c r="W1508" s="378"/>
      <c r="X1508" s="378"/>
      <c r="Y1508" s="378"/>
      <c r="Z1508" s="378"/>
      <c r="AA1508" s="378"/>
      <c r="AB1508" s="378"/>
      <c r="AC1508" s="378"/>
      <c r="AD1508" s="378"/>
      <c r="AE1508" s="378"/>
      <c r="AF1508" s="378"/>
      <c r="AG1508" s="378"/>
    </row>
    <row r="1509">
      <c r="A1509" s="378"/>
      <c r="B1509" s="477"/>
      <c r="C1509" s="378"/>
      <c r="D1509" s="378"/>
      <c r="E1509" s="378"/>
      <c r="F1509" s="378"/>
      <c r="G1509" s="378"/>
      <c r="H1509" s="378"/>
      <c r="I1509" s="376"/>
      <c r="J1509" s="377"/>
      <c r="K1509" s="378"/>
      <c r="L1509" s="378"/>
      <c r="M1509" s="378"/>
      <c r="N1509" s="379"/>
      <c r="O1509" s="380"/>
      <c r="P1509" s="378"/>
      <c r="Q1509" s="378"/>
      <c r="R1509" s="378"/>
      <c r="S1509" s="378"/>
      <c r="T1509" s="378"/>
      <c r="U1509" s="378"/>
      <c r="V1509" s="378"/>
      <c r="W1509" s="378"/>
      <c r="X1509" s="378"/>
      <c r="Y1509" s="378"/>
      <c r="Z1509" s="378"/>
      <c r="AA1509" s="378"/>
      <c r="AB1509" s="378"/>
      <c r="AC1509" s="378"/>
      <c r="AD1509" s="378"/>
      <c r="AE1509" s="378"/>
      <c r="AF1509" s="378"/>
      <c r="AG1509" s="378"/>
    </row>
    <row r="1510">
      <c r="A1510" s="378"/>
      <c r="B1510" s="477"/>
      <c r="C1510" s="378"/>
      <c r="D1510" s="378"/>
      <c r="E1510" s="378"/>
      <c r="F1510" s="378"/>
      <c r="G1510" s="378"/>
      <c r="H1510" s="378"/>
      <c r="I1510" s="376"/>
      <c r="J1510" s="377"/>
      <c r="K1510" s="378"/>
      <c r="L1510" s="378"/>
      <c r="M1510" s="378"/>
      <c r="N1510" s="379"/>
      <c r="O1510" s="380"/>
      <c r="P1510" s="378"/>
      <c r="Q1510" s="378"/>
      <c r="R1510" s="378"/>
      <c r="S1510" s="378"/>
      <c r="T1510" s="378"/>
      <c r="U1510" s="378"/>
      <c r="V1510" s="378"/>
      <c r="W1510" s="378"/>
      <c r="X1510" s="378"/>
      <c r="Y1510" s="378"/>
      <c r="Z1510" s="378"/>
      <c r="AA1510" s="378"/>
      <c r="AB1510" s="378"/>
      <c r="AC1510" s="378"/>
      <c r="AD1510" s="378"/>
      <c r="AE1510" s="378"/>
      <c r="AF1510" s="378"/>
      <c r="AG1510" s="378"/>
    </row>
    <row r="1511">
      <c r="A1511" s="378"/>
      <c r="B1511" s="477"/>
      <c r="C1511" s="378"/>
      <c r="D1511" s="378"/>
      <c r="E1511" s="378"/>
      <c r="F1511" s="378"/>
      <c r="G1511" s="378"/>
      <c r="H1511" s="378"/>
      <c r="I1511" s="376"/>
      <c r="J1511" s="377"/>
      <c r="K1511" s="378"/>
      <c r="L1511" s="378"/>
      <c r="M1511" s="378"/>
      <c r="N1511" s="379"/>
      <c r="O1511" s="380"/>
      <c r="P1511" s="378"/>
      <c r="Q1511" s="378"/>
      <c r="R1511" s="378"/>
      <c r="S1511" s="378"/>
      <c r="T1511" s="378"/>
      <c r="U1511" s="378"/>
      <c r="V1511" s="378"/>
      <c r="W1511" s="378"/>
      <c r="X1511" s="378"/>
      <c r="Y1511" s="378"/>
      <c r="Z1511" s="378"/>
      <c r="AA1511" s="378"/>
      <c r="AB1511" s="378"/>
      <c r="AC1511" s="378"/>
      <c r="AD1511" s="378"/>
      <c r="AE1511" s="378"/>
      <c r="AF1511" s="378"/>
      <c r="AG1511" s="378"/>
    </row>
    <row r="1512">
      <c r="A1512" s="378"/>
      <c r="B1512" s="477"/>
      <c r="C1512" s="378"/>
      <c r="D1512" s="378"/>
      <c r="E1512" s="378"/>
      <c r="F1512" s="378"/>
      <c r="G1512" s="378"/>
      <c r="H1512" s="378"/>
      <c r="I1512" s="376"/>
      <c r="J1512" s="377"/>
      <c r="K1512" s="378"/>
      <c r="L1512" s="378"/>
      <c r="M1512" s="378"/>
      <c r="N1512" s="379"/>
      <c r="O1512" s="380"/>
      <c r="P1512" s="378"/>
      <c r="Q1512" s="378"/>
      <c r="R1512" s="378"/>
      <c r="S1512" s="378"/>
      <c r="T1512" s="378"/>
      <c r="U1512" s="378"/>
      <c r="V1512" s="378"/>
      <c r="W1512" s="378"/>
      <c r="X1512" s="378"/>
      <c r="Y1512" s="378"/>
      <c r="Z1512" s="378"/>
      <c r="AA1512" s="378"/>
      <c r="AB1512" s="378"/>
      <c r="AC1512" s="378"/>
      <c r="AD1512" s="378"/>
      <c r="AE1512" s="378"/>
      <c r="AF1512" s="378"/>
      <c r="AG1512" s="378"/>
    </row>
    <row r="1513">
      <c r="A1513" s="378"/>
      <c r="B1513" s="477"/>
      <c r="C1513" s="378"/>
      <c r="D1513" s="378"/>
      <c r="E1513" s="378"/>
      <c r="F1513" s="378"/>
      <c r="G1513" s="378"/>
      <c r="H1513" s="378"/>
      <c r="I1513" s="376"/>
      <c r="J1513" s="377"/>
      <c r="K1513" s="378"/>
      <c r="L1513" s="378"/>
      <c r="M1513" s="378"/>
      <c r="N1513" s="379"/>
      <c r="O1513" s="380"/>
      <c r="P1513" s="378"/>
      <c r="Q1513" s="378"/>
      <c r="R1513" s="378"/>
      <c r="S1513" s="378"/>
      <c r="T1513" s="378"/>
      <c r="U1513" s="378"/>
      <c r="V1513" s="378"/>
      <c r="W1513" s="378"/>
      <c r="X1513" s="378"/>
      <c r="Y1513" s="378"/>
      <c r="Z1513" s="378"/>
      <c r="AA1513" s="378"/>
      <c r="AB1513" s="378"/>
      <c r="AC1513" s="378"/>
      <c r="AD1513" s="378"/>
      <c r="AE1513" s="378"/>
      <c r="AF1513" s="378"/>
      <c r="AG1513" s="378"/>
    </row>
    <row r="1514">
      <c r="A1514" s="378"/>
      <c r="B1514" s="477"/>
      <c r="C1514" s="378"/>
      <c r="D1514" s="378"/>
      <c r="E1514" s="378"/>
      <c r="F1514" s="378"/>
      <c r="G1514" s="378"/>
      <c r="H1514" s="378"/>
      <c r="I1514" s="376"/>
      <c r="J1514" s="377"/>
      <c r="K1514" s="378"/>
      <c r="L1514" s="378"/>
      <c r="M1514" s="378"/>
      <c r="N1514" s="379"/>
      <c r="O1514" s="380"/>
      <c r="P1514" s="378"/>
      <c r="Q1514" s="378"/>
      <c r="R1514" s="378"/>
      <c r="S1514" s="378"/>
      <c r="T1514" s="378"/>
      <c r="U1514" s="378"/>
      <c r="V1514" s="378"/>
      <c r="W1514" s="378"/>
      <c r="X1514" s="378"/>
      <c r="Y1514" s="378"/>
      <c r="Z1514" s="378"/>
      <c r="AA1514" s="378"/>
      <c r="AB1514" s="378"/>
      <c r="AC1514" s="378"/>
      <c r="AD1514" s="378"/>
      <c r="AE1514" s="378"/>
      <c r="AF1514" s="378"/>
      <c r="AG1514" s="378"/>
    </row>
    <row r="1515">
      <c r="A1515" s="378"/>
      <c r="B1515" s="477"/>
      <c r="C1515" s="378"/>
      <c r="D1515" s="378"/>
      <c r="E1515" s="378"/>
      <c r="F1515" s="378"/>
      <c r="G1515" s="378"/>
      <c r="H1515" s="378"/>
      <c r="I1515" s="376"/>
      <c r="J1515" s="377"/>
      <c r="K1515" s="378"/>
      <c r="L1515" s="378"/>
      <c r="M1515" s="378"/>
      <c r="N1515" s="379"/>
      <c r="O1515" s="380"/>
      <c r="P1515" s="378"/>
      <c r="Q1515" s="378"/>
      <c r="R1515" s="378"/>
      <c r="S1515" s="378"/>
      <c r="T1515" s="378"/>
      <c r="U1515" s="378"/>
      <c r="V1515" s="378"/>
      <c r="W1515" s="378"/>
      <c r="X1515" s="378"/>
      <c r="Y1515" s="378"/>
      <c r="Z1515" s="378"/>
      <c r="AA1515" s="378"/>
      <c r="AB1515" s="378"/>
      <c r="AC1515" s="378"/>
      <c r="AD1515" s="378"/>
      <c r="AE1515" s="378"/>
      <c r="AF1515" s="378"/>
      <c r="AG1515" s="378"/>
    </row>
    <row r="1516">
      <c r="A1516" s="378"/>
      <c r="B1516" s="477"/>
      <c r="C1516" s="378"/>
      <c r="D1516" s="378"/>
      <c r="E1516" s="378"/>
      <c r="F1516" s="378"/>
      <c r="G1516" s="378"/>
      <c r="H1516" s="378"/>
      <c r="I1516" s="376"/>
      <c r="J1516" s="377"/>
      <c r="K1516" s="378"/>
      <c r="L1516" s="378"/>
      <c r="M1516" s="378"/>
      <c r="N1516" s="379"/>
      <c r="O1516" s="380"/>
      <c r="P1516" s="378"/>
      <c r="Q1516" s="378"/>
      <c r="R1516" s="378"/>
      <c r="S1516" s="378"/>
      <c r="T1516" s="378"/>
      <c r="U1516" s="378"/>
      <c r="V1516" s="378"/>
      <c r="W1516" s="378"/>
      <c r="X1516" s="378"/>
      <c r="Y1516" s="378"/>
      <c r="Z1516" s="378"/>
      <c r="AA1516" s="378"/>
      <c r="AB1516" s="378"/>
      <c r="AC1516" s="378"/>
      <c r="AD1516" s="378"/>
      <c r="AE1516" s="378"/>
      <c r="AF1516" s="378"/>
      <c r="AG1516" s="378"/>
    </row>
    <row r="1517">
      <c r="A1517" s="378"/>
      <c r="B1517" s="477"/>
      <c r="C1517" s="378"/>
      <c r="D1517" s="378"/>
      <c r="E1517" s="378"/>
      <c r="F1517" s="378"/>
      <c r="G1517" s="378"/>
      <c r="H1517" s="378"/>
      <c r="I1517" s="376"/>
      <c r="J1517" s="377"/>
      <c r="K1517" s="378"/>
      <c r="L1517" s="378"/>
      <c r="M1517" s="378"/>
      <c r="N1517" s="379"/>
      <c r="O1517" s="380"/>
      <c r="P1517" s="378"/>
      <c r="Q1517" s="378"/>
      <c r="R1517" s="378"/>
      <c r="S1517" s="378"/>
      <c r="T1517" s="378"/>
      <c r="U1517" s="378"/>
      <c r="V1517" s="378"/>
      <c r="W1517" s="378"/>
      <c r="X1517" s="378"/>
      <c r="Y1517" s="378"/>
      <c r="Z1517" s="378"/>
      <c r="AA1517" s="378"/>
      <c r="AB1517" s="378"/>
      <c r="AC1517" s="378"/>
      <c r="AD1517" s="378"/>
      <c r="AE1517" s="378"/>
      <c r="AF1517" s="378"/>
      <c r="AG1517" s="378"/>
    </row>
    <row r="1518">
      <c r="A1518" s="378"/>
      <c r="B1518" s="477"/>
      <c r="C1518" s="378"/>
      <c r="D1518" s="378"/>
      <c r="E1518" s="378"/>
      <c r="F1518" s="378"/>
      <c r="G1518" s="378"/>
      <c r="H1518" s="378"/>
      <c r="I1518" s="376"/>
      <c r="J1518" s="377"/>
      <c r="K1518" s="378"/>
      <c r="L1518" s="378"/>
      <c r="M1518" s="378"/>
      <c r="N1518" s="379"/>
      <c r="O1518" s="380"/>
      <c r="P1518" s="378"/>
      <c r="Q1518" s="378"/>
      <c r="R1518" s="378"/>
      <c r="S1518" s="378"/>
      <c r="T1518" s="378"/>
      <c r="U1518" s="378"/>
      <c r="V1518" s="378"/>
      <c r="W1518" s="378"/>
      <c r="X1518" s="378"/>
      <c r="Y1518" s="378"/>
      <c r="Z1518" s="378"/>
      <c r="AA1518" s="378"/>
      <c r="AB1518" s="378"/>
      <c r="AC1518" s="378"/>
      <c r="AD1518" s="378"/>
      <c r="AE1518" s="378"/>
      <c r="AF1518" s="378"/>
      <c r="AG1518" s="378"/>
    </row>
    <row r="1519">
      <c r="A1519" s="378"/>
      <c r="B1519" s="477"/>
      <c r="C1519" s="378"/>
      <c r="D1519" s="378"/>
      <c r="E1519" s="378"/>
      <c r="F1519" s="378"/>
      <c r="G1519" s="378"/>
      <c r="H1519" s="378"/>
      <c r="I1519" s="376"/>
      <c r="J1519" s="377"/>
      <c r="K1519" s="378"/>
      <c r="L1519" s="378"/>
      <c r="M1519" s="378"/>
      <c r="N1519" s="379"/>
      <c r="O1519" s="380"/>
      <c r="P1519" s="378"/>
      <c r="Q1519" s="378"/>
      <c r="R1519" s="378"/>
      <c r="S1519" s="378"/>
      <c r="T1519" s="378"/>
      <c r="U1519" s="378"/>
      <c r="V1519" s="378"/>
      <c r="W1519" s="378"/>
      <c r="X1519" s="378"/>
      <c r="Y1519" s="378"/>
      <c r="Z1519" s="378"/>
      <c r="AA1519" s="378"/>
      <c r="AB1519" s="378"/>
      <c r="AC1519" s="378"/>
      <c r="AD1519" s="378"/>
      <c r="AE1519" s="378"/>
      <c r="AF1519" s="378"/>
      <c r="AG1519" s="378"/>
    </row>
    <row r="1520">
      <c r="A1520" s="378"/>
      <c r="B1520" s="477"/>
      <c r="C1520" s="378"/>
      <c r="D1520" s="378"/>
      <c r="E1520" s="378"/>
      <c r="F1520" s="378"/>
      <c r="G1520" s="378"/>
      <c r="H1520" s="378"/>
      <c r="I1520" s="376"/>
      <c r="J1520" s="377"/>
      <c r="K1520" s="378"/>
      <c r="L1520" s="378"/>
      <c r="M1520" s="378"/>
      <c r="N1520" s="379"/>
      <c r="O1520" s="380"/>
      <c r="P1520" s="378"/>
      <c r="Q1520" s="378"/>
      <c r="R1520" s="378"/>
      <c r="S1520" s="378"/>
      <c r="T1520" s="378"/>
      <c r="U1520" s="378"/>
      <c r="V1520" s="378"/>
      <c r="W1520" s="378"/>
      <c r="X1520" s="378"/>
      <c r="Y1520" s="378"/>
      <c r="Z1520" s="378"/>
      <c r="AA1520" s="378"/>
      <c r="AB1520" s="378"/>
      <c r="AC1520" s="378"/>
      <c r="AD1520" s="378"/>
      <c r="AE1520" s="378"/>
      <c r="AF1520" s="378"/>
      <c r="AG1520" s="378"/>
    </row>
    <row r="1521">
      <c r="A1521" s="378"/>
      <c r="B1521" s="477"/>
      <c r="C1521" s="378"/>
      <c r="D1521" s="378"/>
      <c r="E1521" s="378"/>
      <c r="F1521" s="378"/>
      <c r="G1521" s="378"/>
      <c r="H1521" s="378"/>
      <c r="I1521" s="376"/>
      <c r="J1521" s="377"/>
      <c r="K1521" s="378"/>
      <c r="L1521" s="378"/>
      <c r="M1521" s="378"/>
      <c r="N1521" s="379"/>
      <c r="O1521" s="380"/>
      <c r="P1521" s="378"/>
      <c r="Q1521" s="378"/>
      <c r="R1521" s="378"/>
      <c r="S1521" s="378"/>
      <c r="T1521" s="378"/>
      <c r="U1521" s="378"/>
      <c r="V1521" s="378"/>
      <c r="W1521" s="378"/>
      <c r="X1521" s="378"/>
      <c r="Y1521" s="378"/>
      <c r="Z1521" s="378"/>
      <c r="AA1521" s="378"/>
      <c r="AB1521" s="378"/>
      <c r="AC1521" s="378"/>
      <c r="AD1521" s="378"/>
      <c r="AE1521" s="378"/>
      <c r="AF1521" s="378"/>
      <c r="AG1521" s="378"/>
    </row>
    <row r="1522">
      <c r="A1522" s="378"/>
      <c r="B1522" s="477"/>
      <c r="C1522" s="378"/>
      <c r="D1522" s="378"/>
      <c r="E1522" s="378"/>
      <c r="F1522" s="378"/>
      <c r="G1522" s="378"/>
      <c r="H1522" s="378"/>
      <c r="I1522" s="376"/>
      <c r="J1522" s="377"/>
      <c r="K1522" s="378"/>
      <c r="L1522" s="378"/>
      <c r="M1522" s="378"/>
      <c r="N1522" s="379"/>
      <c r="O1522" s="380"/>
      <c r="P1522" s="378"/>
      <c r="Q1522" s="378"/>
      <c r="R1522" s="378"/>
      <c r="S1522" s="378"/>
      <c r="T1522" s="378"/>
      <c r="U1522" s="378"/>
      <c r="V1522" s="378"/>
      <c r="W1522" s="378"/>
      <c r="X1522" s="378"/>
      <c r="Y1522" s="378"/>
      <c r="Z1522" s="378"/>
      <c r="AA1522" s="378"/>
      <c r="AB1522" s="378"/>
      <c r="AC1522" s="378"/>
      <c r="AD1522" s="378"/>
      <c r="AE1522" s="378"/>
      <c r="AF1522" s="378"/>
      <c r="AG1522" s="378"/>
    </row>
    <row r="1523">
      <c r="A1523" s="378"/>
      <c r="B1523" s="477"/>
      <c r="C1523" s="378"/>
      <c r="D1523" s="378"/>
      <c r="E1523" s="378"/>
      <c r="F1523" s="378"/>
      <c r="G1523" s="378"/>
      <c r="H1523" s="378"/>
      <c r="I1523" s="376"/>
      <c r="J1523" s="377"/>
      <c r="K1523" s="378"/>
      <c r="L1523" s="378"/>
      <c r="M1523" s="378"/>
      <c r="N1523" s="379"/>
      <c r="O1523" s="380"/>
      <c r="P1523" s="378"/>
      <c r="Q1523" s="378"/>
      <c r="R1523" s="378"/>
      <c r="S1523" s="378"/>
      <c r="T1523" s="378"/>
      <c r="U1523" s="378"/>
      <c r="V1523" s="378"/>
      <c r="W1523" s="378"/>
      <c r="X1523" s="378"/>
      <c r="Y1523" s="378"/>
      <c r="Z1523" s="378"/>
      <c r="AA1523" s="378"/>
      <c r="AB1523" s="378"/>
      <c r="AC1523" s="378"/>
      <c r="AD1523" s="378"/>
      <c r="AE1523" s="378"/>
      <c r="AF1523" s="378"/>
      <c r="AG1523" s="378"/>
    </row>
    <row r="1524">
      <c r="A1524" s="378"/>
      <c r="B1524" s="477"/>
      <c r="C1524" s="378"/>
      <c r="D1524" s="378"/>
      <c r="E1524" s="378"/>
      <c r="F1524" s="378"/>
      <c r="G1524" s="378"/>
      <c r="H1524" s="378"/>
      <c r="I1524" s="376"/>
      <c r="J1524" s="377"/>
      <c r="K1524" s="378"/>
      <c r="L1524" s="378"/>
      <c r="M1524" s="378"/>
      <c r="N1524" s="379"/>
      <c r="O1524" s="380"/>
      <c r="P1524" s="378"/>
      <c r="Q1524" s="378"/>
      <c r="R1524" s="378"/>
      <c r="S1524" s="378"/>
      <c r="T1524" s="378"/>
      <c r="U1524" s="378"/>
      <c r="V1524" s="378"/>
      <c r="W1524" s="378"/>
      <c r="X1524" s="378"/>
      <c r="Y1524" s="378"/>
      <c r="Z1524" s="378"/>
      <c r="AA1524" s="378"/>
      <c r="AB1524" s="378"/>
      <c r="AC1524" s="378"/>
      <c r="AD1524" s="378"/>
      <c r="AE1524" s="378"/>
      <c r="AF1524" s="378"/>
      <c r="AG1524" s="378"/>
    </row>
    <row r="1525">
      <c r="A1525" s="378"/>
      <c r="B1525" s="477"/>
      <c r="C1525" s="378"/>
      <c r="D1525" s="378"/>
      <c r="E1525" s="378"/>
      <c r="F1525" s="378"/>
      <c r="G1525" s="378"/>
      <c r="H1525" s="378"/>
      <c r="I1525" s="376"/>
      <c r="J1525" s="377"/>
      <c r="K1525" s="378"/>
      <c r="L1525" s="378"/>
      <c r="M1525" s="378"/>
      <c r="N1525" s="379"/>
      <c r="O1525" s="380"/>
      <c r="P1525" s="378"/>
      <c r="Q1525" s="378"/>
      <c r="R1525" s="378"/>
      <c r="S1525" s="378"/>
      <c r="T1525" s="378"/>
      <c r="U1525" s="378"/>
      <c r="V1525" s="378"/>
      <c r="W1525" s="378"/>
      <c r="X1525" s="378"/>
      <c r="Y1525" s="378"/>
      <c r="Z1525" s="378"/>
      <c r="AA1525" s="378"/>
      <c r="AB1525" s="378"/>
      <c r="AC1525" s="378"/>
      <c r="AD1525" s="378"/>
      <c r="AE1525" s="378"/>
      <c r="AF1525" s="378"/>
      <c r="AG1525" s="378"/>
    </row>
    <row r="1526">
      <c r="A1526" s="378"/>
      <c r="B1526" s="477"/>
      <c r="C1526" s="378"/>
      <c r="D1526" s="378"/>
      <c r="E1526" s="378"/>
      <c r="F1526" s="378"/>
      <c r="G1526" s="378"/>
      <c r="H1526" s="378"/>
      <c r="I1526" s="376"/>
      <c r="J1526" s="377"/>
      <c r="K1526" s="378"/>
      <c r="L1526" s="378"/>
      <c r="M1526" s="378"/>
      <c r="N1526" s="379"/>
      <c r="O1526" s="380"/>
      <c r="P1526" s="378"/>
      <c r="Q1526" s="378"/>
      <c r="R1526" s="378"/>
      <c r="S1526" s="378"/>
      <c r="T1526" s="378"/>
      <c r="U1526" s="378"/>
      <c r="V1526" s="378"/>
      <c r="W1526" s="378"/>
      <c r="X1526" s="378"/>
      <c r="Y1526" s="378"/>
      <c r="Z1526" s="378"/>
      <c r="AA1526" s="378"/>
      <c r="AB1526" s="378"/>
      <c r="AC1526" s="378"/>
      <c r="AD1526" s="378"/>
      <c r="AE1526" s="378"/>
      <c r="AF1526" s="378"/>
      <c r="AG1526" s="378"/>
    </row>
    <row r="1527">
      <c r="A1527" s="378"/>
      <c r="B1527" s="477"/>
      <c r="C1527" s="378"/>
      <c r="D1527" s="378"/>
      <c r="E1527" s="378"/>
      <c r="F1527" s="378"/>
      <c r="G1527" s="378"/>
      <c r="H1527" s="378"/>
      <c r="I1527" s="376"/>
      <c r="J1527" s="377"/>
      <c r="K1527" s="378"/>
      <c r="L1527" s="378"/>
      <c r="M1527" s="378"/>
      <c r="N1527" s="379"/>
      <c r="O1527" s="380"/>
      <c r="P1527" s="378"/>
      <c r="Q1527" s="378"/>
      <c r="R1527" s="378"/>
      <c r="S1527" s="378"/>
      <c r="T1527" s="378"/>
      <c r="U1527" s="378"/>
      <c r="V1527" s="378"/>
      <c r="W1527" s="378"/>
      <c r="X1527" s="378"/>
      <c r="Y1527" s="378"/>
      <c r="Z1527" s="378"/>
      <c r="AA1527" s="378"/>
      <c r="AB1527" s="378"/>
      <c r="AC1527" s="378"/>
      <c r="AD1527" s="378"/>
      <c r="AE1527" s="378"/>
      <c r="AF1527" s="378"/>
      <c r="AG1527" s="378"/>
    </row>
    <row r="1528">
      <c r="A1528" s="378"/>
      <c r="B1528" s="477"/>
      <c r="C1528" s="378"/>
      <c r="D1528" s="378"/>
      <c r="E1528" s="378"/>
      <c r="F1528" s="378"/>
      <c r="G1528" s="378"/>
      <c r="H1528" s="378"/>
      <c r="I1528" s="376"/>
      <c r="J1528" s="377"/>
      <c r="K1528" s="378"/>
      <c r="L1528" s="378"/>
      <c r="M1528" s="378"/>
      <c r="N1528" s="379"/>
      <c r="O1528" s="380"/>
      <c r="P1528" s="378"/>
      <c r="Q1528" s="378"/>
      <c r="R1528" s="378"/>
      <c r="S1528" s="378"/>
      <c r="T1528" s="378"/>
      <c r="U1528" s="378"/>
      <c r="V1528" s="378"/>
      <c r="W1528" s="378"/>
      <c r="X1528" s="378"/>
      <c r="Y1528" s="378"/>
      <c r="Z1528" s="378"/>
      <c r="AA1528" s="378"/>
      <c r="AB1528" s="378"/>
      <c r="AC1528" s="378"/>
      <c r="AD1528" s="378"/>
      <c r="AE1528" s="378"/>
      <c r="AF1528" s="378"/>
      <c r="AG1528" s="378"/>
    </row>
    <row r="1529">
      <c r="A1529" s="378"/>
      <c r="B1529" s="477"/>
      <c r="C1529" s="378"/>
      <c r="D1529" s="378"/>
      <c r="E1529" s="378"/>
      <c r="F1529" s="378"/>
      <c r="G1529" s="378"/>
      <c r="H1529" s="378"/>
      <c r="I1529" s="376"/>
      <c r="J1529" s="377"/>
      <c r="K1529" s="378"/>
      <c r="L1529" s="378"/>
      <c r="M1529" s="378"/>
      <c r="N1529" s="379"/>
      <c r="O1529" s="380"/>
      <c r="P1529" s="378"/>
      <c r="Q1529" s="378"/>
      <c r="R1529" s="378"/>
      <c r="S1529" s="378"/>
      <c r="T1529" s="378"/>
      <c r="U1529" s="378"/>
      <c r="V1529" s="378"/>
      <c r="W1529" s="378"/>
      <c r="X1529" s="378"/>
      <c r="Y1529" s="378"/>
      <c r="Z1529" s="378"/>
      <c r="AA1529" s="378"/>
      <c r="AB1529" s="378"/>
      <c r="AC1529" s="378"/>
      <c r="AD1529" s="378"/>
      <c r="AE1529" s="378"/>
      <c r="AF1529" s="378"/>
      <c r="AG1529" s="378"/>
    </row>
    <row r="1530">
      <c r="A1530" s="378"/>
      <c r="B1530" s="477"/>
      <c r="C1530" s="378"/>
      <c r="D1530" s="378"/>
      <c r="E1530" s="378"/>
      <c r="F1530" s="378"/>
      <c r="G1530" s="378"/>
      <c r="H1530" s="378"/>
      <c r="I1530" s="376"/>
      <c r="J1530" s="377"/>
      <c r="K1530" s="378"/>
      <c r="L1530" s="378"/>
      <c r="M1530" s="378"/>
      <c r="N1530" s="379"/>
      <c r="O1530" s="380"/>
      <c r="P1530" s="378"/>
      <c r="Q1530" s="378"/>
      <c r="R1530" s="378"/>
      <c r="S1530" s="378"/>
      <c r="T1530" s="378"/>
      <c r="U1530" s="378"/>
      <c r="V1530" s="378"/>
      <c r="W1530" s="378"/>
      <c r="X1530" s="378"/>
      <c r="Y1530" s="378"/>
      <c r="Z1530" s="378"/>
      <c r="AA1530" s="378"/>
      <c r="AB1530" s="378"/>
      <c r="AC1530" s="378"/>
      <c r="AD1530" s="378"/>
      <c r="AE1530" s="378"/>
      <c r="AF1530" s="378"/>
      <c r="AG1530" s="378"/>
    </row>
    <row r="1531">
      <c r="A1531" s="378"/>
      <c r="B1531" s="477"/>
      <c r="C1531" s="378"/>
      <c r="D1531" s="378"/>
      <c r="E1531" s="378"/>
      <c r="F1531" s="378"/>
      <c r="G1531" s="378"/>
      <c r="H1531" s="378"/>
      <c r="I1531" s="376"/>
      <c r="J1531" s="377"/>
      <c r="K1531" s="378"/>
      <c r="L1531" s="378"/>
      <c r="M1531" s="378"/>
      <c r="N1531" s="379"/>
      <c r="O1531" s="380"/>
      <c r="P1531" s="378"/>
      <c r="Q1531" s="378"/>
      <c r="R1531" s="378"/>
      <c r="S1531" s="378"/>
      <c r="T1531" s="378"/>
      <c r="U1531" s="378"/>
      <c r="V1531" s="378"/>
      <c r="W1531" s="378"/>
      <c r="X1531" s="378"/>
      <c r="Y1531" s="378"/>
      <c r="Z1531" s="378"/>
      <c r="AA1531" s="378"/>
      <c r="AB1531" s="378"/>
      <c r="AC1531" s="378"/>
      <c r="AD1531" s="378"/>
      <c r="AE1531" s="378"/>
      <c r="AF1531" s="378"/>
      <c r="AG1531" s="378"/>
    </row>
    <row r="1532">
      <c r="A1532" s="378"/>
      <c r="B1532" s="477"/>
      <c r="C1532" s="378"/>
      <c r="D1532" s="378"/>
      <c r="E1532" s="378"/>
      <c r="F1532" s="378"/>
      <c r="G1532" s="378"/>
      <c r="H1532" s="378"/>
      <c r="I1532" s="376"/>
      <c r="J1532" s="377"/>
      <c r="K1532" s="378"/>
      <c r="L1532" s="378"/>
      <c r="M1532" s="378"/>
      <c r="N1532" s="379"/>
      <c r="O1532" s="380"/>
      <c r="P1532" s="378"/>
      <c r="Q1532" s="378"/>
      <c r="R1532" s="378"/>
      <c r="S1532" s="378"/>
      <c r="T1532" s="378"/>
      <c r="U1532" s="378"/>
      <c r="V1532" s="378"/>
      <c r="W1532" s="378"/>
      <c r="X1532" s="378"/>
      <c r="Y1532" s="378"/>
      <c r="Z1532" s="378"/>
      <c r="AA1532" s="378"/>
      <c r="AB1532" s="378"/>
      <c r="AC1532" s="378"/>
      <c r="AD1532" s="378"/>
      <c r="AE1532" s="378"/>
      <c r="AF1532" s="378"/>
      <c r="AG1532" s="378"/>
    </row>
    <row r="1533">
      <c r="A1533" s="378"/>
      <c r="B1533" s="477"/>
      <c r="C1533" s="378"/>
      <c r="D1533" s="378"/>
      <c r="E1533" s="378"/>
      <c r="F1533" s="378"/>
      <c r="G1533" s="378"/>
      <c r="H1533" s="378"/>
      <c r="I1533" s="376"/>
      <c r="J1533" s="377"/>
      <c r="K1533" s="378"/>
      <c r="L1533" s="378"/>
      <c r="M1533" s="378"/>
      <c r="N1533" s="379"/>
      <c r="O1533" s="380"/>
      <c r="P1533" s="378"/>
      <c r="Q1533" s="378"/>
      <c r="R1533" s="378"/>
      <c r="S1533" s="378"/>
      <c r="T1533" s="378"/>
      <c r="U1533" s="378"/>
      <c r="V1533" s="378"/>
      <c r="W1533" s="378"/>
      <c r="X1533" s="378"/>
      <c r="Y1533" s="378"/>
      <c r="Z1533" s="378"/>
      <c r="AA1533" s="378"/>
      <c r="AB1533" s="378"/>
      <c r="AC1533" s="378"/>
      <c r="AD1533" s="378"/>
      <c r="AE1533" s="378"/>
      <c r="AF1533" s="378"/>
      <c r="AG1533" s="378"/>
    </row>
    <row r="1534">
      <c r="A1534" s="378"/>
      <c r="B1534" s="477"/>
      <c r="C1534" s="378"/>
      <c r="D1534" s="378"/>
      <c r="E1534" s="378"/>
      <c r="F1534" s="378"/>
      <c r="G1534" s="378"/>
      <c r="H1534" s="378"/>
      <c r="I1534" s="376"/>
      <c r="J1534" s="377"/>
      <c r="K1534" s="378"/>
      <c r="L1534" s="378"/>
      <c r="M1534" s="378"/>
      <c r="N1534" s="379"/>
      <c r="O1534" s="380"/>
      <c r="P1534" s="378"/>
      <c r="Q1534" s="378"/>
      <c r="R1534" s="378"/>
      <c r="S1534" s="378"/>
      <c r="T1534" s="378"/>
      <c r="U1534" s="378"/>
      <c r="V1534" s="378"/>
      <c r="W1534" s="378"/>
      <c r="X1534" s="378"/>
      <c r="Y1534" s="378"/>
      <c r="Z1534" s="378"/>
      <c r="AA1534" s="378"/>
      <c r="AB1534" s="378"/>
      <c r="AC1534" s="378"/>
      <c r="AD1534" s="378"/>
      <c r="AE1534" s="378"/>
      <c r="AF1534" s="378"/>
      <c r="AG1534" s="378"/>
    </row>
    <row r="1535">
      <c r="A1535" s="378"/>
      <c r="B1535" s="477"/>
      <c r="C1535" s="378"/>
      <c r="D1535" s="378"/>
      <c r="E1535" s="378"/>
      <c r="F1535" s="378"/>
      <c r="G1535" s="378"/>
      <c r="H1535" s="378"/>
      <c r="I1535" s="376"/>
      <c r="J1535" s="377"/>
      <c r="K1535" s="378"/>
      <c r="L1535" s="378"/>
      <c r="M1535" s="378"/>
      <c r="N1535" s="379"/>
      <c r="O1535" s="380"/>
      <c r="P1535" s="378"/>
      <c r="Q1535" s="378"/>
      <c r="R1535" s="378"/>
      <c r="S1535" s="378"/>
      <c r="T1535" s="378"/>
      <c r="U1535" s="378"/>
      <c r="V1535" s="378"/>
      <c r="W1535" s="378"/>
      <c r="X1535" s="378"/>
      <c r="Y1535" s="378"/>
      <c r="Z1535" s="378"/>
      <c r="AA1535" s="378"/>
      <c r="AB1535" s="378"/>
      <c r="AC1535" s="378"/>
      <c r="AD1535" s="378"/>
      <c r="AE1535" s="378"/>
      <c r="AF1535" s="378"/>
      <c r="AG1535" s="378"/>
    </row>
    <row r="1536">
      <c r="A1536" s="378"/>
      <c r="B1536" s="477"/>
      <c r="C1536" s="378"/>
      <c r="D1536" s="378"/>
      <c r="E1536" s="378"/>
      <c r="F1536" s="378"/>
      <c r="G1536" s="378"/>
      <c r="H1536" s="378"/>
      <c r="I1536" s="376"/>
      <c r="J1536" s="377"/>
      <c r="K1536" s="378"/>
      <c r="L1536" s="378"/>
      <c r="M1536" s="378"/>
      <c r="N1536" s="379"/>
      <c r="O1536" s="380"/>
      <c r="P1536" s="378"/>
      <c r="Q1536" s="378"/>
      <c r="R1536" s="378"/>
      <c r="S1536" s="378"/>
      <c r="T1536" s="378"/>
      <c r="U1536" s="378"/>
      <c r="V1536" s="378"/>
      <c r="W1536" s="378"/>
      <c r="X1536" s="378"/>
      <c r="Y1536" s="378"/>
      <c r="Z1536" s="378"/>
      <c r="AA1536" s="378"/>
      <c r="AB1536" s="378"/>
      <c r="AC1536" s="378"/>
      <c r="AD1536" s="378"/>
      <c r="AE1536" s="378"/>
      <c r="AF1536" s="378"/>
      <c r="AG1536" s="378"/>
    </row>
    <row r="1537">
      <c r="A1537" s="378"/>
      <c r="B1537" s="477"/>
      <c r="C1537" s="378"/>
      <c r="D1537" s="378"/>
      <c r="E1537" s="378"/>
      <c r="F1537" s="378"/>
      <c r="G1537" s="378"/>
      <c r="H1537" s="378"/>
      <c r="I1537" s="376"/>
      <c r="J1537" s="377"/>
      <c r="K1537" s="378"/>
      <c r="L1537" s="378"/>
      <c r="M1537" s="378"/>
      <c r="N1537" s="379"/>
      <c r="O1537" s="380"/>
      <c r="P1537" s="378"/>
      <c r="Q1537" s="378"/>
      <c r="R1537" s="378"/>
      <c r="S1537" s="378"/>
      <c r="T1537" s="378"/>
      <c r="U1537" s="378"/>
      <c r="V1537" s="378"/>
      <c r="W1537" s="378"/>
      <c r="X1537" s="378"/>
      <c r="Y1537" s="378"/>
      <c r="Z1537" s="378"/>
      <c r="AA1537" s="378"/>
      <c r="AB1537" s="378"/>
      <c r="AC1537" s="378"/>
      <c r="AD1537" s="378"/>
      <c r="AE1537" s="378"/>
      <c r="AF1537" s="378"/>
      <c r="AG1537" s="378"/>
    </row>
    <row r="1538">
      <c r="A1538" s="378"/>
      <c r="B1538" s="477"/>
      <c r="C1538" s="378"/>
      <c r="D1538" s="378"/>
      <c r="E1538" s="378"/>
      <c r="F1538" s="378"/>
      <c r="G1538" s="378"/>
      <c r="H1538" s="378"/>
      <c r="I1538" s="376"/>
      <c r="J1538" s="377"/>
      <c r="K1538" s="378"/>
      <c r="L1538" s="378"/>
      <c r="M1538" s="378"/>
      <c r="N1538" s="379"/>
      <c r="O1538" s="380"/>
      <c r="P1538" s="378"/>
      <c r="Q1538" s="378"/>
      <c r="R1538" s="378"/>
      <c r="S1538" s="378"/>
      <c r="T1538" s="378"/>
      <c r="U1538" s="378"/>
      <c r="V1538" s="378"/>
      <c r="W1538" s="378"/>
      <c r="X1538" s="378"/>
      <c r="Y1538" s="378"/>
      <c r="Z1538" s="378"/>
      <c r="AA1538" s="378"/>
      <c r="AB1538" s="378"/>
      <c r="AC1538" s="378"/>
      <c r="AD1538" s="378"/>
      <c r="AE1538" s="378"/>
      <c r="AF1538" s="378"/>
      <c r="AG1538" s="378"/>
    </row>
    <row r="1539">
      <c r="A1539" s="378"/>
      <c r="B1539" s="477"/>
      <c r="C1539" s="378"/>
      <c r="D1539" s="378"/>
      <c r="E1539" s="378"/>
      <c r="F1539" s="378"/>
      <c r="G1539" s="378"/>
      <c r="H1539" s="378"/>
      <c r="I1539" s="376"/>
      <c r="J1539" s="377"/>
      <c r="K1539" s="378"/>
      <c r="L1539" s="378"/>
      <c r="M1539" s="378"/>
      <c r="N1539" s="379"/>
      <c r="O1539" s="380"/>
      <c r="P1539" s="378"/>
      <c r="Q1539" s="378"/>
      <c r="R1539" s="378"/>
      <c r="S1539" s="378"/>
      <c r="T1539" s="378"/>
      <c r="U1539" s="378"/>
      <c r="V1539" s="378"/>
      <c r="W1539" s="378"/>
      <c r="X1539" s="378"/>
      <c r="Y1539" s="378"/>
      <c r="Z1539" s="378"/>
      <c r="AA1539" s="378"/>
      <c r="AB1539" s="378"/>
      <c r="AC1539" s="378"/>
      <c r="AD1539" s="378"/>
      <c r="AE1539" s="378"/>
      <c r="AF1539" s="378"/>
      <c r="AG1539" s="378"/>
    </row>
    <row r="1540">
      <c r="A1540" s="378"/>
      <c r="B1540" s="477"/>
      <c r="C1540" s="378"/>
      <c r="D1540" s="378"/>
      <c r="E1540" s="378"/>
      <c r="F1540" s="378"/>
      <c r="G1540" s="378"/>
      <c r="H1540" s="378"/>
      <c r="I1540" s="376"/>
      <c r="J1540" s="377"/>
      <c r="K1540" s="378"/>
      <c r="L1540" s="378"/>
      <c r="M1540" s="378"/>
      <c r="N1540" s="379"/>
      <c r="O1540" s="380"/>
      <c r="P1540" s="378"/>
      <c r="Q1540" s="378"/>
      <c r="R1540" s="378"/>
      <c r="S1540" s="378"/>
      <c r="T1540" s="378"/>
      <c r="U1540" s="378"/>
      <c r="V1540" s="378"/>
      <c r="W1540" s="378"/>
      <c r="X1540" s="378"/>
      <c r="Y1540" s="378"/>
      <c r="Z1540" s="378"/>
      <c r="AA1540" s="378"/>
      <c r="AB1540" s="378"/>
      <c r="AC1540" s="378"/>
      <c r="AD1540" s="378"/>
      <c r="AE1540" s="378"/>
      <c r="AF1540" s="378"/>
      <c r="AG1540" s="378"/>
    </row>
    <row r="1541">
      <c r="A1541" s="378"/>
      <c r="B1541" s="477"/>
      <c r="C1541" s="378"/>
      <c r="D1541" s="378"/>
      <c r="E1541" s="378"/>
      <c r="F1541" s="378"/>
      <c r="G1541" s="378"/>
      <c r="H1541" s="378"/>
      <c r="I1541" s="376"/>
      <c r="J1541" s="377"/>
      <c r="K1541" s="378"/>
      <c r="L1541" s="378"/>
      <c r="M1541" s="378"/>
      <c r="N1541" s="379"/>
      <c r="O1541" s="380"/>
      <c r="P1541" s="378"/>
      <c r="Q1541" s="378"/>
      <c r="R1541" s="378"/>
      <c r="S1541" s="378"/>
      <c r="T1541" s="378"/>
      <c r="U1541" s="378"/>
      <c r="V1541" s="378"/>
      <c r="W1541" s="378"/>
      <c r="X1541" s="378"/>
      <c r="Y1541" s="378"/>
      <c r="Z1541" s="378"/>
      <c r="AA1541" s="378"/>
      <c r="AB1541" s="378"/>
      <c r="AC1541" s="378"/>
      <c r="AD1541" s="378"/>
      <c r="AE1541" s="378"/>
      <c r="AF1541" s="378"/>
      <c r="AG1541" s="378"/>
    </row>
    <row r="1542">
      <c r="A1542" s="378"/>
      <c r="B1542" s="477"/>
      <c r="C1542" s="378"/>
      <c r="D1542" s="378"/>
      <c r="E1542" s="378"/>
      <c r="F1542" s="378"/>
      <c r="G1542" s="378"/>
      <c r="H1542" s="378"/>
      <c r="I1542" s="376"/>
      <c r="J1542" s="377"/>
      <c r="K1542" s="378"/>
      <c r="L1542" s="378"/>
      <c r="M1542" s="378"/>
      <c r="N1542" s="379"/>
      <c r="O1542" s="380"/>
      <c r="P1542" s="378"/>
      <c r="Q1542" s="378"/>
      <c r="R1542" s="378"/>
      <c r="S1542" s="378"/>
      <c r="T1542" s="378"/>
      <c r="U1542" s="378"/>
      <c r="V1542" s="378"/>
      <c r="W1542" s="378"/>
      <c r="X1542" s="378"/>
      <c r="Y1542" s="378"/>
      <c r="Z1542" s="378"/>
      <c r="AA1542" s="378"/>
      <c r="AB1542" s="378"/>
      <c r="AC1542" s="378"/>
      <c r="AD1542" s="378"/>
      <c r="AE1542" s="378"/>
      <c r="AF1542" s="378"/>
      <c r="AG1542" s="378"/>
    </row>
    <row r="1543">
      <c r="A1543" s="378"/>
      <c r="B1543" s="477"/>
      <c r="C1543" s="378"/>
      <c r="D1543" s="378"/>
      <c r="E1543" s="378"/>
      <c r="F1543" s="378"/>
      <c r="G1543" s="378"/>
      <c r="H1543" s="378"/>
      <c r="I1543" s="376"/>
      <c r="J1543" s="377"/>
      <c r="K1543" s="378"/>
      <c r="L1543" s="378"/>
      <c r="M1543" s="378"/>
      <c r="N1543" s="379"/>
      <c r="O1543" s="380"/>
      <c r="P1543" s="378"/>
      <c r="Q1543" s="378"/>
      <c r="R1543" s="378"/>
      <c r="S1543" s="378"/>
      <c r="T1543" s="378"/>
      <c r="U1543" s="378"/>
      <c r="V1543" s="378"/>
      <c r="W1543" s="378"/>
      <c r="X1543" s="378"/>
      <c r="Y1543" s="378"/>
      <c r="Z1543" s="378"/>
      <c r="AA1543" s="378"/>
      <c r="AB1543" s="378"/>
      <c r="AC1543" s="378"/>
      <c r="AD1543" s="378"/>
      <c r="AE1543" s="378"/>
      <c r="AF1543" s="378"/>
      <c r="AG1543" s="378"/>
    </row>
    <row r="1544">
      <c r="A1544" s="378"/>
      <c r="B1544" s="477"/>
      <c r="C1544" s="378"/>
      <c r="D1544" s="378"/>
      <c r="E1544" s="378"/>
      <c r="F1544" s="378"/>
      <c r="G1544" s="378"/>
      <c r="H1544" s="378"/>
      <c r="I1544" s="376"/>
      <c r="J1544" s="377"/>
      <c r="K1544" s="378"/>
      <c r="L1544" s="378"/>
      <c r="M1544" s="378"/>
      <c r="N1544" s="379"/>
      <c r="O1544" s="380"/>
      <c r="P1544" s="378"/>
      <c r="Q1544" s="378"/>
      <c r="R1544" s="378"/>
      <c r="S1544" s="378"/>
      <c r="T1544" s="378"/>
      <c r="U1544" s="378"/>
      <c r="V1544" s="378"/>
      <c r="W1544" s="378"/>
      <c r="X1544" s="378"/>
      <c r="Y1544" s="378"/>
      <c r="Z1544" s="378"/>
      <c r="AA1544" s="378"/>
      <c r="AB1544" s="378"/>
      <c r="AC1544" s="378"/>
      <c r="AD1544" s="378"/>
      <c r="AE1544" s="378"/>
      <c r="AF1544" s="378"/>
      <c r="AG1544" s="378"/>
    </row>
    <row r="1545">
      <c r="A1545" s="378"/>
      <c r="B1545" s="477"/>
      <c r="C1545" s="378"/>
      <c r="D1545" s="378"/>
      <c r="E1545" s="378"/>
      <c r="F1545" s="378"/>
      <c r="G1545" s="378"/>
      <c r="H1545" s="378"/>
      <c r="I1545" s="376"/>
      <c r="J1545" s="377"/>
      <c r="K1545" s="378"/>
      <c r="L1545" s="378"/>
      <c r="M1545" s="378"/>
      <c r="N1545" s="379"/>
      <c r="O1545" s="380"/>
      <c r="P1545" s="378"/>
      <c r="Q1545" s="378"/>
      <c r="R1545" s="378"/>
      <c r="S1545" s="378"/>
      <c r="T1545" s="378"/>
      <c r="U1545" s="378"/>
      <c r="V1545" s="378"/>
      <c r="W1545" s="378"/>
      <c r="X1545" s="378"/>
      <c r="Y1545" s="378"/>
      <c r="Z1545" s="378"/>
      <c r="AA1545" s="378"/>
      <c r="AB1545" s="378"/>
      <c r="AC1545" s="378"/>
      <c r="AD1545" s="378"/>
      <c r="AE1545" s="378"/>
      <c r="AF1545" s="378"/>
      <c r="AG1545" s="378"/>
    </row>
    <row r="1546">
      <c r="A1546" s="378"/>
      <c r="B1546" s="477"/>
      <c r="C1546" s="378"/>
      <c r="D1546" s="378"/>
      <c r="E1546" s="378"/>
      <c r="F1546" s="378"/>
      <c r="G1546" s="378"/>
      <c r="H1546" s="378"/>
      <c r="I1546" s="376"/>
      <c r="J1546" s="377"/>
      <c r="K1546" s="378"/>
      <c r="L1546" s="378"/>
      <c r="M1546" s="378"/>
      <c r="N1546" s="379"/>
      <c r="O1546" s="380"/>
      <c r="P1546" s="378"/>
      <c r="Q1546" s="378"/>
      <c r="R1546" s="378"/>
      <c r="S1546" s="378"/>
      <c r="T1546" s="378"/>
      <c r="U1546" s="378"/>
      <c r="V1546" s="378"/>
      <c r="W1546" s="378"/>
      <c r="X1546" s="378"/>
      <c r="Y1546" s="378"/>
      <c r="Z1546" s="378"/>
      <c r="AA1546" s="378"/>
      <c r="AB1546" s="378"/>
      <c r="AC1546" s="378"/>
      <c r="AD1546" s="378"/>
      <c r="AE1546" s="378"/>
      <c r="AF1546" s="378"/>
      <c r="AG1546" s="378"/>
    </row>
    <row r="1547">
      <c r="A1547" s="378"/>
      <c r="B1547" s="477"/>
      <c r="C1547" s="378"/>
      <c r="D1547" s="378"/>
      <c r="E1547" s="378"/>
      <c r="F1547" s="378"/>
      <c r="G1547" s="378"/>
      <c r="H1547" s="378"/>
      <c r="I1547" s="376"/>
      <c r="J1547" s="377"/>
      <c r="K1547" s="378"/>
      <c r="L1547" s="378"/>
      <c r="M1547" s="378"/>
      <c r="N1547" s="379"/>
      <c r="O1547" s="380"/>
      <c r="P1547" s="378"/>
      <c r="Q1547" s="378"/>
      <c r="R1547" s="378"/>
      <c r="S1547" s="378"/>
      <c r="T1547" s="378"/>
      <c r="U1547" s="378"/>
      <c r="V1547" s="378"/>
      <c r="W1547" s="378"/>
      <c r="X1547" s="378"/>
      <c r="Y1547" s="378"/>
      <c r="Z1547" s="378"/>
      <c r="AA1547" s="378"/>
      <c r="AB1547" s="378"/>
      <c r="AC1547" s="378"/>
      <c r="AD1547" s="378"/>
      <c r="AE1547" s="378"/>
      <c r="AF1547" s="378"/>
      <c r="AG1547" s="378"/>
    </row>
    <row r="1548">
      <c r="A1548" s="378"/>
      <c r="B1548" s="477"/>
      <c r="C1548" s="378"/>
      <c r="D1548" s="378"/>
      <c r="E1548" s="378"/>
      <c r="F1548" s="378"/>
      <c r="G1548" s="378"/>
      <c r="H1548" s="378"/>
      <c r="I1548" s="376"/>
      <c r="J1548" s="377"/>
      <c r="K1548" s="378"/>
      <c r="L1548" s="378"/>
      <c r="M1548" s="378"/>
      <c r="N1548" s="379"/>
      <c r="O1548" s="380"/>
      <c r="P1548" s="378"/>
      <c r="Q1548" s="378"/>
      <c r="R1548" s="378"/>
      <c r="S1548" s="378"/>
      <c r="T1548" s="378"/>
      <c r="U1548" s="378"/>
      <c r="V1548" s="378"/>
      <c r="W1548" s="378"/>
      <c r="X1548" s="378"/>
      <c r="Y1548" s="378"/>
      <c r="Z1548" s="378"/>
      <c r="AA1548" s="378"/>
      <c r="AB1548" s="378"/>
      <c r="AC1548" s="378"/>
      <c r="AD1548" s="378"/>
      <c r="AE1548" s="378"/>
      <c r="AF1548" s="378"/>
      <c r="AG1548" s="378"/>
    </row>
    <row r="1549">
      <c r="A1549" s="378"/>
      <c r="B1549" s="477"/>
      <c r="C1549" s="378"/>
      <c r="D1549" s="378"/>
      <c r="E1549" s="378"/>
      <c r="F1549" s="378"/>
      <c r="G1549" s="378"/>
      <c r="H1549" s="378"/>
      <c r="I1549" s="376"/>
      <c r="J1549" s="377"/>
      <c r="K1549" s="378"/>
      <c r="L1549" s="378"/>
      <c r="M1549" s="378"/>
      <c r="N1549" s="379"/>
      <c r="O1549" s="380"/>
      <c r="P1549" s="378"/>
      <c r="Q1549" s="378"/>
      <c r="R1549" s="378"/>
      <c r="S1549" s="378"/>
      <c r="T1549" s="378"/>
      <c r="U1549" s="378"/>
      <c r="V1549" s="378"/>
      <c r="W1549" s="378"/>
      <c r="X1549" s="378"/>
      <c r="Y1549" s="378"/>
      <c r="Z1549" s="378"/>
      <c r="AA1549" s="378"/>
      <c r="AB1549" s="378"/>
      <c r="AC1549" s="378"/>
      <c r="AD1549" s="378"/>
      <c r="AE1549" s="378"/>
      <c r="AF1549" s="378"/>
      <c r="AG1549" s="378"/>
    </row>
    <row r="1550">
      <c r="A1550" s="378"/>
      <c r="B1550" s="477"/>
      <c r="C1550" s="378"/>
      <c r="D1550" s="378"/>
      <c r="E1550" s="378"/>
      <c r="F1550" s="378"/>
      <c r="G1550" s="378"/>
      <c r="H1550" s="378"/>
      <c r="I1550" s="376"/>
      <c r="J1550" s="377"/>
      <c r="K1550" s="378"/>
      <c r="L1550" s="378"/>
      <c r="M1550" s="378"/>
      <c r="N1550" s="379"/>
      <c r="O1550" s="380"/>
      <c r="P1550" s="378"/>
      <c r="Q1550" s="378"/>
      <c r="R1550" s="378"/>
      <c r="S1550" s="378"/>
      <c r="T1550" s="378"/>
      <c r="U1550" s="378"/>
      <c r="V1550" s="378"/>
      <c r="W1550" s="378"/>
      <c r="X1550" s="378"/>
      <c r="Y1550" s="378"/>
      <c r="Z1550" s="378"/>
      <c r="AA1550" s="378"/>
      <c r="AB1550" s="378"/>
      <c r="AC1550" s="378"/>
      <c r="AD1550" s="378"/>
      <c r="AE1550" s="378"/>
      <c r="AF1550" s="378"/>
      <c r="AG1550" s="378"/>
    </row>
    <row r="1551">
      <c r="A1551" s="378"/>
      <c r="B1551" s="477"/>
      <c r="C1551" s="378"/>
      <c r="D1551" s="378"/>
      <c r="E1551" s="378"/>
      <c r="F1551" s="378"/>
      <c r="G1551" s="378"/>
      <c r="H1551" s="378"/>
      <c r="I1551" s="376"/>
      <c r="J1551" s="377"/>
      <c r="K1551" s="378"/>
      <c r="L1551" s="378"/>
      <c r="M1551" s="378"/>
      <c r="N1551" s="379"/>
      <c r="O1551" s="380"/>
      <c r="P1551" s="378"/>
      <c r="Q1551" s="378"/>
      <c r="R1551" s="378"/>
      <c r="S1551" s="378"/>
      <c r="T1551" s="378"/>
      <c r="U1551" s="378"/>
      <c r="V1551" s="378"/>
      <c r="W1551" s="378"/>
      <c r="X1551" s="378"/>
      <c r="Y1551" s="378"/>
      <c r="Z1551" s="378"/>
      <c r="AA1551" s="378"/>
      <c r="AB1551" s="378"/>
      <c r="AC1551" s="378"/>
      <c r="AD1551" s="378"/>
      <c r="AE1551" s="378"/>
      <c r="AF1551" s="378"/>
      <c r="AG1551" s="378"/>
    </row>
    <row r="1552">
      <c r="A1552" s="378"/>
      <c r="B1552" s="477"/>
      <c r="C1552" s="378"/>
      <c r="D1552" s="378"/>
      <c r="E1552" s="378"/>
      <c r="F1552" s="378"/>
      <c r="G1552" s="378"/>
      <c r="H1552" s="378"/>
      <c r="I1552" s="376"/>
      <c r="J1552" s="377"/>
      <c r="K1552" s="378"/>
      <c r="L1552" s="378"/>
      <c r="M1552" s="378"/>
      <c r="N1552" s="379"/>
      <c r="O1552" s="380"/>
      <c r="P1552" s="378"/>
      <c r="Q1552" s="378"/>
      <c r="R1552" s="378"/>
      <c r="S1552" s="378"/>
      <c r="T1552" s="378"/>
      <c r="U1552" s="378"/>
      <c r="V1552" s="378"/>
      <c r="W1552" s="378"/>
      <c r="X1552" s="378"/>
      <c r="Y1552" s="378"/>
      <c r="Z1552" s="378"/>
      <c r="AA1552" s="378"/>
      <c r="AB1552" s="378"/>
      <c r="AC1552" s="378"/>
      <c r="AD1552" s="378"/>
      <c r="AE1552" s="378"/>
      <c r="AF1552" s="378"/>
      <c r="AG1552" s="378"/>
    </row>
    <row r="1553">
      <c r="A1553" s="378"/>
      <c r="B1553" s="477"/>
      <c r="C1553" s="378"/>
      <c r="D1553" s="378"/>
      <c r="E1553" s="378"/>
      <c r="F1553" s="378"/>
      <c r="G1553" s="378"/>
      <c r="H1553" s="378"/>
      <c r="I1553" s="376"/>
      <c r="J1553" s="377"/>
      <c r="K1553" s="378"/>
      <c r="L1553" s="378"/>
      <c r="M1553" s="378"/>
      <c r="N1553" s="379"/>
      <c r="O1553" s="380"/>
      <c r="P1553" s="378"/>
      <c r="Q1553" s="378"/>
      <c r="R1553" s="378"/>
      <c r="S1553" s="378"/>
      <c r="T1553" s="378"/>
      <c r="U1553" s="378"/>
      <c r="V1553" s="378"/>
      <c r="W1553" s="378"/>
      <c r="X1553" s="378"/>
      <c r="Y1553" s="378"/>
      <c r="Z1553" s="378"/>
      <c r="AA1553" s="378"/>
      <c r="AB1553" s="378"/>
      <c r="AC1553" s="378"/>
      <c r="AD1553" s="378"/>
      <c r="AE1553" s="378"/>
      <c r="AF1553" s="378"/>
      <c r="AG1553" s="378"/>
    </row>
    <row r="1554">
      <c r="A1554" s="378"/>
      <c r="B1554" s="477"/>
      <c r="C1554" s="378"/>
      <c r="D1554" s="378"/>
      <c r="E1554" s="378"/>
      <c r="F1554" s="378"/>
      <c r="G1554" s="378"/>
      <c r="H1554" s="378"/>
      <c r="I1554" s="376"/>
      <c r="J1554" s="377"/>
      <c r="K1554" s="378"/>
      <c r="L1554" s="378"/>
      <c r="M1554" s="378"/>
      <c r="N1554" s="379"/>
      <c r="O1554" s="380"/>
      <c r="P1554" s="378"/>
      <c r="Q1554" s="378"/>
      <c r="R1554" s="378"/>
      <c r="S1554" s="378"/>
      <c r="T1554" s="378"/>
      <c r="U1554" s="378"/>
      <c r="V1554" s="378"/>
      <c r="W1554" s="378"/>
      <c r="X1554" s="378"/>
      <c r="Y1554" s="378"/>
      <c r="Z1554" s="378"/>
      <c r="AA1554" s="378"/>
      <c r="AB1554" s="378"/>
      <c r="AC1554" s="378"/>
      <c r="AD1554" s="378"/>
      <c r="AE1554" s="378"/>
      <c r="AF1554" s="378"/>
      <c r="AG1554" s="378"/>
    </row>
    <row r="1555">
      <c r="A1555" s="378"/>
      <c r="B1555" s="477"/>
      <c r="C1555" s="378"/>
      <c r="D1555" s="378"/>
      <c r="E1555" s="378"/>
      <c r="F1555" s="378"/>
      <c r="G1555" s="378"/>
      <c r="H1555" s="378"/>
      <c r="I1555" s="376"/>
      <c r="J1555" s="377"/>
      <c r="K1555" s="378"/>
      <c r="L1555" s="378"/>
      <c r="M1555" s="378"/>
      <c r="N1555" s="379"/>
      <c r="O1555" s="380"/>
      <c r="P1555" s="378"/>
      <c r="Q1555" s="378"/>
      <c r="R1555" s="378"/>
      <c r="S1555" s="378"/>
      <c r="T1555" s="378"/>
      <c r="U1555" s="378"/>
      <c r="V1555" s="378"/>
      <c r="W1555" s="378"/>
      <c r="X1555" s="378"/>
      <c r="Y1555" s="378"/>
      <c r="Z1555" s="378"/>
      <c r="AA1555" s="378"/>
      <c r="AB1555" s="378"/>
      <c r="AC1555" s="378"/>
      <c r="AD1555" s="378"/>
      <c r="AE1555" s="378"/>
      <c r="AF1555" s="378"/>
      <c r="AG1555" s="378"/>
    </row>
    <row r="1556">
      <c r="A1556" s="378"/>
      <c r="B1556" s="477"/>
      <c r="C1556" s="378"/>
      <c r="D1556" s="378"/>
      <c r="E1556" s="378"/>
      <c r="F1556" s="378"/>
      <c r="G1556" s="378"/>
      <c r="H1556" s="378"/>
      <c r="I1556" s="376"/>
      <c r="J1556" s="377"/>
      <c r="K1556" s="378"/>
      <c r="L1556" s="378"/>
      <c r="M1556" s="378"/>
      <c r="N1556" s="379"/>
      <c r="O1556" s="380"/>
      <c r="P1556" s="378"/>
      <c r="Q1556" s="378"/>
      <c r="R1556" s="378"/>
      <c r="S1556" s="378"/>
      <c r="T1556" s="378"/>
      <c r="U1556" s="378"/>
      <c r="V1556" s="378"/>
      <c r="W1556" s="378"/>
      <c r="X1556" s="378"/>
      <c r="Y1556" s="378"/>
      <c r="Z1556" s="378"/>
      <c r="AA1556" s="378"/>
      <c r="AB1556" s="378"/>
      <c r="AC1556" s="378"/>
      <c r="AD1556" s="378"/>
      <c r="AE1556" s="378"/>
      <c r="AF1556" s="378"/>
      <c r="AG1556" s="378"/>
    </row>
    <row r="1557">
      <c r="A1557" s="378"/>
      <c r="B1557" s="477"/>
      <c r="C1557" s="378"/>
      <c r="D1557" s="378"/>
      <c r="E1557" s="378"/>
      <c r="F1557" s="378"/>
      <c r="G1557" s="378"/>
      <c r="H1557" s="378"/>
      <c r="I1557" s="376"/>
      <c r="J1557" s="377"/>
      <c r="K1557" s="378"/>
      <c r="L1557" s="378"/>
      <c r="M1557" s="378"/>
      <c r="N1557" s="379"/>
      <c r="O1557" s="380"/>
      <c r="P1557" s="378"/>
      <c r="Q1557" s="378"/>
      <c r="R1557" s="378"/>
      <c r="S1557" s="378"/>
      <c r="T1557" s="378"/>
      <c r="U1557" s="378"/>
      <c r="V1557" s="378"/>
      <c r="W1557" s="378"/>
      <c r="X1557" s="378"/>
      <c r="Y1557" s="378"/>
      <c r="Z1557" s="378"/>
      <c r="AA1557" s="378"/>
      <c r="AB1557" s="378"/>
      <c r="AC1557" s="378"/>
      <c r="AD1557" s="378"/>
      <c r="AE1557" s="378"/>
      <c r="AF1557" s="378"/>
      <c r="AG1557" s="378"/>
    </row>
    <row r="1558">
      <c r="A1558" s="378"/>
      <c r="B1558" s="477"/>
      <c r="C1558" s="378"/>
      <c r="D1558" s="378"/>
      <c r="E1558" s="378"/>
      <c r="F1558" s="378"/>
      <c r="G1558" s="378"/>
      <c r="H1558" s="378"/>
      <c r="I1558" s="376"/>
      <c r="J1558" s="377"/>
      <c r="K1558" s="378"/>
      <c r="L1558" s="378"/>
      <c r="M1558" s="378"/>
      <c r="N1558" s="379"/>
      <c r="O1558" s="380"/>
      <c r="P1558" s="378"/>
      <c r="Q1558" s="378"/>
      <c r="R1558" s="378"/>
      <c r="S1558" s="378"/>
      <c r="T1558" s="378"/>
      <c r="U1558" s="378"/>
      <c r="V1558" s="378"/>
      <c r="W1558" s="378"/>
      <c r="X1558" s="378"/>
      <c r="Y1558" s="378"/>
      <c r="Z1558" s="378"/>
      <c r="AA1558" s="378"/>
      <c r="AB1558" s="378"/>
      <c r="AC1558" s="378"/>
      <c r="AD1558" s="378"/>
      <c r="AE1558" s="378"/>
      <c r="AF1558" s="378"/>
      <c r="AG1558" s="378"/>
    </row>
    <row r="1559">
      <c r="A1559" s="378"/>
      <c r="B1559" s="477"/>
      <c r="C1559" s="378"/>
      <c r="D1559" s="378"/>
      <c r="E1559" s="378"/>
      <c r="F1559" s="378"/>
      <c r="G1559" s="378"/>
      <c r="H1559" s="378"/>
      <c r="I1559" s="376"/>
      <c r="J1559" s="377"/>
      <c r="K1559" s="378"/>
      <c r="L1559" s="378"/>
      <c r="M1559" s="378"/>
      <c r="N1559" s="379"/>
      <c r="O1559" s="380"/>
      <c r="P1559" s="378"/>
      <c r="Q1559" s="378"/>
      <c r="R1559" s="378"/>
      <c r="S1559" s="378"/>
      <c r="T1559" s="378"/>
      <c r="U1559" s="378"/>
      <c r="V1559" s="378"/>
      <c r="W1559" s="378"/>
      <c r="X1559" s="378"/>
      <c r="Y1559" s="378"/>
      <c r="Z1559" s="378"/>
      <c r="AA1559" s="378"/>
      <c r="AB1559" s="378"/>
      <c r="AC1559" s="378"/>
      <c r="AD1559" s="378"/>
      <c r="AE1559" s="378"/>
      <c r="AF1559" s="378"/>
      <c r="AG1559" s="378"/>
    </row>
    <row r="1560">
      <c r="A1560" s="378"/>
      <c r="B1560" s="477"/>
      <c r="C1560" s="378"/>
      <c r="D1560" s="378"/>
      <c r="E1560" s="378"/>
      <c r="F1560" s="378"/>
      <c r="G1560" s="378"/>
      <c r="H1560" s="378"/>
      <c r="I1560" s="376"/>
      <c r="J1560" s="377"/>
      <c r="K1560" s="378"/>
      <c r="L1560" s="378"/>
      <c r="M1560" s="378"/>
      <c r="N1560" s="379"/>
      <c r="O1560" s="380"/>
      <c r="P1560" s="378"/>
      <c r="Q1560" s="378"/>
      <c r="R1560" s="378"/>
      <c r="S1560" s="378"/>
      <c r="T1560" s="378"/>
      <c r="U1560" s="378"/>
      <c r="V1560" s="378"/>
      <c r="W1560" s="378"/>
      <c r="X1560" s="378"/>
      <c r="Y1560" s="378"/>
      <c r="Z1560" s="378"/>
      <c r="AA1560" s="378"/>
      <c r="AB1560" s="378"/>
      <c r="AC1560" s="378"/>
      <c r="AD1560" s="378"/>
      <c r="AE1560" s="378"/>
      <c r="AF1560" s="378"/>
      <c r="AG1560" s="378"/>
    </row>
    <row r="1561">
      <c r="A1561" s="378"/>
      <c r="B1561" s="477"/>
      <c r="C1561" s="378"/>
      <c r="D1561" s="378"/>
      <c r="E1561" s="378"/>
      <c r="F1561" s="378"/>
      <c r="G1561" s="378"/>
      <c r="H1561" s="378"/>
      <c r="I1561" s="376"/>
      <c r="J1561" s="377"/>
      <c r="K1561" s="378"/>
      <c r="L1561" s="378"/>
      <c r="M1561" s="378"/>
      <c r="N1561" s="379"/>
      <c r="O1561" s="380"/>
      <c r="P1561" s="378"/>
      <c r="Q1561" s="378"/>
      <c r="R1561" s="378"/>
      <c r="S1561" s="378"/>
      <c r="T1561" s="378"/>
      <c r="U1561" s="378"/>
      <c r="V1561" s="378"/>
      <c r="W1561" s="378"/>
      <c r="X1561" s="378"/>
      <c r="Y1561" s="378"/>
      <c r="Z1561" s="378"/>
      <c r="AA1561" s="378"/>
      <c r="AB1561" s="378"/>
      <c r="AC1561" s="378"/>
      <c r="AD1561" s="378"/>
      <c r="AE1561" s="378"/>
      <c r="AF1561" s="378"/>
      <c r="AG1561" s="378"/>
    </row>
    <row r="1562">
      <c r="A1562" s="378"/>
      <c r="B1562" s="477"/>
      <c r="C1562" s="378"/>
      <c r="D1562" s="378"/>
      <c r="E1562" s="378"/>
      <c r="F1562" s="378"/>
      <c r="G1562" s="378"/>
      <c r="H1562" s="378"/>
      <c r="I1562" s="376"/>
      <c r="J1562" s="377"/>
      <c r="K1562" s="378"/>
      <c r="L1562" s="378"/>
      <c r="M1562" s="378"/>
      <c r="N1562" s="379"/>
      <c r="O1562" s="380"/>
      <c r="P1562" s="378"/>
      <c r="Q1562" s="378"/>
      <c r="R1562" s="378"/>
      <c r="S1562" s="378"/>
      <c r="T1562" s="378"/>
      <c r="U1562" s="378"/>
      <c r="V1562" s="378"/>
      <c r="W1562" s="378"/>
      <c r="X1562" s="378"/>
      <c r="Y1562" s="378"/>
      <c r="Z1562" s="378"/>
      <c r="AA1562" s="378"/>
      <c r="AB1562" s="378"/>
      <c r="AC1562" s="378"/>
      <c r="AD1562" s="378"/>
      <c r="AE1562" s="378"/>
      <c r="AF1562" s="378"/>
      <c r="AG1562" s="378"/>
    </row>
    <row r="1563">
      <c r="A1563" s="378"/>
      <c r="B1563" s="477"/>
      <c r="C1563" s="378"/>
      <c r="D1563" s="378"/>
      <c r="E1563" s="378"/>
      <c r="F1563" s="378"/>
      <c r="G1563" s="378"/>
      <c r="H1563" s="378"/>
      <c r="I1563" s="376"/>
      <c r="J1563" s="377"/>
      <c r="K1563" s="378"/>
      <c r="L1563" s="378"/>
      <c r="M1563" s="378"/>
      <c r="N1563" s="379"/>
      <c r="O1563" s="380"/>
      <c r="P1563" s="378"/>
      <c r="Q1563" s="378"/>
      <c r="R1563" s="378"/>
      <c r="S1563" s="378"/>
      <c r="T1563" s="378"/>
      <c r="U1563" s="378"/>
      <c r="V1563" s="378"/>
      <c r="W1563" s="378"/>
      <c r="X1563" s="378"/>
      <c r="Y1563" s="378"/>
      <c r="Z1563" s="378"/>
      <c r="AA1563" s="378"/>
      <c r="AB1563" s="378"/>
      <c r="AC1563" s="378"/>
      <c r="AD1563" s="378"/>
      <c r="AE1563" s="378"/>
      <c r="AF1563" s="378"/>
      <c r="AG1563" s="378"/>
    </row>
    <row r="1564">
      <c r="A1564" s="378"/>
      <c r="B1564" s="477"/>
      <c r="C1564" s="378"/>
      <c r="D1564" s="378"/>
      <c r="E1564" s="378"/>
      <c r="F1564" s="378"/>
      <c r="G1564" s="378"/>
      <c r="H1564" s="378"/>
      <c r="I1564" s="376"/>
      <c r="J1564" s="377"/>
      <c r="K1564" s="378"/>
      <c r="L1564" s="378"/>
      <c r="M1564" s="378"/>
      <c r="N1564" s="379"/>
      <c r="O1564" s="380"/>
      <c r="P1564" s="378"/>
      <c r="Q1564" s="378"/>
      <c r="R1564" s="378"/>
      <c r="S1564" s="378"/>
      <c r="T1564" s="378"/>
      <c r="U1564" s="378"/>
      <c r="V1564" s="378"/>
      <c r="W1564" s="378"/>
      <c r="X1564" s="378"/>
      <c r="Y1564" s="378"/>
      <c r="Z1564" s="378"/>
      <c r="AA1564" s="378"/>
      <c r="AB1564" s="378"/>
      <c r="AC1564" s="378"/>
      <c r="AD1564" s="378"/>
      <c r="AE1564" s="378"/>
      <c r="AF1564" s="378"/>
      <c r="AG1564" s="378"/>
    </row>
    <row r="1565">
      <c r="A1565" s="378"/>
      <c r="B1565" s="477"/>
      <c r="C1565" s="378"/>
      <c r="D1565" s="378"/>
      <c r="E1565" s="378"/>
      <c r="F1565" s="378"/>
      <c r="G1565" s="378"/>
      <c r="H1565" s="378"/>
      <c r="I1565" s="376"/>
      <c r="J1565" s="377"/>
      <c r="K1565" s="378"/>
      <c r="L1565" s="378"/>
      <c r="M1565" s="378"/>
      <c r="N1565" s="379"/>
      <c r="O1565" s="380"/>
      <c r="P1565" s="378"/>
      <c r="Q1565" s="378"/>
      <c r="R1565" s="378"/>
      <c r="S1565" s="378"/>
      <c r="T1565" s="378"/>
      <c r="U1565" s="378"/>
      <c r="V1565" s="378"/>
      <c r="W1565" s="378"/>
      <c r="X1565" s="378"/>
      <c r="Y1565" s="378"/>
      <c r="Z1565" s="378"/>
      <c r="AA1565" s="378"/>
      <c r="AB1565" s="378"/>
      <c r="AC1565" s="378"/>
      <c r="AD1565" s="378"/>
      <c r="AE1565" s="378"/>
      <c r="AF1565" s="378"/>
      <c r="AG1565" s="378"/>
    </row>
    <row r="1566">
      <c r="A1566" s="378"/>
      <c r="B1566" s="477"/>
      <c r="C1566" s="378"/>
      <c r="D1566" s="378"/>
      <c r="E1566" s="378"/>
      <c r="F1566" s="378"/>
      <c r="G1566" s="378"/>
      <c r="H1566" s="378"/>
      <c r="I1566" s="376"/>
      <c r="J1566" s="377"/>
      <c r="K1566" s="378"/>
      <c r="L1566" s="378"/>
      <c r="M1566" s="378"/>
      <c r="N1566" s="379"/>
      <c r="O1566" s="380"/>
      <c r="P1566" s="378"/>
      <c r="Q1566" s="378"/>
      <c r="R1566" s="378"/>
      <c r="S1566" s="378"/>
      <c r="T1566" s="378"/>
      <c r="U1566" s="378"/>
      <c r="V1566" s="378"/>
      <c r="W1566" s="378"/>
      <c r="X1566" s="378"/>
      <c r="Y1566" s="378"/>
      <c r="Z1566" s="378"/>
      <c r="AA1566" s="378"/>
      <c r="AB1566" s="378"/>
      <c r="AC1566" s="378"/>
      <c r="AD1566" s="378"/>
      <c r="AE1566" s="378"/>
      <c r="AF1566" s="378"/>
      <c r="AG1566" s="378"/>
    </row>
    <row r="1567">
      <c r="A1567" s="378"/>
      <c r="B1567" s="477"/>
      <c r="C1567" s="378"/>
      <c r="D1567" s="378"/>
      <c r="E1567" s="378"/>
      <c r="F1567" s="378"/>
      <c r="G1567" s="378"/>
      <c r="H1567" s="378"/>
      <c r="I1567" s="376"/>
      <c r="J1567" s="377"/>
      <c r="K1567" s="378"/>
      <c r="L1567" s="378"/>
      <c r="M1567" s="378"/>
      <c r="N1567" s="379"/>
      <c r="O1567" s="380"/>
      <c r="P1567" s="378"/>
      <c r="Q1567" s="378"/>
      <c r="R1567" s="378"/>
      <c r="S1567" s="378"/>
      <c r="T1567" s="378"/>
      <c r="U1567" s="378"/>
      <c r="V1567" s="378"/>
      <c r="W1567" s="378"/>
      <c r="X1567" s="378"/>
      <c r="Y1567" s="378"/>
      <c r="Z1567" s="378"/>
      <c r="AA1567" s="378"/>
      <c r="AB1567" s="378"/>
      <c r="AC1567" s="378"/>
      <c r="AD1567" s="378"/>
      <c r="AE1567" s="378"/>
      <c r="AF1567" s="378"/>
      <c r="AG1567" s="378"/>
    </row>
    <row r="1568">
      <c r="A1568" s="378"/>
      <c r="B1568" s="477"/>
      <c r="C1568" s="378"/>
      <c r="D1568" s="378"/>
      <c r="E1568" s="378"/>
      <c r="F1568" s="378"/>
      <c r="G1568" s="378"/>
      <c r="H1568" s="378"/>
      <c r="I1568" s="376"/>
      <c r="J1568" s="377"/>
      <c r="K1568" s="378"/>
      <c r="L1568" s="378"/>
      <c r="M1568" s="378"/>
      <c r="N1568" s="379"/>
      <c r="O1568" s="380"/>
      <c r="P1568" s="378"/>
      <c r="Q1568" s="378"/>
      <c r="R1568" s="378"/>
      <c r="S1568" s="378"/>
      <c r="T1568" s="378"/>
      <c r="U1568" s="378"/>
      <c r="V1568" s="378"/>
      <c r="W1568" s="378"/>
      <c r="X1568" s="378"/>
      <c r="Y1568" s="378"/>
      <c r="Z1568" s="378"/>
      <c r="AA1568" s="378"/>
      <c r="AB1568" s="378"/>
      <c r="AC1568" s="378"/>
      <c r="AD1568" s="378"/>
      <c r="AE1568" s="378"/>
      <c r="AF1568" s="378"/>
      <c r="AG1568" s="378"/>
    </row>
    <row r="1569">
      <c r="A1569" s="378"/>
      <c r="B1569" s="477"/>
      <c r="C1569" s="378"/>
      <c r="D1569" s="378"/>
      <c r="E1569" s="378"/>
      <c r="F1569" s="378"/>
      <c r="G1569" s="378"/>
      <c r="H1569" s="378"/>
      <c r="I1569" s="376"/>
      <c r="J1569" s="377"/>
      <c r="K1569" s="378"/>
      <c r="L1569" s="378"/>
      <c r="M1569" s="378"/>
      <c r="N1569" s="379"/>
      <c r="O1569" s="380"/>
      <c r="P1569" s="378"/>
      <c r="Q1569" s="378"/>
      <c r="R1569" s="378"/>
      <c r="S1569" s="378"/>
      <c r="T1569" s="378"/>
      <c r="U1569" s="378"/>
      <c r="V1569" s="378"/>
      <c r="W1569" s="378"/>
      <c r="X1569" s="378"/>
      <c r="Y1569" s="378"/>
      <c r="Z1569" s="378"/>
      <c r="AA1569" s="378"/>
      <c r="AB1569" s="378"/>
      <c r="AC1569" s="378"/>
      <c r="AD1569" s="378"/>
      <c r="AE1569" s="378"/>
      <c r="AF1569" s="378"/>
      <c r="AG1569" s="378"/>
    </row>
    <row r="1570">
      <c r="A1570" s="378"/>
      <c r="B1570" s="477"/>
      <c r="C1570" s="378"/>
      <c r="D1570" s="378"/>
      <c r="E1570" s="378"/>
      <c r="F1570" s="378"/>
      <c r="G1570" s="378"/>
      <c r="H1570" s="378"/>
      <c r="I1570" s="376"/>
      <c r="J1570" s="377"/>
      <c r="K1570" s="378"/>
      <c r="L1570" s="378"/>
      <c r="M1570" s="378"/>
      <c r="N1570" s="379"/>
      <c r="O1570" s="380"/>
      <c r="P1570" s="378"/>
      <c r="Q1570" s="378"/>
      <c r="R1570" s="378"/>
      <c r="S1570" s="378"/>
      <c r="T1570" s="378"/>
      <c r="U1570" s="378"/>
      <c r="V1570" s="378"/>
      <c r="W1570" s="378"/>
      <c r="X1570" s="378"/>
      <c r="Y1570" s="378"/>
      <c r="Z1570" s="378"/>
      <c r="AA1570" s="378"/>
      <c r="AB1570" s="378"/>
      <c r="AC1570" s="378"/>
      <c r="AD1570" s="378"/>
      <c r="AE1570" s="378"/>
      <c r="AF1570" s="378"/>
      <c r="AG1570" s="378"/>
    </row>
    <row r="1571">
      <c r="A1571" s="378"/>
      <c r="B1571" s="477"/>
      <c r="C1571" s="378"/>
      <c r="D1571" s="378"/>
      <c r="E1571" s="378"/>
      <c r="F1571" s="378"/>
      <c r="G1571" s="378"/>
      <c r="H1571" s="378"/>
      <c r="I1571" s="376"/>
      <c r="J1571" s="377"/>
      <c r="K1571" s="378"/>
      <c r="L1571" s="378"/>
      <c r="M1571" s="378"/>
      <c r="N1571" s="379"/>
      <c r="O1571" s="380"/>
      <c r="P1571" s="378"/>
      <c r="Q1571" s="378"/>
      <c r="R1571" s="378"/>
      <c r="S1571" s="378"/>
      <c r="T1571" s="378"/>
      <c r="U1571" s="378"/>
      <c r="V1571" s="378"/>
      <c r="W1571" s="378"/>
      <c r="X1571" s="378"/>
      <c r="Y1571" s="378"/>
      <c r="Z1571" s="378"/>
      <c r="AA1571" s="378"/>
      <c r="AB1571" s="378"/>
      <c r="AC1571" s="378"/>
      <c r="AD1571" s="378"/>
      <c r="AE1571" s="378"/>
      <c r="AF1571" s="378"/>
      <c r="AG1571" s="378"/>
    </row>
    <row r="1572">
      <c r="A1572" s="378"/>
      <c r="B1572" s="477"/>
      <c r="C1572" s="378"/>
      <c r="D1572" s="378"/>
      <c r="E1572" s="378"/>
      <c r="F1572" s="378"/>
      <c r="G1572" s="378"/>
      <c r="H1572" s="378"/>
      <c r="I1572" s="376"/>
      <c r="J1572" s="377"/>
      <c r="K1572" s="378"/>
      <c r="L1572" s="378"/>
      <c r="M1572" s="378"/>
      <c r="N1572" s="379"/>
      <c r="O1572" s="380"/>
      <c r="P1572" s="378"/>
      <c r="Q1572" s="378"/>
      <c r="R1572" s="378"/>
      <c r="S1572" s="378"/>
      <c r="T1572" s="378"/>
      <c r="U1572" s="378"/>
      <c r="V1572" s="378"/>
      <c r="W1572" s="378"/>
      <c r="X1572" s="378"/>
      <c r="Y1572" s="378"/>
      <c r="Z1572" s="378"/>
      <c r="AA1572" s="378"/>
      <c r="AB1572" s="378"/>
      <c r="AC1572" s="378"/>
      <c r="AD1572" s="378"/>
      <c r="AE1572" s="378"/>
      <c r="AF1572" s="378"/>
      <c r="AG1572" s="378"/>
    </row>
    <row r="1573">
      <c r="A1573" s="378"/>
      <c r="B1573" s="477"/>
      <c r="C1573" s="378"/>
      <c r="D1573" s="378"/>
      <c r="E1573" s="378"/>
      <c r="F1573" s="378"/>
      <c r="G1573" s="378"/>
      <c r="H1573" s="378"/>
      <c r="I1573" s="376"/>
      <c r="J1573" s="377"/>
      <c r="K1573" s="378"/>
      <c r="L1573" s="378"/>
      <c r="M1573" s="378"/>
      <c r="N1573" s="379"/>
      <c r="O1573" s="380"/>
      <c r="P1573" s="378"/>
      <c r="Q1573" s="378"/>
      <c r="R1573" s="378"/>
      <c r="S1573" s="378"/>
      <c r="T1573" s="378"/>
      <c r="U1573" s="378"/>
      <c r="V1573" s="378"/>
      <c r="W1573" s="378"/>
      <c r="X1573" s="378"/>
      <c r="Y1573" s="378"/>
      <c r="Z1573" s="378"/>
      <c r="AA1573" s="378"/>
      <c r="AB1573" s="378"/>
      <c r="AC1573" s="378"/>
      <c r="AD1573" s="378"/>
      <c r="AE1573" s="378"/>
      <c r="AF1573" s="378"/>
      <c r="AG1573" s="378"/>
    </row>
    <row r="1574">
      <c r="A1574" s="378"/>
      <c r="B1574" s="477"/>
      <c r="C1574" s="378"/>
      <c r="D1574" s="378"/>
      <c r="E1574" s="378"/>
      <c r="F1574" s="378"/>
      <c r="G1574" s="378"/>
      <c r="H1574" s="378"/>
      <c r="I1574" s="376"/>
      <c r="J1574" s="377"/>
      <c r="K1574" s="378"/>
      <c r="L1574" s="378"/>
      <c r="M1574" s="378"/>
      <c r="N1574" s="379"/>
      <c r="O1574" s="380"/>
      <c r="P1574" s="378"/>
      <c r="Q1574" s="378"/>
      <c r="R1574" s="378"/>
      <c r="S1574" s="378"/>
      <c r="T1574" s="378"/>
      <c r="U1574" s="378"/>
      <c r="V1574" s="378"/>
      <c r="W1574" s="378"/>
      <c r="X1574" s="378"/>
      <c r="Y1574" s="378"/>
      <c r="Z1574" s="378"/>
      <c r="AA1574" s="378"/>
      <c r="AB1574" s="378"/>
      <c r="AC1574" s="378"/>
      <c r="AD1574" s="378"/>
      <c r="AE1574" s="378"/>
      <c r="AF1574" s="378"/>
      <c r="AG1574" s="378"/>
    </row>
    <row r="1575">
      <c r="A1575" s="378"/>
      <c r="B1575" s="477"/>
      <c r="C1575" s="378"/>
      <c r="D1575" s="378"/>
      <c r="E1575" s="378"/>
      <c r="F1575" s="378"/>
      <c r="G1575" s="378"/>
      <c r="H1575" s="378"/>
      <c r="I1575" s="376"/>
      <c r="J1575" s="377"/>
      <c r="K1575" s="378"/>
      <c r="L1575" s="378"/>
      <c r="M1575" s="378"/>
      <c r="N1575" s="379"/>
      <c r="O1575" s="380"/>
      <c r="P1575" s="378"/>
      <c r="Q1575" s="378"/>
      <c r="R1575" s="378"/>
      <c r="S1575" s="378"/>
      <c r="T1575" s="378"/>
      <c r="U1575" s="378"/>
      <c r="V1575" s="378"/>
      <c r="W1575" s="378"/>
      <c r="X1575" s="378"/>
      <c r="Y1575" s="378"/>
      <c r="Z1575" s="378"/>
      <c r="AA1575" s="378"/>
      <c r="AB1575" s="378"/>
      <c r="AC1575" s="378"/>
      <c r="AD1575" s="378"/>
      <c r="AE1575" s="378"/>
      <c r="AF1575" s="378"/>
      <c r="AG1575" s="378"/>
    </row>
    <row r="1576">
      <c r="A1576" s="378"/>
      <c r="B1576" s="477"/>
      <c r="C1576" s="378"/>
      <c r="D1576" s="378"/>
      <c r="E1576" s="378"/>
      <c r="F1576" s="378"/>
      <c r="G1576" s="378"/>
      <c r="H1576" s="378"/>
      <c r="I1576" s="376"/>
      <c r="J1576" s="377"/>
      <c r="K1576" s="378"/>
      <c r="L1576" s="378"/>
      <c r="M1576" s="378"/>
      <c r="N1576" s="379"/>
      <c r="O1576" s="380"/>
      <c r="P1576" s="378"/>
      <c r="Q1576" s="378"/>
      <c r="R1576" s="378"/>
      <c r="S1576" s="378"/>
      <c r="T1576" s="378"/>
      <c r="U1576" s="378"/>
      <c r="V1576" s="378"/>
      <c r="W1576" s="378"/>
      <c r="X1576" s="378"/>
      <c r="Y1576" s="378"/>
      <c r="Z1576" s="378"/>
      <c r="AA1576" s="378"/>
      <c r="AB1576" s="378"/>
      <c r="AC1576" s="378"/>
      <c r="AD1576" s="378"/>
      <c r="AE1576" s="378"/>
      <c r="AF1576" s="378"/>
      <c r="AG1576" s="378"/>
    </row>
    <row r="1577">
      <c r="A1577" s="378"/>
      <c r="B1577" s="477"/>
      <c r="C1577" s="378"/>
      <c r="D1577" s="378"/>
      <c r="E1577" s="378"/>
      <c r="F1577" s="378"/>
      <c r="G1577" s="378"/>
      <c r="H1577" s="378"/>
      <c r="I1577" s="376"/>
      <c r="J1577" s="377"/>
      <c r="K1577" s="378"/>
      <c r="L1577" s="378"/>
      <c r="M1577" s="378"/>
      <c r="N1577" s="379"/>
      <c r="O1577" s="380"/>
      <c r="P1577" s="378"/>
      <c r="Q1577" s="378"/>
      <c r="R1577" s="378"/>
      <c r="S1577" s="378"/>
      <c r="T1577" s="378"/>
      <c r="U1577" s="378"/>
      <c r="V1577" s="378"/>
      <c r="W1577" s="378"/>
      <c r="X1577" s="378"/>
      <c r="Y1577" s="378"/>
      <c r="Z1577" s="378"/>
      <c r="AA1577" s="378"/>
      <c r="AB1577" s="378"/>
      <c r="AC1577" s="378"/>
      <c r="AD1577" s="378"/>
      <c r="AE1577" s="378"/>
      <c r="AF1577" s="378"/>
      <c r="AG1577" s="378"/>
    </row>
    <row r="1578">
      <c r="A1578" s="378"/>
      <c r="B1578" s="477"/>
      <c r="C1578" s="378"/>
      <c r="D1578" s="378"/>
      <c r="E1578" s="378"/>
      <c r="F1578" s="378"/>
      <c r="G1578" s="378"/>
      <c r="H1578" s="378"/>
      <c r="I1578" s="376"/>
      <c r="J1578" s="377"/>
      <c r="K1578" s="378"/>
      <c r="L1578" s="378"/>
      <c r="M1578" s="378"/>
      <c r="N1578" s="379"/>
      <c r="O1578" s="380"/>
      <c r="P1578" s="378"/>
      <c r="Q1578" s="378"/>
      <c r="R1578" s="378"/>
      <c r="S1578" s="378"/>
      <c r="T1578" s="378"/>
      <c r="U1578" s="378"/>
      <c r="V1578" s="378"/>
      <c r="W1578" s="378"/>
      <c r="X1578" s="378"/>
      <c r="Y1578" s="378"/>
      <c r="Z1578" s="378"/>
      <c r="AA1578" s="378"/>
      <c r="AB1578" s="378"/>
      <c r="AC1578" s="378"/>
      <c r="AD1578" s="378"/>
      <c r="AE1578" s="378"/>
      <c r="AF1578" s="378"/>
      <c r="AG1578" s="378"/>
    </row>
    <row r="1579">
      <c r="A1579" s="378"/>
      <c r="B1579" s="477"/>
      <c r="C1579" s="378"/>
      <c r="D1579" s="378"/>
      <c r="E1579" s="378"/>
      <c r="F1579" s="378"/>
      <c r="G1579" s="378"/>
      <c r="H1579" s="378"/>
      <c r="I1579" s="376"/>
      <c r="J1579" s="377"/>
      <c r="K1579" s="378"/>
      <c r="L1579" s="378"/>
      <c r="M1579" s="378"/>
      <c r="N1579" s="379"/>
      <c r="O1579" s="380"/>
      <c r="P1579" s="378"/>
      <c r="Q1579" s="378"/>
      <c r="R1579" s="378"/>
      <c r="S1579" s="378"/>
      <c r="T1579" s="378"/>
      <c r="U1579" s="378"/>
      <c r="V1579" s="378"/>
      <c r="W1579" s="378"/>
      <c r="X1579" s="378"/>
      <c r="Y1579" s="378"/>
      <c r="Z1579" s="378"/>
      <c r="AA1579" s="378"/>
      <c r="AB1579" s="378"/>
      <c r="AC1579" s="378"/>
      <c r="AD1579" s="378"/>
      <c r="AE1579" s="378"/>
      <c r="AF1579" s="378"/>
      <c r="AG1579" s="378"/>
    </row>
    <row r="1580">
      <c r="A1580" s="378"/>
      <c r="B1580" s="477"/>
      <c r="C1580" s="378"/>
      <c r="D1580" s="378"/>
      <c r="E1580" s="378"/>
      <c r="F1580" s="378"/>
      <c r="G1580" s="378"/>
      <c r="H1580" s="378"/>
      <c r="I1580" s="376"/>
      <c r="J1580" s="377"/>
      <c r="K1580" s="378"/>
      <c r="L1580" s="378"/>
      <c r="M1580" s="378"/>
      <c r="N1580" s="379"/>
      <c r="O1580" s="380"/>
      <c r="P1580" s="378"/>
      <c r="Q1580" s="378"/>
      <c r="R1580" s="378"/>
      <c r="S1580" s="378"/>
      <c r="T1580" s="378"/>
      <c r="U1580" s="378"/>
      <c r="V1580" s="378"/>
      <c r="W1580" s="378"/>
      <c r="X1580" s="378"/>
      <c r="Y1580" s="378"/>
      <c r="Z1580" s="378"/>
      <c r="AA1580" s="378"/>
      <c r="AB1580" s="378"/>
      <c r="AC1580" s="378"/>
      <c r="AD1580" s="378"/>
      <c r="AE1580" s="378"/>
      <c r="AF1580" s="378"/>
      <c r="AG1580" s="378"/>
    </row>
    <row r="1581">
      <c r="A1581" s="378"/>
      <c r="B1581" s="477"/>
      <c r="C1581" s="378"/>
      <c r="D1581" s="378"/>
      <c r="E1581" s="378"/>
      <c r="F1581" s="378"/>
      <c r="G1581" s="378"/>
      <c r="H1581" s="378"/>
      <c r="I1581" s="376"/>
      <c r="J1581" s="377"/>
      <c r="K1581" s="378"/>
      <c r="L1581" s="378"/>
      <c r="M1581" s="378"/>
      <c r="N1581" s="379"/>
      <c r="O1581" s="380"/>
      <c r="P1581" s="378"/>
      <c r="Q1581" s="378"/>
      <c r="R1581" s="378"/>
      <c r="S1581" s="378"/>
      <c r="T1581" s="378"/>
      <c r="U1581" s="378"/>
      <c r="V1581" s="378"/>
      <c r="W1581" s="378"/>
      <c r="X1581" s="378"/>
      <c r="Y1581" s="378"/>
      <c r="Z1581" s="378"/>
      <c r="AA1581" s="378"/>
      <c r="AB1581" s="378"/>
      <c r="AC1581" s="378"/>
      <c r="AD1581" s="378"/>
      <c r="AE1581" s="378"/>
      <c r="AF1581" s="378"/>
      <c r="AG1581" s="378"/>
    </row>
    <row r="1582">
      <c r="A1582" s="378"/>
      <c r="B1582" s="477"/>
      <c r="C1582" s="378"/>
      <c r="D1582" s="378"/>
      <c r="E1582" s="378"/>
      <c r="F1582" s="378"/>
      <c r="G1582" s="378"/>
      <c r="H1582" s="378"/>
      <c r="I1582" s="376"/>
      <c r="J1582" s="377"/>
      <c r="K1582" s="378"/>
      <c r="L1582" s="378"/>
      <c r="M1582" s="378"/>
      <c r="N1582" s="379"/>
      <c r="O1582" s="380"/>
      <c r="P1582" s="378"/>
      <c r="Q1582" s="378"/>
      <c r="R1582" s="378"/>
      <c r="S1582" s="378"/>
      <c r="T1582" s="378"/>
      <c r="U1582" s="378"/>
      <c r="V1582" s="378"/>
      <c r="W1582" s="378"/>
      <c r="X1582" s="378"/>
      <c r="Y1582" s="378"/>
      <c r="Z1582" s="378"/>
      <c r="AA1582" s="378"/>
      <c r="AB1582" s="378"/>
      <c r="AC1582" s="378"/>
      <c r="AD1582" s="378"/>
      <c r="AE1582" s="378"/>
      <c r="AF1582" s="378"/>
      <c r="AG1582" s="378"/>
    </row>
    <row r="1583">
      <c r="A1583" s="378"/>
      <c r="B1583" s="477"/>
      <c r="C1583" s="378"/>
      <c r="D1583" s="378"/>
      <c r="E1583" s="378"/>
      <c r="F1583" s="378"/>
      <c r="G1583" s="378"/>
      <c r="H1583" s="378"/>
      <c r="I1583" s="376"/>
      <c r="J1583" s="377"/>
      <c r="K1583" s="378"/>
      <c r="L1583" s="378"/>
      <c r="M1583" s="378"/>
      <c r="N1583" s="379"/>
      <c r="O1583" s="380"/>
      <c r="P1583" s="378"/>
      <c r="Q1583" s="378"/>
      <c r="R1583" s="378"/>
      <c r="S1583" s="378"/>
      <c r="T1583" s="378"/>
      <c r="U1583" s="378"/>
      <c r="V1583" s="378"/>
      <c r="W1583" s="378"/>
      <c r="X1583" s="378"/>
      <c r="Y1583" s="378"/>
      <c r="Z1583" s="378"/>
      <c r="AA1583" s="378"/>
      <c r="AB1583" s="378"/>
      <c r="AC1583" s="378"/>
      <c r="AD1583" s="378"/>
      <c r="AE1583" s="378"/>
      <c r="AF1583" s="378"/>
      <c r="AG1583" s="378"/>
    </row>
    <row r="1584">
      <c r="A1584" s="378"/>
      <c r="B1584" s="477"/>
      <c r="C1584" s="378"/>
      <c r="D1584" s="378"/>
      <c r="E1584" s="378"/>
      <c r="F1584" s="378"/>
      <c r="G1584" s="378"/>
      <c r="H1584" s="378"/>
      <c r="I1584" s="376"/>
      <c r="J1584" s="377"/>
      <c r="K1584" s="378"/>
      <c r="L1584" s="378"/>
      <c r="M1584" s="378"/>
      <c r="N1584" s="379"/>
      <c r="O1584" s="380"/>
      <c r="P1584" s="378"/>
      <c r="Q1584" s="378"/>
      <c r="R1584" s="378"/>
      <c r="S1584" s="378"/>
      <c r="T1584" s="378"/>
      <c r="U1584" s="378"/>
      <c r="V1584" s="378"/>
      <c r="W1584" s="378"/>
      <c r="X1584" s="378"/>
      <c r="Y1584" s="378"/>
      <c r="Z1584" s="378"/>
      <c r="AA1584" s="378"/>
      <c r="AB1584" s="378"/>
      <c r="AC1584" s="378"/>
      <c r="AD1584" s="378"/>
      <c r="AE1584" s="378"/>
      <c r="AF1584" s="378"/>
      <c r="AG1584" s="378"/>
    </row>
    <row r="1585">
      <c r="A1585" s="378"/>
      <c r="B1585" s="477"/>
      <c r="C1585" s="378"/>
      <c r="D1585" s="378"/>
      <c r="E1585" s="378"/>
      <c r="F1585" s="378"/>
      <c r="G1585" s="378"/>
      <c r="H1585" s="378"/>
      <c r="I1585" s="376"/>
      <c r="J1585" s="377"/>
      <c r="K1585" s="378"/>
      <c r="L1585" s="378"/>
      <c r="M1585" s="378"/>
      <c r="N1585" s="379"/>
      <c r="O1585" s="380"/>
      <c r="P1585" s="378"/>
      <c r="Q1585" s="378"/>
      <c r="R1585" s="378"/>
      <c r="S1585" s="378"/>
      <c r="T1585" s="378"/>
      <c r="U1585" s="378"/>
      <c r="V1585" s="378"/>
      <c r="W1585" s="378"/>
      <c r="X1585" s="378"/>
      <c r="Y1585" s="378"/>
      <c r="Z1585" s="378"/>
      <c r="AA1585" s="378"/>
      <c r="AB1585" s="378"/>
      <c r="AC1585" s="378"/>
      <c r="AD1585" s="378"/>
      <c r="AE1585" s="378"/>
      <c r="AF1585" s="378"/>
      <c r="AG1585" s="378"/>
    </row>
    <row r="1586">
      <c r="A1586" s="378"/>
      <c r="B1586" s="477"/>
      <c r="C1586" s="378"/>
      <c r="D1586" s="378"/>
      <c r="E1586" s="378"/>
      <c r="F1586" s="378"/>
      <c r="G1586" s="378"/>
      <c r="H1586" s="378"/>
      <c r="I1586" s="376"/>
      <c r="J1586" s="377"/>
      <c r="K1586" s="378"/>
      <c r="L1586" s="378"/>
      <c r="M1586" s="378"/>
      <c r="N1586" s="379"/>
      <c r="O1586" s="380"/>
      <c r="P1586" s="378"/>
      <c r="Q1586" s="378"/>
      <c r="R1586" s="378"/>
      <c r="S1586" s="378"/>
      <c r="T1586" s="378"/>
      <c r="U1586" s="378"/>
      <c r="V1586" s="378"/>
      <c r="W1586" s="378"/>
      <c r="X1586" s="378"/>
      <c r="Y1586" s="378"/>
      <c r="Z1586" s="378"/>
      <c r="AA1586" s="378"/>
      <c r="AB1586" s="378"/>
      <c r="AC1586" s="378"/>
      <c r="AD1586" s="378"/>
      <c r="AE1586" s="378"/>
      <c r="AF1586" s="378"/>
      <c r="AG1586" s="378"/>
    </row>
    <row r="1587">
      <c r="A1587" s="378"/>
      <c r="B1587" s="477"/>
      <c r="C1587" s="378"/>
      <c r="D1587" s="378"/>
      <c r="E1587" s="378"/>
      <c r="F1587" s="378"/>
      <c r="G1587" s="378"/>
      <c r="H1587" s="378"/>
      <c r="I1587" s="376"/>
      <c r="J1587" s="377"/>
      <c r="K1587" s="378"/>
      <c r="L1587" s="378"/>
      <c r="M1587" s="378"/>
      <c r="N1587" s="379"/>
      <c r="O1587" s="380"/>
      <c r="P1587" s="378"/>
      <c r="Q1587" s="378"/>
      <c r="R1587" s="378"/>
      <c r="S1587" s="378"/>
      <c r="T1587" s="378"/>
      <c r="U1587" s="378"/>
      <c r="V1587" s="378"/>
      <c r="W1587" s="378"/>
      <c r="X1587" s="378"/>
      <c r="Y1587" s="378"/>
      <c r="Z1587" s="378"/>
      <c r="AA1587" s="378"/>
      <c r="AB1587" s="378"/>
      <c r="AC1587" s="378"/>
      <c r="AD1587" s="378"/>
      <c r="AE1587" s="378"/>
      <c r="AF1587" s="378"/>
      <c r="AG1587" s="378"/>
    </row>
    <row r="1588">
      <c r="A1588" s="378"/>
      <c r="B1588" s="477"/>
      <c r="C1588" s="378"/>
      <c r="D1588" s="378"/>
      <c r="E1588" s="378"/>
      <c r="F1588" s="378"/>
      <c r="G1588" s="378"/>
      <c r="H1588" s="378"/>
      <c r="I1588" s="376"/>
      <c r="J1588" s="377"/>
      <c r="K1588" s="378"/>
      <c r="L1588" s="378"/>
      <c r="M1588" s="378"/>
      <c r="N1588" s="379"/>
      <c r="O1588" s="380"/>
      <c r="P1588" s="378"/>
      <c r="Q1588" s="378"/>
      <c r="R1588" s="378"/>
      <c r="S1588" s="378"/>
      <c r="T1588" s="378"/>
      <c r="U1588" s="378"/>
      <c r="V1588" s="378"/>
      <c r="W1588" s="378"/>
      <c r="X1588" s="378"/>
      <c r="Y1588" s="378"/>
      <c r="Z1588" s="378"/>
      <c r="AA1588" s="378"/>
      <c r="AB1588" s="378"/>
      <c r="AC1588" s="378"/>
      <c r="AD1588" s="378"/>
      <c r="AE1588" s="378"/>
      <c r="AF1588" s="378"/>
      <c r="AG1588" s="378"/>
    </row>
    <row r="1589">
      <c r="A1589" s="378"/>
      <c r="B1589" s="477"/>
      <c r="C1589" s="378"/>
      <c r="D1589" s="378"/>
      <c r="E1589" s="378"/>
      <c r="F1589" s="378"/>
      <c r="G1589" s="378"/>
      <c r="H1589" s="378"/>
      <c r="I1589" s="376"/>
      <c r="J1589" s="377"/>
      <c r="K1589" s="378"/>
      <c r="L1589" s="378"/>
      <c r="M1589" s="378"/>
      <c r="N1589" s="379"/>
      <c r="O1589" s="380"/>
      <c r="P1589" s="378"/>
      <c r="Q1589" s="378"/>
      <c r="R1589" s="378"/>
      <c r="S1589" s="378"/>
      <c r="T1589" s="378"/>
      <c r="U1589" s="378"/>
      <c r="V1589" s="378"/>
      <c r="W1589" s="378"/>
      <c r="X1589" s="378"/>
      <c r="Y1589" s="378"/>
      <c r="Z1589" s="378"/>
      <c r="AA1589" s="378"/>
      <c r="AB1589" s="378"/>
      <c r="AC1589" s="378"/>
      <c r="AD1589" s="378"/>
      <c r="AE1589" s="378"/>
      <c r="AF1589" s="378"/>
      <c r="AG1589" s="378"/>
    </row>
    <row r="1590">
      <c r="A1590" s="378"/>
      <c r="B1590" s="477"/>
      <c r="C1590" s="378"/>
      <c r="D1590" s="378"/>
      <c r="E1590" s="378"/>
      <c r="F1590" s="378"/>
      <c r="G1590" s="378"/>
      <c r="H1590" s="378"/>
      <c r="I1590" s="376"/>
      <c r="J1590" s="377"/>
      <c r="K1590" s="378"/>
      <c r="L1590" s="378"/>
      <c r="M1590" s="378"/>
      <c r="N1590" s="379"/>
      <c r="O1590" s="380"/>
      <c r="P1590" s="378"/>
      <c r="Q1590" s="378"/>
      <c r="R1590" s="378"/>
      <c r="S1590" s="378"/>
      <c r="T1590" s="378"/>
      <c r="U1590" s="378"/>
      <c r="V1590" s="378"/>
      <c r="W1590" s="378"/>
      <c r="X1590" s="378"/>
      <c r="Y1590" s="378"/>
      <c r="Z1590" s="378"/>
      <c r="AA1590" s="378"/>
      <c r="AB1590" s="378"/>
      <c r="AC1590" s="378"/>
      <c r="AD1590" s="378"/>
      <c r="AE1590" s="378"/>
      <c r="AF1590" s="378"/>
      <c r="AG1590" s="378"/>
    </row>
    <row r="1591">
      <c r="A1591" s="378"/>
      <c r="B1591" s="477"/>
      <c r="C1591" s="378"/>
      <c r="D1591" s="378"/>
      <c r="E1591" s="378"/>
      <c r="F1591" s="378"/>
      <c r="G1591" s="378"/>
      <c r="H1591" s="378"/>
      <c r="I1591" s="376"/>
      <c r="J1591" s="377"/>
      <c r="K1591" s="378"/>
      <c r="L1591" s="378"/>
      <c r="M1591" s="378"/>
      <c r="N1591" s="379"/>
      <c r="O1591" s="380"/>
      <c r="P1591" s="378"/>
      <c r="Q1591" s="378"/>
      <c r="R1591" s="378"/>
      <c r="S1591" s="378"/>
      <c r="T1591" s="378"/>
      <c r="U1591" s="378"/>
      <c r="V1591" s="378"/>
      <c r="W1591" s="378"/>
      <c r="X1591" s="378"/>
      <c r="Y1591" s="378"/>
      <c r="Z1591" s="378"/>
      <c r="AA1591" s="378"/>
      <c r="AB1591" s="378"/>
      <c r="AC1591" s="378"/>
      <c r="AD1591" s="378"/>
      <c r="AE1591" s="378"/>
      <c r="AF1591" s="378"/>
      <c r="AG1591" s="378"/>
    </row>
    <row r="1592">
      <c r="A1592" s="378"/>
      <c r="B1592" s="477"/>
      <c r="C1592" s="378"/>
      <c r="D1592" s="378"/>
      <c r="E1592" s="378"/>
      <c r="F1592" s="378"/>
      <c r="G1592" s="378"/>
      <c r="H1592" s="378"/>
      <c r="I1592" s="376"/>
      <c r="J1592" s="377"/>
      <c r="K1592" s="378"/>
      <c r="L1592" s="378"/>
      <c r="M1592" s="378"/>
      <c r="N1592" s="379"/>
      <c r="O1592" s="380"/>
      <c r="P1592" s="378"/>
      <c r="Q1592" s="378"/>
      <c r="R1592" s="378"/>
      <c r="S1592" s="378"/>
      <c r="T1592" s="378"/>
      <c r="U1592" s="378"/>
      <c r="V1592" s="378"/>
      <c r="W1592" s="378"/>
      <c r="X1592" s="378"/>
      <c r="Y1592" s="378"/>
      <c r="Z1592" s="378"/>
      <c r="AA1592" s="378"/>
      <c r="AB1592" s="378"/>
      <c r="AC1592" s="378"/>
      <c r="AD1592" s="378"/>
      <c r="AE1592" s="378"/>
      <c r="AF1592" s="378"/>
      <c r="AG1592" s="378"/>
    </row>
    <row r="1593">
      <c r="A1593" s="378"/>
      <c r="B1593" s="477"/>
      <c r="C1593" s="378"/>
      <c r="D1593" s="378"/>
      <c r="E1593" s="378"/>
      <c r="F1593" s="378"/>
      <c r="G1593" s="378"/>
      <c r="H1593" s="378"/>
      <c r="I1593" s="376"/>
      <c r="J1593" s="377"/>
      <c r="K1593" s="378"/>
      <c r="L1593" s="378"/>
      <c r="M1593" s="378"/>
      <c r="N1593" s="379"/>
      <c r="O1593" s="380"/>
      <c r="P1593" s="378"/>
      <c r="Q1593" s="378"/>
      <c r="R1593" s="378"/>
      <c r="S1593" s="378"/>
      <c r="T1593" s="378"/>
      <c r="U1593" s="378"/>
      <c r="V1593" s="378"/>
      <c r="W1593" s="378"/>
      <c r="X1593" s="378"/>
      <c r="Y1593" s="378"/>
      <c r="Z1593" s="378"/>
      <c r="AA1593" s="378"/>
      <c r="AB1593" s="378"/>
      <c r="AC1593" s="378"/>
      <c r="AD1593" s="378"/>
      <c r="AE1593" s="378"/>
      <c r="AF1593" s="378"/>
      <c r="AG1593" s="378"/>
    </row>
    <row r="1594">
      <c r="A1594" s="378"/>
      <c r="B1594" s="477"/>
      <c r="C1594" s="378"/>
      <c r="D1594" s="378"/>
      <c r="E1594" s="378"/>
      <c r="F1594" s="378"/>
      <c r="G1594" s="378"/>
      <c r="H1594" s="378"/>
      <c r="I1594" s="376"/>
      <c r="J1594" s="377"/>
      <c r="K1594" s="378"/>
      <c r="L1594" s="378"/>
      <c r="M1594" s="378"/>
      <c r="N1594" s="379"/>
      <c r="O1594" s="380"/>
      <c r="P1594" s="378"/>
      <c r="Q1594" s="378"/>
      <c r="R1594" s="378"/>
      <c r="S1594" s="378"/>
      <c r="T1594" s="378"/>
      <c r="U1594" s="378"/>
      <c r="V1594" s="378"/>
      <c r="W1594" s="378"/>
      <c r="X1594" s="378"/>
      <c r="Y1594" s="378"/>
      <c r="Z1594" s="378"/>
      <c r="AA1594" s="378"/>
      <c r="AB1594" s="378"/>
      <c r="AC1594" s="378"/>
      <c r="AD1594" s="378"/>
      <c r="AE1594" s="378"/>
      <c r="AF1594" s="378"/>
      <c r="AG1594" s="378"/>
    </row>
    <row r="1595">
      <c r="A1595" s="378"/>
      <c r="B1595" s="477"/>
      <c r="C1595" s="378"/>
      <c r="D1595" s="378"/>
      <c r="E1595" s="378"/>
      <c r="F1595" s="378"/>
      <c r="G1595" s="378"/>
      <c r="H1595" s="378"/>
      <c r="I1595" s="376"/>
      <c r="J1595" s="377"/>
      <c r="K1595" s="378"/>
      <c r="L1595" s="378"/>
      <c r="M1595" s="378"/>
      <c r="N1595" s="379"/>
      <c r="O1595" s="380"/>
      <c r="P1595" s="378"/>
      <c r="Q1595" s="378"/>
      <c r="R1595" s="378"/>
      <c r="S1595" s="378"/>
      <c r="T1595" s="378"/>
      <c r="U1595" s="378"/>
      <c r="V1595" s="378"/>
      <c r="W1595" s="378"/>
      <c r="X1595" s="378"/>
      <c r="Y1595" s="378"/>
      <c r="Z1595" s="378"/>
      <c r="AA1595" s="378"/>
      <c r="AB1595" s="378"/>
      <c r="AC1595" s="378"/>
      <c r="AD1595" s="378"/>
      <c r="AE1595" s="378"/>
      <c r="AF1595" s="378"/>
      <c r="AG1595" s="378"/>
    </row>
    <row r="1596">
      <c r="A1596" s="378"/>
      <c r="B1596" s="477"/>
      <c r="C1596" s="378"/>
      <c r="D1596" s="378"/>
      <c r="E1596" s="378"/>
      <c r="F1596" s="378"/>
      <c r="G1596" s="378"/>
      <c r="H1596" s="378"/>
      <c r="I1596" s="376"/>
      <c r="J1596" s="377"/>
      <c r="K1596" s="378"/>
      <c r="L1596" s="378"/>
      <c r="M1596" s="378"/>
      <c r="N1596" s="379"/>
      <c r="O1596" s="380"/>
      <c r="P1596" s="378"/>
      <c r="Q1596" s="378"/>
      <c r="R1596" s="378"/>
      <c r="S1596" s="378"/>
      <c r="T1596" s="378"/>
      <c r="U1596" s="378"/>
      <c r="V1596" s="378"/>
      <c r="W1596" s="378"/>
      <c r="X1596" s="378"/>
      <c r="Y1596" s="378"/>
      <c r="Z1596" s="378"/>
      <c r="AA1596" s="378"/>
      <c r="AB1596" s="378"/>
      <c r="AC1596" s="378"/>
      <c r="AD1596" s="378"/>
      <c r="AE1596" s="378"/>
      <c r="AF1596" s="378"/>
      <c r="AG1596" s="378"/>
    </row>
    <row r="1597">
      <c r="A1597" s="378"/>
      <c r="B1597" s="477"/>
      <c r="C1597" s="378"/>
      <c r="D1597" s="378"/>
      <c r="E1597" s="378"/>
      <c r="F1597" s="378"/>
      <c r="G1597" s="378"/>
      <c r="H1597" s="378"/>
      <c r="I1597" s="376"/>
      <c r="J1597" s="377"/>
      <c r="K1597" s="378"/>
      <c r="L1597" s="378"/>
      <c r="M1597" s="378"/>
      <c r="N1597" s="379"/>
      <c r="O1597" s="380"/>
      <c r="P1597" s="378"/>
      <c r="Q1597" s="378"/>
      <c r="R1597" s="378"/>
      <c r="S1597" s="378"/>
      <c r="T1597" s="378"/>
      <c r="U1597" s="378"/>
      <c r="V1597" s="378"/>
      <c r="W1597" s="378"/>
      <c r="X1597" s="378"/>
      <c r="Y1597" s="378"/>
      <c r="Z1597" s="378"/>
      <c r="AA1597" s="378"/>
      <c r="AB1597" s="378"/>
      <c r="AC1597" s="378"/>
      <c r="AD1597" s="378"/>
      <c r="AE1597" s="378"/>
      <c r="AF1597" s="378"/>
      <c r="AG1597" s="378"/>
    </row>
    <row r="1598">
      <c r="A1598" s="378"/>
      <c r="B1598" s="477"/>
      <c r="C1598" s="378"/>
      <c r="D1598" s="378"/>
      <c r="E1598" s="378"/>
      <c r="F1598" s="378"/>
      <c r="G1598" s="378"/>
      <c r="H1598" s="378"/>
      <c r="I1598" s="376"/>
      <c r="J1598" s="377"/>
      <c r="K1598" s="378"/>
      <c r="L1598" s="378"/>
      <c r="M1598" s="378"/>
      <c r="N1598" s="379"/>
      <c r="O1598" s="380"/>
      <c r="P1598" s="378"/>
      <c r="Q1598" s="378"/>
      <c r="R1598" s="378"/>
      <c r="S1598" s="378"/>
      <c r="T1598" s="378"/>
      <c r="U1598" s="378"/>
      <c r="V1598" s="378"/>
      <c r="W1598" s="378"/>
      <c r="X1598" s="378"/>
      <c r="Y1598" s="378"/>
      <c r="Z1598" s="378"/>
      <c r="AA1598" s="378"/>
      <c r="AB1598" s="378"/>
      <c r="AC1598" s="378"/>
      <c r="AD1598" s="378"/>
      <c r="AE1598" s="378"/>
      <c r="AF1598" s="378"/>
      <c r="AG1598" s="378"/>
    </row>
    <row r="1599">
      <c r="A1599" s="378"/>
      <c r="B1599" s="477"/>
      <c r="C1599" s="378"/>
      <c r="D1599" s="378"/>
      <c r="E1599" s="378"/>
      <c r="F1599" s="378"/>
      <c r="G1599" s="378"/>
      <c r="H1599" s="378"/>
      <c r="I1599" s="376"/>
      <c r="J1599" s="377"/>
      <c r="K1599" s="378"/>
      <c r="L1599" s="378"/>
      <c r="M1599" s="378"/>
      <c r="N1599" s="379"/>
      <c r="O1599" s="380"/>
      <c r="P1599" s="378"/>
      <c r="Q1599" s="378"/>
      <c r="R1599" s="378"/>
      <c r="S1599" s="378"/>
      <c r="T1599" s="378"/>
      <c r="U1599" s="378"/>
      <c r="V1599" s="378"/>
      <c r="W1599" s="378"/>
      <c r="X1599" s="378"/>
      <c r="Y1599" s="378"/>
      <c r="Z1599" s="378"/>
      <c r="AA1599" s="378"/>
      <c r="AB1599" s="378"/>
      <c r="AC1599" s="378"/>
      <c r="AD1599" s="378"/>
      <c r="AE1599" s="378"/>
      <c r="AF1599" s="378"/>
      <c r="AG1599" s="378"/>
    </row>
    <row r="1600">
      <c r="A1600" s="378"/>
      <c r="B1600" s="477"/>
      <c r="C1600" s="378"/>
      <c r="D1600" s="378"/>
      <c r="E1600" s="378"/>
      <c r="F1600" s="378"/>
      <c r="G1600" s="378"/>
      <c r="H1600" s="378"/>
      <c r="I1600" s="376"/>
      <c r="J1600" s="377"/>
      <c r="K1600" s="378"/>
      <c r="L1600" s="378"/>
      <c r="M1600" s="378"/>
      <c r="N1600" s="379"/>
      <c r="O1600" s="380"/>
      <c r="P1600" s="378"/>
      <c r="Q1600" s="378"/>
      <c r="R1600" s="378"/>
      <c r="S1600" s="378"/>
      <c r="T1600" s="378"/>
      <c r="U1600" s="378"/>
      <c r="V1600" s="378"/>
      <c r="W1600" s="378"/>
      <c r="X1600" s="378"/>
      <c r="Y1600" s="378"/>
      <c r="Z1600" s="378"/>
      <c r="AA1600" s="378"/>
      <c r="AB1600" s="378"/>
      <c r="AC1600" s="378"/>
      <c r="AD1600" s="378"/>
      <c r="AE1600" s="378"/>
      <c r="AF1600" s="378"/>
      <c r="AG1600" s="378"/>
    </row>
    <row r="1601">
      <c r="A1601" s="378"/>
      <c r="B1601" s="477"/>
      <c r="C1601" s="378"/>
      <c r="D1601" s="378"/>
      <c r="E1601" s="378"/>
      <c r="F1601" s="378"/>
      <c r="G1601" s="378"/>
      <c r="H1601" s="378"/>
      <c r="I1601" s="376"/>
      <c r="J1601" s="377"/>
      <c r="K1601" s="378"/>
      <c r="L1601" s="378"/>
      <c r="M1601" s="378"/>
      <c r="N1601" s="379"/>
      <c r="O1601" s="380"/>
      <c r="P1601" s="378"/>
      <c r="Q1601" s="378"/>
      <c r="R1601" s="378"/>
      <c r="S1601" s="378"/>
      <c r="T1601" s="378"/>
      <c r="U1601" s="378"/>
      <c r="V1601" s="378"/>
      <c r="W1601" s="378"/>
      <c r="X1601" s="378"/>
      <c r="Y1601" s="378"/>
      <c r="Z1601" s="378"/>
      <c r="AA1601" s="378"/>
      <c r="AB1601" s="378"/>
      <c r="AC1601" s="378"/>
      <c r="AD1601" s="378"/>
      <c r="AE1601" s="378"/>
      <c r="AF1601" s="378"/>
      <c r="AG1601" s="378"/>
    </row>
    <row r="1602">
      <c r="A1602" s="378"/>
      <c r="B1602" s="477"/>
      <c r="C1602" s="378"/>
      <c r="D1602" s="378"/>
      <c r="E1602" s="378"/>
      <c r="F1602" s="378"/>
      <c r="G1602" s="378"/>
      <c r="H1602" s="378"/>
      <c r="I1602" s="376"/>
      <c r="J1602" s="377"/>
      <c r="K1602" s="378"/>
      <c r="L1602" s="378"/>
      <c r="M1602" s="378"/>
      <c r="N1602" s="379"/>
      <c r="O1602" s="380"/>
      <c r="P1602" s="378"/>
      <c r="Q1602" s="378"/>
      <c r="R1602" s="378"/>
      <c r="S1602" s="378"/>
      <c r="T1602" s="378"/>
      <c r="U1602" s="378"/>
      <c r="V1602" s="378"/>
      <c r="W1602" s="378"/>
      <c r="X1602" s="378"/>
      <c r="Y1602" s="378"/>
      <c r="Z1602" s="378"/>
      <c r="AA1602" s="378"/>
      <c r="AB1602" s="378"/>
      <c r="AC1602" s="378"/>
      <c r="AD1602" s="378"/>
      <c r="AE1602" s="378"/>
      <c r="AF1602" s="378"/>
      <c r="AG1602" s="378"/>
    </row>
    <row r="1603">
      <c r="A1603" s="378"/>
      <c r="B1603" s="477"/>
      <c r="C1603" s="378"/>
      <c r="D1603" s="378"/>
      <c r="E1603" s="378"/>
      <c r="F1603" s="378"/>
      <c r="G1603" s="378"/>
      <c r="H1603" s="378"/>
      <c r="I1603" s="376"/>
      <c r="J1603" s="377"/>
      <c r="K1603" s="378"/>
      <c r="L1603" s="378"/>
      <c r="M1603" s="378"/>
      <c r="N1603" s="379"/>
      <c r="O1603" s="380"/>
      <c r="P1603" s="378"/>
      <c r="Q1603" s="378"/>
      <c r="R1603" s="378"/>
      <c r="S1603" s="378"/>
      <c r="T1603" s="378"/>
      <c r="U1603" s="378"/>
      <c r="V1603" s="378"/>
      <c r="W1603" s="378"/>
      <c r="X1603" s="378"/>
      <c r="Y1603" s="378"/>
      <c r="Z1603" s="378"/>
      <c r="AA1603" s="378"/>
      <c r="AB1603" s="378"/>
      <c r="AC1603" s="378"/>
      <c r="AD1603" s="378"/>
      <c r="AE1603" s="378"/>
      <c r="AF1603" s="378"/>
      <c r="AG1603" s="378"/>
    </row>
    <row r="1604">
      <c r="A1604" s="378"/>
      <c r="B1604" s="477"/>
      <c r="C1604" s="378"/>
      <c r="D1604" s="378"/>
      <c r="E1604" s="378"/>
      <c r="F1604" s="378"/>
      <c r="G1604" s="378"/>
      <c r="H1604" s="378"/>
      <c r="I1604" s="376"/>
      <c r="J1604" s="377"/>
      <c r="K1604" s="378"/>
      <c r="L1604" s="378"/>
      <c r="M1604" s="378"/>
      <c r="N1604" s="379"/>
      <c r="O1604" s="380"/>
      <c r="P1604" s="378"/>
      <c r="Q1604" s="378"/>
      <c r="R1604" s="378"/>
      <c r="S1604" s="378"/>
      <c r="T1604" s="378"/>
      <c r="U1604" s="378"/>
      <c r="V1604" s="378"/>
      <c r="W1604" s="378"/>
      <c r="X1604" s="378"/>
      <c r="Y1604" s="378"/>
      <c r="Z1604" s="378"/>
      <c r="AA1604" s="378"/>
      <c r="AB1604" s="378"/>
      <c r="AC1604" s="378"/>
      <c r="AD1604" s="378"/>
      <c r="AE1604" s="378"/>
      <c r="AF1604" s="378"/>
      <c r="AG1604" s="378"/>
    </row>
    <row r="1605">
      <c r="A1605" s="378"/>
      <c r="B1605" s="477"/>
      <c r="C1605" s="378"/>
      <c r="D1605" s="378"/>
      <c r="E1605" s="378"/>
      <c r="F1605" s="378"/>
      <c r="G1605" s="378"/>
      <c r="H1605" s="378"/>
      <c r="I1605" s="376"/>
      <c r="J1605" s="377"/>
      <c r="K1605" s="378"/>
      <c r="L1605" s="378"/>
      <c r="M1605" s="378"/>
      <c r="N1605" s="379"/>
      <c r="O1605" s="380"/>
      <c r="P1605" s="378"/>
      <c r="Q1605" s="378"/>
      <c r="R1605" s="378"/>
      <c r="S1605" s="378"/>
      <c r="T1605" s="378"/>
      <c r="U1605" s="378"/>
      <c r="V1605" s="378"/>
      <c r="W1605" s="378"/>
      <c r="X1605" s="378"/>
      <c r="Y1605" s="378"/>
      <c r="Z1605" s="378"/>
      <c r="AA1605" s="378"/>
      <c r="AB1605" s="378"/>
      <c r="AC1605" s="378"/>
      <c r="AD1605" s="378"/>
      <c r="AE1605" s="378"/>
      <c r="AF1605" s="378"/>
      <c r="AG1605" s="378"/>
    </row>
    <row r="1606">
      <c r="A1606" s="378"/>
      <c r="B1606" s="477"/>
      <c r="C1606" s="378"/>
      <c r="D1606" s="378"/>
      <c r="E1606" s="378"/>
      <c r="F1606" s="378"/>
      <c r="G1606" s="378"/>
      <c r="H1606" s="378"/>
      <c r="I1606" s="376"/>
      <c r="J1606" s="377"/>
      <c r="K1606" s="378"/>
      <c r="L1606" s="378"/>
      <c r="M1606" s="378"/>
      <c r="N1606" s="379"/>
      <c r="O1606" s="380"/>
      <c r="P1606" s="378"/>
      <c r="Q1606" s="378"/>
      <c r="R1606" s="378"/>
      <c r="S1606" s="378"/>
      <c r="T1606" s="378"/>
      <c r="U1606" s="378"/>
      <c r="V1606" s="378"/>
      <c r="W1606" s="378"/>
      <c r="X1606" s="378"/>
      <c r="Y1606" s="378"/>
      <c r="Z1606" s="378"/>
      <c r="AA1606" s="378"/>
      <c r="AB1606" s="378"/>
      <c r="AC1606" s="378"/>
      <c r="AD1606" s="378"/>
      <c r="AE1606" s="378"/>
      <c r="AF1606" s="378"/>
      <c r="AG1606" s="378"/>
    </row>
    <row r="1607">
      <c r="A1607" s="378"/>
      <c r="B1607" s="477"/>
      <c r="C1607" s="378"/>
      <c r="D1607" s="378"/>
      <c r="E1607" s="378"/>
      <c r="F1607" s="378"/>
      <c r="G1607" s="378"/>
      <c r="H1607" s="378"/>
      <c r="I1607" s="376"/>
      <c r="J1607" s="377"/>
      <c r="K1607" s="378"/>
      <c r="L1607" s="378"/>
      <c r="M1607" s="378"/>
      <c r="N1607" s="379"/>
      <c r="O1607" s="380"/>
      <c r="P1607" s="378"/>
      <c r="Q1607" s="378"/>
      <c r="R1607" s="378"/>
      <c r="S1607" s="378"/>
      <c r="T1607" s="378"/>
      <c r="U1607" s="378"/>
      <c r="V1607" s="378"/>
      <c r="W1607" s="378"/>
      <c r="X1607" s="378"/>
      <c r="Y1607" s="378"/>
      <c r="Z1607" s="378"/>
      <c r="AA1607" s="378"/>
      <c r="AB1607" s="378"/>
      <c r="AC1607" s="378"/>
      <c r="AD1607" s="378"/>
      <c r="AE1607" s="378"/>
      <c r="AF1607" s="378"/>
      <c r="AG1607" s="378"/>
    </row>
    <row r="1608">
      <c r="A1608" s="378"/>
      <c r="B1608" s="477"/>
      <c r="C1608" s="378"/>
      <c r="D1608" s="378"/>
      <c r="E1608" s="378"/>
      <c r="F1608" s="378"/>
      <c r="G1608" s="378"/>
      <c r="H1608" s="378"/>
      <c r="I1608" s="376"/>
      <c r="J1608" s="377"/>
      <c r="K1608" s="378"/>
      <c r="L1608" s="378"/>
      <c r="M1608" s="378"/>
      <c r="N1608" s="379"/>
      <c r="O1608" s="380"/>
      <c r="P1608" s="378"/>
      <c r="Q1608" s="378"/>
      <c r="R1608" s="378"/>
      <c r="S1608" s="378"/>
      <c r="T1608" s="378"/>
      <c r="U1608" s="378"/>
      <c r="V1608" s="378"/>
      <c r="W1608" s="378"/>
      <c r="X1608" s="378"/>
      <c r="Y1608" s="378"/>
      <c r="Z1608" s="378"/>
      <c r="AA1608" s="378"/>
      <c r="AB1608" s="378"/>
      <c r="AC1608" s="378"/>
      <c r="AD1608" s="378"/>
      <c r="AE1608" s="378"/>
      <c r="AF1608" s="378"/>
      <c r="AG1608" s="378"/>
    </row>
    <row r="1609">
      <c r="A1609" s="378"/>
      <c r="B1609" s="477"/>
      <c r="C1609" s="378"/>
      <c r="D1609" s="378"/>
      <c r="E1609" s="378"/>
      <c r="F1609" s="378"/>
      <c r="G1609" s="378"/>
      <c r="H1609" s="378"/>
      <c r="I1609" s="376"/>
      <c r="J1609" s="377"/>
      <c r="K1609" s="378"/>
      <c r="L1609" s="378"/>
      <c r="M1609" s="378"/>
      <c r="N1609" s="379"/>
      <c r="O1609" s="380"/>
      <c r="P1609" s="378"/>
      <c r="Q1609" s="378"/>
      <c r="R1609" s="378"/>
      <c r="S1609" s="378"/>
      <c r="T1609" s="378"/>
      <c r="U1609" s="378"/>
      <c r="V1609" s="378"/>
      <c r="W1609" s="378"/>
      <c r="X1609" s="378"/>
      <c r="Y1609" s="378"/>
      <c r="Z1609" s="378"/>
      <c r="AA1609" s="378"/>
      <c r="AB1609" s="378"/>
      <c r="AC1609" s="378"/>
      <c r="AD1609" s="378"/>
      <c r="AE1609" s="378"/>
      <c r="AF1609" s="378"/>
      <c r="AG1609" s="378"/>
    </row>
    <row r="1610">
      <c r="A1610" s="378"/>
      <c r="B1610" s="477"/>
      <c r="C1610" s="378"/>
      <c r="D1610" s="378"/>
      <c r="E1610" s="378"/>
      <c r="F1610" s="378"/>
      <c r="G1610" s="378"/>
      <c r="H1610" s="378"/>
      <c r="I1610" s="376"/>
      <c r="J1610" s="377"/>
      <c r="K1610" s="378"/>
      <c r="L1610" s="378"/>
      <c r="M1610" s="378"/>
      <c r="N1610" s="379"/>
      <c r="O1610" s="380"/>
      <c r="P1610" s="378"/>
      <c r="Q1610" s="378"/>
      <c r="R1610" s="378"/>
      <c r="S1610" s="378"/>
      <c r="T1610" s="378"/>
      <c r="U1610" s="378"/>
      <c r="V1610" s="378"/>
      <c r="W1610" s="378"/>
      <c r="X1610" s="378"/>
      <c r="Y1610" s="378"/>
      <c r="Z1610" s="378"/>
      <c r="AA1610" s="378"/>
      <c r="AB1610" s="378"/>
      <c r="AC1610" s="378"/>
      <c r="AD1610" s="378"/>
      <c r="AE1610" s="378"/>
      <c r="AF1610" s="378"/>
      <c r="AG1610" s="378"/>
    </row>
    <row r="1611">
      <c r="A1611" s="378"/>
      <c r="B1611" s="477"/>
      <c r="C1611" s="378"/>
      <c r="D1611" s="378"/>
      <c r="E1611" s="378"/>
      <c r="F1611" s="378"/>
      <c r="G1611" s="378"/>
      <c r="H1611" s="378"/>
      <c r="I1611" s="376"/>
      <c r="J1611" s="377"/>
      <c r="K1611" s="378"/>
      <c r="L1611" s="378"/>
      <c r="M1611" s="378"/>
      <c r="N1611" s="379"/>
      <c r="O1611" s="380"/>
      <c r="P1611" s="378"/>
      <c r="Q1611" s="378"/>
      <c r="R1611" s="378"/>
      <c r="S1611" s="378"/>
      <c r="T1611" s="378"/>
      <c r="U1611" s="378"/>
      <c r="V1611" s="378"/>
      <c r="W1611" s="378"/>
      <c r="X1611" s="378"/>
      <c r="Y1611" s="378"/>
      <c r="Z1611" s="378"/>
      <c r="AA1611" s="378"/>
      <c r="AB1611" s="378"/>
      <c r="AC1611" s="378"/>
      <c r="AD1611" s="378"/>
      <c r="AE1611" s="378"/>
      <c r="AF1611" s="378"/>
      <c r="AG1611" s="378"/>
    </row>
    <row r="1612">
      <c r="A1612" s="378"/>
      <c r="B1612" s="477"/>
      <c r="C1612" s="378"/>
      <c r="D1612" s="378"/>
      <c r="E1612" s="378"/>
      <c r="F1612" s="378"/>
      <c r="G1612" s="378"/>
      <c r="H1612" s="378"/>
      <c r="I1612" s="376"/>
      <c r="J1612" s="377"/>
      <c r="K1612" s="378"/>
      <c r="L1612" s="378"/>
      <c r="M1612" s="378"/>
      <c r="N1612" s="379"/>
      <c r="O1612" s="380"/>
      <c r="P1612" s="378"/>
      <c r="Q1612" s="378"/>
      <c r="R1612" s="378"/>
      <c r="S1612" s="378"/>
      <c r="T1612" s="378"/>
      <c r="U1612" s="378"/>
      <c r="V1612" s="378"/>
      <c r="W1612" s="378"/>
      <c r="X1612" s="378"/>
      <c r="Y1612" s="378"/>
      <c r="Z1612" s="378"/>
      <c r="AA1612" s="378"/>
      <c r="AB1612" s="378"/>
      <c r="AC1612" s="378"/>
      <c r="AD1612" s="378"/>
      <c r="AE1612" s="378"/>
      <c r="AF1612" s="378"/>
      <c r="AG1612" s="378"/>
    </row>
    <row r="1613">
      <c r="A1613" s="378"/>
      <c r="B1613" s="477"/>
      <c r="C1613" s="378"/>
      <c r="D1613" s="378"/>
      <c r="E1613" s="378"/>
      <c r="F1613" s="378"/>
      <c r="G1613" s="378"/>
      <c r="H1613" s="378"/>
      <c r="I1613" s="376"/>
      <c r="J1613" s="377"/>
      <c r="K1613" s="378"/>
      <c r="L1613" s="378"/>
      <c r="M1613" s="378"/>
      <c r="N1613" s="379"/>
      <c r="O1613" s="380"/>
      <c r="P1613" s="378"/>
      <c r="Q1613" s="378"/>
      <c r="R1613" s="378"/>
      <c r="S1613" s="378"/>
      <c r="T1613" s="378"/>
      <c r="U1613" s="378"/>
      <c r="V1613" s="378"/>
      <c r="W1613" s="378"/>
      <c r="X1613" s="378"/>
      <c r="Y1613" s="378"/>
      <c r="Z1613" s="378"/>
      <c r="AA1613" s="378"/>
      <c r="AB1613" s="378"/>
      <c r="AC1613" s="378"/>
      <c r="AD1613" s="378"/>
      <c r="AE1613" s="378"/>
      <c r="AF1613" s="378"/>
      <c r="AG1613" s="378"/>
    </row>
    <row r="1614">
      <c r="A1614" s="378"/>
      <c r="B1614" s="477"/>
      <c r="C1614" s="378"/>
      <c r="D1614" s="378"/>
      <c r="E1614" s="378"/>
      <c r="F1614" s="378"/>
      <c r="G1614" s="378"/>
      <c r="H1614" s="378"/>
      <c r="I1614" s="376"/>
      <c r="J1614" s="377"/>
      <c r="K1614" s="378"/>
      <c r="L1614" s="378"/>
      <c r="M1614" s="378"/>
      <c r="N1614" s="379"/>
      <c r="O1614" s="380"/>
      <c r="P1614" s="378"/>
      <c r="Q1614" s="378"/>
      <c r="R1614" s="378"/>
      <c r="S1614" s="378"/>
      <c r="T1614" s="378"/>
      <c r="U1614" s="378"/>
      <c r="V1614" s="378"/>
      <c r="W1614" s="378"/>
      <c r="X1614" s="378"/>
      <c r="Y1614" s="378"/>
      <c r="Z1614" s="378"/>
      <c r="AA1614" s="378"/>
      <c r="AB1614" s="378"/>
      <c r="AC1614" s="378"/>
      <c r="AD1614" s="378"/>
      <c r="AE1614" s="378"/>
      <c r="AF1614" s="378"/>
      <c r="AG1614" s="378"/>
    </row>
    <row r="1615">
      <c r="A1615" s="378"/>
      <c r="B1615" s="477"/>
      <c r="C1615" s="378"/>
      <c r="D1615" s="378"/>
      <c r="E1615" s="378"/>
      <c r="F1615" s="378"/>
      <c r="G1615" s="378"/>
      <c r="H1615" s="378"/>
      <c r="I1615" s="376"/>
      <c r="J1615" s="377"/>
      <c r="K1615" s="378"/>
      <c r="L1615" s="378"/>
      <c r="M1615" s="378"/>
      <c r="N1615" s="379"/>
      <c r="O1615" s="380"/>
      <c r="P1615" s="378"/>
      <c r="Q1615" s="378"/>
      <c r="R1615" s="378"/>
      <c r="S1615" s="378"/>
      <c r="T1615" s="378"/>
      <c r="U1615" s="378"/>
      <c r="V1615" s="378"/>
      <c r="W1615" s="378"/>
      <c r="X1615" s="378"/>
      <c r="Y1615" s="378"/>
      <c r="Z1615" s="378"/>
      <c r="AA1615" s="378"/>
      <c r="AB1615" s="378"/>
      <c r="AC1615" s="378"/>
      <c r="AD1615" s="378"/>
      <c r="AE1615" s="378"/>
      <c r="AF1615" s="378"/>
      <c r="AG1615" s="378"/>
    </row>
    <row r="1616">
      <c r="A1616" s="378"/>
      <c r="B1616" s="477"/>
      <c r="C1616" s="378"/>
      <c r="D1616" s="378"/>
      <c r="E1616" s="378"/>
      <c r="F1616" s="378"/>
      <c r="G1616" s="378"/>
      <c r="H1616" s="378"/>
      <c r="I1616" s="376"/>
      <c r="J1616" s="377"/>
      <c r="K1616" s="378"/>
      <c r="L1616" s="378"/>
      <c r="M1616" s="378"/>
      <c r="N1616" s="379"/>
      <c r="O1616" s="380"/>
      <c r="P1616" s="378"/>
      <c r="Q1616" s="378"/>
      <c r="R1616" s="378"/>
      <c r="S1616" s="378"/>
      <c r="T1616" s="378"/>
      <c r="U1616" s="378"/>
      <c r="V1616" s="378"/>
      <c r="W1616" s="378"/>
      <c r="X1616" s="378"/>
      <c r="Y1616" s="378"/>
      <c r="Z1616" s="378"/>
      <c r="AA1616" s="378"/>
      <c r="AB1616" s="378"/>
      <c r="AC1616" s="378"/>
      <c r="AD1616" s="378"/>
      <c r="AE1616" s="378"/>
      <c r="AF1616" s="378"/>
      <c r="AG1616" s="378"/>
    </row>
    <row r="1617">
      <c r="A1617" s="378"/>
      <c r="B1617" s="477"/>
      <c r="C1617" s="378"/>
      <c r="D1617" s="378"/>
      <c r="E1617" s="378"/>
      <c r="F1617" s="378"/>
      <c r="G1617" s="378"/>
      <c r="H1617" s="378"/>
      <c r="I1617" s="376"/>
      <c r="J1617" s="377"/>
      <c r="K1617" s="378"/>
      <c r="L1617" s="378"/>
      <c r="M1617" s="378"/>
      <c r="N1617" s="379"/>
      <c r="O1617" s="380"/>
      <c r="P1617" s="378"/>
      <c r="Q1617" s="378"/>
      <c r="R1617" s="378"/>
      <c r="S1617" s="378"/>
      <c r="T1617" s="378"/>
      <c r="U1617" s="378"/>
      <c r="V1617" s="378"/>
      <c r="W1617" s="378"/>
      <c r="X1617" s="378"/>
      <c r="Y1617" s="378"/>
      <c r="Z1617" s="378"/>
      <c r="AA1617" s="378"/>
      <c r="AB1617" s="378"/>
      <c r="AC1617" s="378"/>
      <c r="AD1617" s="378"/>
      <c r="AE1617" s="378"/>
      <c r="AF1617" s="378"/>
      <c r="AG1617" s="378"/>
    </row>
    <row r="1618">
      <c r="A1618" s="378"/>
      <c r="B1618" s="477"/>
      <c r="C1618" s="378"/>
      <c r="D1618" s="378"/>
      <c r="E1618" s="378"/>
      <c r="F1618" s="378"/>
      <c r="G1618" s="378"/>
      <c r="H1618" s="378"/>
      <c r="I1618" s="376"/>
      <c r="J1618" s="377"/>
      <c r="K1618" s="378"/>
      <c r="L1618" s="378"/>
      <c r="M1618" s="378"/>
      <c r="N1618" s="379"/>
      <c r="O1618" s="380"/>
      <c r="P1618" s="378"/>
      <c r="Q1618" s="378"/>
      <c r="R1618" s="378"/>
      <c r="S1618" s="378"/>
      <c r="T1618" s="378"/>
      <c r="U1618" s="378"/>
      <c r="V1618" s="378"/>
      <c r="W1618" s="378"/>
      <c r="X1618" s="378"/>
      <c r="Y1618" s="378"/>
      <c r="Z1618" s="378"/>
      <c r="AA1618" s="378"/>
      <c r="AB1618" s="378"/>
      <c r="AC1618" s="378"/>
      <c r="AD1618" s="378"/>
      <c r="AE1618" s="378"/>
      <c r="AF1618" s="378"/>
      <c r="AG1618" s="378"/>
    </row>
    <row r="1619">
      <c r="A1619" s="378"/>
      <c r="B1619" s="477"/>
      <c r="C1619" s="378"/>
      <c r="D1619" s="378"/>
      <c r="E1619" s="378"/>
      <c r="F1619" s="378"/>
      <c r="G1619" s="378"/>
      <c r="H1619" s="378"/>
      <c r="I1619" s="376"/>
      <c r="J1619" s="377"/>
      <c r="K1619" s="378"/>
      <c r="L1619" s="378"/>
      <c r="M1619" s="378"/>
      <c r="N1619" s="379"/>
      <c r="O1619" s="380"/>
      <c r="P1619" s="378"/>
      <c r="Q1619" s="378"/>
      <c r="R1619" s="378"/>
      <c r="S1619" s="378"/>
      <c r="T1619" s="378"/>
      <c r="U1619" s="378"/>
      <c r="V1619" s="378"/>
      <c r="W1619" s="378"/>
      <c r="X1619" s="378"/>
      <c r="Y1619" s="378"/>
      <c r="Z1619" s="378"/>
      <c r="AA1619" s="378"/>
      <c r="AB1619" s="378"/>
      <c r="AC1619" s="378"/>
      <c r="AD1619" s="378"/>
      <c r="AE1619" s="378"/>
      <c r="AF1619" s="378"/>
      <c r="AG1619" s="378"/>
    </row>
    <row r="1620">
      <c r="A1620" s="378"/>
      <c r="B1620" s="477"/>
      <c r="C1620" s="378"/>
      <c r="D1620" s="378"/>
      <c r="E1620" s="378"/>
      <c r="F1620" s="378"/>
      <c r="G1620" s="378"/>
      <c r="H1620" s="378"/>
      <c r="I1620" s="376"/>
      <c r="J1620" s="377"/>
      <c r="K1620" s="378"/>
      <c r="L1620" s="378"/>
      <c r="M1620" s="378"/>
      <c r="N1620" s="379"/>
      <c r="O1620" s="380"/>
      <c r="P1620" s="378"/>
      <c r="Q1620" s="378"/>
      <c r="R1620" s="378"/>
      <c r="S1620" s="378"/>
      <c r="T1620" s="378"/>
      <c r="U1620" s="378"/>
      <c r="V1620" s="378"/>
      <c r="W1620" s="378"/>
      <c r="X1620" s="378"/>
      <c r="Y1620" s="378"/>
      <c r="Z1620" s="378"/>
      <c r="AA1620" s="378"/>
      <c r="AB1620" s="378"/>
      <c r="AC1620" s="378"/>
      <c r="AD1620" s="378"/>
      <c r="AE1620" s="378"/>
      <c r="AF1620" s="378"/>
      <c r="AG1620" s="378"/>
    </row>
    <row r="1621">
      <c r="A1621" s="378"/>
      <c r="B1621" s="477"/>
      <c r="C1621" s="378"/>
      <c r="D1621" s="378"/>
      <c r="E1621" s="378"/>
      <c r="F1621" s="378"/>
      <c r="G1621" s="378"/>
      <c r="H1621" s="378"/>
      <c r="I1621" s="376"/>
      <c r="J1621" s="377"/>
      <c r="K1621" s="378"/>
      <c r="L1621" s="378"/>
      <c r="M1621" s="378"/>
      <c r="N1621" s="379"/>
      <c r="O1621" s="380"/>
      <c r="P1621" s="378"/>
      <c r="Q1621" s="378"/>
      <c r="R1621" s="378"/>
      <c r="S1621" s="378"/>
      <c r="T1621" s="378"/>
      <c r="U1621" s="378"/>
      <c r="V1621" s="378"/>
      <c r="W1621" s="378"/>
      <c r="X1621" s="378"/>
      <c r="Y1621" s="378"/>
      <c r="Z1621" s="378"/>
      <c r="AA1621" s="378"/>
      <c r="AB1621" s="378"/>
      <c r="AC1621" s="378"/>
      <c r="AD1621" s="378"/>
      <c r="AE1621" s="378"/>
      <c r="AF1621" s="378"/>
      <c r="AG1621" s="378"/>
    </row>
    <row r="1622">
      <c r="A1622" s="378"/>
      <c r="B1622" s="477"/>
      <c r="C1622" s="378"/>
      <c r="D1622" s="378"/>
      <c r="E1622" s="378"/>
      <c r="F1622" s="378"/>
      <c r="G1622" s="378"/>
      <c r="H1622" s="378"/>
      <c r="I1622" s="376"/>
      <c r="J1622" s="377"/>
      <c r="K1622" s="378"/>
      <c r="L1622" s="378"/>
      <c r="M1622" s="378"/>
      <c r="N1622" s="379"/>
      <c r="O1622" s="380"/>
      <c r="P1622" s="378"/>
      <c r="Q1622" s="378"/>
      <c r="R1622" s="378"/>
      <c r="S1622" s="378"/>
      <c r="T1622" s="378"/>
      <c r="U1622" s="378"/>
      <c r="V1622" s="378"/>
      <c r="W1622" s="378"/>
      <c r="X1622" s="378"/>
      <c r="Y1622" s="378"/>
      <c r="Z1622" s="378"/>
      <c r="AA1622" s="378"/>
      <c r="AB1622" s="378"/>
      <c r="AC1622" s="378"/>
      <c r="AD1622" s="378"/>
      <c r="AE1622" s="378"/>
      <c r="AF1622" s="378"/>
      <c r="AG1622" s="378"/>
    </row>
    <row r="1623">
      <c r="A1623" s="378"/>
      <c r="B1623" s="477"/>
      <c r="C1623" s="378"/>
      <c r="D1623" s="378"/>
      <c r="E1623" s="378"/>
      <c r="F1623" s="378"/>
      <c r="G1623" s="378"/>
      <c r="H1623" s="378"/>
      <c r="I1623" s="376"/>
      <c r="J1623" s="377"/>
      <c r="K1623" s="378"/>
      <c r="L1623" s="378"/>
      <c r="M1623" s="378"/>
      <c r="N1623" s="379"/>
      <c r="O1623" s="380"/>
      <c r="P1623" s="378"/>
      <c r="Q1623" s="378"/>
      <c r="R1623" s="378"/>
      <c r="S1623" s="378"/>
      <c r="T1623" s="378"/>
      <c r="U1623" s="378"/>
      <c r="V1623" s="378"/>
      <c r="W1623" s="378"/>
      <c r="X1623" s="378"/>
      <c r="Y1623" s="378"/>
      <c r="Z1623" s="378"/>
      <c r="AA1623" s="378"/>
      <c r="AB1623" s="378"/>
      <c r="AC1623" s="378"/>
      <c r="AD1623" s="378"/>
      <c r="AE1623" s="378"/>
      <c r="AF1623" s="378"/>
      <c r="AG1623" s="378"/>
    </row>
    <row r="1624">
      <c r="A1624" s="378"/>
      <c r="B1624" s="477"/>
      <c r="C1624" s="378"/>
      <c r="D1624" s="378"/>
      <c r="E1624" s="378"/>
      <c r="F1624" s="378"/>
      <c r="G1624" s="378"/>
      <c r="H1624" s="378"/>
      <c r="I1624" s="376"/>
      <c r="J1624" s="377"/>
      <c r="K1624" s="378"/>
      <c r="L1624" s="378"/>
      <c r="M1624" s="378"/>
      <c r="N1624" s="379"/>
      <c r="O1624" s="380"/>
      <c r="P1624" s="378"/>
      <c r="Q1624" s="378"/>
      <c r="R1624" s="378"/>
      <c r="S1624" s="378"/>
      <c r="T1624" s="378"/>
      <c r="U1624" s="378"/>
      <c r="V1624" s="378"/>
      <c r="W1624" s="378"/>
      <c r="X1624" s="378"/>
      <c r="Y1624" s="378"/>
      <c r="Z1624" s="378"/>
      <c r="AA1624" s="378"/>
      <c r="AB1624" s="378"/>
      <c r="AC1624" s="378"/>
      <c r="AD1624" s="378"/>
      <c r="AE1624" s="378"/>
      <c r="AF1624" s="378"/>
      <c r="AG1624" s="378"/>
    </row>
    <row r="1625">
      <c r="A1625" s="378"/>
      <c r="B1625" s="477"/>
      <c r="C1625" s="378"/>
      <c r="D1625" s="378"/>
      <c r="E1625" s="378"/>
      <c r="F1625" s="378"/>
      <c r="G1625" s="378"/>
      <c r="H1625" s="378"/>
      <c r="I1625" s="376"/>
      <c r="J1625" s="377"/>
      <c r="K1625" s="378"/>
      <c r="L1625" s="378"/>
      <c r="M1625" s="378"/>
      <c r="N1625" s="379"/>
      <c r="O1625" s="380"/>
      <c r="P1625" s="378"/>
      <c r="Q1625" s="378"/>
      <c r="R1625" s="378"/>
      <c r="S1625" s="378"/>
      <c r="T1625" s="378"/>
      <c r="U1625" s="378"/>
      <c r="V1625" s="378"/>
      <c r="W1625" s="378"/>
      <c r="X1625" s="378"/>
      <c r="Y1625" s="378"/>
      <c r="Z1625" s="378"/>
      <c r="AA1625" s="378"/>
      <c r="AB1625" s="378"/>
      <c r="AC1625" s="378"/>
      <c r="AD1625" s="378"/>
      <c r="AE1625" s="378"/>
      <c r="AF1625" s="378"/>
      <c r="AG1625" s="378"/>
    </row>
    <row r="1626">
      <c r="A1626" s="378"/>
      <c r="B1626" s="477"/>
      <c r="C1626" s="378"/>
      <c r="D1626" s="378"/>
      <c r="E1626" s="378"/>
      <c r="F1626" s="378"/>
      <c r="G1626" s="378"/>
      <c r="H1626" s="378"/>
      <c r="I1626" s="376"/>
      <c r="J1626" s="377"/>
      <c r="K1626" s="378"/>
      <c r="L1626" s="378"/>
      <c r="M1626" s="378"/>
      <c r="N1626" s="379"/>
      <c r="O1626" s="380"/>
      <c r="P1626" s="378"/>
      <c r="Q1626" s="378"/>
      <c r="R1626" s="378"/>
      <c r="S1626" s="378"/>
      <c r="T1626" s="378"/>
      <c r="U1626" s="378"/>
      <c r="V1626" s="378"/>
      <c r="W1626" s="378"/>
      <c r="X1626" s="378"/>
      <c r="Y1626" s="378"/>
      <c r="Z1626" s="378"/>
      <c r="AA1626" s="378"/>
      <c r="AB1626" s="378"/>
      <c r="AC1626" s="378"/>
      <c r="AD1626" s="378"/>
      <c r="AE1626" s="378"/>
      <c r="AF1626" s="378"/>
      <c r="AG1626" s="378"/>
    </row>
    <row r="1627">
      <c r="A1627" s="378"/>
      <c r="B1627" s="477"/>
      <c r="C1627" s="378"/>
      <c r="D1627" s="378"/>
      <c r="E1627" s="378"/>
      <c r="F1627" s="378"/>
      <c r="G1627" s="378"/>
      <c r="H1627" s="378"/>
      <c r="I1627" s="376"/>
      <c r="J1627" s="377"/>
      <c r="K1627" s="378"/>
      <c r="L1627" s="378"/>
      <c r="M1627" s="378"/>
      <c r="N1627" s="379"/>
      <c r="O1627" s="380"/>
      <c r="P1627" s="378"/>
      <c r="Q1627" s="378"/>
      <c r="R1627" s="378"/>
      <c r="S1627" s="378"/>
      <c r="T1627" s="378"/>
      <c r="U1627" s="378"/>
      <c r="V1627" s="378"/>
      <c r="W1627" s="378"/>
      <c r="X1627" s="378"/>
      <c r="Y1627" s="378"/>
      <c r="Z1627" s="378"/>
      <c r="AA1627" s="378"/>
      <c r="AB1627" s="378"/>
      <c r="AC1627" s="378"/>
      <c r="AD1627" s="378"/>
      <c r="AE1627" s="378"/>
      <c r="AF1627" s="378"/>
      <c r="AG1627" s="378"/>
    </row>
    <row r="1628">
      <c r="A1628" s="378"/>
      <c r="B1628" s="477"/>
      <c r="C1628" s="378"/>
      <c r="D1628" s="378"/>
      <c r="E1628" s="378"/>
      <c r="F1628" s="378"/>
      <c r="G1628" s="378"/>
      <c r="H1628" s="378"/>
      <c r="I1628" s="376"/>
      <c r="J1628" s="377"/>
      <c r="K1628" s="378"/>
      <c r="L1628" s="378"/>
      <c r="M1628" s="378"/>
      <c r="N1628" s="379"/>
      <c r="O1628" s="380"/>
      <c r="P1628" s="378"/>
      <c r="Q1628" s="378"/>
      <c r="R1628" s="378"/>
      <c r="S1628" s="378"/>
      <c r="T1628" s="378"/>
      <c r="U1628" s="378"/>
      <c r="V1628" s="378"/>
      <c r="W1628" s="378"/>
      <c r="X1628" s="378"/>
      <c r="Y1628" s="378"/>
      <c r="Z1628" s="378"/>
      <c r="AA1628" s="378"/>
      <c r="AB1628" s="378"/>
      <c r="AC1628" s="378"/>
      <c r="AD1628" s="378"/>
      <c r="AE1628" s="378"/>
      <c r="AF1628" s="378"/>
      <c r="AG1628" s="378"/>
    </row>
    <row r="1629">
      <c r="A1629" s="378"/>
      <c r="B1629" s="477"/>
      <c r="C1629" s="378"/>
      <c r="D1629" s="378"/>
      <c r="E1629" s="378"/>
      <c r="F1629" s="378"/>
      <c r="G1629" s="378"/>
      <c r="H1629" s="378"/>
      <c r="I1629" s="376"/>
      <c r="J1629" s="377"/>
      <c r="K1629" s="378"/>
      <c r="L1629" s="378"/>
      <c r="M1629" s="378"/>
      <c r="N1629" s="379"/>
      <c r="O1629" s="380"/>
      <c r="P1629" s="378"/>
      <c r="Q1629" s="378"/>
      <c r="R1629" s="378"/>
      <c r="S1629" s="378"/>
      <c r="T1629" s="378"/>
      <c r="U1629" s="378"/>
      <c r="V1629" s="378"/>
      <c r="W1629" s="378"/>
      <c r="X1629" s="378"/>
      <c r="Y1629" s="378"/>
      <c r="Z1629" s="378"/>
      <c r="AA1629" s="378"/>
      <c r="AB1629" s="378"/>
      <c r="AC1629" s="378"/>
      <c r="AD1629" s="378"/>
      <c r="AE1629" s="378"/>
      <c r="AF1629" s="378"/>
      <c r="AG1629" s="378"/>
    </row>
    <row r="1630">
      <c r="A1630" s="378"/>
      <c r="B1630" s="477"/>
      <c r="C1630" s="378"/>
      <c r="D1630" s="378"/>
      <c r="E1630" s="378"/>
      <c r="F1630" s="378"/>
      <c r="G1630" s="378"/>
      <c r="H1630" s="378"/>
      <c r="I1630" s="376"/>
      <c r="J1630" s="377"/>
      <c r="K1630" s="378"/>
      <c r="L1630" s="378"/>
      <c r="M1630" s="378"/>
      <c r="N1630" s="379"/>
      <c r="O1630" s="380"/>
      <c r="P1630" s="378"/>
      <c r="Q1630" s="378"/>
      <c r="R1630" s="378"/>
      <c r="S1630" s="378"/>
      <c r="T1630" s="378"/>
      <c r="U1630" s="378"/>
      <c r="V1630" s="378"/>
      <c r="W1630" s="378"/>
      <c r="X1630" s="378"/>
      <c r="Y1630" s="378"/>
      <c r="Z1630" s="378"/>
      <c r="AA1630" s="378"/>
      <c r="AB1630" s="378"/>
      <c r="AC1630" s="378"/>
      <c r="AD1630" s="378"/>
      <c r="AE1630" s="378"/>
      <c r="AF1630" s="378"/>
      <c r="AG1630" s="378"/>
    </row>
    <row r="1631">
      <c r="A1631" s="378"/>
      <c r="B1631" s="477"/>
      <c r="C1631" s="378"/>
      <c r="D1631" s="378"/>
      <c r="E1631" s="378"/>
      <c r="F1631" s="378"/>
      <c r="G1631" s="378"/>
      <c r="H1631" s="378"/>
      <c r="I1631" s="376"/>
      <c r="J1631" s="377"/>
      <c r="K1631" s="378"/>
      <c r="L1631" s="378"/>
      <c r="M1631" s="378"/>
      <c r="N1631" s="379"/>
      <c r="O1631" s="380"/>
      <c r="P1631" s="378"/>
      <c r="Q1631" s="378"/>
      <c r="R1631" s="378"/>
      <c r="S1631" s="378"/>
      <c r="T1631" s="378"/>
      <c r="U1631" s="378"/>
      <c r="V1631" s="378"/>
      <c r="W1631" s="378"/>
      <c r="X1631" s="378"/>
      <c r="Y1631" s="378"/>
      <c r="Z1631" s="378"/>
      <c r="AA1631" s="378"/>
      <c r="AB1631" s="378"/>
      <c r="AC1631" s="378"/>
      <c r="AD1631" s="378"/>
      <c r="AE1631" s="378"/>
      <c r="AF1631" s="378"/>
      <c r="AG1631" s="378"/>
    </row>
    <row r="1632">
      <c r="A1632" s="378"/>
      <c r="B1632" s="477"/>
      <c r="C1632" s="378"/>
      <c r="D1632" s="378"/>
      <c r="E1632" s="378"/>
      <c r="F1632" s="378"/>
      <c r="G1632" s="378"/>
      <c r="H1632" s="378"/>
      <c r="I1632" s="376"/>
      <c r="J1632" s="377"/>
      <c r="K1632" s="378"/>
      <c r="L1632" s="378"/>
      <c r="M1632" s="378"/>
      <c r="N1632" s="379"/>
      <c r="O1632" s="380"/>
      <c r="P1632" s="378"/>
      <c r="Q1632" s="378"/>
      <c r="R1632" s="378"/>
      <c r="S1632" s="378"/>
      <c r="T1632" s="378"/>
      <c r="U1632" s="378"/>
      <c r="V1632" s="378"/>
      <c r="W1632" s="378"/>
      <c r="X1632" s="378"/>
      <c r="Y1632" s="378"/>
      <c r="Z1632" s="378"/>
      <c r="AA1632" s="378"/>
      <c r="AB1632" s="378"/>
      <c r="AC1632" s="378"/>
      <c r="AD1632" s="378"/>
      <c r="AE1632" s="378"/>
      <c r="AF1632" s="378"/>
      <c r="AG1632" s="378"/>
    </row>
    <row r="1633">
      <c r="A1633" s="378"/>
      <c r="B1633" s="477"/>
      <c r="C1633" s="378"/>
      <c r="D1633" s="378"/>
      <c r="E1633" s="378"/>
      <c r="F1633" s="378"/>
      <c r="G1633" s="378"/>
      <c r="H1633" s="378"/>
      <c r="I1633" s="376"/>
      <c r="J1633" s="377"/>
      <c r="K1633" s="378"/>
      <c r="L1633" s="378"/>
      <c r="M1633" s="378"/>
      <c r="N1633" s="379"/>
      <c r="O1633" s="380"/>
      <c r="P1633" s="378"/>
      <c r="Q1633" s="378"/>
      <c r="R1633" s="378"/>
      <c r="S1633" s="378"/>
      <c r="T1633" s="378"/>
      <c r="U1633" s="378"/>
      <c r="V1633" s="378"/>
      <c r="W1633" s="378"/>
      <c r="X1633" s="378"/>
      <c r="Y1633" s="378"/>
      <c r="Z1633" s="378"/>
      <c r="AA1633" s="378"/>
      <c r="AB1633" s="378"/>
      <c r="AC1633" s="378"/>
      <c r="AD1633" s="378"/>
      <c r="AE1633" s="378"/>
      <c r="AF1633" s="378"/>
      <c r="AG1633" s="378"/>
    </row>
    <row r="1634">
      <c r="A1634" s="378"/>
      <c r="B1634" s="477"/>
      <c r="C1634" s="378"/>
      <c r="D1634" s="378"/>
      <c r="E1634" s="378"/>
      <c r="F1634" s="378"/>
      <c r="G1634" s="378"/>
      <c r="H1634" s="378"/>
      <c r="I1634" s="376"/>
      <c r="J1634" s="377"/>
      <c r="K1634" s="378"/>
      <c r="L1634" s="378"/>
      <c r="M1634" s="378"/>
      <c r="N1634" s="379"/>
      <c r="O1634" s="380"/>
      <c r="P1634" s="378"/>
      <c r="Q1634" s="378"/>
      <c r="R1634" s="378"/>
      <c r="S1634" s="378"/>
      <c r="T1634" s="378"/>
      <c r="U1634" s="378"/>
      <c r="V1634" s="378"/>
      <c r="W1634" s="378"/>
      <c r="X1634" s="378"/>
      <c r="Y1634" s="378"/>
      <c r="Z1634" s="378"/>
      <c r="AA1634" s="378"/>
      <c r="AB1634" s="378"/>
      <c r="AC1634" s="378"/>
      <c r="AD1634" s="378"/>
      <c r="AE1634" s="378"/>
      <c r="AF1634" s="378"/>
      <c r="AG1634" s="378"/>
    </row>
    <row r="1635">
      <c r="A1635" s="378"/>
      <c r="B1635" s="477"/>
      <c r="C1635" s="378"/>
      <c r="D1635" s="378"/>
      <c r="E1635" s="378"/>
      <c r="F1635" s="378"/>
      <c r="G1635" s="378"/>
      <c r="H1635" s="378"/>
      <c r="I1635" s="376"/>
      <c r="J1635" s="377"/>
      <c r="K1635" s="378"/>
      <c r="L1635" s="378"/>
      <c r="M1635" s="378"/>
      <c r="N1635" s="379"/>
      <c r="O1635" s="380"/>
      <c r="P1635" s="378"/>
      <c r="Q1635" s="378"/>
      <c r="R1635" s="378"/>
      <c r="S1635" s="378"/>
      <c r="T1635" s="378"/>
      <c r="U1635" s="378"/>
      <c r="V1635" s="378"/>
      <c r="W1635" s="378"/>
      <c r="X1635" s="378"/>
      <c r="Y1635" s="378"/>
      <c r="Z1635" s="378"/>
      <c r="AA1635" s="378"/>
      <c r="AB1635" s="378"/>
      <c r="AC1635" s="378"/>
      <c r="AD1635" s="378"/>
      <c r="AE1635" s="378"/>
      <c r="AF1635" s="378"/>
      <c r="AG1635" s="378"/>
    </row>
    <row r="1636">
      <c r="A1636" s="378"/>
      <c r="B1636" s="477"/>
      <c r="C1636" s="378"/>
      <c r="D1636" s="378"/>
      <c r="E1636" s="378"/>
      <c r="F1636" s="378"/>
      <c r="G1636" s="378"/>
      <c r="H1636" s="378"/>
      <c r="I1636" s="376"/>
      <c r="J1636" s="377"/>
      <c r="K1636" s="378"/>
      <c r="L1636" s="378"/>
      <c r="M1636" s="378"/>
      <c r="N1636" s="379"/>
      <c r="O1636" s="380"/>
      <c r="P1636" s="378"/>
      <c r="Q1636" s="378"/>
      <c r="R1636" s="378"/>
      <c r="S1636" s="378"/>
      <c r="T1636" s="378"/>
      <c r="U1636" s="378"/>
      <c r="V1636" s="378"/>
      <c r="W1636" s="378"/>
      <c r="X1636" s="378"/>
      <c r="Y1636" s="378"/>
      <c r="Z1636" s="378"/>
      <c r="AA1636" s="378"/>
      <c r="AB1636" s="378"/>
      <c r="AC1636" s="378"/>
      <c r="AD1636" s="378"/>
      <c r="AE1636" s="378"/>
      <c r="AF1636" s="378"/>
      <c r="AG1636" s="378"/>
    </row>
    <row r="1637">
      <c r="A1637" s="378"/>
      <c r="B1637" s="477"/>
      <c r="C1637" s="378"/>
      <c r="D1637" s="378"/>
      <c r="E1637" s="378"/>
      <c r="F1637" s="378"/>
      <c r="G1637" s="378"/>
      <c r="H1637" s="378"/>
      <c r="I1637" s="376"/>
      <c r="J1637" s="377"/>
      <c r="K1637" s="378"/>
      <c r="L1637" s="378"/>
      <c r="M1637" s="378"/>
      <c r="N1637" s="379"/>
      <c r="O1637" s="380"/>
      <c r="P1637" s="378"/>
      <c r="Q1637" s="378"/>
      <c r="R1637" s="378"/>
      <c r="S1637" s="378"/>
      <c r="T1637" s="378"/>
      <c r="U1637" s="378"/>
      <c r="V1637" s="378"/>
      <c r="W1637" s="378"/>
      <c r="X1637" s="378"/>
      <c r="Y1637" s="378"/>
      <c r="Z1637" s="378"/>
      <c r="AA1637" s="378"/>
      <c r="AB1637" s="378"/>
      <c r="AC1637" s="378"/>
      <c r="AD1637" s="378"/>
      <c r="AE1637" s="378"/>
      <c r="AF1637" s="378"/>
      <c r="AG1637" s="378"/>
    </row>
    <row r="1638">
      <c r="A1638" s="378"/>
      <c r="B1638" s="477"/>
      <c r="C1638" s="378"/>
      <c r="D1638" s="378"/>
      <c r="E1638" s="378"/>
      <c r="F1638" s="378"/>
      <c r="G1638" s="378"/>
      <c r="H1638" s="378"/>
      <c r="I1638" s="376"/>
      <c r="J1638" s="377"/>
      <c r="K1638" s="378"/>
      <c r="L1638" s="378"/>
      <c r="M1638" s="378"/>
      <c r="N1638" s="379"/>
      <c r="O1638" s="380"/>
      <c r="P1638" s="378"/>
      <c r="Q1638" s="378"/>
      <c r="R1638" s="378"/>
      <c r="S1638" s="378"/>
      <c r="T1638" s="378"/>
      <c r="U1638" s="378"/>
      <c r="V1638" s="378"/>
      <c r="W1638" s="378"/>
      <c r="X1638" s="378"/>
      <c r="Y1638" s="378"/>
      <c r="Z1638" s="378"/>
      <c r="AA1638" s="378"/>
      <c r="AB1638" s="378"/>
      <c r="AC1638" s="378"/>
      <c r="AD1638" s="378"/>
      <c r="AE1638" s="378"/>
      <c r="AF1638" s="378"/>
      <c r="AG1638" s="378"/>
    </row>
    <row r="1639">
      <c r="A1639" s="378"/>
      <c r="B1639" s="477"/>
      <c r="C1639" s="378"/>
      <c r="D1639" s="378"/>
      <c r="E1639" s="378"/>
      <c r="F1639" s="378"/>
      <c r="G1639" s="378"/>
      <c r="H1639" s="378"/>
      <c r="I1639" s="376"/>
      <c r="J1639" s="377"/>
      <c r="K1639" s="378"/>
      <c r="L1639" s="378"/>
      <c r="M1639" s="378"/>
      <c r="N1639" s="379"/>
      <c r="O1639" s="380"/>
      <c r="P1639" s="378"/>
      <c r="Q1639" s="378"/>
      <c r="R1639" s="378"/>
      <c r="S1639" s="378"/>
      <c r="T1639" s="378"/>
      <c r="U1639" s="378"/>
      <c r="V1639" s="378"/>
      <c r="W1639" s="378"/>
      <c r="X1639" s="378"/>
      <c r="Y1639" s="378"/>
      <c r="Z1639" s="378"/>
      <c r="AA1639" s="378"/>
      <c r="AB1639" s="378"/>
      <c r="AC1639" s="378"/>
      <c r="AD1639" s="378"/>
      <c r="AE1639" s="378"/>
      <c r="AF1639" s="378"/>
      <c r="AG1639" s="378"/>
    </row>
    <row r="1640">
      <c r="A1640" s="378"/>
      <c r="B1640" s="477"/>
      <c r="C1640" s="378"/>
      <c r="D1640" s="378"/>
      <c r="E1640" s="378"/>
      <c r="F1640" s="378"/>
      <c r="G1640" s="378"/>
      <c r="H1640" s="378"/>
      <c r="I1640" s="376"/>
      <c r="J1640" s="377"/>
      <c r="K1640" s="378"/>
      <c r="L1640" s="378"/>
      <c r="M1640" s="378"/>
      <c r="N1640" s="379"/>
      <c r="O1640" s="380"/>
      <c r="P1640" s="378"/>
      <c r="Q1640" s="378"/>
      <c r="R1640" s="378"/>
      <c r="S1640" s="378"/>
      <c r="T1640" s="378"/>
      <c r="U1640" s="378"/>
      <c r="V1640" s="378"/>
      <c r="W1640" s="378"/>
      <c r="X1640" s="378"/>
      <c r="Y1640" s="378"/>
      <c r="Z1640" s="378"/>
      <c r="AA1640" s="378"/>
      <c r="AB1640" s="378"/>
      <c r="AC1640" s="378"/>
      <c r="AD1640" s="378"/>
      <c r="AE1640" s="378"/>
      <c r="AF1640" s="378"/>
      <c r="AG1640" s="378"/>
    </row>
    <row r="1641">
      <c r="A1641" s="378"/>
      <c r="B1641" s="477"/>
      <c r="C1641" s="378"/>
      <c r="D1641" s="378"/>
      <c r="E1641" s="378"/>
      <c r="F1641" s="378"/>
      <c r="G1641" s="378"/>
      <c r="H1641" s="378"/>
      <c r="I1641" s="376"/>
      <c r="J1641" s="377"/>
      <c r="K1641" s="378"/>
      <c r="L1641" s="378"/>
      <c r="M1641" s="378"/>
      <c r="N1641" s="379"/>
      <c r="O1641" s="380"/>
      <c r="P1641" s="378"/>
      <c r="Q1641" s="378"/>
      <c r="R1641" s="378"/>
      <c r="S1641" s="378"/>
      <c r="T1641" s="378"/>
      <c r="U1641" s="378"/>
      <c r="V1641" s="378"/>
      <c r="W1641" s="378"/>
      <c r="X1641" s="378"/>
      <c r="Y1641" s="378"/>
      <c r="Z1641" s="378"/>
      <c r="AA1641" s="378"/>
      <c r="AB1641" s="378"/>
      <c r="AC1641" s="378"/>
      <c r="AD1641" s="378"/>
      <c r="AE1641" s="378"/>
      <c r="AF1641" s="378"/>
      <c r="AG1641" s="378"/>
    </row>
    <row r="1642">
      <c r="A1642" s="378"/>
      <c r="B1642" s="477"/>
      <c r="C1642" s="378"/>
      <c r="D1642" s="378"/>
      <c r="E1642" s="378"/>
      <c r="F1642" s="378"/>
      <c r="G1642" s="378"/>
      <c r="H1642" s="378"/>
      <c r="I1642" s="376"/>
      <c r="J1642" s="377"/>
      <c r="K1642" s="378"/>
      <c r="L1642" s="378"/>
      <c r="M1642" s="378"/>
      <c r="N1642" s="379"/>
      <c r="O1642" s="380"/>
      <c r="P1642" s="378"/>
      <c r="Q1642" s="378"/>
      <c r="R1642" s="378"/>
      <c r="S1642" s="378"/>
      <c r="T1642" s="378"/>
      <c r="U1642" s="378"/>
      <c r="V1642" s="378"/>
      <c r="W1642" s="378"/>
      <c r="X1642" s="378"/>
      <c r="Y1642" s="378"/>
      <c r="Z1642" s="378"/>
      <c r="AA1642" s="378"/>
      <c r="AB1642" s="378"/>
      <c r="AC1642" s="378"/>
      <c r="AD1642" s="378"/>
      <c r="AE1642" s="378"/>
      <c r="AF1642" s="378"/>
      <c r="AG1642" s="378"/>
    </row>
    <row r="1643">
      <c r="A1643" s="378"/>
      <c r="B1643" s="477"/>
      <c r="C1643" s="378"/>
      <c r="D1643" s="378"/>
      <c r="E1643" s="378"/>
      <c r="F1643" s="378"/>
      <c r="G1643" s="378"/>
      <c r="H1643" s="378"/>
      <c r="I1643" s="376"/>
      <c r="J1643" s="377"/>
      <c r="K1643" s="378"/>
      <c r="L1643" s="378"/>
      <c r="M1643" s="378"/>
      <c r="N1643" s="379"/>
      <c r="O1643" s="380"/>
      <c r="P1643" s="378"/>
      <c r="Q1643" s="378"/>
      <c r="R1643" s="378"/>
      <c r="S1643" s="378"/>
      <c r="T1643" s="378"/>
      <c r="U1643" s="378"/>
      <c r="V1643" s="378"/>
      <c r="W1643" s="378"/>
      <c r="X1643" s="378"/>
      <c r="Y1643" s="378"/>
      <c r="Z1643" s="378"/>
      <c r="AA1643" s="378"/>
      <c r="AB1643" s="378"/>
      <c r="AC1643" s="378"/>
      <c r="AD1643" s="378"/>
      <c r="AE1643" s="378"/>
      <c r="AF1643" s="378"/>
      <c r="AG1643" s="378"/>
    </row>
    <row r="1644">
      <c r="A1644" s="378"/>
      <c r="B1644" s="477"/>
      <c r="C1644" s="378"/>
      <c r="D1644" s="378"/>
      <c r="E1644" s="378"/>
      <c r="F1644" s="378"/>
      <c r="G1644" s="378"/>
      <c r="H1644" s="378"/>
      <c r="I1644" s="376"/>
      <c r="J1644" s="377"/>
      <c r="K1644" s="378"/>
      <c r="L1644" s="378"/>
      <c r="M1644" s="378"/>
      <c r="N1644" s="379"/>
      <c r="O1644" s="380"/>
      <c r="P1644" s="378"/>
      <c r="Q1644" s="378"/>
      <c r="R1644" s="378"/>
      <c r="S1644" s="378"/>
      <c r="T1644" s="378"/>
      <c r="U1644" s="378"/>
      <c r="V1644" s="378"/>
      <c r="W1644" s="378"/>
      <c r="X1644" s="378"/>
      <c r="Y1644" s="378"/>
      <c r="Z1644" s="378"/>
      <c r="AA1644" s="378"/>
      <c r="AB1644" s="378"/>
      <c r="AC1644" s="378"/>
      <c r="AD1644" s="378"/>
      <c r="AE1644" s="378"/>
      <c r="AF1644" s="378"/>
      <c r="AG1644" s="378"/>
    </row>
    <row r="1645">
      <c r="A1645" s="378"/>
      <c r="B1645" s="477"/>
      <c r="C1645" s="378"/>
      <c r="D1645" s="378"/>
      <c r="E1645" s="378"/>
      <c r="F1645" s="378"/>
      <c r="G1645" s="378"/>
      <c r="H1645" s="378"/>
      <c r="I1645" s="376"/>
      <c r="J1645" s="377"/>
      <c r="K1645" s="378"/>
      <c r="L1645" s="378"/>
      <c r="M1645" s="378"/>
      <c r="N1645" s="379"/>
      <c r="O1645" s="380"/>
      <c r="P1645" s="378"/>
      <c r="Q1645" s="378"/>
      <c r="R1645" s="378"/>
      <c r="S1645" s="378"/>
      <c r="T1645" s="378"/>
      <c r="U1645" s="378"/>
      <c r="V1645" s="378"/>
      <c r="W1645" s="378"/>
      <c r="X1645" s="378"/>
      <c r="Y1645" s="378"/>
      <c r="Z1645" s="378"/>
      <c r="AA1645" s="378"/>
      <c r="AB1645" s="378"/>
      <c r="AC1645" s="378"/>
      <c r="AD1645" s="378"/>
      <c r="AE1645" s="378"/>
      <c r="AF1645" s="378"/>
      <c r="AG1645" s="378"/>
    </row>
    <row r="1646">
      <c r="A1646" s="378"/>
      <c r="B1646" s="477"/>
      <c r="C1646" s="378"/>
      <c r="D1646" s="378"/>
      <c r="E1646" s="378"/>
      <c r="F1646" s="378"/>
      <c r="G1646" s="378"/>
      <c r="H1646" s="378"/>
      <c r="I1646" s="376"/>
      <c r="J1646" s="377"/>
      <c r="K1646" s="378"/>
      <c r="L1646" s="378"/>
      <c r="M1646" s="378"/>
      <c r="N1646" s="379"/>
      <c r="O1646" s="380"/>
      <c r="P1646" s="378"/>
      <c r="Q1646" s="378"/>
      <c r="R1646" s="378"/>
      <c r="S1646" s="378"/>
      <c r="T1646" s="378"/>
      <c r="U1646" s="378"/>
      <c r="V1646" s="378"/>
      <c r="W1646" s="378"/>
      <c r="X1646" s="378"/>
      <c r="Y1646" s="378"/>
      <c r="Z1646" s="378"/>
      <c r="AA1646" s="378"/>
      <c r="AB1646" s="378"/>
      <c r="AC1646" s="378"/>
      <c r="AD1646" s="378"/>
      <c r="AE1646" s="378"/>
      <c r="AF1646" s="378"/>
      <c r="AG1646" s="378"/>
    </row>
    <row r="1647">
      <c r="A1647" s="378"/>
      <c r="B1647" s="477"/>
      <c r="C1647" s="378"/>
      <c r="D1647" s="378"/>
      <c r="E1647" s="378"/>
      <c r="F1647" s="378"/>
      <c r="G1647" s="378"/>
      <c r="H1647" s="378"/>
      <c r="I1647" s="376"/>
      <c r="J1647" s="377"/>
      <c r="K1647" s="378"/>
      <c r="L1647" s="378"/>
      <c r="M1647" s="378"/>
      <c r="N1647" s="379"/>
      <c r="O1647" s="380"/>
      <c r="P1647" s="378"/>
      <c r="Q1647" s="378"/>
      <c r="R1647" s="378"/>
      <c r="S1647" s="378"/>
      <c r="T1647" s="378"/>
      <c r="U1647" s="378"/>
      <c r="V1647" s="378"/>
      <c r="W1647" s="378"/>
      <c r="X1647" s="378"/>
      <c r="Y1647" s="378"/>
      <c r="Z1647" s="378"/>
      <c r="AA1647" s="378"/>
      <c r="AB1647" s="378"/>
      <c r="AC1647" s="378"/>
      <c r="AD1647" s="378"/>
      <c r="AE1647" s="378"/>
      <c r="AF1647" s="378"/>
      <c r="AG1647" s="378"/>
    </row>
    <row r="1648">
      <c r="A1648" s="378"/>
      <c r="B1648" s="477"/>
      <c r="C1648" s="378"/>
      <c r="D1648" s="378"/>
      <c r="E1648" s="378"/>
      <c r="F1648" s="378"/>
      <c r="G1648" s="378"/>
      <c r="H1648" s="378"/>
      <c r="I1648" s="376"/>
      <c r="J1648" s="377"/>
      <c r="K1648" s="378"/>
      <c r="L1648" s="378"/>
      <c r="M1648" s="378"/>
      <c r="N1648" s="379"/>
      <c r="O1648" s="380"/>
      <c r="P1648" s="378"/>
      <c r="Q1648" s="378"/>
      <c r="R1648" s="378"/>
      <c r="S1648" s="378"/>
      <c r="T1648" s="378"/>
      <c r="U1648" s="378"/>
      <c r="V1648" s="378"/>
      <c r="W1648" s="378"/>
      <c r="X1648" s="378"/>
      <c r="Y1648" s="378"/>
      <c r="Z1648" s="378"/>
      <c r="AA1648" s="378"/>
      <c r="AB1648" s="378"/>
      <c r="AC1648" s="378"/>
      <c r="AD1648" s="378"/>
      <c r="AE1648" s="378"/>
      <c r="AF1648" s="378"/>
      <c r="AG1648" s="378"/>
    </row>
    <row r="1649">
      <c r="A1649" s="378"/>
      <c r="B1649" s="477"/>
      <c r="C1649" s="378"/>
      <c r="D1649" s="378"/>
      <c r="E1649" s="378"/>
      <c r="F1649" s="378"/>
      <c r="G1649" s="378"/>
      <c r="H1649" s="378"/>
      <c r="I1649" s="376"/>
      <c r="J1649" s="377"/>
      <c r="K1649" s="378"/>
      <c r="L1649" s="378"/>
      <c r="M1649" s="378"/>
      <c r="N1649" s="379"/>
      <c r="O1649" s="380"/>
      <c r="P1649" s="378"/>
      <c r="Q1649" s="378"/>
      <c r="R1649" s="378"/>
      <c r="S1649" s="378"/>
      <c r="T1649" s="378"/>
      <c r="U1649" s="378"/>
      <c r="V1649" s="378"/>
      <c r="W1649" s="378"/>
      <c r="X1649" s="378"/>
      <c r="Y1649" s="378"/>
      <c r="Z1649" s="378"/>
      <c r="AA1649" s="378"/>
      <c r="AB1649" s="378"/>
      <c r="AC1649" s="378"/>
      <c r="AD1649" s="378"/>
      <c r="AE1649" s="378"/>
      <c r="AF1649" s="378"/>
      <c r="AG1649" s="378"/>
    </row>
    <row r="1650">
      <c r="A1650" s="378"/>
      <c r="B1650" s="477"/>
      <c r="C1650" s="378"/>
      <c r="D1650" s="378"/>
      <c r="E1650" s="378"/>
      <c r="F1650" s="378"/>
      <c r="G1650" s="378"/>
      <c r="H1650" s="378"/>
      <c r="I1650" s="376"/>
      <c r="J1650" s="377"/>
      <c r="K1650" s="378"/>
      <c r="L1650" s="378"/>
      <c r="M1650" s="378"/>
      <c r="N1650" s="379"/>
      <c r="O1650" s="380"/>
      <c r="P1650" s="378"/>
      <c r="Q1650" s="378"/>
      <c r="R1650" s="378"/>
      <c r="S1650" s="378"/>
      <c r="T1650" s="378"/>
      <c r="U1650" s="378"/>
      <c r="V1650" s="378"/>
      <c r="W1650" s="378"/>
      <c r="X1650" s="378"/>
      <c r="Y1650" s="378"/>
      <c r="Z1650" s="378"/>
      <c r="AA1650" s="378"/>
      <c r="AB1650" s="378"/>
      <c r="AC1650" s="378"/>
      <c r="AD1650" s="378"/>
      <c r="AE1650" s="378"/>
      <c r="AF1650" s="378"/>
      <c r="AG1650" s="378"/>
    </row>
    <row r="1651">
      <c r="A1651" s="378"/>
      <c r="B1651" s="477"/>
      <c r="C1651" s="378"/>
      <c r="D1651" s="378"/>
      <c r="E1651" s="378"/>
      <c r="F1651" s="378"/>
      <c r="G1651" s="378"/>
      <c r="H1651" s="378"/>
      <c r="I1651" s="376"/>
      <c r="J1651" s="377"/>
      <c r="K1651" s="378"/>
      <c r="L1651" s="378"/>
      <c r="M1651" s="378"/>
      <c r="N1651" s="379"/>
      <c r="O1651" s="380"/>
      <c r="P1651" s="378"/>
      <c r="Q1651" s="378"/>
      <c r="R1651" s="378"/>
      <c r="S1651" s="378"/>
      <c r="T1651" s="378"/>
      <c r="U1651" s="378"/>
      <c r="V1651" s="378"/>
      <c r="W1651" s="378"/>
      <c r="X1651" s="378"/>
      <c r="Y1651" s="378"/>
      <c r="Z1651" s="378"/>
      <c r="AA1651" s="378"/>
      <c r="AB1651" s="378"/>
      <c r="AC1651" s="378"/>
      <c r="AD1651" s="378"/>
      <c r="AE1651" s="378"/>
      <c r="AF1651" s="378"/>
      <c r="AG1651" s="378"/>
    </row>
    <row r="1652">
      <c r="A1652" s="378"/>
      <c r="B1652" s="477"/>
      <c r="C1652" s="378"/>
      <c r="D1652" s="378"/>
      <c r="E1652" s="378"/>
      <c r="F1652" s="378"/>
      <c r="G1652" s="378"/>
      <c r="H1652" s="378"/>
      <c r="I1652" s="376"/>
      <c r="J1652" s="377"/>
      <c r="K1652" s="378"/>
      <c r="L1652" s="378"/>
      <c r="M1652" s="378"/>
      <c r="N1652" s="379"/>
      <c r="O1652" s="380"/>
      <c r="P1652" s="378"/>
      <c r="Q1652" s="378"/>
      <c r="R1652" s="378"/>
      <c r="S1652" s="378"/>
      <c r="T1652" s="378"/>
      <c r="U1652" s="378"/>
      <c r="V1652" s="378"/>
      <c r="W1652" s="378"/>
      <c r="X1652" s="378"/>
      <c r="Y1652" s="378"/>
      <c r="Z1652" s="378"/>
      <c r="AA1652" s="378"/>
      <c r="AB1652" s="378"/>
      <c r="AC1652" s="378"/>
      <c r="AD1652" s="378"/>
      <c r="AE1652" s="378"/>
      <c r="AF1652" s="378"/>
      <c r="AG1652" s="378"/>
    </row>
    <row r="1653">
      <c r="A1653" s="378"/>
      <c r="B1653" s="477"/>
      <c r="C1653" s="378"/>
      <c r="D1653" s="378"/>
      <c r="E1653" s="378"/>
      <c r="F1653" s="378"/>
      <c r="G1653" s="378"/>
      <c r="H1653" s="378"/>
      <c r="I1653" s="376"/>
      <c r="J1653" s="377"/>
      <c r="K1653" s="378"/>
      <c r="L1653" s="378"/>
      <c r="M1653" s="378"/>
      <c r="N1653" s="379"/>
      <c r="O1653" s="380"/>
      <c r="P1653" s="378"/>
      <c r="Q1653" s="378"/>
      <c r="R1653" s="378"/>
      <c r="S1653" s="378"/>
      <c r="T1653" s="378"/>
      <c r="U1653" s="378"/>
      <c r="V1653" s="378"/>
      <c r="W1653" s="378"/>
      <c r="X1653" s="378"/>
      <c r="Y1653" s="378"/>
      <c r="Z1653" s="378"/>
      <c r="AA1653" s="378"/>
      <c r="AB1653" s="378"/>
      <c r="AC1653" s="378"/>
      <c r="AD1653" s="378"/>
      <c r="AE1653" s="378"/>
      <c r="AF1653" s="378"/>
      <c r="AG1653" s="378"/>
    </row>
    <row r="1654">
      <c r="A1654" s="378"/>
      <c r="B1654" s="477"/>
      <c r="C1654" s="378"/>
      <c r="D1654" s="378"/>
      <c r="E1654" s="378"/>
      <c r="F1654" s="378"/>
      <c r="G1654" s="378"/>
      <c r="H1654" s="378"/>
      <c r="I1654" s="376"/>
      <c r="J1654" s="377"/>
      <c r="K1654" s="378"/>
      <c r="L1654" s="378"/>
      <c r="M1654" s="378"/>
      <c r="N1654" s="379"/>
      <c r="O1654" s="380"/>
      <c r="P1654" s="378"/>
      <c r="Q1654" s="378"/>
      <c r="R1654" s="378"/>
      <c r="S1654" s="378"/>
      <c r="T1654" s="378"/>
      <c r="U1654" s="378"/>
      <c r="V1654" s="378"/>
      <c r="W1654" s="378"/>
      <c r="X1654" s="378"/>
      <c r="Y1654" s="378"/>
      <c r="Z1654" s="378"/>
      <c r="AA1654" s="378"/>
      <c r="AB1654" s="378"/>
      <c r="AC1654" s="378"/>
      <c r="AD1654" s="378"/>
      <c r="AE1654" s="378"/>
      <c r="AF1654" s="378"/>
      <c r="AG1654" s="378"/>
    </row>
    <row r="1655">
      <c r="A1655" s="378"/>
      <c r="B1655" s="477"/>
      <c r="C1655" s="378"/>
      <c r="D1655" s="378"/>
      <c r="E1655" s="378"/>
      <c r="F1655" s="378"/>
      <c r="G1655" s="378"/>
      <c r="H1655" s="378"/>
      <c r="I1655" s="376"/>
      <c r="J1655" s="377"/>
      <c r="K1655" s="378"/>
      <c r="L1655" s="378"/>
      <c r="M1655" s="378"/>
      <c r="N1655" s="379"/>
      <c r="O1655" s="380"/>
      <c r="P1655" s="378"/>
      <c r="Q1655" s="378"/>
      <c r="R1655" s="378"/>
      <c r="S1655" s="378"/>
      <c r="T1655" s="378"/>
      <c r="U1655" s="378"/>
      <c r="V1655" s="378"/>
      <c r="W1655" s="378"/>
      <c r="X1655" s="378"/>
      <c r="Y1655" s="378"/>
      <c r="Z1655" s="378"/>
      <c r="AA1655" s="378"/>
      <c r="AB1655" s="378"/>
      <c r="AC1655" s="378"/>
      <c r="AD1655" s="378"/>
      <c r="AE1655" s="378"/>
      <c r="AF1655" s="378"/>
      <c r="AG1655" s="378"/>
    </row>
    <row r="1656">
      <c r="A1656" s="378"/>
      <c r="B1656" s="477"/>
      <c r="C1656" s="378"/>
      <c r="D1656" s="378"/>
      <c r="E1656" s="378"/>
      <c r="F1656" s="378"/>
      <c r="G1656" s="378"/>
      <c r="H1656" s="378"/>
      <c r="I1656" s="376"/>
      <c r="J1656" s="377"/>
      <c r="K1656" s="378"/>
      <c r="L1656" s="378"/>
      <c r="M1656" s="378"/>
      <c r="N1656" s="379"/>
      <c r="O1656" s="380"/>
      <c r="P1656" s="378"/>
      <c r="Q1656" s="378"/>
      <c r="R1656" s="378"/>
      <c r="S1656" s="378"/>
      <c r="T1656" s="378"/>
      <c r="U1656" s="378"/>
      <c r="V1656" s="378"/>
      <c r="W1656" s="378"/>
      <c r="X1656" s="378"/>
      <c r="Y1656" s="378"/>
      <c r="Z1656" s="378"/>
      <c r="AA1656" s="378"/>
      <c r="AB1656" s="378"/>
      <c r="AC1656" s="378"/>
      <c r="AD1656" s="378"/>
      <c r="AE1656" s="378"/>
      <c r="AF1656" s="378"/>
      <c r="AG1656" s="378"/>
    </row>
    <row r="1657">
      <c r="A1657" s="378"/>
      <c r="B1657" s="477"/>
      <c r="C1657" s="378"/>
      <c r="D1657" s="378"/>
      <c r="E1657" s="378"/>
      <c r="F1657" s="378"/>
      <c r="G1657" s="378"/>
      <c r="H1657" s="378"/>
      <c r="I1657" s="376"/>
      <c r="J1657" s="377"/>
      <c r="K1657" s="378"/>
      <c r="L1657" s="378"/>
      <c r="M1657" s="378"/>
      <c r="N1657" s="379"/>
      <c r="O1657" s="380"/>
      <c r="P1657" s="378"/>
      <c r="Q1657" s="378"/>
      <c r="R1657" s="378"/>
      <c r="S1657" s="378"/>
      <c r="T1657" s="378"/>
      <c r="U1657" s="378"/>
      <c r="V1657" s="378"/>
      <c r="W1657" s="378"/>
      <c r="X1657" s="378"/>
      <c r="Y1657" s="378"/>
      <c r="Z1657" s="378"/>
      <c r="AA1657" s="378"/>
      <c r="AB1657" s="378"/>
      <c r="AC1657" s="378"/>
      <c r="AD1657" s="378"/>
      <c r="AE1657" s="378"/>
      <c r="AF1657" s="378"/>
      <c r="AG1657" s="378"/>
    </row>
    <row r="1658">
      <c r="A1658" s="378"/>
      <c r="B1658" s="477"/>
      <c r="C1658" s="378"/>
      <c r="D1658" s="378"/>
      <c r="E1658" s="378"/>
      <c r="F1658" s="378"/>
      <c r="G1658" s="378"/>
      <c r="H1658" s="378"/>
      <c r="I1658" s="376"/>
      <c r="J1658" s="377"/>
      <c r="K1658" s="378"/>
      <c r="L1658" s="378"/>
      <c r="M1658" s="378"/>
      <c r="N1658" s="379"/>
      <c r="O1658" s="380"/>
      <c r="P1658" s="378"/>
      <c r="Q1658" s="378"/>
      <c r="R1658" s="378"/>
      <c r="S1658" s="378"/>
      <c r="T1658" s="378"/>
      <c r="U1658" s="378"/>
      <c r="V1658" s="378"/>
      <c r="W1658" s="378"/>
      <c r="X1658" s="378"/>
      <c r="Y1658" s="378"/>
      <c r="Z1658" s="378"/>
      <c r="AA1658" s="378"/>
      <c r="AB1658" s="378"/>
      <c r="AC1658" s="378"/>
      <c r="AD1658" s="378"/>
      <c r="AE1658" s="378"/>
      <c r="AF1658" s="378"/>
      <c r="AG1658" s="378"/>
    </row>
    <row r="1659">
      <c r="A1659" s="378"/>
      <c r="B1659" s="477"/>
      <c r="C1659" s="378"/>
      <c r="D1659" s="378"/>
      <c r="E1659" s="378"/>
      <c r="F1659" s="378"/>
      <c r="G1659" s="378"/>
      <c r="H1659" s="378"/>
      <c r="I1659" s="376"/>
      <c r="J1659" s="377"/>
      <c r="K1659" s="378"/>
      <c r="L1659" s="378"/>
      <c r="M1659" s="378"/>
      <c r="N1659" s="379"/>
      <c r="O1659" s="380"/>
      <c r="P1659" s="378"/>
      <c r="Q1659" s="378"/>
      <c r="R1659" s="378"/>
      <c r="S1659" s="378"/>
      <c r="T1659" s="378"/>
      <c r="U1659" s="378"/>
      <c r="V1659" s="378"/>
      <c r="W1659" s="378"/>
      <c r="X1659" s="378"/>
      <c r="Y1659" s="378"/>
      <c r="Z1659" s="378"/>
      <c r="AA1659" s="378"/>
      <c r="AB1659" s="378"/>
      <c r="AC1659" s="378"/>
      <c r="AD1659" s="378"/>
      <c r="AE1659" s="378"/>
      <c r="AF1659" s="378"/>
      <c r="AG1659" s="378"/>
    </row>
    <row r="1660">
      <c r="A1660" s="378"/>
      <c r="B1660" s="477"/>
      <c r="C1660" s="378"/>
      <c r="D1660" s="378"/>
      <c r="E1660" s="378"/>
      <c r="F1660" s="378"/>
      <c r="G1660" s="378"/>
      <c r="H1660" s="378"/>
      <c r="I1660" s="376"/>
      <c r="J1660" s="377"/>
      <c r="K1660" s="378"/>
      <c r="L1660" s="378"/>
      <c r="M1660" s="378"/>
      <c r="N1660" s="379"/>
      <c r="O1660" s="380"/>
      <c r="P1660" s="378"/>
      <c r="Q1660" s="378"/>
      <c r="R1660" s="378"/>
      <c r="S1660" s="378"/>
      <c r="T1660" s="378"/>
      <c r="U1660" s="378"/>
      <c r="V1660" s="378"/>
      <c r="W1660" s="378"/>
      <c r="X1660" s="378"/>
      <c r="Y1660" s="378"/>
      <c r="Z1660" s="378"/>
      <c r="AA1660" s="378"/>
      <c r="AB1660" s="378"/>
      <c r="AC1660" s="378"/>
      <c r="AD1660" s="378"/>
      <c r="AE1660" s="378"/>
      <c r="AF1660" s="378"/>
      <c r="AG1660" s="378"/>
    </row>
    <row r="1661">
      <c r="A1661" s="378"/>
      <c r="B1661" s="477"/>
      <c r="C1661" s="378"/>
      <c r="D1661" s="378"/>
      <c r="E1661" s="378"/>
      <c r="F1661" s="378"/>
      <c r="G1661" s="378"/>
      <c r="H1661" s="378"/>
      <c r="I1661" s="376"/>
      <c r="J1661" s="377"/>
      <c r="K1661" s="378"/>
      <c r="L1661" s="378"/>
      <c r="M1661" s="378"/>
      <c r="N1661" s="379"/>
      <c r="O1661" s="380"/>
      <c r="P1661" s="378"/>
      <c r="Q1661" s="378"/>
      <c r="R1661" s="378"/>
      <c r="S1661" s="378"/>
      <c r="T1661" s="378"/>
      <c r="U1661" s="378"/>
      <c r="V1661" s="378"/>
      <c r="W1661" s="378"/>
      <c r="X1661" s="378"/>
      <c r="Y1661" s="378"/>
      <c r="Z1661" s="378"/>
      <c r="AA1661" s="378"/>
      <c r="AB1661" s="378"/>
      <c r="AC1661" s="378"/>
      <c r="AD1661" s="378"/>
      <c r="AE1661" s="378"/>
      <c r="AF1661" s="378"/>
      <c r="AG1661" s="378"/>
    </row>
    <row r="1662">
      <c r="A1662" s="378"/>
      <c r="B1662" s="477"/>
      <c r="C1662" s="378"/>
      <c r="D1662" s="378"/>
      <c r="E1662" s="378"/>
      <c r="F1662" s="378"/>
      <c r="G1662" s="378"/>
      <c r="H1662" s="378"/>
      <c r="I1662" s="376"/>
      <c r="J1662" s="377"/>
      <c r="K1662" s="378"/>
      <c r="L1662" s="378"/>
      <c r="M1662" s="378"/>
      <c r="N1662" s="379"/>
      <c r="O1662" s="380"/>
      <c r="P1662" s="378"/>
      <c r="Q1662" s="378"/>
      <c r="R1662" s="378"/>
      <c r="S1662" s="378"/>
      <c r="T1662" s="378"/>
      <c r="U1662" s="378"/>
      <c r="V1662" s="378"/>
      <c r="W1662" s="378"/>
      <c r="X1662" s="378"/>
      <c r="Y1662" s="378"/>
      <c r="Z1662" s="378"/>
      <c r="AA1662" s="378"/>
      <c r="AB1662" s="378"/>
      <c r="AC1662" s="378"/>
      <c r="AD1662" s="378"/>
      <c r="AE1662" s="378"/>
      <c r="AF1662" s="378"/>
      <c r="AG1662" s="378"/>
    </row>
    <row r="1663">
      <c r="A1663" s="378"/>
      <c r="B1663" s="477"/>
      <c r="C1663" s="378"/>
      <c r="D1663" s="378"/>
      <c r="E1663" s="378"/>
      <c r="F1663" s="378"/>
      <c r="G1663" s="378"/>
      <c r="H1663" s="378"/>
      <c r="I1663" s="376"/>
      <c r="J1663" s="377"/>
      <c r="K1663" s="378"/>
      <c r="L1663" s="378"/>
      <c r="M1663" s="378"/>
      <c r="N1663" s="379"/>
      <c r="O1663" s="380"/>
      <c r="P1663" s="378"/>
      <c r="Q1663" s="378"/>
      <c r="R1663" s="378"/>
      <c r="S1663" s="378"/>
      <c r="T1663" s="378"/>
      <c r="U1663" s="378"/>
      <c r="V1663" s="378"/>
      <c r="W1663" s="378"/>
      <c r="X1663" s="378"/>
      <c r="Y1663" s="378"/>
      <c r="Z1663" s="378"/>
      <c r="AA1663" s="378"/>
      <c r="AB1663" s="378"/>
      <c r="AC1663" s="378"/>
      <c r="AD1663" s="378"/>
      <c r="AE1663" s="378"/>
      <c r="AF1663" s="378"/>
      <c r="AG1663" s="378"/>
    </row>
    <row r="1664">
      <c r="A1664" s="378"/>
      <c r="B1664" s="477"/>
      <c r="C1664" s="378"/>
      <c r="D1664" s="378"/>
      <c r="E1664" s="378"/>
      <c r="F1664" s="378"/>
      <c r="G1664" s="378"/>
      <c r="H1664" s="378"/>
      <c r="I1664" s="376"/>
      <c r="J1664" s="377"/>
      <c r="K1664" s="378"/>
      <c r="L1664" s="378"/>
      <c r="M1664" s="378"/>
      <c r="N1664" s="379"/>
      <c r="O1664" s="380"/>
      <c r="P1664" s="378"/>
      <c r="Q1664" s="378"/>
      <c r="R1664" s="378"/>
      <c r="S1664" s="378"/>
      <c r="T1664" s="378"/>
      <c r="U1664" s="378"/>
      <c r="V1664" s="378"/>
      <c r="W1664" s="378"/>
      <c r="X1664" s="378"/>
      <c r="Y1664" s="378"/>
      <c r="Z1664" s="378"/>
      <c r="AA1664" s="378"/>
      <c r="AB1664" s="378"/>
      <c r="AC1664" s="378"/>
      <c r="AD1664" s="378"/>
      <c r="AE1664" s="378"/>
      <c r="AF1664" s="378"/>
      <c r="AG1664" s="378"/>
    </row>
    <row r="1665">
      <c r="A1665" s="378"/>
      <c r="B1665" s="477"/>
      <c r="C1665" s="378"/>
      <c r="D1665" s="378"/>
      <c r="E1665" s="378"/>
      <c r="F1665" s="378"/>
      <c r="G1665" s="378"/>
      <c r="H1665" s="378"/>
      <c r="I1665" s="376"/>
      <c r="J1665" s="377"/>
      <c r="K1665" s="378"/>
      <c r="L1665" s="378"/>
      <c r="M1665" s="378"/>
      <c r="N1665" s="379"/>
      <c r="O1665" s="380"/>
      <c r="P1665" s="378"/>
      <c r="Q1665" s="378"/>
      <c r="R1665" s="378"/>
      <c r="S1665" s="378"/>
      <c r="T1665" s="378"/>
      <c r="U1665" s="378"/>
      <c r="V1665" s="378"/>
      <c r="W1665" s="378"/>
      <c r="X1665" s="378"/>
      <c r="Y1665" s="378"/>
      <c r="Z1665" s="378"/>
      <c r="AA1665" s="378"/>
      <c r="AB1665" s="378"/>
      <c r="AC1665" s="378"/>
      <c r="AD1665" s="378"/>
      <c r="AE1665" s="378"/>
      <c r="AF1665" s="378"/>
      <c r="AG1665" s="378"/>
    </row>
    <row r="1666">
      <c r="A1666" s="378"/>
      <c r="B1666" s="477"/>
      <c r="C1666" s="378"/>
      <c r="D1666" s="378"/>
      <c r="E1666" s="378"/>
      <c r="F1666" s="378"/>
      <c r="G1666" s="378"/>
      <c r="H1666" s="378"/>
      <c r="I1666" s="376"/>
      <c r="J1666" s="377"/>
      <c r="K1666" s="378"/>
      <c r="L1666" s="378"/>
      <c r="M1666" s="378"/>
      <c r="N1666" s="379"/>
      <c r="O1666" s="380"/>
      <c r="P1666" s="378"/>
      <c r="Q1666" s="378"/>
      <c r="R1666" s="378"/>
      <c r="S1666" s="378"/>
      <c r="T1666" s="378"/>
      <c r="U1666" s="378"/>
      <c r="V1666" s="378"/>
      <c r="W1666" s="378"/>
      <c r="X1666" s="378"/>
      <c r="Y1666" s="378"/>
      <c r="Z1666" s="378"/>
      <c r="AA1666" s="378"/>
      <c r="AB1666" s="378"/>
      <c r="AC1666" s="378"/>
      <c r="AD1666" s="378"/>
      <c r="AE1666" s="378"/>
      <c r="AF1666" s="378"/>
      <c r="AG1666" s="378"/>
    </row>
    <row r="1667">
      <c r="A1667" s="378"/>
      <c r="B1667" s="477"/>
      <c r="C1667" s="378"/>
      <c r="D1667" s="378"/>
      <c r="E1667" s="378"/>
      <c r="F1667" s="378"/>
      <c r="G1667" s="378"/>
      <c r="H1667" s="378"/>
      <c r="I1667" s="376"/>
      <c r="J1667" s="377"/>
      <c r="K1667" s="378"/>
      <c r="L1667" s="378"/>
      <c r="M1667" s="378"/>
      <c r="N1667" s="379"/>
      <c r="O1667" s="380"/>
      <c r="P1667" s="378"/>
      <c r="Q1667" s="378"/>
      <c r="R1667" s="378"/>
      <c r="S1667" s="378"/>
      <c r="T1667" s="378"/>
      <c r="U1667" s="378"/>
      <c r="V1667" s="378"/>
      <c r="W1667" s="378"/>
      <c r="X1667" s="378"/>
      <c r="Y1667" s="378"/>
      <c r="Z1667" s="378"/>
      <c r="AA1667" s="378"/>
      <c r="AB1667" s="378"/>
      <c r="AC1667" s="378"/>
      <c r="AD1667" s="378"/>
      <c r="AE1667" s="378"/>
      <c r="AF1667" s="378"/>
      <c r="AG1667" s="378"/>
    </row>
    <row r="1668">
      <c r="A1668" s="378"/>
      <c r="B1668" s="477"/>
      <c r="C1668" s="378"/>
      <c r="D1668" s="378"/>
      <c r="E1668" s="378"/>
      <c r="F1668" s="378"/>
      <c r="G1668" s="378"/>
      <c r="H1668" s="378"/>
      <c r="I1668" s="376"/>
      <c r="J1668" s="377"/>
      <c r="K1668" s="378"/>
      <c r="L1668" s="378"/>
      <c r="M1668" s="378"/>
      <c r="N1668" s="379"/>
      <c r="O1668" s="380"/>
      <c r="P1668" s="378"/>
      <c r="Q1668" s="378"/>
      <c r="R1668" s="378"/>
      <c r="S1668" s="378"/>
      <c r="T1668" s="378"/>
      <c r="U1668" s="378"/>
      <c r="V1668" s="378"/>
      <c r="W1668" s="378"/>
      <c r="X1668" s="378"/>
      <c r="Y1668" s="378"/>
      <c r="Z1668" s="378"/>
      <c r="AA1668" s="378"/>
      <c r="AB1668" s="378"/>
      <c r="AC1668" s="378"/>
      <c r="AD1668" s="378"/>
      <c r="AE1668" s="378"/>
      <c r="AF1668" s="378"/>
      <c r="AG1668" s="378"/>
    </row>
    <row r="1669">
      <c r="A1669" s="378"/>
      <c r="B1669" s="477"/>
      <c r="C1669" s="378"/>
      <c r="D1669" s="378"/>
      <c r="E1669" s="378"/>
      <c r="F1669" s="378"/>
      <c r="G1669" s="378"/>
      <c r="H1669" s="378"/>
      <c r="I1669" s="376"/>
      <c r="J1669" s="377"/>
      <c r="K1669" s="378"/>
      <c r="L1669" s="378"/>
      <c r="M1669" s="378"/>
      <c r="N1669" s="379"/>
      <c r="O1669" s="380"/>
      <c r="P1669" s="378"/>
      <c r="Q1669" s="378"/>
      <c r="R1669" s="378"/>
      <c r="S1669" s="378"/>
      <c r="T1669" s="378"/>
      <c r="U1669" s="378"/>
      <c r="V1669" s="378"/>
      <c r="W1669" s="378"/>
      <c r="X1669" s="378"/>
      <c r="Y1669" s="378"/>
      <c r="Z1669" s="378"/>
      <c r="AA1669" s="378"/>
      <c r="AB1669" s="378"/>
      <c r="AC1669" s="378"/>
      <c r="AD1669" s="378"/>
      <c r="AE1669" s="378"/>
      <c r="AF1669" s="378"/>
      <c r="AG1669" s="378"/>
    </row>
    <row r="1670">
      <c r="A1670" s="378"/>
      <c r="B1670" s="477"/>
      <c r="C1670" s="378"/>
      <c r="D1670" s="378"/>
      <c r="E1670" s="378"/>
      <c r="F1670" s="378"/>
      <c r="G1670" s="378"/>
      <c r="H1670" s="378"/>
      <c r="I1670" s="376"/>
      <c r="J1670" s="377"/>
      <c r="K1670" s="378"/>
      <c r="L1670" s="378"/>
      <c r="M1670" s="378"/>
      <c r="N1670" s="379"/>
      <c r="O1670" s="380"/>
      <c r="P1670" s="378"/>
      <c r="Q1670" s="378"/>
      <c r="R1670" s="378"/>
      <c r="S1670" s="378"/>
      <c r="T1670" s="378"/>
      <c r="U1670" s="378"/>
      <c r="V1670" s="378"/>
      <c r="W1670" s="378"/>
      <c r="X1670" s="378"/>
      <c r="Y1670" s="378"/>
      <c r="Z1670" s="378"/>
      <c r="AA1670" s="378"/>
      <c r="AB1670" s="378"/>
      <c r="AC1670" s="378"/>
      <c r="AD1670" s="378"/>
      <c r="AE1670" s="378"/>
      <c r="AF1670" s="378"/>
      <c r="AG1670" s="378"/>
    </row>
    <row r="1671">
      <c r="A1671" s="378"/>
      <c r="B1671" s="477"/>
      <c r="C1671" s="378"/>
      <c r="D1671" s="378"/>
      <c r="E1671" s="378"/>
      <c r="F1671" s="378"/>
      <c r="G1671" s="378"/>
      <c r="H1671" s="378"/>
      <c r="I1671" s="376"/>
      <c r="J1671" s="377"/>
      <c r="K1671" s="378"/>
      <c r="L1671" s="378"/>
      <c r="M1671" s="378"/>
      <c r="N1671" s="379"/>
      <c r="O1671" s="380"/>
      <c r="P1671" s="378"/>
      <c r="Q1671" s="378"/>
      <c r="R1671" s="378"/>
      <c r="S1671" s="378"/>
      <c r="T1671" s="378"/>
      <c r="U1671" s="378"/>
      <c r="V1671" s="378"/>
      <c r="W1671" s="378"/>
      <c r="X1671" s="378"/>
      <c r="Y1671" s="378"/>
      <c r="Z1671" s="378"/>
      <c r="AA1671" s="378"/>
      <c r="AB1671" s="378"/>
      <c r="AC1671" s="378"/>
      <c r="AD1671" s="378"/>
      <c r="AE1671" s="378"/>
      <c r="AF1671" s="378"/>
      <c r="AG1671" s="378"/>
    </row>
    <row r="1672">
      <c r="A1672" s="378"/>
      <c r="B1672" s="477"/>
      <c r="C1672" s="378"/>
      <c r="D1672" s="378"/>
      <c r="E1672" s="378"/>
      <c r="F1672" s="378"/>
      <c r="G1672" s="378"/>
      <c r="H1672" s="378"/>
      <c r="I1672" s="376"/>
      <c r="J1672" s="377"/>
      <c r="K1672" s="378"/>
      <c r="L1672" s="378"/>
      <c r="M1672" s="378"/>
      <c r="N1672" s="379"/>
      <c r="O1672" s="380"/>
      <c r="P1672" s="378"/>
      <c r="Q1672" s="378"/>
      <c r="R1672" s="378"/>
      <c r="S1672" s="378"/>
      <c r="T1672" s="378"/>
      <c r="U1672" s="378"/>
      <c r="V1672" s="378"/>
      <c r="W1672" s="378"/>
      <c r="X1672" s="378"/>
      <c r="Y1672" s="378"/>
      <c r="Z1672" s="378"/>
      <c r="AA1672" s="378"/>
      <c r="AB1672" s="378"/>
      <c r="AC1672" s="378"/>
      <c r="AD1672" s="378"/>
      <c r="AE1672" s="378"/>
      <c r="AF1672" s="378"/>
      <c r="AG1672" s="378"/>
    </row>
    <row r="1673">
      <c r="A1673" s="378"/>
      <c r="B1673" s="477"/>
      <c r="C1673" s="378"/>
      <c r="D1673" s="378"/>
      <c r="E1673" s="378"/>
      <c r="F1673" s="378"/>
      <c r="G1673" s="378"/>
      <c r="H1673" s="378"/>
      <c r="I1673" s="376"/>
      <c r="J1673" s="377"/>
      <c r="K1673" s="378"/>
      <c r="L1673" s="378"/>
      <c r="M1673" s="378"/>
      <c r="N1673" s="379"/>
      <c r="O1673" s="380"/>
      <c r="P1673" s="378"/>
      <c r="Q1673" s="378"/>
      <c r="R1673" s="378"/>
      <c r="S1673" s="378"/>
      <c r="T1673" s="378"/>
      <c r="U1673" s="378"/>
      <c r="V1673" s="378"/>
      <c r="W1673" s="378"/>
      <c r="X1673" s="378"/>
      <c r="Y1673" s="378"/>
      <c r="Z1673" s="378"/>
      <c r="AA1673" s="378"/>
      <c r="AB1673" s="378"/>
      <c r="AC1673" s="378"/>
      <c r="AD1673" s="378"/>
      <c r="AE1673" s="378"/>
      <c r="AF1673" s="378"/>
      <c r="AG1673" s="378"/>
    </row>
    <row r="1674">
      <c r="A1674" s="378"/>
      <c r="B1674" s="477"/>
      <c r="C1674" s="378"/>
      <c r="D1674" s="378"/>
      <c r="E1674" s="378"/>
      <c r="F1674" s="378"/>
      <c r="G1674" s="378"/>
      <c r="H1674" s="378"/>
      <c r="I1674" s="376"/>
      <c r="J1674" s="377"/>
      <c r="K1674" s="378"/>
      <c r="L1674" s="378"/>
      <c r="M1674" s="378"/>
      <c r="N1674" s="379"/>
      <c r="O1674" s="380"/>
      <c r="P1674" s="378"/>
      <c r="Q1674" s="378"/>
      <c r="R1674" s="378"/>
      <c r="S1674" s="378"/>
      <c r="T1674" s="378"/>
      <c r="U1674" s="378"/>
      <c r="V1674" s="378"/>
      <c r="W1674" s="378"/>
      <c r="X1674" s="378"/>
      <c r="Y1674" s="378"/>
      <c r="Z1674" s="378"/>
      <c r="AA1674" s="378"/>
      <c r="AB1674" s="378"/>
      <c r="AC1674" s="378"/>
      <c r="AD1674" s="378"/>
      <c r="AE1674" s="378"/>
      <c r="AF1674" s="378"/>
      <c r="AG1674" s="378"/>
    </row>
    <row r="1675">
      <c r="A1675" s="378"/>
      <c r="B1675" s="477"/>
      <c r="C1675" s="378"/>
      <c r="D1675" s="378"/>
      <c r="E1675" s="378"/>
      <c r="F1675" s="378"/>
      <c r="G1675" s="378"/>
      <c r="H1675" s="378"/>
      <c r="I1675" s="376"/>
      <c r="J1675" s="377"/>
      <c r="K1675" s="378"/>
      <c r="L1675" s="378"/>
      <c r="M1675" s="378"/>
      <c r="N1675" s="379"/>
      <c r="O1675" s="380"/>
      <c r="P1675" s="378"/>
      <c r="Q1675" s="378"/>
      <c r="R1675" s="378"/>
      <c r="S1675" s="378"/>
      <c r="T1675" s="378"/>
      <c r="U1675" s="378"/>
      <c r="V1675" s="378"/>
      <c r="W1675" s="378"/>
      <c r="X1675" s="378"/>
      <c r="Y1675" s="378"/>
      <c r="Z1675" s="378"/>
      <c r="AA1675" s="378"/>
      <c r="AB1675" s="378"/>
      <c r="AC1675" s="378"/>
      <c r="AD1675" s="378"/>
      <c r="AE1675" s="378"/>
      <c r="AF1675" s="378"/>
      <c r="AG1675" s="378"/>
    </row>
    <row r="1676">
      <c r="A1676" s="378"/>
      <c r="B1676" s="477"/>
      <c r="C1676" s="378"/>
      <c r="D1676" s="378"/>
      <c r="E1676" s="378"/>
      <c r="F1676" s="378"/>
      <c r="G1676" s="378"/>
      <c r="H1676" s="378"/>
      <c r="I1676" s="376"/>
      <c r="J1676" s="377"/>
      <c r="K1676" s="378"/>
      <c r="L1676" s="378"/>
      <c r="M1676" s="378"/>
      <c r="N1676" s="379"/>
      <c r="O1676" s="380"/>
      <c r="P1676" s="378"/>
      <c r="Q1676" s="378"/>
      <c r="R1676" s="378"/>
      <c r="S1676" s="378"/>
      <c r="T1676" s="378"/>
      <c r="U1676" s="378"/>
      <c r="V1676" s="378"/>
      <c r="W1676" s="378"/>
      <c r="X1676" s="378"/>
      <c r="Y1676" s="378"/>
      <c r="Z1676" s="378"/>
      <c r="AA1676" s="378"/>
      <c r="AB1676" s="378"/>
      <c r="AC1676" s="378"/>
      <c r="AD1676" s="378"/>
      <c r="AE1676" s="378"/>
      <c r="AF1676" s="378"/>
      <c r="AG1676" s="378"/>
    </row>
    <row r="1677">
      <c r="A1677" s="378"/>
      <c r="B1677" s="477"/>
      <c r="C1677" s="378"/>
      <c r="D1677" s="378"/>
      <c r="E1677" s="378"/>
      <c r="F1677" s="378"/>
      <c r="G1677" s="378"/>
      <c r="H1677" s="378"/>
      <c r="I1677" s="376"/>
      <c r="J1677" s="377"/>
      <c r="K1677" s="378"/>
      <c r="L1677" s="378"/>
      <c r="M1677" s="378"/>
      <c r="N1677" s="379"/>
      <c r="O1677" s="380"/>
      <c r="P1677" s="378"/>
      <c r="Q1677" s="378"/>
      <c r="R1677" s="378"/>
      <c r="S1677" s="378"/>
      <c r="T1677" s="378"/>
      <c r="U1677" s="378"/>
      <c r="V1677" s="378"/>
      <c r="W1677" s="378"/>
      <c r="X1677" s="378"/>
      <c r="Y1677" s="378"/>
      <c r="Z1677" s="378"/>
      <c r="AA1677" s="378"/>
      <c r="AB1677" s="378"/>
      <c r="AC1677" s="378"/>
      <c r="AD1677" s="378"/>
      <c r="AE1677" s="378"/>
      <c r="AF1677" s="378"/>
      <c r="AG1677" s="378"/>
    </row>
    <row r="1678">
      <c r="A1678" s="378"/>
      <c r="B1678" s="477"/>
      <c r="C1678" s="378"/>
      <c r="D1678" s="378"/>
      <c r="E1678" s="378"/>
      <c r="F1678" s="378"/>
      <c r="G1678" s="378"/>
      <c r="H1678" s="378"/>
      <c r="I1678" s="376"/>
      <c r="J1678" s="377"/>
      <c r="K1678" s="378"/>
      <c r="L1678" s="378"/>
      <c r="M1678" s="378"/>
      <c r="N1678" s="379"/>
      <c r="O1678" s="380"/>
      <c r="P1678" s="378"/>
      <c r="Q1678" s="378"/>
      <c r="R1678" s="378"/>
      <c r="S1678" s="378"/>
      <c r="T1678" s="378"/>
      <c r="U1678" s="378"/>
      <c r="V1678" s="378"/>
      <c r="W1678" s="378"/>
      <c r="X1678" s="378"/>
      <c r="Y1678" s="378"/>
      <c r="Z1678" s="378"/>
      <c r="AA1678" s="378"/>
      <c r="AB1678" s="378"/>
      <c r="AC1678" s="378"/>
      <c r="AD1678" s="378"/>
      <c r="AE1678" s="378"/>
      <c r="AF1678" s="378"/>
      <c r="AG1678" s="378"/>
    </row>
    <row r="1679">
      <c r="A1679" s="378"/>
      <c r="B1679" s="477"/>
      <c r="C1679" s="378"/>
      <c r="D1679" s="378"/>
      <c r="E1679" s="378"/>
      <c r="F1679" s="378"/>
      <c r="G1679" s="378"/>
      <c r="H1679" s="378"/>
      <c r="I1679" s="376"/>
      <c r="J1679" s="377"/>
      <c r="K1679" s="378"/>
      <c r="L1679" s="378"/>
      <c r="M1679" s="378"/>
      <c r="N1679" s="379"/>
      <c r="O1679" s="380"/>
      <c r="P1679" s="378"/>
      <c r="Q1679" s="378"/>
      <c r="R1679" s="378"/>
      <c r="S1679" s="378"/>
      <c r="T1679" s="378"/>
      <c r="U1679" s="378"/>
      <c r="V1679" s="378"/>
      <c r="W1679" s="378"/>
      <c r="X1679" s="378"/>
      <c r="Y1679" s="378"/>
      <c r="Z1679" s="378"/>
      <c r="AA1679" s="378"/>
      <c r="AB1679" s="378"/>
      <c r="AC1679" s="378"/>
      <c r="AD1679" s="378"/>
      <c r="AE1679" s="378"/>
      <c r="AF1679" s="378"/>
      <c r="AG1679" s="378"/>
    </row>
    <row r="1680">
      <c r="A1680" s="378"/>
      <c r="B1680" s="477"/>
      <c r="C1680" s="378"/>
      <c r="D1680" s="378"/>
      <c r="E1680" s="378"/>
      <c r="F1680" s="378"/>
      <c r="G1680" s="378"/>
      <c r="H1680" s="378"/>
      <c r="I1680" s="376"/>
      <c r="J1680" s="377"/>
      <c r="K1680" s="378"/>
      <c r="L1680" s="378"/>
      <c r="M1680" s="378"/>
      <c r="N1680" s="379"/>
      <c r="O1680" s="380"/>
      <c r="P1680" s="378"/>
      <c r="Q1680" s="378"/>
      <c r="R1680" s="378"/>
      <c r="S1680" s="378"/>
      <c r="T1680" s="378"/>
      <c r="U1680" s="378"/>
      <c r="V1680" s="378"/>
      <c r="W1680" s="378"/>
      <c r="X1680" s="378"/>
      <c r="Y1680" s="378"/>
      <c r="Z1680" s="378"/>
      <c r="AA1680" s="378"/>
      <c r="AB1680" s="378"/>
      <c r="AC1680" s="378"/>
      <c r="AD1680" s="378"/>
      <c r="AE1680" s="378"/>
      <c r="AF1680" s="378"/>
      <c r="AG1680" s="378"/>
    </row>
    <row r="1681">
      <c r="A1681" s="378"/>
      <c r="B1681" s="477"/>
      <c r="C1681" s="378"/>
      <c r="D1681" s="378"/>
      <c r="E1681" s="378"/>
      <c r="F1681" s="378"/>
      <c r="G1681" s="378"/>
      <c r="H1681" s="378"/>
      <c r="I1681" s="376"/>
      <c r="J1681" s="377"/>
      <c r="K1681" s="378"/>
      <c r="L1681" s="378"/>
      <c r="M1681" s="378"/>
      <c r="N1681" s="379"/>
      <c r="O1681" s="380"/>
      <c r="P1681" s="378"/>
      <c r="Q1681" s="378"/>
      <c r="R1681" s="378"/>
      <c r="S1681" s="378"/>
      <c r="T1681" s="378"/>
      <c r="U1681" s="378"/>
      <c r="V1681" s="378"/>
      <c r="W1681" s="378"/>
      <c r="X1681" s="378"/>
      <c r="Y1681" s="378"/>
      <c r="Z1681" s="378"/>
      <c r="AA1681" s="378"/>
      <c r="AB1681" s="378"/>
      <c r="AC1681" s="378"/>
      <c r="AD1681" s="378"/>
      <c r="AE1681" s="378"/>
      <c r="AF1681" s="378"/>
      <c r="AG1681" s="378"/>
    </row>
    <row r="1682">
      <c r="A1682" s="378"/>
      <c r="B1682" s="477"/>
      <c r="C1682" s="378"/>
      <c r="D1682" s="378"/>
      <c r="E1682" s="378"/>
      <c r="F1682" s="378"/>
      <c r="G1682" s="378"/>
      <c r="H1682" s="378"/>
      <c r="I1682" s="376"/>
      <c r="J1682" s="377"/>
      <c r="K1682" s="378"/>
      <c r="L1682" s="378"/>
      <c r="M1682" s="378"/>
      <c r="N1682" s="379"/>
      <c r="O1682" s="380"/>
      <c r="P1682" s="378"/>
      <c r="Q1682" s="378"/>
      <c r="R1682" s="378"/>
      <c r="S1682" s="378"/>
      <c r="T1682" s="378"/>
      <c r="U1682" s="378"/>
      <c r="V1682" s="378"/>
      <c r="W1682" s="378"/>
      <c r="X1682" s="378"/>
      <c r="Y1682" s="378"/>
      <c r="Z1682" s="378"/>
      <c r="AA1682" s="378"/>
      <c r="AB1682" s="378"/>
      <c r="AC1682" s="378"/>
      <c r="AD1682" s="378"/>
      <c r="AE1682" s="378"/>
      <c r="AF1682" s="378"/>
      <c r="AG1682" s="378"/>
    </row>
    <row r="1683">
      <c r="A1683" s="378"/>
      <c r="B1683" s="477"/>
      <c r="C1683" s="378"/>
      <c r="D1683" s="378"/>
      <c r="E1683" s="378"/>
      <c r="F1683" s="378"/>
      <c r="G1683" s="378"/>
      <c r="H1683" s="378"/>
      <c r="I1683" s="376"/>
      <c r="J1683" s="377"/>
      <c r="K1683" s="378"/>
      <c r="L1683" s="378"/>
      <c r="M1683" s="378"/>
      <c r="N1683" s="379"/>
      <c r="O1683" s="380"/>
      <c r="P1683" s="378"/>
      <c r="Q1683" s="378"/>
      <c r="R1683" s="378"/>
      <c r="S1683" s="378"/>
      <c r="T1683" s="378"/>
      <c r="U1683" s="378"/>
      <c r="V1683" s="378"/>
      <c r="W1683" s="378"/>
      <c r="X1683" s="378"/>
      <c r="Y1683" s="378"/>
      <c r="Z1683" s="378"/>
      <c r="AA1683" s="378"/>
      <c r="AB1683" s="378"/>
      <c r="AC1683" s="378"/>
      <c r="AD1683" s="378"/>
      <c r="AE1683" s="378"/>
      <c r="AF1683" s="378"/>
      <c r="AG1683" s="378"/>
    </row>
    <row r="1684">
      <c r="A1684" s="378"/>
      <c r="B1684" s="477"/>
      <c r="C1684" s="378"/>
      <c r="D1684" s="378"/>
      <c r="E1684" s="378"/>
      <c r="F1684" s="378"/>
      <c r="G1684" s="378"/>
      <c r="H1684" s="378"/>
      <c r="I1684" s="376"/>
      <c r="J1684" s="377"/>
      <c r="K1684" s="378"/>
      <c r="L1684" s="378"/>
      <c r="M1684" s="378"/>
      <c r="N1684" s="379"/>
      <c r="O1684" s="380"/>
      <c r="P1684" s="378"/>
      <c r="Q1684" s="378"/>
      <c r="R1684" s="378"/>
      <c r="S1684" s="378"/>
      <c r="T1684" s="378"/>
      <c r="U1684" s="378"/>
      <c r="V1684" s="378"/>
      <c r="W1684" s="378"/>
      <c r="X1684" s="378"/>
      <c r="Y1684" s="378"/>
      <c r="Z1684" s="378"/>
      <c r="AA1684" s="378"/>
      <c r="AB1684" s="378"/>
      <c r="AC1684" s="378"/>
      <c r="AD1684" s="378"/>
      <c r="AE1684" s="378"/>
      <c r="AF1684" s="378"/>
      <c r="AG1684" s="378"/>
    </row>
    <row r="1685">
      <c r="A1685" s="378"/>
      <c r="B1685" s="477"/>
      <c r="C1685" s="378"/>
      <c r="D1685" s="378"/>
      <c r="E1685" s="378"/>
      <c r="F1685" s="378"/>
      <c r="G1685" s="378"/>
      <c r="H1685" s="378"/>
      <c r="I1685" s="376"/>
      <c r="J1685" s="377"/>
      <c r="K1685" s="378"/>
      <c r="L1685" s="378"/>
      <c r="M1685" s="378"/>
      <c r="N1685" s="379"/>
      <c r="O1685" s="380"/>
      <c r="P1685" s="378"/>
      <c r="Q1685" s="378"/>
      <c r="R1685" s="378"/>
      <c r="S1685" s="378"/>
      <c r="T1685" s="378"/>
      <c r="U1685" s="378"/>
      <c r="V1685" s="378"/>
      <c r="W1685" s="378"/>
      <c r="X1685" s="378"/>
      <c r="Y1685" s="378"/>
      <c r="Z1685" s="378"/>
      <c r="AA1685" s="378"/>
      <c r="AB1685" s="378"/>
      <c r="AC1685" s="378"/>
      <c r="AD1685" s="378"/>
      <c r="AE1685" s="378"/>
      <c r="AF1685" s="378"/>
      <c r="AG1685" s="378"/>
    </row>
    <row r="1686">
      <c r="A1686" s="378"/>
      <c r="B1686" s="477"/>
      <c r="C1686" s="378"/>
      <c r="D1686" s="378"/>
      <c r="E1686" s="378"/>
      <c r="F1686" s="378"/>
      <c r="G1686" s="378"/>
      <c r="H1686" s="378"/>
      <c r="I1686" s="376"/>
      <c r="J1686" s="377"/>
      <c r="K1686" s="378"/>
      <c r="L1686" s="378"/>
      <c r="M1686" s="378"/>
      <c r="N1686" s="379"/>
      <c r="O1686" s="380"/>
      <c r="P1686" s="378"/>
      <c r="Q1686" s="378"/>
      <c r="R1686" s="378"/>
      <c r="S1686" s="378"/>
      <c r="T1686" s="378"/>
      <c r="U1686" s="378"/>
      <c r="V1686" s="378"/>
      <c r="W1686" s="378"/>
      <c r="X1686" s="378"/>
      <c r="Y1686" s="378"/>
      <c r="Z1686" s="378"/>
      <c r="AA1686" s="378"/>
      <c r="AB1686" s="378"/>
      <c r="AC1686" s="378"/>
      <c r="AD1686" s="378"/>
      <c r="AE1686" s="378"/>
      <c r="AF1686" s="378"/>
      <c r="AG1686" s="378"/>
    </row>
    <row r="1687">
      <c r="A1687" s="378"/>
      <c r="B1687" s="477"/>
      <c r="C1687" s="378"/>
      <c r="D1687" s="378"/>
      <c r="E1687" s="378"/>
      <c r="F1687" s="378"/>
      <c r="G1687" s="378"/>
      <c r="H1687" s="378"/>
      <c r="I1687" s="376"/>
      <c r="J1687" s="377"/>
      <c r="K1687" s="378"/>
      <c r="L1687" s="378"/>
      <c r="M1687" s="378"/>
      <c r="N1687" s="379"/>
      <c r="O1687" s="380"/>
      <c r="P1687" s="378"/>
      <c r="Q1687" s="378"/>
      <c r="R1687" s="378"/>
      <c r="S1687" s="378"/>
      <c r="T1687" s="378"/>
      <c r="U1687" s="378"/>
      <c r="V1687" s="378"/>
      <c r="W1687" s="378"/>
      <c r="X1687" s="378"/>
      <c r="Y1687" s="378"/>
      <c r="Z1687" s="378"/>
      <c r="AA1687" s="378"/>
      <c r="AB1687" s="378"/>
      <c r="AC1687" s="378"/>
      <c r="AD1687" s="378"/>
      <c r="AE1687" s="378"/>
      <c r="AF1687" s="378"/>
      <c r="AG1687" s="378"/>
    </row>
    <row r="1688">
      <c r="A1688" s="378"/>
      <c r="B1688" s="477"/>
      <c r="C1688" s="378"/>
      <c r="D1688" s="378"/>
      <c r="E1688" s="378"/>
      <c r="F1688" s="378"/>
      <c r="G1688" s="378"/>
      <c r="H1688" s="378"/>
      <c r="I1688" s="376"/>
      <c r="J1688" s="377"/>
      <c r="K1688" s="378"/>
      <c r="L1688" s="378"/>
      <c r="M1688" s="378"/>
      <c r="N1688" s="379"/>
      <c r="O1688" s="380"/>
      <c r="P1688" s="378"/>
      <c r="Q1688" s="378"/>
      <c r="R1688" s="378"/>
      <c r="S1688" s="378"/>
      <c r="T1688" s="378"/>
      <c r="U1688" s="378"/>
      <c r="V1688" s="378"/>
      <c r="W1688" s="378"/>
      <c r="X1688" s="378"/>
      <c r="Y1688" s="378"/>
      <c r="Z1688" s="378"/>
      <c r="AA1688" s="378"/>
      <c r="AB1688" s="378"/>
      <c r="AC1688" s="378"/>
      <c r="AD1688" s="378"/>
      <c r="AE1688" s="378"/>
      <c r="AF1688" s="378"/>
      <c r="AG1688" s="378"/>
    </row>
    <row r="1689">
      <c r="A1689" s="378"/>
      <c r="B1689" s="477"/>
      <c r="C1689" s="378"/>
      <c r="D1689" s="378"/>
      <c r="E1689" s="378"/>
      <c r="F1689" s="378"/>
      <c r="G1689" s="378"/>
      <c r="H1689" s="378"/>
      <c r="I1689" s="376"/>
      <c r="J1689" s="377"/>
      <c r="K1689" s="378"/>
      <c r="L1689" s="378"/>
      <c r="M1689" s="378"/>
      <c r="N1689" s="379"/>
      <c r="O1689" s="380"/>
      <c r="P1689" s="378"/>
      <c r="Q1689" s="378"/>
      <c r="R1689" s="378"/>
      <c r="S1689" s="378"/>
      <c r="T1689" s="378"/>
      <c r="U1689" s="378"/>
      <c r="V1689" s="378"/>
      <c r="W1689" s="378"/>
      <c r="X1689" s="378"/>
      <c r="Y1689" s="378"/>
      <c r="Z1689" s="378"/>
      <c r="AA1689" s="378"/>
      <c r="AB1689" s="378"/>
      <c r="AC1689" s="378"/>
      <c r="AD1689" s="378"/>
      <c r="AE1689" s="378"/>
      <c r="AF1689" s="378"/>
      <c r="AG1689" s="378"/>
    </row>
    <row r="1690">
      <c r="A1690" s="378"/>
      <c r="B1690" s="477"/>
      <c r="C1690" s="378"/>
      <c r="D1690" s="378"/>
      <c r="E1690" s="378"/>
      <c r="F1690" s="378"/>
      <c r="G1690" s="378"/>
      <c r="H1690" s="378"/>
      <c r="I1690" s="376"/>
      <c r="J1690" s="377"/>
      <c r="K1690" s="378"/>
      <c r="L1690" s="378"/>
      <c r="M1690" s="378"/>
      <c r="N1690" s="379"/>
      <c r="O1690" s="380"/>
      <c r="P1690" s="378"/>
      <c r="Q1690" s="378"/>
      <c r="R1690" s="378"/>
      <c r="S1690" s="378"/>
      <c r="T1690" s="378"/>
      <c r="U1690" s="378"/>
      <c r="V1690" s="378"/>
      <c r="W1690" s="378"/>
      <c r="X1690" s="378"/>
      <c r="Y1690" s="378"/>
      <c r="Z1690" s="378"/>
      <c r="AA1690" s="378"/>
      <c r="AB1690" s="378"/>
      <c r="AC1690" s="378"/>
      <c r="AD1690" s="378"/>
      <c r="AE1690" s="378"/>
      <c r="AF1690" s="378"/>
      <c r="AG1690" s="378"/>
    </row>
    <row r="1691">
      <c r="A1691" s="378"/>
      <c r="B1691" s="477"/>
      <c r="C1691" s="378"/>
      <c r="D1691" s="378"/>
      <c r="E1691" s="378"/>
      <c r="F1691" s="378"/>
      <c r="G1691" s="378"/>
      <c r="H1691" s="378"/>
      <c r="I1691" s="376"/>
      <c r="J1691" s="377"/>
      <c r="K1691" s="378"/>
      <c r="L1691" s="378"/>
      <c r="M1691" s="378"/>
      <c r="N1691" s="379"/>
      <c r="O1691" s="380"/>
      <c r="P1691" s="378"/>
      <c r="Q1691" s="378"/>
      <c r="R1691" s="378"/>
      <c r="S1691" s="378"/>
      <c r="T1691" s="378"/>
      <c r="U1691" s="378"/>
      <c r="V1691" s="378"/>
      <c r="W1691" s="378"/>
      <c r="X1691" s="378"/>
      <c r="Y1691" s="378"/>
      <c r="Z1691" s="378"/>
      <c r="AA1691" s="378"/>
      <c r="AB1691" s="378"/>
      <c r="AC1691" s="378"/>
      <c r="AD1691" s="378"/>
      <c r="AE1691" s="378"/>
      <c r="AF1691" s="378"/>
      <c r="AG1691" s="378"/>
    </row>
    <row r="1692">
      <c r="A1692" s="378"/>
      <c r="B1692" s="477"/>
      <c r="C1692" s="378"/>
      <c r="D1692" s="378"/>
      <c r="E1692" s="378"/>
      <c r="F1692" s="378"/>
      <c r="G1692" s="378"/>
      <c r="H1692" s="378"/>
      <c r="I1692" s="376"/>
      <c r="J1692" s="377"/>
      <c r="K1692" s="378"/>
      <c r="L1692" s="378"/>
      <c r="M1692" s="378"/>
      <c r="N1692" s="379"/>
      <c r="O1692" s="380"/>
      <c r="P1692" s="378"/>
      <c r="Q1692" s="378"/>
      <c r="R1692" s="378"/>
      <c r="S1692" s="378"/>
      <c r="T1692" s="378"/>
      <c r="U1692" s="378"/>
      <c r="V1692" s="378"/>
      <c r="W1692" s="378"/>
      <c r="X1692" s="378"/>
      <c r="Y1692" s="378"/>
      <c r="Z1692" s="378"/>
      <c r="AA1692" s="378"/>
      <c r="AB1692" s="378"/>
      <c r="AC1692" s="378"/>
      <c r="AD1692" s="378"/>
      <c r="AE1692" s="378"/>
      <c r="AF1692" s="378"/>
      <c r="AG1692" s="378"/>
    </row>
    <row r="1693">
      <c r="A1693" s="378"/>
      <c r="B1693" s="477"/>
      <c r="C1693" s="378"/>
      <c r="D1693" s="378"/>
      <c r="E1693" s="378"/>
      <c r="F1693" s="378"/>
      <c r="G1693" s="378"/>
      <c r="H1693" s="378"/>
      <c r="I1693" s="376"/>
      <c r="J1693" s="377"/>
      <c r="K1693" s="378"/>
      <c r="L1693" s="378"/>
      <c r="M1693" s="378"/>
      <c r="N1693" s="379"/>
      <c r="O1693" s="380"/>
      <c r="P1693" s="378"/>
      <c r="Q1693" s="378"/>
      <c r="R1693" s="378"/>
      <c r="S1693" s="378"/>
      <c r="T1693" s="378"/>
      <c r="U1693" s="378"/>
      <c r="V1693" s="378"/>
      <c r="W1693" s="378"/>
      <c r="X1693" s="378"/>
      <c r="Y1693" s="378"/>
      <c r="Z1693" s="378"/>
      <c r="AA1693" s="378"/>
      <c r="AB1693" s="378"/>
      <c r="AC1693" s="378"/>
      <c r="AD1693" s="378"/>
      <c r="AE1693" s="378"/>
      <c r="AF1693" s="378"/>
      <c r="AG1693" s="378"/>
    </row>
    <row r="1694">
      <c r="A1694" s="378"/>
      <c r="B1694" s="477"/>
      <c r="C1694" s="378"/>
      <c r="D1694" s="378"/>
      <c r="E1694" s="378"/>
      <c r="F1694" s="378"/>
      <c r="G1694" s="378"/>
      <c r="H1694" s="378"/>
      <c r="I1694" s="376"/>
      <c r="J1694" s="377"/>
      <c r="K1694" s="378"/>
      <c r="L1694" s="378"/>
      <c r="M1694" s="378"/>
      <c r="N1694" s="379"/>
      <c r="O1694" s="380"/>
      <c r="P1694" s="378"/>
      <c r="Q1694" s="378"/>
      <c r="R1694" s="378"/>
      <c r="S1694" s="378"/>
      <c r="T1694" s="378"/>
      <c r="U1694" s="378"/>
      <c r="V1694" s="378"/>
      <c r="W1694" s="378"/>
      <c r="X1694" s="378"/>
      <c r="Y1694" s="378"/>
      <c r="Z1694" s="378"/>
      <c r="AA1694" s="378"/>
      <c r="AB1694" s="378"/>
      <c r="AC1694" s="378"/>
      <c r="AD1694" s="378"/>
      <c r="AE1694" s="378"/>
      <c r="AF1694" s="378"/>
      <c r="AG1694" s="378"/>
    </row>
    <row r="1695">
      <c r="A1695" s="378"/>
      <c r="B1695" s="477"/>
      <c r="C1695" s="378"/>
      <c r="D1695" s="378"/>
      <c r="E1695" s="378"/>
      <c r="F1695" s="378"/>
      <c r="G1695" s="378"/>
      <c r="H1695" s="378"/>
      <c r="I1695" s="376"/>
      <c r="J1695" s="377"/>
      <c r="K1695" s="378"/>
      <c r="L1695" s="378"/>
      <c r="M1695" s="378"/>
      <c r="N1695" s="379"/>
      <c r="O1695" s="380"/>
      <c r="P1695" s="378"/>
      <c r="Q1695" s="378"/>
      <c r="R1695" s="378"/>
      <c r="S1695" s="378"/>
      <c r="T1695" s="378"/>
      <c r="U1695" s="378"/>
      <c r="V1695" s="378"/>
      <c r="W1695" s="378"/>
      <c r="X1695" s="378"/>
      <c r="Y1695" s="378"/>
      <c r="Z1695" s="378"/>
      <c r="AA1695" s="378"/>
      <c r="AB1695" s="378"/>
      <c r="AC1695" s="378"/>
      <c r="AD1695" s="378"/>
      <c r="AE1695" s="378"/>
      <c r="AF1695" s="378"/>
      <c r="AG1695" s="378"/>
    </row>
    <row r="1696">
      <c r="A1696" s="378"/>
      <c r="B1696" s="477"/>
      <c r="C1696" s="378"/>
      <c r="D1696" s="378"/>
      <c r="E1696" s="378"/>
      <c r="F1696" s="378"/>
      <c r="G1696" s="378"/>
      <c r="H1696" s="378"/>
      <c r="I1696" s="376"/>
      <c r="J1696" s="377"/>
      <c r="K1696" s="378"/>
      <c r="L1696" s="378"/>
      <c r="M1696" s="378"/>
      <c r="N1696" s="379"/>
      <c r="O1696" s="380"/>
      <c r="P1696" s="378"/>
      <c r="Q1696" s="378"/>
      <c r="R1696" s="378"/>
      <c r="S1696" s="378"/>
      <c r="T1696" s="378"/>
      <c r="U1696" s="378"/>
      <c r="V1696" s="378"/>
      <c r="W1696" s="378"/>
      <c r="X1696" s="378"/>
      <c r="Y1696" s="378"/>
      <c r="Z1696" s="378"/>
      <c r="AA1696" s="378"/>
      <c r="AB1696" s="378"/>
      <c r="AC1696" s="378"/>
      <c r="AD1696" s="378"/>
      <c r="AE1696" s="378"/>
      <c r="AF1696" s="378"/>
      <c r="AG1696" s="378"/>
    </row>
    <row r="1697">
      <c r="A1697" s="378"/>
      <c r="B1697" s="477"/>
      <c r="C1697" s="378"/>
      <c r="D1697" s="378"/>
      <c r="E1697" s="378"/>
      <c r="F1697" s="378"/>
      <c r="G1697" s="378"/>
      <c r="H1697" s="378"/>
      <c r="I1697" s="376"/>
      <c r="J1697" s="377"/>
      <c r="K1697" s="378"/>
      <c r="L1697" s="378"/>
      <c r="M1697" s="378"/>
      <c r="N1697" s="379"/>
      <c r="O1697" s="380"/>
      <c r="P1697" s="378"/>
      <c r="Q1697" s="378"/>
      <c r="R1697" s="378"/>
      <c r="S1697" s="378"/>
      <c r="T1697" s="378"/>
      <c r="U1697" s="378"/>
      <c r="V1697" s="378"/>
      <c r="W1697" s="378"/>
      <c r="X1697" s="378"/>
      <c r="Y1697" s="378"/>
      <c r="Z1697" s="378"/>
      <c r="AA1697" s="378"/>
      <c r="AB1697" s="378"/>
      <c r="AC1697" s="378"/>
      <c r="AD1697" s="378"/>
      <c r="AE1697" s="378"/>
      <c r="AF1697" s="378"/>
      <c r="AG1697" s="378"/>
    </row>
    <row r="1698">
      <c r="A1698" s="378"/>
      <c r="B1698" s="477"/>
      <c r="C1698" s="378"/>
      <c r="D1698" s="378"/>
      <c r="E1698" s="378"/>
      <c r="F1698" s="378"/>
      <c r="G1698" s="378"/>
      <c r="H1698" s="378"/>
      <c r="I1698" s="376"/>
      <c r="J1698" s="377"/>
      <c r="K1698" s="378"/>
      <c r="L1698" s="378"/>
      <c r="M1698" s="378"/>
      <c r="N1698" s="379"/>
      <c r="O1698" s="380"/>
      <c r="P1698" s="378"/>
      <c r="Q1698" s="378"/>
      <c r="R1698" s="378"/>
      <c r="S1698" s="378"/>
      <c r="T1698" s="378"/>
      <c r="U1698" s="378"/>
      <c r="V1698" s="378"/>
      <c r="W1698" s="378"/>
      <c r="X1698" s="378"/>
      <c r="Y1698" s="378"/>
      <c r="Z1698" s="378"/>
      <c r="AA1698" s="378"/>
      <c r="AB1698" s="378"/>
      <c r="AC1698" s="378"/>
      <c r="AD1698" s="378"/>
      <c r="AE1698" s="378"/>
      <c r="AF1698" s="378"/>
      <c r="AG1698" s="378"/>
    </row>
    <row r="1699">
      <c r="A1699" s="378"/>
      <c r="B1699" s="477"/>
      <c r="C1699" s="378"/>
      <c r="D1699" s="378"/>
      <c r="E1699" s="378"/>
      <c r="F1699" s="378"/>
      <c r="G1699" s="378"/>
      <c r="H1699" s="378"/>
      <c r="I1699" s="376"/>
      <c r="J1699" s="377"/>
      <c r="K1699" s="378"/>
      <c r="L1699" s="378"/>
      <c r="M1699" s="378"/>
      <c r="N1699" s="379"/>
      <c r="O1699" s="380"/>
      <c r="P1699" s="378"/>
      <c r="Q1699" s="378"/>
      <c r="R1699" s="378"/>
      <c r="S1699" s="378"/>
      <c r="T1699" s="378"/>
      <c r="U1699" s="378"/>
      <c r="V1699" s="378"/>
      <c r="W1699" s="378"/>
      <c r="X1699" s="378"/>
      <c r="Y1699" s="378"/>
      <c r="Z1699" s="378"/>
      <c r="AA1699" s="378"/>
      <c r="AB1699" s="378"/>
      <c r="AC1699" s="378"/>
      <c r="AD1699" s="378"/>
      <c r="AE1699" s="378"/>
      <c r="AF1699" s="378"/>
      <c r="AG1699" s="378"/>
    </row>
    <row r="1700">
      <c r="A1700" s="378"/>
      <c r="B1700" s="477"/>
      <c r="C1700" s="378"/>
      <c r="D1700" s="378"/>
      <c r="E1700" s="378"/>
      <c r="F1700" s="378"/>
      <c r="G1700" s="378"/>
      <c r="H1700" s="378"/>
      <c r="I1700" s="376"/>
      <c r="J1700" s="377"/>
      <c r="K1700" s="378"/>
      <c r="L1700" s="378"/>
      <c r="M1700" s="378"/>
      <c r="N1700" s="379"/>
      <c r="O1700" s="380"/>
      <c r="P1700" s="378"/>
      <c r="Q1700" s="378"/>
      <c r="R1700" s="378"/>
      <c r="S1700" s="378"/>
      <c r="T1700" s="378"/>
      <c r="U1700" s="378"/>
      <c r="V1700" s="378"/>
      <c r="W1700" s="378"/>
      <c r="X1700" s="378"/>
      <c r="Y1700" s="378"/>
      <c r="Z1700" s="378"/>
      <c r="AA1700" s="378"/>
      <c r="AB1700" s="378"/>
      <c r="AC1700" s="378"/>
      <c r="AD1700" s="378"/>
      <c r="AE1700" s="378"/>
      <c r="AF1700" s="378"/>
      <c r="AG1700" s="378"/>
    </row>
    <row r="1701">
      <c r="A1701" s="378"/>
      <c r="B1701" s="477"/>
      <c r="C1701" s="378"/>
      <c r="D1701" s="378"/>
      <c r="E1701" s="378"/>
      <c r="F1701" s="378"/>
      <c r="G1701" s="378"/>
      <c r="H1701" s="378"/>
      <c r="I1701" s="376"/>
      <c r="J1701" s="377"/>
      <c r="K1701" s="378"/>
      <c r="L1701" s="378"/>
      <c r="M1701" s="378"/>
      <c r="N1701" s="379"/>
      <c r="O1701" s="380"/>
      <c r="P1701" s="378"/>
      <c r="Q1701" s="378"/>
      <c r="R1701" s="378"/>
      <c r="S1701" s="378"/>
      <c r="T1701" s="378"/>
      <c r="U1701" s="378"/>
      <c r="V1701" s="378"/>
      <c r="W1701" s="378"/>
      <c r="X1701" s="378"/>
      <c r="Y1701" s="378"/>
      <c r="Z1701" s="378"/>
      <c r="AA1701" s="378"/>
      <c r="AB1701" s="378"/>
      <c r="AC1701" s="378"/>
      <c r="AD1701" s="378"/>
      <c r="AE1701" s="378"/>
      <c r="AF1701" s="378"/>
      <c r="AG1701" s="378"/>
    </row>
    <row r="1702">
      <c r="A1702" s="378"/>
      <c r="B1702" s="477"/>
      <c r="C1702" s="378"/>
      <c r="D1702" s="378"/>
      <c r="E1702" s="378"/>
      <c r="F1702" s="378"/>
      <c r="G1702" s="378"/>
      <c r="H1702" s="378"/>
      <c r="I1702" s="376"/>
      <c r="J1702" s="377"/>
      <c r="K1702" s="378"/>
      <c r="L1702" s="378"/>
      <c r="M1702" s="378"/>
      <c r="N1702" s="379"/>
      <c r="O1702" s="380"/>
      <c r="P1702" s="378"/>
      <c r="Q1702" s="378"/>
      <c r="R1702" s="378"/>
      <c r="S1702" s="378"/>
      <c r="T1702" s="378"/>
      <c r="U1702" s="378"/>
      <c r="V1702" s="378"/>
      <c r="W1702" s="378"/>
      <c r="X1702" s="378"/>
      <c r="Y1702" s="378"/>
      <c r="Z1702" s="378"/>
      <c r="AA1702" s="378"/>
      <c r="AB1702" s="378"/>
      <c r="AC1702" s="378"/>
      <c r="AD1702" s="378"/>
      <c r="AE1702" s="378"/>
      <c r="AF1702" s="378"/>
      <c r="AG1702" s="378"/>
    </row>
    <row r="1703">
      <c r="A1703" s="378"/>
      <c r="B1703" s="477"/>
      <c r="C1703" s="378"/>
      <c r="D1703" s="378"/>
      <c r="E1703" s="378"/>
      <c r="F1703" s="378"/>
      <c r="G1703" s="378"/>
      <c r="H1703" s="378"/>
      <c r="I1703" s="376"/>
      <c r="J1703" s="377"/>
      <c r="K1703" s="378"/>
      <c r="L1703" s="378"/>
      <c r="M1703" s="378"/>
      <c r="N1703" s="379"/>
      <c r="O1703" s="380"/>
      <c r="P1703" s="378"/>
      <c r="Q1703" s="378"/>
      <c r="R1703" s="378"/>
      <c r="S1703" s="378"/>
      <c r="T1703" s="378"/>
      <c r="U1703" s="378"/>
      <c r="V1703" s="378"/>
      <c r="W1703" s="378"/>
      <c r="X1703" s="378"/>
      <c r="Y1703" s="378"/>
      <c r="Z1703" s="378"/>
      <c r="AA1703" s="378"/>
      <c r="AB1703" s="378"/>
      <c r="AC1703" s="378"/>
      <c r="AD1703" s="378"/>
      <c r="AE1703" s="378"/>
      <c r="AF1703" s="378"/>
      <c r="AG1703" s="378"/>
    </row>
    <row r="1704">
      <c r="A1704" s="378"/>
      <c r="B1704" s="477"/>
      <c r="C1704" s="378"/>
      <c r="D1704" s="378"/>
      <c r="E1704" s="378"/>
      <c r="F1704" s="378"/>
      <c r="G1704" s="378"/>
      <c r="H1704" s="378"/>
      <c r="I1704" s="376"/>
      <c r="J1704" s="377"/>
      <c r="K1704" s="378"/>
      <c r="L1704" s="378"/>
      <c r="M1704" s="378"/>
      <c r="N1704" s="379"/>
      <c r="O1704" s="380"/>
      <c r="P1704" s="378"/>
      <c r="Q1704" s="378"/>
      <c r="R1704" s="378"/>
      <c r="S1704" s="378"/>
      <c r="T1704" s="378"/>
      <c r="U1704" s="378"/>
      <c r="V1704" s="378"/>
      <c r="W1704" s="378"/>
      <c r="X1704" s="378"/>
      <c r="Y1704" s="378"/>
      <c r="Z1704" s="378"/>
      <c r="AA1704" s="378"/>
      <c r="AB1704" s="378"/>
      <c r="AC1704" s="378"/>
      <c r="AD1704" s="378"/>
      <c r="AE1704" s="378"/>
      <c r="AF1704" s="378"/>
      <c r="AG1704" s="378"/>
    </row>
    <row r="1705">
      <c r="A1705" s="378"/>
      <c r="B1705" s="477"/>
      <c r="C1705" s="378"/>
      <c r="D1705" s="378"/>
      <c r="E1705" s="378"/>
      <c r="F1705" s="378"/>
      <c r="G1705" s="378"/>
      <c r="H1705" s="378"/>
      <c r="I1705" s="376"/>
      <c r="J1705" s="377"/>
      <c r="K1705" s="378"/>
      <c r="L1705" s="378"/>
      <c r="M1705" s="378"/>
      <c r="N1705" s="379"/>
      <c r="O1705" s="380"/>
      <c r="P1705" s="378"/>
      <c r="Q1705" s="378"/>
      <c r="R1705" s="378"/>
      <c r="S1705" s="378"/>
      <c r="T1705" s="378"/>
      <c r="U1705" s="378"/>
      <c r="V1705" s="378"/>
      <c r="W1705" s="378"/>
      <c r="X1705" s="378"/>
      <c r="Y1705" s="378"/>
      <c r="Z1705" s="378"/>
      <c r="AA1705" s="378"/>
      <c r="AB1705" s="378"/>
      <c r="AC1705" s="378"/>
      <c r="AD1705" s="378"/>
      <c r="AE1705" s="378"/>
      <c r="AF1705" s="378"/>
      <c r="AG1705" s="378"/>
    </row>
    <row r="1706">
      <c r="A1706" s="378"/>
      <c r="B1706" s="477"/>
      <c r="C1706" s="378"/>
      <c r="D1706" s="378"/>
      <c r="E1706" s="378"/>
      <c r="F1706" s="378"/>
      <c r="G1706" s="378"/>
      <c r="H1706" s="378"/>
      <c r="I1706" s="376"/>
      <c r="J1706" s="377"/>
      <c r="K1706" s="378"/>
      <c r="L1706" s="378"/>
      <c r="M1706" s="378"/>
      <c r="N1706" s="379"/>
      <c r="O1706" s="380"/>
      <c r="P1706" s="378"/>
      <c r="Q1706" s="378"/>
      <c r="R1706" s="378"/>
      <c r="S1706" s="378"/>
      <c r="T1706" s="378"/>
      <c r="U1706" s="378"/>
      <c r="V1706" s="378"/>
      <c r="W1706" s="378"/>
      <c r="X1706" s="378"/>
      <c r="Y1706" s="378"/>
      <c r="Z1706" s="378"/>
      <c r="AA1706" s="378"/>
      <c r="AB1706" s="378"/>
      <c r="AC1706" s="378"/>
      <c r="AD1706" s="378"/>
      <c r="AE1706" s="378"/>
      <c r="AF1706" s="378"/>
      <c r="AG1706" s="378"/>
    </row>
    <row r="1707">
      <c r="A1707" s="378"/>
      <c r="B1707" s="477"/>
      <c r="C1707" s="378"/>
      <c r="D1707" s="378"/>
      <c r="E1707" s="378"/>
      <c r="F1707" s="378"/>
      <c r="G1707" s="378"/>
      <c r="H1707" s="378"/>
      <c r="I1707" s="376"/>
      <c r="J1707" s="377"/>
      <c r="K1707" s="378"/>
      <c r="L1707" s="378"/>
      <c r="M1707" s="378"/>
      <c r="N1707" s="379"/>
      <c r="O1707" s="380"/>
      <c r="P1707" s="378"/>
      <c r="Q1707" s="378"/>
      <c r="R1707" s="378"/>
      <c r="S1707" s="378"/>
      <c r="T1707" s="378"/>
      <c r="U1707" s="378"/>
      <c r="V1707" s="378"/>
      <c r="W1707" s="378"/>
      <c r="X1707" s="378"/>
      <c r="Y1707" s="378"/>
      <c r="Z1707" s="378"/>
      <c r="AA1707" s="378"/>
      <c r="AB1707" s="378"/>
      <c r="AC1707" s="378"/>
      <c r="AD1707" s="378"/>
      <c r="AE1707" s="378"/>
      <c r="AF1707" s="378"/>
      <c r="AG1707" s="378"/>
    </row>
    <row r="1708">
      <c r="A1708" s="378"/>
      <c r="B1708" s="477"/>
      <c r="C1708" s="378"/>
      <c r="D1708" s="378"/>
      <c r="E1708" s="378"/>
      <c r="F1708" s="378"/>
      <c r="G1708" s="378"/>
      <c r="H1708" s="378"/>
      <c r="I1708" s="376"/>
      <c r="J1708" s="377"/>
      <c r="K1708" s="378"/>
      <c r="L1708" s="378"/>
      <c r="M1708" s="378"/>
      <c r="N1708" s="379"/>
      <c r="O1708" s="380"/>
      <c r="P1708" s="378"/>
      <c r="Q1708" s="378"/>
      <c r="R1708" s="378"/>
      <c r="S1708" s="378"/>
      <c r="T1708" s="378"/>
      <c r="U1708" s="378"/>
      <c r="V1708" s="378"/>
      <c r="W1708" s="378"/>
      <c r="X1708" s="378"/>
      <c r="Y1708" s="378"/>
      <c r="Z1708" s="378"/>
      <c r="AA1708" s="378"/>
      <c r="AB1708" s="378"/>
      <c r="AC1708" s="378"/>
      <c r="AD1708" s="378"/>
      <c r="AE1708" s="378"/>
      <c r="AF1708" s="378"/>
      <c r="AG1708" s="378"/>
    </row>
    <row r="1709">
      <c r="A1709" s="378"/>
      <c r="B1709" s="477"/>
      <c r="C1709" s="378"/>
      <c r="D1709" s="378"/>
      <c r="E1709" s="378"/>
      <c r="F1709" s="378"/>
      <c r="G1709" s="378"/>
      <c r="H1709" s="378"/>
      <c r="I1709" s="376"/>
      <c r="J1709" s="377"/>
      <c r="K1709" s="378"/>
      <c r="L1709" s="378"/>
      <c r="M1709" s="378"/>
      <c r="N1709" s="379"/>
      <c r="O1709" s="380"/>
      <c r="P1709" s="378"/>
      <c r="Q1709" s="378"/>
      <c r="R1709" s="378"/>
      <c r="S1709" s="378"/>
      <c r="T1709" s="378"/>
      <c r="U1709" s="378"/>
      <c r="V1709" s="378"/>
      <c r="W1709" s="378"/>
      <c r="X1709" s="378"/>
      <c r="Y1709" s="378"/>
      <c r="Z1709" s="378"/>
      <c r="AA1709" s="378"/>
      <c r="AB1709" s="378"/>
      <c r="AC1709" s="378"/>
      <c r="AD1709" s="378"/>
      <c r="AE1709" s="378"/>
      <c r="AF1709" s="378"/>
      <c r="AG1709" s="378"/>
    </row>
    <row r="1710">
      <c r="A1710" s="378"/>
      <c r="B1710" s="477"/>
      <c r="C1710" s="378"/>
      <c r="D1710" s="378"/>
      <c r="E1710" s="378"/>
      <c r="F1710" s="378"/>
      <c r="G1710" s="378"/>
      <c r="H1710" s="378"/>
      <c r="I1710" s="376"/>
      <c r="J1710" s="377"/>
      <c r="K1710" s="378"/>
      <c r="L1710" s="378"/>
      <c r="M1710" s="378"/>
      <c r="N1710" s="379"/>
      <c r="O1710" s="380"/>
      <c r="P1710" s="378"/>
      <c r="Q1710" s="378"/>
      <c r="R1710" s="378"/>
      <c r="S1710" s="378"/>
      <c r="T1710" s="378"/>
      <c r="U1710" s="378"/>
      <c r="V1710" s="378"/>
      <c r="W1710" s="378"/>
      <c r="X1710" s="378"/>
      <c r="Y1710" s="378"/>
      <c r="Z1710" s="378"/>
      <c r="AA1710" s="378"/>
      <c r="AB1710" s="378"/>
      <c r="AC1710" s="378"/>
      <c r="AD1710" s="378"/>
      <c r="AE1710" s="378"/>
      <c r="AF1710" s="378"/>
      <c r="AG1710" s="378"/>
    </row>
    <row r="1711">
      <c r="A1711" s="378"/>
      <c r="B1711" s="477"/>
      <c r="C1711" s="378"/>
      <c r="D1711" s="378"/>
      <c r="E1711" s="378"/>
      <c r="F1711" s="378"/>
      <c r="G1711" s="378"/>
      <c r="H1711" s="378"/>
      <c r="I1711" s="376"/>
      <c r="J1711" s="377"/>
      <c r="K1711" s="378"/>
      <c r="L1711" s="378"/>
      <c r="M1711" s="378"/>
      <c r="N1711" s="379"/>
      <c r="O1711" s="380"/>
      <c r="P1711" s="378"/>
      <c r="Q1711" s="378"/>
      <c r="R1711" s="378"/>
      <c r="S1711" s="378"/>
      <c r="T1711" s="378"/>
      <c r="U1711" s="378"/>
      <c r="V1711" s="378"/>
      <c r="W1711" s="378"/>
      <c r="X1711" s="378"/>
      <c r="Y1711" s="378"/>
      <c r="Z1711" s="378"/>
      <c r="AA1711" s="378"/>
      <c r="AB1711" s="378"/>
      <c r="AC1711" s="378"/>
      <c r="AD1711" s="378"/>
      <c r="AE1711" s="378"/>
      <c r="AF1711" s="378"/>
      <c r="AG1711" s="378"/>
    </row>
    <row r="1712">
      <c r="A1712" s="378"/>
      <c r="B1712" s="477"/>
      <c r="C1712" s="378"/>
      <c r="D1712" s="378"/>
      <c r="E1712" s="378"/>
      <c r="F1712" s="378"/>
      <c r="G1712" s="378"/>
      <c r="H1712" s="378"/>
      <c r="I1712" s="376"/>
      <c r="J1712" s="377"/>
      <c r="K1712" s="378"/>
      <c r="L1712" s="378"/>
      <c r="M1712" s="378"/>
      <c r="N1712" s="379"/>
      <c r="O1712" s="380"/>
      <c r="P1712" s="378"/>
      <c r="Q1712" s="378"/>
      <c r="R1712" s="378"/>
      <c r="S1712" s="378"/>
      <c r="T1712" s="378"/>
      <c r="U1712" s="378"/>
      <c r="V1712" s="378"/>
      <c r="W1712" s="378"/>
      <c r="X1712" s="378"/>
      <c r="Y1712" s="378"/>
      <c r="Z1712" s="378"/>
      <c r="AA1712" s="378"/>
      <c r="AB1712" s="378"/>
      <c r="AC1712" s="378"/>
      <c r="AD1712" s="378"/>
      <c r="AE1712" s="378"/>
      <c r="AF1712" s="378"/>
      <c r="AG1712" s="378"/>
    </row>
    <row r="1713">
      <c r="A1713" s="378"/>
      <c r="B1713" s="477"/>
      <c r="C1713" s="378"/>
      <c r="D1713" s="378"/>
      <c r="E1713" s="378"/>
      <c r="F1713" s="378"/>
      <c r="G1713" s="378"/>
      <c r="H1713" s="378"/>
      <c r="I1713" s="376"/>
      <c r="J1713" s="377"/>
      <c r="K1713" s="378"/>
      <c r="L1713" s="378"/>
      <c r="M1713" s="378"/>
      <c r="N1713" s="379"/>
      <c r="O1713" s="380"/>
      <c r="P1713" s="378"/>
      <c r="Q1713" s="378"/>
      <c r="R1713" s="378"/>
      <c r="S1713" s="378"/>
      <c r="T1713" s="378"/>
      <c r="U1713" s="378"/>
      <c r="V1713" s="378"/>
      <c r="W1713" s="378"/>
      <c r="X1713" s="378"/>
      <c r="Y1713" s="378"/>
      <c r="Z1713" s="378"/>
      <c r="AA1713" s="378"/>
      <c r="AB1713" s="378"/>
      <c r="AC1713" s="378"/>
      <c r="AD1713" s="378"/>
      <c r="AE1713" s="378"/>
      <c r="AF1713" s="378"/>
      <c r="AG1713" s="378"/>
    </row>
    <row r="1714">
      <c r="A1714" s="378"/>
      <c r="B1714" s="477"/>
      <c r="C1714" s="378"/>
      <c r="D1714" s="378"/>
      <c r="E1714" s="378"/>
      <c r="F1714" s="378"/>
      <c r="G1714" s="378"/>
      <c r="H1714" s="378"/>
      <c r="I1714" s="376"/>
      <c r="J1714" s="377"/>
      <c r="K1714" s="378"/>
      <c r="L1714" s="378"/>
      <c r="M1714" s="378"/>
      <c r="N1714" s="379"/>
      <c r="O1714" s="380"/>
      <c r="P1714" s="378"/>
      <c r="Q1714" s="378"/>
      <c r="R1714" s="378"/>
      <c r="S1714" s="378"/>
      <c r="T1714" s="378"/>
      <c r="U1714" s="378"/>
      <c r="V1714" s="378"/>
      <c r="W1714" s="378"/>
      <c r="X1714" s="378"/>
      <c r="Y1714" s="378"/>
      <c r="Z1714" s="378"/>
      <c r="AA1714" s="378"/>
      <c r="AB1714" s="378"/>
      <c r="AC1714" s="378"/>
      <c r="AD1714" s="378"/>
      <c r="AE1714" s="378"/>
      <c r="AF1714" s="378"/>
      <c r="AG1714" s="378"/>
    </row>
    <row r="1715">
      <c r="A1715" s="378"/>
      <c r="B1715" s="477"/>
      <c r="C1715" s="378"/>
      <c r="D1715" s="378"/>
      <c r="E1715" s="378"/>
      <c r="F1715" s="378"/>
      <c r="G1715" s="378"/>
      <c r="H1715" s="378"/>
      <c r="I1715" s="376"/>
      <c r="J1715" s="377"/>
      <c r="K1715" s="378"/>
      <c r="L1715" s="378"/>
      <c r="M1715" s="378"/>
      <c r="N1715" s="379"/>
      <c r="O1715" s="380"/>
      <c r="P1715" s="378"/>
      <c r="Q1715" s="378"/>
      <c r="R1715" s="378"/>
      <c r="S1715" s="378"/>
      <c r="T1715" s="378"/>
      <c r="U1715" s="378"/>
      <c r="V1715" s="378"/>
      <c r="W1715" s="378"/>
      <c r="X1715" s="378"/>
      <c r="Y1715" s="378"/>
      <c r="Z1715" s="378"/>
      <c r="AA1715" s="378"/>
      <c r="AB1715" s="378"/>
      <c r="AC1715" s="378"/>
      <c r="AD1715" s="378"/>
      <c r="AE1715" s="378"/>
      <c r="AF1715" s="378"/>
      <c r="AG1715" s="378"/>
    </row>
    <row r="1716">
      <c r="A1716" s="378"/>
      <c r="B1716" s="477"/>
      <c r="C1716" s="378"/>
      <c r="D1716" s="378"/>
      <c r="E1716" s="378"/>
      <c r="F1716" s="378"/>
      <c r="G1716" s="378"/>
      <c r="H1716" s="378"/>
      <c r="I1716" s="376"/>
      <c r="J1716" s="377"/>
      <c r="K1716" s="378"/>
      <c r="L1716" s="378"/>
      <c r="M1716" s="378"/>
      <c r="N1716" s="379"/>
      <c r="O1716" s="380"/>
      <c r="P1716" s="378"/>
      <c r="Q1716" s="378"/>
      <c r="R1716" s="378"/>
      <c r="S1716" s="378"/>
      <c r="T1716" s="378"/>
      <c r="U1716" s="378"/>
      <c r="V1716" s="378"/>
      <c r="W1716" s="378"/>
      <c r="X1716" s="378"/>
      <c r="Y1716" s="378"/>
      <c r="Z1716" s="378"/>
      <c r="AA1716" s="378"/>
      <c r="AB1716" s="378"/>
      <c r="AC1716" s="378"/>
      <c r="AD1716" s="378"/>
      <c r="AE1716" s="378"/>
      <c r="AF1716" s="378"/>
      <c r="AG1716" s="378"/>
    </row>
    <row r="1717">
      <c r="A1717" s="378"/>
      <c r="B1717" s="477"/>
      <c r="C1717" s="378"/>
      <c r="D1717" s="378"/>
      <c r="E1717" s="378"/>
      <c r="F1717" s="378"/>
      <c r="G1717" s="378"/>
      <c r="H1717" s="378"/>
      <c r="I1717" s="376"/>
      <c r="J1717" s="377"/>
      <c r="K1717" s="378"/>
      <c r="L1717" s="378"/>
      <c r="M1717" s="378"/>
      <c r="N1717" s="379"/>
      <c r="O1717" s="380"/>
      <c r="P1717" s="378"/>
      <c r="Q1717" s="378"/>
      <c r="R1717" s="378"/>
      <c r="S1717" s="378"/>
      <c r="T1717" s="378"/>
      <c r="U1717" s="378"/>
      <c r="V1717" s="378"/>
      <c r="W1717" s="378"/>
      <c r="X1717" s="378"/>
      <c r="Y1717" s="378"/>
      <c r="Z1717" s="378"/>
      <c r="AA1717" s="378"/>
      <c r="AB1717" s="378"/>
      <c r="AC1717" s="378"/>
      <c r="AD1717" s="378"/>
      <c r="AE1717" s="378"/>
      <c r="AF1717" s="378"/>
      <c r="AG1717" s="378"/>
    </row>
    <row r="1718">
      <c r="A1718" s="378"/>
      <c r="B1718" s="477"/>
      <c r="C1718" s="378"/>
      <c r="D1718" s="378"/>
      <c r="E1718" s="378"/>
      <c r="F1718" s="378"/>
      <c r="G1718" s="378"/>
      <c r="H1718" s="378"/>
      <c r="I1718" s="376"/>
      <c r="J1718" s="377"/>
      <c r="K1718" s="378"/>
      <c r="L1718" s="378"/>
      <c r="M1718" s="378"/>
      <c r="N1718" s="379"/>
      <c r="O1718" s="380"/>
      <c r="P1718" s="378"/>
      <c r="Q1718" s="378"/>
      <c r="R1718" s="378"/>
      <c r="S1718" s="378"/>
      <c r="T1718" s="378"/>
      <c r="U1718" s="378"/>
      <c r="V1718" s="378"/>
      <c r="W1718" s="378"/>
      <c r="X1718" s="378"/>
      <c r="Y1718" s="378"/>
      <c r="Z1718" s="378"/>
      <c r="AA1718" s="378"/>
      <c r="AB1718" s="378"/>
      <c r="AC1718" s="378"/>
      <c r="AD1718" s="378"/>
      <c r="AE1718" s="378"/>
      <c r="AF1718" s="378"/>
      <c r="AG1718" s="378"/>
    </row>
    <row r="1719">
      <c r="A1719" s="378"/>
      <c r="B1719" s="477"/>
      <c r="C1719" s="378"/>
      <c r="D1719" s="378"/>
      <c r="E1719" s="378"/>
      <c r="F1719" s="378"/>
      <c r="G1719" s="378"/>
      <c r="H1719" s="378"/>
      <c r="I1719" s="376"/>
      <c r="J1719" s="377"/>
      <c r="K1719" s="378"/>
      <c r="L1719" s="378"/>
      <c r="M1719" s="378"/>
      <c r="N1719" s="379"/>
      <c r="O1719" s="380"/>
      <c r="P1719" s="378"/>
      <c r="Q1719" s="378"/>
      <c r="R1719" s="378"/>
      <c r="S1719" s="378"/>
      <c r="T1719" s="378"/>
      <c r="U1719" s="378"/>
      <c r="V1719" s="378"/>
      <c r="W1719" s="378"/>
      <c r="X1719" s="378"/>
      <c r="Y1719" s="378"/>
      <c r="Z1719" s="378"/>
      <c r="AA1719" s="378"/>
      <c r="AB1719" s="378"/>
      <c r="AC1719" s="378"/>
      <c r="AD1719" s="378"/>
      <c r="AE1719" s="378"/>
      <c r="AF1719" s="378"/>
      <c r="AG1719" s="378"/>
    </row>
    <row r="1720">
      <c r="A1720" s="378"/>
      <c r="B1720" s="477"/>
      <c r="C1720" s="378"/>
      <c r="D1720" s="378"/>
      <c r="E1720" s="378"/>
      <c r="F1720" s="378"/>
      <c r="G1720" s="378"/>
      <c r="H1720" s="378"/>
      <c r="I1720" s="376"/>
      <c r="J1720" s="377"/>
      <c r="K1720" s="378"/>
      <c r="L1720" s="378"/>
      <c r="M1720" s="378"/>
      <c r="N1720" s="379"/>
      <c r="O1720" s="380"/>
      <c r="P1720" s="378"/>
      <c r="Q1720" s="378"/>
      <c r="R1720" s="378"/>
      <c r="S1720" s="378"/>
      <c r="T1720" s="378"/>
      <c r="U1720" s="378"/>
      <c r="V1720" s="378"/>
      <c r="W1720" s="378"/>
      <c r="X1720" s="378"/>
      <c r="Y1720" s="378"/>
      <c r="Z1720" s="378"/>
      <c r="AA1720" s="378"/>
      <c r="AB1720" s="378"/>
      <c r="AC1720" s="378"/>
      <c r="AD1720" s="378"/>
      <c r="AE1720" s="378"/>
      <c r="AF1720" s="378"/>
      <c r="AG1720" s="378"/>
    </row>
    <row r="1721">
      <c r="A1721" s="378"/>
      <c r="B1721" s="477"/>
      <c r="C1721" s="378"/>
      <c r="D1721" s="378"/>
      <c r="E1721" s="378"/>
      <c r="F1721" s="378"/>
      <c r="G1721" s="378"/>
      <c r="H1721" s="378"/>
      <c r="I1721" s="376"/>
      <c r="J1721" s="377"/>
      <c r="K1721" s="378"/>
      <c r="L1721" s="378"/>
      <c r="M1721" s="378"/>
      <c r="N1721" s="379"/>
      <c r="O1721" s="380"/>
      <c r="P1721" s="378"/>
      <c r="Q1721" s="378"/>
      <c r="R1721" s="378"/>
      <c r="S1721" s="378"/>
      <c r="T1721" s="378"/>
      <c r="U1721" s="378"/>
      <c r="V1721" s="378"/>
      <c r="W1721" s="378"/>
      <c r="X1721" s="378"/>
      <c r="Y1721" s="378"/>
      <c r="Z1721" s="378"/>
      <c r="AA1721" s="378"/>
      <c r="AB1721" s="378"/>
      <c r="AC1721" s="378"/>
      <c r="AD1721" s="378"/>
      <c r="AE1721" s="378"/>
      <c r="AF1721" s="378"/>
      <c r="AG1721" s="378"/>
    </row>
    <row r="1722">
      <c r="A1722" s="378"/>
      <c r="B1722" s="477"/>
      <c r="C1722" s="378"/>
      <c r="D1722" s="378"/>
      <c r="E1722" s="378"/>
      <c r="F1722" s="378"/>
      <c r="G1722" s="378"/>
      <c r="H1722" s="378"/>
      <c r="I1722" s="376"/>
      <c r="J1722" s="377"/>
      <c r="K1722" s="378"/>
      <c r="L1722" s="378"/>
      <c r="M1722" s="378"/>
      <c r="N1722" s="379"/>
      <c r="O1722" s="380"/>
      <c r="P1722" s="378"/>
      <c r="Q1722" s="378"/>
      <c r="R1722" s="378"/>
      <c r="S1722" s="378"/>
      <c r="T1722" s="378"/>
      <c r="U1722" s="378"/>
      <c r="V1722" s="378"/>
      <c r="W1722" s="378"/>
      <c r="X1722" s="378"/>
      <c r="Y1722" s="378"/>
      <c r="Z1722" s="378"/>
      <c r="AA1722" s="378"/>
      <c r="AB1722" s="378"/>
      <c r="AC1722" s="378"/>
      <c r="AD1722" s="378"/>
      <c r="AE1722" s="378"/>
      <c r="AF1722" s="378"/>
      <c r="AG1722" s="378"/>
    </row>
    <row r="1723">
      <c r="A1723" s="378"/>
      <c r="B1723" s="477"/>
      <c r="C1723" s="378"/>
      <c r="D1723" s="378"/>
      <c r="E1723" s="378"/>
      <c r="F1723" s="378"/>
      <c r="G1723" s="378"/>
      <c r="H1723" s="378"/>
      <c r="I1723" s="376"/>
      <c r="J1723" s="377"/>
      <c r="K1723" s="378"/>
      <c r="L1723" s="378"/>
      <c r="M1723" s="378"/>
      <c r="N1723" s="379"/>
      <c r="O1723" s="380"/>
      <c r="P1723" s="378"/>
      <c r="Q1723" s="378"/>
      <c r="R1723" s="378"/>
      <c r="S1723" s="378"/>
      <c r="T1723" s="378"/>
      <c r="U1723" s="378"/>
      <c r="V1723" s="378"/>
      <c r="W1723" s="378"/>
      <c r="X1723" s="378"/>
      <c r="Y1723" s="378"/>
      <c r="Z1723" s="378"/>
      <c r="AA1723" s="378"/>
      <c r="AB1723" s="378"/>
      <c r="AC1723" s="378"/>
      <c r="AD1723" s="378"/>
      <c r="AE1723" s="378"/>
      <c r="AF1723" s="378"/>
      <c r="AG1723" s="378"/>
    </row>
    <row r="1724">
      <c r="A1724" s="378"/>
      <c r="B1724" s="477"/>
      <c r="C1724" s="378"/>
      <c r="D1724" s="378"/>
      <c r="E1724" s="378"/>
      <c r="F1724" s="378"/>
      <c r="G1724" s="378"/>
      <c r="H1724" s="378"/>
      <c r="I1724" s="376"/>
      <c r="J1724" s="377"/>
      <c r="K1724" s="378"/>
      <c r="L1724" s="378"/>
      <c r="M1724" s="378"/>
      <c r="N1724" s="379"/>
      <c r="O1724" s="380"/>
      <c r="P1724" s="378"/>
      <c r="Q1724" s="378"/>
      <c r="R1724" s="378"/>
      <c r="S1724" s="378"/>
      <c r="T1724" s="378"/>
      <c r="U1724" s="378"/>
      <c r="V1724" s="378"/>
      <c r="W1724" s="378"/>
      <c r="X1724" s="378"/>
      <c r="Y1724" s="378"/>
      <c r="Z1724" s="378"/>
      <c r="AA1724" s="378"/>
      <c r="AB1724" s="378"/>
      <c r="AC1724" s="378"/>
      <c r="AD1724" s="378"/>
      <c r="AE1724" s="378"/>
      <c r="AF1724" s="378"/>
      <c r="AG1724" s="378"/>
    </row>
    <row r="1725">
      <c r="A1725" s="378"/>
      <c r="B1725" s="477"/>
      <c r="C1725" s="378"/>
      <c r="D1725" s="378"/>
      <c r="E1725" s="378"/>
      <c r="F1725" s="378"/>
      <c r="G1725" s="378"/>
      <c r="H1725" s="378"/>
      <c r="I1725" s="376"/>
      <c r="J1725" s="377"/>
      <c r="K1725" s="378"/>
      <c r="L1725" s="378"/>
      <c r="M1725" s="378"/>
      <c r="N1725" s="379"/>
      <c r="O1725" s="380"/>
      <c r="P1725" s="378"/>
      <c r="Q1725" s="378"/>
      <c r="R1725" s="378"/>
      <c r="S1725" s="378"/>
      <c r="T1725" s="378"/>
      <c r="U1725" s="378"/>
      <c r="V1725" s="378"/>
      <c r="W1725" s="378"/>
      <c r="X1725" s="378"/>
      <c r="Y1725" s="378"/>
      <c r="Z1725" s="378"/>
      <c r="AA1725" s="378"/>
      <c r="AB1725" s="378"/>
      <c r="AC1725" s="378"/>
      <c r="AD1725" s="378"/>
      <c r="AE1725" s="378"/>
      <c r="AF1725" s="378"/>
      <c r="AG1725" s="378"/>
    </row>
    <row r="1726">
      <c r="A1726" s="378"/>
      <c r="B1726" s="477"/>
      <c r="C1726" s="378"/>
      <c r="D1726" s="378"/>
      <c r="E1726" s="378"/>
      <c r="F1726" s="378"/>
      <c r="G1726" s="378"/>
      <c r="H1726" s="378"/>
      <c r="I1726" s="376"/>
      <c r="J1726" s="377"/>
      <c r="K1726" s="378"/>
      <c r="L1726" s="378"/>
      <c r="M1726" s="378"/>
      <c r="N1726" s="379"/>
      <c r="O1726" s="380"/>
      <c r="P1726" s="378"/>
      <c r="Q1726" s="378"/>
      <c r="R1726" s="378"/>
      <c r="S1726" s="378"/>
      <c r="T1726" s="378"/>
      <c r="U1726" s="378"/>
      <c r="V1726" s="378"/>
      <c r="W1726" s="378"/>
      <c r="X1726" s="378"/>
      <c r="Y1726" s="378"/>
      <c r="Z1726" s="378"/>
      <c r="AA1726" s="378"/>
      <c r="AB1726" s="378"/>
      <c r="AC1726" s="378"/>
      <c r="AD1726" s="378"/>
      <c r="AE1726" s="378"/>
      <c r="AF1726" s="378"/>
      <c r="AG1726" s="378"/>
    </row>
    <row r="1727">
      <c r="A1727" s="378"/>
      <c r="B1727" s="477"/>
      <c r="C1727" s="378"/>
      <c r="D1727" s="378"/>
      <c r="E1727" s="378"/>
      <c r="F1727" s="378"/>
      <c r="G1727" s="378"/>
      <c r="H1727" s="378"/>
      <c r="I1727" s="376"/>
      <c r="J1727" s="377"/>
      <c r="K1727" s="378"/>
      <c r="L1727" s="378"/>
      <c r="M1727" s="378"/>
      <c r="N1727" s="379"/>
      <c r="O1727" s="380"/>
      <c r="P1727" s="378"/>
      <c r="Q1727" s="378"/>
      <c r="R1727" s="378"/>
      <c r="S1727" s="378"/>
      <c r="T1727" s="378"/>
      <c r="U1727" s="378"/>
      <c r="V1727" s="378"/>
      <c r="W1727" s="378"/>
      <c r="X1727" s="378"/>
      <c r="Y1727" s="378"/>
      <c r="Z1727" s="378"/>
      <c r="AA1727" s="378"/>
      <c r="AB1727" s="378"/>
      <c r="AC1727" s="378"/>
      <c r="AD1727" s="378"/>
      <c r="AE1727" s="378"/>
      <c r="AF1727" s="378"/>
      <c r="AG1727" s="378"/>
    </row>
    <row r="1728">
      <c r="A1728" s="378"/>
      <c r="B1728" s="477"/>
      <c r="C1728" s="378"/>
      <c r="D1728" s="378"/>
      <c r="E1728" s="378"/>
      <c r="F1728" s="378"/>
      <c r="G1728" s="378"/>
      <c r="H1728" s="378"/>
      <c r="I1728" s="376"/>
      <c r="J1728" s="377"/>
      <c r="K1728" s="378"/>
      <c r="L1728" s="378"/>
      <c r="M1728" s="378"/>
      <c r="N1728" s="379"/>
      <c r="O1728" s="380"/>
      <c r="P1728" s="378"/>
      <c r="Q1728" s="378"/>
      <c r="R1728" s="378"/>
      <c r="S1728" s="378"/>
      <c r="T1728" s="378"/>
      <c r="U1728" s="378"/>
      <c r="V1728" s="378"/>
      <c r="W1728" s="378"/>
      <c r="X1728" s="378"/>
      <c r="Y1728" s="378"/>
      <c r="Z1728" s="378"/>
      <c r="AA1728" s="378"/>
      <c r="AB1728" s="378"/>
      <c r="AC1728" s="378"/>
      <c r="AD1728" s="378"/>
      <c r="AE1728" s="378"/>
      <c r="AF1728" s="378"/>
      <c r="AG1728" s="378"/>
    </row>
    <row r="1729">
      <c r="A1729" s="378"/>
      <c r="B1729" s="477"/>
      <c r="C1729" s="378"/>
      <c r="D1729" s="378"/>
      <c r="E1729" s="378"/>
      <c r="F1729" s="378"/>
      <c r="G1729" s="378"/>
      <c r="H1729" s="378"/>
      <c r="I1729" s="376"/>
      <c r="J1729" s="377"/>
      <c r="K1729" s="378"/>
      <c r="L1729" s="378"/>
      <c r="M1729" s="378"/>
      <c r="N1729" s="379"/>
      <c r="O1729" s="380"/>
      <c r="P1729" s="378"/>
      <c r="Q1729" s="378"/>
      <c r="R1729" s="378"/>
      <c r="S1729" s="378"/>
      <c r="T1729" s="378"/>
      <c r="U1729" s="378"/>
      <c r="V1729" s="378"/>
      <c r="W1729" s="378"/>
      <c r="X1729" s="378"/>
      <c r="Y1729" s="378"/>
      <c r="Z1729" s="378"/>
      <c r="AA1729" s="378"/>
      <c r="AB1729" s="378"/>
      <c r="AC1729" s="378"/>
      <c r="AD1729" s="378"/>
      <c r="AE1729" s="378"/>
      <c r="AF1729" s="378"/>
      <c r="AG1729" s="378"/>
    </row>
    <row r="1730">
      <c r="A1730" s="378"/>
      <c r="B1730" s="477"/>
      <c r="C1730" s="378"/>
      <c r="D1730" s="378"/>
      <c r="E1730" s="378"/>
      <c r="F1730" s="378"/>
      <c r="G1730" s="378"/>
      <c r="H1730" s="378"/>
      <c r="I1730" s="376"/>
      <c r="J1730" s="377"/>
      <c r="K1730" s="378"/>
      <c r="L1730" s="378"/>
      <c r="M1730" s="378"/>
      <c r="N1730" s="379"/>
      <c r="O1730" s="380"/>
      <c r="P1730" s="378"/>
      <c r="Q1730" s="378"/>
      <c r="R1730" s="378"/>
      <c r="S1730" s="378"/>
      <c r="T1730" s="378"/>
      <c r="U1730" s="378"/>
      <c r="V1730" s="378"/>
      <c r="W1730" s="378"/>
      <c r="X1730" s="378"/>
      <c r="Y1730" s="378"/>
      <c r="Z1730" s="378"/>
      <c r="AA1730" s="378"/>
      <c r="AB1730" s="378"/>
      <c r="AC1730" s="378"/>
      <c r="AD1730" s="378"/>
      <c r="AE1730" s="378"/>
      <c r="AF1730" s="378"/>
      <c r="AG1730" s="378"/>
    </row>
    <row r="1731">
      <c r="A1731" s="378"/>
      <c r="B1731" s="477"/>
      <c r="C1731" s="378"/>
      <c r="D1731" s="378"/>
      <c r="E1731" s="378"/>
      <c r="F1731" s="378"/>
      <c r="G1731" s="378"/>
      <c r="H1731" s="378"/>
      <c r="I1731" s="376"/>
      <c r="J1731" s="377"/>
      <c r="K1731" s="378"/>
      <c r="L1731" s="378"/>
      <c r="M1731" s="378"/>
      <c r="N1731" s="379"/>
      <c r="O1731" s="380"/>
      <c r="P1731" s="378"/>
      <c r="Q1731" s="378"/>
      <c r="R1731" s="378"/>
      <c r="S1731" s="378"/>
      <c r="T1731" s="378"/>
      <c r="U1731" s="378"/>
      <c r="V1731" s="378"/>
      <c r="W1731" s="378"/>
      <c r="X1731" s="378"/>
      <c r="Y1731" s="378"/>
      <c r="Z1731" s="378"/>
      <c r="AA1731" s="378"/>
      <c r="AB1731" s="378"/>
      <c r="AC1731" s="378"/>
      <c r="AD1731" s="378"/>
      <c r="AE1731" s="378"/>
      <c r="AF1731" s="378"/>
      <c r="AG1731" s="378"/>
    </row>
    <row r="1732">
      <c r="A1732" s="378"/>
      <c r="B1732" s="477"/>
      <c r="C1732" s="378"/>
      <c r="D1732" s="378"/>
      <c r="E1732" s="378"/>
      <c r="F1732" s="378"/>
      <c r="G1732" s="378"/>
      <c r="H1732" s="378"/>
      <c r="I1732" s="376"/>
      <c r="J1732" s="377"/>
      <c r="K1732" s="378"/>
      <c r="L1732" s="378"/>
      <c r="M1732" s="378"/>
      <c r="N1732" s="379"/>
      <c r="O1732" s="380"/>
      <c r="P1732" s="378"/>
      <c r="Q1732" s="378"/>
      <c r="R1732" s="378"/>
      <c r="S1732" s="378"/>
      <c r="T1732" s="378"/>
      <c r="U1732" s="378"/>
      <c r="V1732" s="378"/>
      <c r="W1732" s="378"/>
      <c r="X1732" s="378"/>
      <c r="Y1732" s="378"/>
      <c r="Z1732" s="378"/>
      <c r="AA1732" s="378"/>
      <c r="AB1732" s="378"/>
      <c r="AC1732" s="378"/>
      <c r="AD1732" s="378"/>
      <c r="AE1732" s="378"/>
      <c r="AF1732" s="378"/>
      <c r="AG1732" s="378"/>
    </row>
    <row r="1733">
      <c r="A1733" s="378"/>
      <c r="B1733" s="477"/>
      <c r="C1733" s="378"/>
      <c r="D1733" s="378"/>
      <c r="E1733" s="378"/>
      <c r="F1733" s="378"/>
      <c r="G1733" s="378"/>
      <c r="H1733" s="378"/>
      <c r="I1733" s="376"/>
      <c r="J1733" s="377"/>
      <c r="K1733" s="378"/>
      <c r="L1733" s="378"/>
      <c r="M1733" s="378"/>
      <c r="N1733" s="379"/>
      <c r="O1733" s="380"/>
      <c r="P1733" s="378"/>
      <c r="Q1733" s="378"/>
      <c r="R1733" s="378"/>
      <c r="S1733" s="378"/>
      <c r="T1733" s="378"/>
      <c r="U1733" s="378"/>
      <c r="V1733" s="378"/>
      <c r="W1733" s="378"/>
      <c r="X1733" s="378"/>
      <c r="Y1733" s="378"/>
      <c r="Z1733" s="378"/>
      <c r="AA1733" s="378"/>
      <c r="AB1733" s="378"/>
      <c r="AC1733" s="378"/>
      <c r="AD1733" s="378"/>
      <c r="AE1733" s="378"/>
      <c r="AF1733" s="378"/>
      <c r="AG1733" s="378"/>
    </row>
    <row r="1734">
      <c r="A1734" s="378"/>
      <c r="B1734" s="477"/>
      <c r="C1734" s="378"/>
      <c r="D1734" s="378"/>
      <c r="E1734" s="378"/>
      <c r="F1734" s="378"/>
      <c r="G1734" s="378"/>
      <c r="H1734" s="378"/>
      <c r="I1734" s="376"/>
      <c r="J1734" s="377"/>
      <c r="K1734" s="378"/>
      <c r="L1734" s="378"/>
      <c r="M1734" s="378"/>
      <c r="N1734" s="379"/>
      <c r="O1734" s="380"/>
      <c r="P1734" s="378"/>
      <c r="Q1734" s="378"/>
      <c r="R1734" s="378"/>
      <c r="S1734" s="378"/>
      <c r="T1734" s="378"/>
      <c r="U1734" s="378"/>
      <c r="V1734" s="378"/>
      <c r="W1734" s="378"/>
      <c r="X1734" s="378"/>
      <c r="Y1734" s="378"/>
      <c r="Z1734" s="378"/>
      <c r="AA1734" s="378"/>
      <c r="AB1734" s="378"/>
      <c r="AC1734" s="378"/>
      <c r="AD1734" s="378"/>
      <c r="AE1734" s="378"/>
      <c r="AF1734" s="378"/>
      <c r="AG1734" s="378"/>
    </row>
    <row r="1735">
      <c r="A1735" s="378"/>
      <c r="B1735" s="477"/>
      <c r="C1735" s="378"/>
      <c r="D1735" s="378"/>
      <c r="E1735" s="378"/>
      <c r="F1735" s="378"/>
      <c r="G1735" s="378"/>
      <c r="H1735" s="378"/>
      <c r="I1735" s="376"/>
      <c r="J1735" s="377"/>
      <c r="K1735" s="378"/>
      <c r="L1735" s="378"/>
      <c r="M1735" s="378"/>
      <c r="N1735" s="379"/>
      <c r="O1735" s="380"/>
      <c r="P1735" s="378"/>
      <c r="Q1735" s="378"/>
      <c r="R1735" s="378"/>
      <c r="S1735" s="378"/>
      <c r="T1735" s="378"/>
      <c r="U1735" s="378"/>
      <c r="V1735" s="378"/>
      <c r="W1735" s="378"/>
      <c r="X1735" s="378"/>
      <c r="Y1735" s="378"/>
      <c r="Z1735" s="378"/>
      <c r="AA1735" s="378"/>
      <c r="AB1735" s="378"/>
      <c r="AC1735" s="378"/>
      <c r="AD1735" s="378"/>
      <c r="AE1735" s="378"/>
      <c r="AF1735" s="378"/>
      <c r="AG1735" s="378"/>
    </row>
    <row r="1736">
      <c r="A1736" s="378"/>
      <c r="B1736" s="477"/>
      <c r="C1736" s="378"/>
      <c r="D1736" s="378"/>
      <c r="E1736" s="378"/>
      <c r="F1736" s="378"/>
      <c r="G1736" s="378"/>
      <c r="H1736" s="378"/>
      <c r="I1736" s="376"/>
      <c r="J1736" s="377"/>
      <c r="K1736" s="378"/>
      <c r="L1736" s="378"/>
      <c r="M1736" s="378"/>
      <c r="N1736" s="379"/>
      <c r="O1736" s="380"/>
      <c r="P1736" s="378"/>
      <c r="Q1736" s="378"/>
      <c r="R1736" s="378"/>
      <c r="S1736" s="378"/>
      <c r="T1736" s="378"/>
      <c r="U1736" s="378"/>
      <c r="V1736" s="378"/>
      <c r="W1736" s="378"/>
      <c r="X1736" s="378"/>
      <c r="Y1736" s="378"/>
      <c r="Z1736" s="378"/>
      <c r="AA1736" s="378"/>
      <c r="AB1736" s="378"/>
      <c r="AC1736" s="378"/>
      <c r="AD1736" s="378"/>
      <c r="AE1736" s="378"/>
      <c r="AF1736" s="378"/>
      <c r="AG1736" s="378"/>
    </row>
    <row r="1737">
      <c r="A1737" s="378"/>
      <c r="B1737" s="477"/>
      <c r="C1737" s="378"/>
      <c r="D1737" s="378"/>
      <c r="E1737" s="378"/>
      <c r="F1737" s="378"/>
      <c r="G1737" s="378"/>
      <c r="H1737" s="378"/>
      <c r="I1737" s="376"/>
      <c r="J1737" s="377"/>
      <c r="K1737" s="378"/>
      <c r="L1737" s="378"/>
      <c r="M1737" s="378"/>
      <c r="N1737" s="379"/>
      <c r="O1737" s="380"/>
      <c r="P1737" s="378"/>
      <c r="Q1737" s="378"/>
      <c r="R1737" s="378"/>
      <c r="S1737" s="378"/>
      <c r="T1737" s="378"/>
      <c r="U1737" s="378"/>
      <c r="V1737" s="378"/>
      <c r="W1737" s="378"/>
      <c r="X1737" s="378"/>
      <c r="Y1737" s="378"/>
      <c r="Z1737" s="378"/>
      <c r="AA1737" s="378"/>
      <c r="AB1737" s="378"/>
      <c r="AC1737" s="378"/>
      <c r="AD1737" s="378"/>
      <c r="AE1737" s="378"/>
      <c r="AF1737" s="378"/>
      <c r="AG1737" s="378"/>
    </row>
    <row r="1738">
      <c r="A1738" s="378"/>
      <c r="B1738" s="477"/>
      <c r="C1738" s="378"/>
      <c r="D1738" s="378"/>
      <c r="E1738" s="378"/>
      <c r="F1738" s="378"/>
      <c r="G1738" s="378"/>
      <c r="H1738" s="378"/>
      <c r="I1738" s="376"/>
      <c r="J1738" s="377"/>
      <c r="K1738" s="378"/>
      <c r="L1738" s="378"/>
      <c r="M1738" s="378"/>
      <c r="N1738" s="379"/>
      <c r="O1738" s="380"/>
      <c r="P1738" s="378"/>
      <c r="Q1738" s="378"/>
      <c r="R1738" s="378"/>
      <c r="S1738" s="378"/>
      <c r="T1738" s="378"/>
      <c r="U1738" s="378"/>
      <c r="V1738" s="378"/>
      <c r="W1738" s="378"/>
      <c r="X1738" s="378"/>
      <c r="Y1738" s="378"/>
      <c r="Z1738" s="378"/>
      <c r="AA1738" s="378"/>
      <c r="AB1738" s="378"/>
      <c r="AC1738" s="378"/>
      <c r="AD1738" s="378"/>
      <c r="AE1738" s="378"/>
      <c r="AF1738" s="378"/>
      <c r="AG1738" s="378"/>
    </row>
    <row r="1739">
      <c r="A1739" s="378"/>
      <c r="B1739" s="477"/>
      <c r="C1739" s="378"/>
      <c r="D1739" s="378"/>
      <c r="E1739" s="378"/>
      <c r="F1739" s="378"/>
      <c r="G1739" s="378"/>
      <c r="H1739" s="378"/>
      <c r="I1739" s="376"/>
      <c r="J1739" s="377"/>
      <c r="K1739" s="378"/>
      <c r="L1739" s="378"/>
      <c r="M1739" s="378"/>
      <c r="N1739" s="379"/>
      <c r="O1739" s="380"/>
      <c r="P1739" s="378"/>
      <c r="Q1739" s="378"/>
      <c r="R1739" s="378"/>
      <c r="S1739" s="378"/>
      <c r="T1739" s="378"/>
      <c r="U1739" s="378"/>
      <c r="V1739" s="378"/>
      <c r="W1739" s="378"/>
      <c r="X1739" s="378"/>
      <c r="Y1739" s="378"/>
      <c r="Z1739" s="378"/>
      <c r="AA1739" s="378"/>
      <c r="AB1739" s="378"/>
      <c r="AC1739" s="378"/>
      <c r="AD1739" s="378"/>
      <c r="AE1739" s="378"/>
      <c r="AF1739" s="378"/>
      <c r="AG1739" s="378"/>
    </row>
    <row r="1740">
      <c r="A1740" s="378"/>
      <c r="B1740" s="477"/>
      <c r="C1740" s="378"/>
      <c r="D1740" s="378"/>
      <c r="E1740" s="378"/>
      <c r="F1740" s="378"/>
      <c r="G1740" s="378"/>
      <c r="H1740" s="378"/>
      <c r="I1740" s="376"/>
      <c r="J1740" s="377"/>
      <c r="K1740" s="378"/>
      <c r="L1740" s="378"/>
      <c r="M1740" s="378"/>
      <c r="N1740" s="379"/>
      <c r="O1740" s="380"/>
      <c r="P1740" s="378"/>
      <c r="Q1740" s="378"/>
      <c r="R1740" s="378"/>
      <c r="S1740" s="378"/>
      <c r="T1740" s="378"/>
      <c r="U1740" s="378"/>
      <c r="V1740" s="378"/>
      <c r="W1740" s="378"/>
      <c r="X1740" s="378"/>
      <c r="Y1740" s="378"/>
      <c r="Z1740" s="378"/>
      <c r="AA1740" s="378"/>
      <c r="AB1740" s="378"/>
      <c r="AC1740" s="378"/>
      <c r="AD1740" s="378"/>
      <c r="AE1740" s="378"/>
      <c r="AF1740" s="378"/>
      <c r="AG1740" s="378"/>
    </row>
    <row r="1741">
      <c r="A1741" s="378"/>
      <c r="B1741" s="477"/>
      <c r="C1741" s="378"/>
      <c r="D1741" s="378"/>
      <c r="E1741" s="378"/>
      <c r="F1741" s="378"/>
      <c r="G1741" s="378"/>
      <c r="H1741" s="378"/>
      <c r="I1741" s="376"/>
      <c r="J1741" s="377"/>
      <c r="K1741" s="378"/>
      <c r="L1741" s="378"/>
      <c r="M1741" s="378"/>
      <c r="N1741" s="379"/>
      <c r="O1741" s="380"/>
      <c r="P1741" s="378"/>
      <c r="Q1741" s="378"/>
      <c r="R1741" s="378"/>
      <c r="S1741" s="378"/>
      <c r="T1741" s="378"/>
      <c r="U1741" s="378"/>
      <c r="V1741" s="378"/>
      <c r="W1741" s="378"/>
      <c r="X1741" s="378"/>
      <c r="Y1741" s="378"/>
      <c r="Z1741" s="378"/>
      <c r="AA1741" s="378"/>
      <c r="AB1741" s="378"/>
      <c r="AC1741" s="378"/>
      <c r="AD1741" s="378"/>
      <c r="AE1741" s="378"/>
      <c r="AF1741" s="378"/>
      <c r="AG1741" s="378"/>
    </row>
    <row r="1742">
      <c r="A1742" s="378"/>
      <c r="B1742" s="477"/>
      <c r="C1742" s="378"/>
      <c r="D1742" s="378"/>
      <c r="E1742" s="378"/>
      <c r="F1742" s="378"/>
      <c r="G1742" s="378"/>
      <c r="H1742" s="378"/>
      <c r="I1742" s="376"/>
      <c r="J1742" s="377"/>
      <c r="K1742" s="378"/>
      <c r="L1742" s="378"/>
      <c r="M1742" s="378"/>
      <c r="N1742" s="379"/>
      <c r="O1742" s="380"/>
      <c r="P1742" s="378"/>
      <c r="Q1742" s="378"/>
      <c r="R1742" s="378"/>
      <c r="S1742" s="378"/>
      <c r="T1742" s="378"/>
      <c r="U1742" s="378"/>
      <c r="V1742" s="378"/>
      <c r="W1742" s="378"/>
      <c r="X1742" s="378"/>
      <c r="Y1742" s="378"/>
      <c r="Z1742" s="378"/>
      <c r="AA1742" s="378"/>
      <c r="AB1742" s="378"/>
      <c r="AC1742" s="378"/>
      <c r="AD1742" s="378"/>
      <c r="AE1742" s="378"/>
      <c r="AF1742" s="378"/>
      <c r="AG1742" s="378"/>
    </row>
    <row r="1743">
      <c r="A1743" s="378"/>
      <c r="B1743" s="477"/>
      <c r="C1743" s="378"/>
      <c r="D1743" s="378"/>
      <c r="E1743" s="378"/>
      <c r="F1743" s="378"/>
      <c r="G1743" s="378"/>
      <c r="H1743" s="378"/>
      <c r="I1743" s="376"/>
      <c r="J1743" s="377"/>
      <c r="K1743" s="378"/>
      <c r="L1743" s="378"/>
      <c r="M1743" s="378"/>
      <c r="N1743" s="379"/>
      <c r="O1743" s="380"/>
      <c r="P1743" s="378"/>
      <c r="Q1743" s="378"/>
      <c r="R1743" s="378"/>
      <c r="S1743" s="378"/>
      <c r="T1743" s="378"/>
      <c r="U1743" s="378"/>
      <c r="V1743" s="378"/>
      <c r="W1743" s="378"/>
      <c r="X1743" s="378"/>
      <c r="Y1743" s="378"/>
      <c r="Z1743" s="378"/>
      <c r="AA1743" s="378"/>
      <c r="AB1743" s="378"/>
      <c r="AC1743" s="378"/>
      <c r="AD1743" s="378"/>
      <c r="AE1743" s="378"/>
      <c r="AF1743" s="378"/>
      <c r="AG1743" s="378"/>
    </row>
    <row r="1744">
      <c r="A1744" s="378"/>
      <c r="B1744" s="477"/>
      <c r="C1744" s="378"/>
      <c r="D1744" s="378"/>
      <c r="E1744" s="378"/>
      <c r="F1744" s="378"/>
      <c r="G1744" s="378"/>
      <c r="H1744" s="378"/>
      <c r="I1744" s="376"/>
      <c r="J1744" s="377"/>
      <c r="K1744" s="378"/>
      <c r="L1744" s="378"/>
      <c r="M1744" s="378"/>
      <c r="N1744" s="379"/>
      <c r="O1744" s="380"/>
      <c r="P1744" s="378"/>
      <c r="Q1744" s="378"/>
      <c r="R1744" s="378"/>
      <c r="S1744" s="378"/>
      <c r="T1744" s="378"/>
      <c r="U1744" s="378"/>
      <c r="V1744" s="378"/>
      <c r="W1744" s="378"/>
      <c r="X1744" s="378"/>
      <c r="Y1744" s="378"/>
      <c r="Z1744" s="378"/>
      <c r="AA1744" s="378"/>
      <c r="AB1744" s="378"/>
      <c r="AC1744" s="378"/>
      <c r="AD1744" s="378"/>
      <c r="AE1744" s="378"/>
      <c r="AF1744" s="378"/>
      <c r="AG1744" s="378"/>
    </row>
    <row r="1745">
      <c r="A1745" s="378"/>
      <c r="B1745" s="477"/>
      <c r="C1745" s="378"/>
      <c r="D1745" s="378"/>
      <c r="E1745" s="378"/>
      <c r="F1745" s="378"/>
      <c r="G1745" s="378"/>
      <c r="H1745" s="378"/>
      <c r="I1745" s="376"/>
      <c r="J1745" s="377"/>
      <c r="K1745" s="378"/>
      <c r="L1745" s="378"/>
      <c r="M1745" s="378"/>
      <c r="N1745" s="379"/>
      <c r="O1745" s="380"/>
      <c r="P1745" s="378"/>
      <c r="Q1745" s="378"/>
      <c r="R1745" s="378"/>
      <c r="S1745" s="378"/>
      <c r="T1745" s="378"/>
      <c r="U1745" s="378"/>
      <c r="V1745" s="378"/>
      <c r="W1745" s="378"/>
      <c r="X1745" s="378"/>
      <c r="Y1745" s="378"/>
      <c r="Z1745" s="378"/>
      <c r="AA1745" s="378"/>
      <c r="AB1745" s="378"/>
      <c r="AC1745" s="378"/>
      <c r="AD1745" s="378"/>
      <c r="AE1745" s="378"/>
      <c r="AF1745" s="378"/>
      <c r="AG1745" s="378"/>
    </row>
    <row r="1746">
      <c r="A1746" s="378"/>
      <c r="B1746" s="477"/>
      <c r="C1746" s="378"/>
      <c r="D1746" s="378"/>
      <c r="E1746" s="378"/>
      <c r="F1746" s="378"/>
      <c r="G1746" s="378"/>
      <c r="H1746" s="378"/>
      <c r="I1746" s="376"/>
      <c r="J1746" s="377"/>
      <c r="K1746" s="378"/>
      <c r="L1746" s="378"/>
      <c r="M1746" s="378"/>
      <c r="N1746" s="379"/>
      <c r="O1746" s="380"/>
      <c r="P1746" s="378"/>
      <c r="Q1746" s="378"/>
      <c r="R1746" s="378"/>
      <c r="S1746" s="378"/>
      <c r="T1746" s="378"/>
      <c r="U1746" s="378"/>
      <c r="V1746" s="378"/>
      <c r="W1746" s="378"/>
      <c r="X1746" s="378"/>
      <c r="Y1746" s="378"/>
      <c r="Z1746" s="378"/>
      <c r="AA1746" s="378"/>
      <c r="AB1746" s="378"/>
      <c r="AC1746" s="378"/>
      <c r="AD1746" s="378"/>
      <c r="AE1746" s="378"/>
      <c r="AF1746" s="378"/>
      <c r="AG1746" s="378"/>
    </row>
    <row r="1747">
      <c r="A1747" s="378"/>
      <c r="B1747" s="477"/>
      <c r="C1747" s="378"/>
      <c r="D1747" s="378"/>
      <c r="E1747" s="378"/>
      <c r="F1747" s="378"/>
      <c r="G1747" s="378"/>
      <c r="H1747" s="378"/>
      <c r="I1747" s="376"/>
      <c r="J1747" s="377"/>
      <c r="K1747" s="378"/>
      <c r="L1747" s="378"/>
      <c r="M1747" s="378"/>
      <c r="N1747" s="379"/>
      <c r="O1747" s="380"/>
      <c r="P1747" s="378"/>
      <c r="Q1747" s="378"/>
      <c r="R1747" s="378"/>
      <c r="S1747" s="378"/>
      <c r="T1747" s="378"/>
      <c r="U1747" s="378"/>
      <c r="V1747" s="378"/>
      <c r="W1747" s="378"/>
      <c r="X1747" s="378"/>
      <c r="Y1747" s="378"/>
      <c r="Z1747" s="378"/>
      <c r="AA1747" s="378"/>
      <c r="AB1747" s="378"/>
      <c r="AC1747" s="378"/>
      <c r="AD1747" s="378"/>
      <c r="AE1747" s="378"/>
      <c r="AF1747" s="378"/>
      <c r="AG1747" s="378"/>
    </row>
    <row r="1748">
      <c r="A1748" s="378"/>
      <c r="B1748" s="477"/>
      <c r="C1748" s="378"/>
      <c r="D1748" s="378"/>
      <c r="E1748" s="378"/>
      <c r="F1748" s="378"/>
      <c r="G1748" s="378"/>
      <c r="H1748" s="378"/>
      <c r="I1748" s="376"/>
      <c r="J1748" s="377"/>
      <c r="K1748" s="378"/>
      <c r="L1748" s="378"/>
      <c r="M1748" s="378"/>
      <c r="N1748" s="379"/>
      <c r="O1748" s="380"/>
      <c r="P1748" s="378"/>
      <c r="Q1748" s="378"/>
      <c r="R1748" s="378"/>
      <c r="S1748" s="378"/>
      <c r="T1748" s="378"/>
      <c r="U1748" s="378"/>
      <c r="V1748" s="378"/>
      <c r="W1748" s="378"/>
      <c r="X1748" s="378"/>
      <c r="Y1748" s="378"/>
      <c r="Z1748" s="378"/>
      <c r="AA1748" s="378"/>
      <c r="AB1748" s="378"/>
      <c r="AC1748" s="378"/>
      <c r="AD1748" s="378"/>
      <c r="AE1748" s="378"/>
      <c r="AF1748" s="378"/>
      <c r="AG1748" s="378"/>
    </row>
    <row r="1749">
      <c r="A1749" s="378"/>
      <c r="B1749" s="477"/>
      <c r="C1749" s="378"/>
      <c r="D1749" s="378"/>
      <c r="E1749" s="378"/>
      <c r="F1749" s="378"/>
      <c r="G1749" s="378"/>
      <c r="H1749" s="378"/>
      <c r="I1749" s="376"/>
      <c r="J1749" s="377"/>
      <c r="K1749" s="378"/>
      <c r="L1749" s="378"/>
      <c r="M1749" s="378"/>
      <c r="N1749" s="379"/>
      <c r="O1749" s="380"/>
      <c r="P1749" s="378"/>
      <c r="Q1749" s="378"/>
      <c r="R1749" s="378"/>
      <c r="S1749" s="378"/>
      <c r="T1749" s="378"/>
      <c r="U1749" s="378"/>
      <c r="V1749" s="378"/>
      <c r="W1749" s="378"/>
      <c r="X1749" s="378"/>
      <c r="Y1749" s="378"/>
      <c r="Z1749" s="378"/>
      <c r="AA1749" s="378"/>
      <c r="AB1749" s="378"/>
      <c r="AC1749" s="378"/>
      <c r="AD1749" s="378"/>
      <c r="AE1749" s="378"/>
      <c r="AF1749" s="378"/>
      <c r="AG1749" s="378"/>
    </row>
    <row r="1750">
      <c r="A1750" s="378"/>
      <c r="B1750" s="477"/>
      <c r="C1750" s="378"/>
      <c r="D1750" s="378"/>
      <c r="E1750" s="378"/>
      <c r="F1750" s="378"/>
      <c r="G1750" s="378"/>
      <c r="H1750" s="378"/>
      <c r="I1750" s="376"/>
      <c r="J1750" s="377"/>
      <c r="K1750" s="378"/>
      <c r="L1750" s="378"/>
      <c r="M1750" s="378"/>
      <c r="N1750" s="379"/>
      <c r="O1750" s="380"/>
      <c r="P1750" s="378"/>
      <c r="Q1750" s="378"/>
      <c r="R1750" s="378"/>
      <c r="S1750" s="378"/>
      <c r="T1750" s="378"/>
      <c r="U1750" s="378"/>
      <c r="V1750" s="378"/>
      <c r="W1750" s="378"/>
      <c r="X1750" s="378"/>
      <c r="Y1750" s="378"/>
      <c r="Z1750" s="378"/>
      <c r="AA1750" s="378"/>
      <c r="AB1750" s="378"/>
      <c r="AC1750" s="378"/>
      <c r="AD1750" s="378"/>
      <c r="AE1750" s="378"/>
      <c r="AF1750" s="378"/>
      <c r="AG1750" s="378"/>
    </row>
    <row r="1751">
      <c r="A1751" s="378"/>
      <c r="B1751" s="477"/>
      <c r="C1751" s="378"/>
      <c r="D1751" s="378"/>
      <c r="E1751" s="378"/>
      <c r="F1751" s="378"/>
      <c r="G1751" s="378"/>
      <c r="H1751" s="378"/>
      <c r="I1751" s="376"/>
      <c r="J1751" s="377"/>
      <c r="K1751" s="378"/>
      <c r="L1751" s="378"/>
      <c r="M1751" s="378"/>
      <c r="N1751" s="379"/>
      <c r="O1751" s="380"/>
      <c r="P1751" s="378"/>
      <c r="Q1751" s="378"/>
      <c r="R1751" s="378"/>
      <c r="S1751" s="378"/>
      <c r="T1751" s="378"/>
      <c r="U1751" s="378"/>
      <c r="V1751" s="378"/>
      <c r="W1751" s="378"/>
      <c r="X1751" s="378"/>
      <c r="Y1751" s="378"/>
      <c r="Z1751" s="378"/>
      <c r="AA1751" s="378"/>
      <c r="AB1751" s="378"/>
      <c r="AC1751" s="378"/>
      <c r="AD1751" s="378"/>
      <c r="AE1751" s="378"/>
      <c r="AF1751" s="378"/>
      <c r="AG1751" s="378"/>
    </row>
    <row r="1752">
      <c r="A1752" s="378"/>
      <c r="B1752" s="477"/>
      <c r="C1752" s="378"/>
      <c r="D1752" s="378"/>
      <c r="E1752" s="378"/>
      <c r="F1752" s="378"/>
      <c r="G1752" s="378"/>
      <c r="H1752" s="378"/>
      <c r="I1752" s="376"/>
      <c r="J1752" s="377"/>
      <c r="K1752" s="378"/>
      <c r="L1752" s="378"/>
      <c r="M1752" s="378"/>
      <c r="N1752" s="379"/>
      <c r="O1752" s="380"/>
      <c r="P1752" s="378"/>
      <c r="Q1752" s="378"/>
      <c r="R1752" s="378"/>
      <c r="S1752" s="378"/>
      <c r="T1752" s="378"/>
      <c r="U1752" s="378"/>
      <c r="V1752" s="378"/>
      <c r="W1752" s="378"/>
      <c r="X1752" s="378"/>
      <c r="Y1752" s="378"/>
      <c r="Z1752" s="378"/>
      <c r="AA1752" s="378"/>
      <c r="AB1752" s="378"/>
      <c r="AC1752" s="378"/>
      <c r="AD1752" s="378"/>
      <c r="AE1752" s="378"/>
      <c r="AF1752" s="378"/>
      <c r="AG1752" s="378"/>
    </row>
    <row r="1753">
      <c r="A1753" s="378"/>
      <c r="B1753" s="477"/>
      <c r="C1753" s="378"/>
      <c r="D1753" s="378"/>
      <c r="E1753" s="378"/>
      <c r="F1753" s="378"/>
      <c r="G1753" s="378"/>
      <c r="H1753" s="378"/>
      <c r="I1753" s="376"/>
      <c r="J1753" s="377"/>
      <c r="K1753" s="378"/>
      <c r="L1753" s="378"/>
      <c r="M1753" s="378"/>
      <c r="N1753" s="379"/>
      <c r="O1753" s="380"/>
      <c r="P1753" s="378"/>
      <c r="Q1753" s="378"/>
      <c r="R1753" s="378"/>
      <c r="S1753" s="378"/>
      <c r="T1753" s="378"/>
      <c r="U1753" s="378"/>
      <c r="V1753" s="378"/>
      <c r="W1753" s="378"/>
      <c r="X1753" s="378"/>
      <c r="Y1753" s="378"/>
      <c r="Z1753" s="378"/>
      <c r="AA1753" s="378"/>
      <c r="AB1753" s="378"/>
      <c r="AC1753" s="378"/>
      <c r="AD1753" s="378"/>
      <c r="AE1753" s="378"/>
      <c r="AF1753" s="378"/>
      <c r="AG1753" s="378"/>
    </row>
    <row r="1754">
      <c r="A1754" s="378"/>
      <c r="B1754" s="477"/>
      <c r="C1754" s="378"/>
      <c r="D1754" s="378"/>
      <c r="E1754" s="378"/>
      <c r="F1754" s="378"/>
      <c r="G1754" s="378"/>
      <c r="H1754" s="378"/>
      <c r="I1754" s="376"/>
      <c r="J1754" s="377"/>
      <c r="K1754" s="378"/>
      <c r="L1754" s="378"/>
      <c r="M1754" s="378"/>
      <c r="N1754" s="379"/>
      <c r="O1754" s="380"/>
      <c r="P1754" s="378"/>
      <c r="Q1754" s="378"/>
      <c r="R1754" s="378"/>
      <c r="S1754" s="378"/>
      <c r="T1754" s="378"/>
      <c r="U1754" s="378"/>
      <c r="V1754" s="378"/>
      <c r="W1754" s="378"/>
      <c r="X1754" s="378"/>
      <c r="Y1754" s="378"/>
      <c r="Z1754" s="378"/>
      <c r="AA1754" s="378"/>
      <c r="AB1754" s="378"/>
      <c r="AC1754" s="378"/>
      <c r="AD1754" s="378"/>
      <c r="AE1754" s="378"/>
      <c r="AF1754" s="378"/>
      <c r="AG1754" s="378"/>
    </row>
    <row r="1755">
      <c r="A1755" s="378"/>
      <c r="B1755" s="477"/>
      <c r="C1755" s="378"/>
      <c r="D1755" s="378"/>
      <c r="E1755" s="378"/>
      <c r="F1755" s="378"/>
      <c r="G1755" s="378"/>
      <c r="H1755" s="378"/>
      <c r="I1755" s="376"/>
      <c r="J1755" s="377"/>
      <c r="K1755" s="378"/>
      <c r="L1755" s="378"/>
      <c r="M1755" s="378"/>
      <c r="N1755" s="379"/>
      <c r="O1755" s="380"/>
      <c r="P1755" s="378"/>
      <c r="Q1755" s="378"/>
      <c r="R1755" s="378"/>
      <c r="S1755" s="378"/>
      <c r="T1755" s="378"/>
      <c r="U1755" s="378"/>
      <c r="V1755" s="378"/>
      <c r="W1755" s="378"/>
      <c r="X1755" s="378"/>
      <c r="Y1755" s="378"/>
      <c r="Z1755" s="378"/>
      <c r="AA1755" s="378"/>
      <c r="AB1755" s="378"/>
      <c r="AC1755" s="378"/>
      <c r="AD1755" s="378"/>
      <c r="AE1755" s="378"/>
      <c r="AF1755" s="378"/>
      <c r="AG1755" s="378"/>
    </row>
    <row r="1756">
      <c r="A1756" s="378"/>
      <c r="B1756" s="477"/>
      <c r="C1756" s="378"/>
      <c r="D1756" s="378"/>
      <c r="E1756" s="378"/>
      <c r="F1756" s="378"/>
      <c r="G1756" s="378"/>
      <c r="H1756" s="378"/>
      <c r="I1756" s="376"/>
      <c r="J1756" s="377"/>
      <c r="K1756" s="378"/>
      <c r="L1756" s="378"/>
      <c r="M1756" s="378"/>
      <c r="N1756" s="379"/>
      <c r="O1756" s="380"/>
      <c r="P1756" s="378"/>
      <c r="Q1756" s="378"/>
      <c r="R1756" s="378"/>
      <c r="S1756" s="378"/>
      <c r="T1756" s="378"/>
      <c r="U1756" s="378"/>
      <c r="V1756" s="378"/>
      <c r="W1756" s="378"/>
      <c r="X1756" s="378"/>
      <c r="Y1756" s="378"/>
      <c r="Z1756" s="378"/>
      <c r="AA1756" s="378"/>
      <c r="AB1756" s="378"/>
      <c r="AC1756" s="378"/>
      <c r="AD1756" s="378"/>
      <c r="AE1756" s="378"/>
      <c r="AF1756" s="378"/>
      <c r="AG1756" s="378"/>
    </row>
    <row r="1757">
      <c r="A1757" s="378"/>
      <c r="B1757" s="477"/>
      <c r="C1757" s="378"/>
      <c r="D1757" s="378"/>
      <c r="E1757" s="378"/>
      <c r="F1757" s="378"/>
      <c r="G1757" s="378"/>
      <c r="H1757" s="378"/>
      <c r="I1757" s="376"/>
      <c r="J1757" s="377"/>
      <c r="K1757" s="378"/>
      <c r="L1757" s="378"/>
      <c r="M1757" s="378"/>
      <c r="N1757" s="379"/>
      <c r="O1757" s="380"/>
      <c r="P1757" s="378"/>
      <c r="Q1757" s="378"/>
      <c r="R1757" s="378"/>
      <c r="S1757" s="378"/>
      <c r="T1757" s="378"/>
      <c r="U1757" s="378"/>
      <c r="V1757" s="378"/>
      <c r="W1757" s="378"/>
      <c r="X1757" s="378"/>
      <c r="Y1757" s="378"/>
      <c r="Z1757" s="378"/>
      <c r="AA1757" s="378"/>
      <c r="AB1757" s="378"/>
      <c r="AC1757" s="378"/>
      <c r="AD1757" s="378"/>
      <c r="AE1757" s="378"/>
      <c r="AF1757" s="378"/>
      <c r="AG1757" s="378"/>
    </row>
    <row r="1758">
      <c r="A1758" s="378"/>
      <c r="B1758" s="477"/>
      <c r="C1758" s="378"/>
      <c r="D1758" s="378"/>
      <c r="E1758" s="378"/>
      <c r="F1758" s="378"/>
      <c r="G1758" s="378"/>
      <c r="H1758" s="378"/>
      <c r="I1758" s="376"/>
      <c r="J1758" s="377"/>
      <c r="K1758" s="378"/>
      <c r="L1758" s="378"/>
      <c r="M1758" s="378"/>
      <c r="N1758" s="379"/>
      <c r="O1758" s="380"/>
      <c r="P1758" s="378"/>
      <c r="Q1758" s="378"/>
      <c r="R1758" s="378"/>
      <c r="S1758" s="378"/>
      <c r="T1758" s="378"/>
      <c r="U1758" s="378"/>
      <c r="V1758" s="378"/>
      <c r="W1758" s="378"/>
      <c r="X1758" s="378"/>
      <c r="Y1758" s="378"/>
      <c r="Z1758" s="378"/>
      <c r="AA1758" s="378"/>
      <c r="AB1758" s="378"/>
      <c r="AC1758" s="378"/>
      <c r="AD1758" s="378"/>
      <c r="AE1758" s="378"/>
      <c r="AF1758" s="378"/>
      <c r="AG1758" s="378"/>
    </row>
    <row r="1759">
      <c r="A1759" s="378"/>
      <c r="B1759" s="477"/>
      <c r="C1759" s="378"/>
      <c r="D1759" s="378"/>
      <c r="E1759" s="378"/>
      <c r="F1759" s="378"/>
      <c r="G1759" s="378"/>
      <c r="H1759" s="378"/>
      <c r="I1759" s="376"/>
      <c r="J1759" s="377"/>
      <c r="K1759" s="378"/>
      <c r="L1759" s="378"/>
      <c r="M1759" s="378"/>
      <c r="N1759" s="379"/>
      <c r="O1759" s="380"/>
      <c r="P1759" s="378"/>
      <c r="Q1759" s="378"/>
      <c r="R1759" s="378"/>
      <c r="S1759" s="378"/>
      <c r="T1759" s="378"/>
      <c r="U1759" s="378"/>
      <c r="V1759" s="378"/>
      <c r="W1759" s="378"/>
      <c r="X1759" s="378"/>
      <c r="Y1759" s="378"/>
      <c r="Z1759" s="378"/>
      <c r="AA1759" s="378"/>
      <c r="AB1759" s="378"/>
      <c r="AC1759" s="378"/>
      <c r="AD1759" s="378"/>
      <c r="AE1759" s="378"/>
      <c r="AF1759" s="378"/>
      <c r="AG1759" s="378"/>
    </row>
    <row r="1760">
      <c r="A1760" s="378"/>
      <c r="B1760" s="477"/>
      <c r="C1760" s="378"/>
      <c r="D1760" s="378"/>
      <c r="E1760" s="378"/>
      <c r="F1760" s="378"/>
      <c r="G1760" s="378"/>
      <c r="H1760" s="378"/>
      <c r="I1760" s="376"/>
      <c r="J1760" s="377"/>
      <c r="K1760" s="378"/>
      <c r="L1760" s="378"/>
      <c r="M1760" s="378"/>
      <c r="N1760" s="379"/>
      <c r="O1760" s="380"/>
      <c r="P1760" s="378"/>
      <c r="Q1760" s="378"/>
      <c r="R1760" s="378"/>
      <c r="S1760" s="378"/>
      <c r="T1760" s="378"/>
      <c r="U1760" s="378"/>
      <c r="V1760" s="378"/>
      <c r="W1760" s="378"/>
      <c r="X1760" s="378"/>
      <c r="Y1760" s="378"/>
      <c r="Z1760" s="378"/>
      <c r="AA1760" s="378"/>
      <c r="AB1760" s="378"/>
      <c r="AC1760" s="378"/>
      <c r="AD1760" s="378"/>
      <c r="AE1760" s="378"/>
      <c r="AF1760" s="378"/>
      <c r="AG1760" s="378"/>
    </row>
    <row r="1761">
      <c r="A1761" s="378"/>
      <c r="B1761" s="477"/>
      <c r="C1761" s="378"/>
      <c r="D1761" s="378"/>
      <c r="E1761" s="378"/>
      <c r="F1761" s="378"/>
      <c r="G1761" s="378"/>
      <c r="H1761" s="378"/>
      <c r="I1761" s="376"/>
      <c r="J1761" s="377"/>
      <c r="K1761" s="378"/>
      <c r="L1761" s="378"/>
      <c r="M1761" s="378"/>
      <c r="N1761" s="379"/>
      <c r="O1761" s="380"/>
      <c r="P1761" s="378"/>
      <c r="Q1761" s="378"/>
      <c r="R1761" s="378"/>
      <c r="S1761" s="378"/>
      <c r="T1761" s="378"/>
      <c r="U1761" s="378"/>
      <c r="V1761" s="378"/>
      <c r="W1761" s="378"/>
      <c r="X1761" s="378"/>
      <c r="Y1761" s="378"/>
      <c r="Z1761" s="378"/>
      <c r="AA1761" s="378"/>
      <c r="AB1761" s="378"/>
      <c r="AC1761" s="378"/>
      <c r="AD1761" s="378"/>
      <c r="AE1761" s="378"/>
      <c r="AF1761" s="378"/>
      <c r="AG1761" s="378"/>
    </row>
    <row r="1762">
      <c r="A1762" s="378"/>
      <c r="B1762" s="477"/>
      <c r="C1762" s="378"/>
      <c r="D1762" s="378"/>
      <c r="E1762" s="378"/>
      <c r="F1762" s="378"/>
      <c r="G1762" s="378"/>
      <c r="H1762" s="378"/>
      <c r="I1762" s="376"/>
      <c r="J1762" s="377"/>
      <c r="K1762" s="378"/>
      <c r="L1762" s="378"/>
      <c r="M1762" s="378"/>
      <c r="N1762" s="379"/>
      <c r="O1762" s="380"/>
      <c r="P1762" s="378"/>
      <c r="Q1762" s="378"/>
      <c r="R1762" s="378"/>
      <c r="S1762" s="378"/>
      <c r="T1762" s="378"/>
      <c r="U1762" s="378"/>
      <c r="V1762" s="378"/>
      <c r="W1762" s="378"/>
      <c r="X1762" s="378"/>
      <c r="Y1762" s="378"/>
      <c r="Z1762" s="378"/>
      <c r="AA1762" s="378"/>
      <c r="AB1762" s="378"/>
      <c r="AC1762" s="378"/>
      <c r="AD1762" s="378"/>
      <c r="AE1762" s="378"/>
      <c r="AF1762" s="378"/>
      <c r="AG1762" s="378"/>
    </row>
    <row r="1763">
      <c r="A1763" s="378"/>
      <c r="B1763" s="477"/>
      <c r="C1763" s="378"/>
      <c r="D1763" s="378"/>
      <c r="E1763" s="378"/>
      <c r="F1763" s="378"/>
      <c r="G1763" s="378"/>
      <c r="H1763" s="378"/>
      <c r="I1763" s="376"/>
      <c r="J1763" s="377"/>
      <c r="K1763" s="378"/>
      <c r="L1763" s="378"/>
      <c r="M1763" s="378"/>
      <c r="N1763" s="379"/>
      <c r="O1763" s="380"/>
      <c r="P1763" s="378"/>
      <c r="Q1763" s="378"/>
      <c r="R1763" s="378"/>
      <c r="S1763" s="378"/>
      <c r="T1763" s="378"/>
      <c r="U1763" s="378"/>
      <c r="V1763" s="378"/>
      <c r="W1763" s="378"/>
      <c r="X1763" s="378"/>
      <c r="Y1763" s="378"/>
      <c r="Z1763" s="378"/>
      <c r="AA1763" s="378"/>
      <c r="AB1763" s="378"/>
      <c r="AC1763" s="378"/>
      <c r="AD1763" s="378"/>
      <c r="AE1763" s="378"/>
      <c r="AF1763" s="378"/>
      <c r="AG1763" s="378"/>
    </row>
    <row r="1764">
      <c r="A1764" s="378"/>
      <c r="B1764" s="477"/>
      <c r="C1764" s="378"/>
      <c r="D1764" s="378"/>
      <c r="E1764" s="378"/>
      <c r="F1764" s="378"/>
      <c r="G1764" s="378"/>
      <c r="H1764" s="378"/>
      <c r="I1764" s="376"/>
      <c r="J1764" s="377"/>
      <c r="K1764" s="378"/>
      <c r="L1764" s="378"/>
      <c r="M1764" s="378"/>
      <c r="N1764" s="379"/>
      <c r="O1764" s="380"/>
      <c r="P1764" s="378"/>
      <c r="Q1764" s="378"/>
      <c r="R1764" s="378"/>
      <c r="S1764" s="378"/>
      <c r="T1764" s="378"/>
      <c r="U1764" s="378"/>
      <c r="V1764" s="378"/>
      <c r="W1764" s="378"/>
      <c r="X1764" s="378"/>
      <c r="Y1764" s="378"/>
      <c r="Z1764" s="378"/>
      <c r="AA1764" s="378"/>
      <c r="AB1764" s="378"/>
      <c r="AC1764" s="378"/>
      <c r="AD1764" s="378"/>
      <c r="AE1764" s="378"/>
      <c r="AF1764" s="378"/>
      <c r="AG1764" s="378"/>
    </row>
    <row r="1765">
      <c r="A1765" s="378"/>
      <c r="B1765" s="477"/>
      <c r="C1765" s="378"/>
      <c r="D1765" s="378"/>
      <c r="E1765" s="378"/>
      <c r="F1765" s="378"/>
      <c r="G1765" s="378"/>
      <c r="H1765" s="378"/>
      <c r="I1765" s="376"/>
      <c r="J1765" s="377"/>
      <c r="K1765" s="378"/>
      <c r="L1765" s="378"/>
      <c r="M1765" s="378"/>
      <c r="N1765" s="379"/>
      <c r="O1765" s="380"/>
      <c r="P1765" s="378"/>
      <c r="Q1765" s="378"/>
      <c r="R1765" s="378"/>
      <c r="S1765" s="378"/>
      <c r="T1765" s="378"/>
      <c r="U1765" s="378"/>
      <c r="V1765" s="378"/>
      <c r="W1765" s="378"/>
      <c r="X1765" s="378"/>
      <c r="Y1765" s="378"/>
      <c r="Z1765" s="378"/>
      <c r="AA1765" s="378"/>
      <c r="AB1765" s="378"/>
      <c r="AC1765" s="378"/>
      <c r="AD1765" s="378"/>
      <c r="AE1765" s="378"/>
      <c r="AF1765" s="378"/>
      <c r="AG1765" s="378"/>
    </row>
    <row r="1766">
      <c r="A1766" s="378"/>
      <c r="B1766" s="477"/>
      <c r="C1766" s="378"/>
      <c r="D1766" s="378"/>
      <c r="E1766" s="378"/>
      <c r="F1766" s="378"/>
      <c r="G1766" s="378"/>
      <c r="H1766" s="378"/>
      <c r="I1766" s="376"/>
      <c r="J1766" s="377"/>
      <c r="K1766" s="378"/>
      <c r="L1766" s="378"/>
      <c r="M1766" s="378"/>
      <c r="N1766" s="379"/>
      <c r="O1766" s="380"/>
      <c r="P1766" s="378"/>
      <c r="Q1766" s="378"/>
      <c r="R1766" s="378"/>
      <c r="S1766" s="378"/>
      <c r="T1766" s="378"/>
      <c r="U1766" s="378"/>
      <c r="V1766" s="378"/>
      <c r="W1766" s="378"/>
      <c r="X1766" s="378"/>
      <c r="Y1766" s="378"/>
      <c r="Z1766" s="378"/>
      <c r="AA1766" s="378"/>
      <c r="AB1766" s="378"/>
      <c r="AC1766" s="378"/>
      <c r="AD1766" s="378"/>
      <c r="AE1766" s="378"/>
      <c r="AF1766" s="378"/>
      <c r="AG1766" s="378"/>
    </row>
    <row r="1767">
      <c r="A1767" s="378"/>
      <c r="B1767" s="477"/>
      <c r="C1767" s="378"/>
      <c r="D1767" s="378"/>
      <c r="E1767" s="378"/>
      <c r="F1767" s="378"/>
      <c r="G1767" s="378"/>
      <c r="H1767" s="378"/>
      <c r="I1767" s="376"/>
      <c r="J1767" s="377"/>
      <c r="K1767" s="378"/>
      <c r="L1767" s="378"/>
      <c r="M1767" s="378"/>
      <c r="N1767" s="379"/>
      <c r="O1767" s="380"/>
      <c r="P1767" s="378"/>
      <c r="Q1767" s="378"/>
      <c r="R1767" s="378"/>
      <c r="S1767" s="378"/>
      <c r="T1767" s="378"/>
      <c r="U1767" s="378"/>
      <c r="V1767" s="378"/>
      <c r="W1767" s="378"/>
      <c r="X1767" s="378"/>
      <c r="Y1767" s="378"/>
      <c r="Z1767" s="378"/>
      <c r="AA1767" s="378"/>
      <c r="AB1767" s="378"/>
      <c r="AC1767" s="378"/>
      <c r="AD1767" s="378"/>
      <c r="AE1767" s="378"/>
      <c r="AF1767" s="378"/>
      <c r="AG1767" s="378"/>
    </row>
    <row r="1768">
      <c r="A1768" s="378"/>
      <c r="B1768" s="477"/>
      <c r="C1768" s="378"/>
      <c r="D1768" s="378"/>
      <c r="E1768" s="378"/>
      <c r="F1768" s="378"/>
      <c r="G1768" s="378"/>
      <c r="H1768" s="378"/>
      <c r="I1768" s="376"/>
      <c r="J1768" s="377"/>
      <c r="K1768" s="378"/>
      <c r="L1768" s="378"/>
      <c r="M1768" s="378"/>
      <c r="N1768" s="379"/>
      <c r="O1768" s="380"/>
      <c r="P1768" s="378"/>
      <c r="Q1768" s="378"/>
      <c r="R1768" s="378"/>
      <c r="S1768" s="378"/>
      <c r="T1768" s="378"/>
      <c r="U1768" s="378"/>
      <c r="V1768" s="378"/>
      <c r="W1768" s="378"/>
      <c r="X1768" s="378"/>
      <c r="Y1768" s="378"/>
      <c r="Z1768" s="378"/>
      <c r="AA1768" s="378"/>
      <c r="AB1768" s="378"/>
      <c r="AC1768" s="378"/>
      <c r="AD1768" s="378"/>
      <c r="AE1768" s="378"/>
      <c r="AF1768" s="378"/>
      <c r="AG1768" s="378"/>
    </row>
    <row r="1769">
      <c r="A1769" s="378"/>
      <c r="B1769" s="477"/>
      <c r="C1769" s="378"/>
      <c r="D1769" s="378"/>
      <c r="E1769" s="378"/>
      <c r="F1769" s="378"/>
      <c r="G1769" s="378"/>
      <c r="H1769" s="378"/>
      <c r="I1769" s="376"/>
      <c r="J1769" s="377"/>
      <c r="K1769" s="378"/>
      <c r="L1769" s="378"/>
      <c r="M1769" s="378"/>
      <c r="N1769" s="379"/>
      <c r="O1769" s="380"/>
      <c r="P1769" s="378"/>
      <c r="Q1769" s="378"/>
      <c r="R1769" s="378"/>
      <c r="S1769" s="378"/>
      <c r="T1769" s="378"/>
      <c r="U1769" s="378"/>
      <c r="V1769" s="378"/>
      <c r="W1769" s="378"/>
      <c r="X1769" s="378"/>
      <c r="Y1769" s="378"/>
      <c r="Z1769" s="378"/>
      <c r="AA1769" s="378"/>
      <c r="AB1769" s="378"/>
      <c r="AC1769" s="378"/>
      <c r="AD1769" s="378"/>
      <c r="AE1769" s="378"/>
      <c r="AF1769" s="378"/>
      <c r="AG1769" s="378"/>
    </row>
    <row r="1770">
      <c r="A1770" s="378"/>
      <c r="B1770" s="477"/>
      <c r="C1770" s="378"/>
      <c r="D1770" s="378"/>
      <c r="E1770" s="378"/>
      <c r="F1770" s="378"/>
      <c r="G1770" s="378"/>
      <c r="H1770" s="378"/>
      <c r="I1770" s="376"/>
      <c r="J1770" s="377"/>
      <c r="K1770" s="378"/>
      <c r="L1770" s="378"/>
      <c r="M1770" s="378"/>
      <c r="N1770" s="379"/>
      <c r="O1770" s="380"/>
      <c r="P1770" s="378"/>
      <c r="Q1770" s="378"/>
      <c r="R1770" s="378"/>
      <c r="S1770" s="378"/>
      <c r="T1770" s="378"/>
      <c r="U1770" s="378"/>
      <c r="V1770" s="378"/>
      <c r="W1770" s="378"/>
      <c r="X1770" s="378"/>
      <c r="Y1770" s="378"/>
      <c r="Z1770" s="378"/>
      <c r="AA1770" s="378"/>
      <c r="AB1770" s="378"/>
      <c r="AC1770" s="378"/>
      <c r="AD1770" s="378"/>
      <c r="AE1770" s="378"/>
      <c r="AF1770" s="378"/>
      <c r="AG1770" s="378"/>
    </row>
    <row r="1771">
      <c r="A1771" s="378"/>
      <c r="B1771" s="477"/>
      <c r="C1771" s="378"/>
      <c r="D1771" s="378"/>
      <c r="E1771" s="378"/>
      <c r="F1771" s="378"/>
      <c r="G1771" s="378"/>
      <c r="H1771" s="378"/>
      <c r="I1771" s="376"/>
      <c r="J1771" s="377"/>
      <c r="K1771" s="378"/>
      <c r="L1771" s="378"/>
      <c r="M1771" s="378"/>
      <c r="N1771" s="379"/>
      <c r="O1771" s="380"/>
      <c r="P1771" s="378"/>
      <c r="Q1771" s="378"/>
      <c r="R1771" s="378"/>
      <c r="S1771" s="378"/>
      <c r="T1771" s="378"/>
      <c r="U1771" s="378"/>
      <c r="V1771" s="378"/>
      <c r="W1771" s="378"/>
      <c r="X1771" s="378"/>
      <c r="Y1771" s="378"/>
      <c r="Z1771" s="378"/>
      <c r="AA1771" s="378"/>
      <c r="AB1771" s="378"/>
      <c r="AC1771" s="378"/>
      <c r="AD1771" s="378"/>
      <c r="AE1771" s="378"/>
      <c r="AF1771" s="378"/>
      <c r="AG1771" s="378"/>
    </row>
    <row r="1772">
      <c r="A1772" s="378"/>
      <c r="B1772" s="477"/>
      <c r="C1772" s="378"/>
      <c r="D1772" s="378"/>
      <c r="E1772" s="378"/>
      <c r="F1772" s="378"/>
      <c r="G1772" s="378"/>
      <c r="H1772" s="378"/>
      <c r="I1772" s="376"/>
      <c r="J1772" s="377"/>
      <c r="K1772" s="378"/>
      <c r="L1772" s="378"/>
      <c r="M1772" s="378"/>
      <c r="N1772" s="379"/>
      <c r="O1772" s="380"/>
      <c r="P1772" s="378"/>
      <c r="Q1772" s="378"/>
      <c r="R1772" s="378"/>
      <c r="S1772" s="378"/>
      <c r="T1772" s="378"/>
      <c r="U1772" s="378"/>
      <c r="V1772" s="378"/>
      <c r="W1772" s="378"/>
      <c r="X1772" s="378"/>
      <c r="Y1772" s="378"/>
      <c r="Z1772" s="378"/>
      <c r="AA1772" s="378"/>
      <c r="AB1772" s="378"/>
      <c r="AC1772" s="378"/>
      <c r="AD1772" s="378"/>
      <c r="AE1772" s="378"/>
      <c r="AF1772" s="378"/>
      <c r="AG1772" s="378"/>
    </row>
    <row r="1773">
      <c r="A1773" s="378"/>
      <c r="B1773" s="477"/>
      <c r="C1773" s="378"/>
      <c r="D1773" s="378"/>
      <c r="E1773" s="378"/>
      <c r="F1773" s="378"/>
      <c r="G1773" s="378"/>
      <c r="H1773" s="378"/>
      <c r="I1773" s="376"/>
      <c r="J1773" s="377"/>
      <c r="K1773" s="378"/>
      <c r="L1773" s="378"/>
      <c r="M1773" s="378"/>
      <c r="N1773" s="379"/>
      <c r="O1773" s="380"/>
      <c r="P1773" s="378"/>
      <c r="Q1773" s="378"/>
      <c r="R1773" s="378"/>
      <c r="S1773" s="378"/>
      <c r="T1773" s="378"/>
      <c r="U1773" s="378"/>
      <c r="V1773" s="378"/>
      <c r="W1773" s="378"/>
      <c r="X1773" s="378"/>
      <c r="Y1773" s="378"/>
      <c r="Z1773" s="378"/>
      <c r="AA1773" s="378"/>
      <c r="AB1773" s="378"/>
      <c r="AC1773" s="378"/>
      <c r="AD1773" s="378"/>
      <c r="AE1773" s="378"/>
      <c r="AF1773" s="378"/>
      <c r="AG1773" s="378"/>
    </row>
    <row r="1774">
      <c r="A1774" s="378"/>
      <c r="B1774" s="477"/>
      <c r="C1774" s="378"/>
      <c r="D1774" s="378"/>
      <c r="E1774" s="378"/>
      <c r="F1774" s="378"/>
      <c r="G1774" s="378"/>
      <c r="H1774" s="378"/>
      <c r="I1774" s="376"/>
      <c r="J1774" s="377"/>
      <c r="K1774" s="378"/>
      <c r="L1774" s="378"/>
      <c r="M1774" s="378"/>
      <c r="N1774" s="379"/>
      <c r="O1774" s="380"/>
      <c r="P1774" s="378"/>
      <c r="Q1774" s="378"/>
      <c r="R1774" s="378"/>
      <c r="S1774" s="378"/>
      <c r="T1774" s="378"/>
      <c r="U1774" s="378"/>
      <c r="V1774" s="378"/>
      <c r="W1774" s="378"/>
      <c r="X1774" s="378"/>
      <c r="Y1774" s="378"/>
      <c r="Z1774" s="378"/>
      <c r="AA1774" s="378"/>
      <c r="AB1774" s="378"/>
      <c r="AC1774" s="378"/>
      <c r="AD1774" s="378"/>
      <c r="AE1774" s="378"/>
      <c r="AF1774" s="378"/>
      <c r="AG1774" s="378"/>
    </row>
    <row r="1775">
      <c r="A1775" s="378"/>
      <c r="B1775" s="477"/>
      <c r="C1775" s="378"/>
      <c r="D1775" s="378"/>
      <c r="E1775" s="378"/>
      <c r="F1775" s="378"/>
      <c r="G1775" s="378"/>
      <c r="H1775" s="378"/>
      <c r="I1775" s="376"/>
      <c r="J1775" s="377"/>
      <c r="K1775" s="378"/>
      <c r="L1775" s="378"/>
      <c r="M1775" s="378"/>
      <c r="N1775" s="379"/>
      <c r="O1775" s="380"/>
      <c r="P1775" s="378"/>
      <c r="Q1775" s="378"/>
      <c r="R1775" s="378"/>
      <c r="S1775" s="378"/>
      <c r="T1775" s="378"/>
      <c r="U1775" s="378"/>
      <c r="V1775" s="378"/>
      <c r="W1775" s="378"/>
      <c r="X1775" s="378"/>
      <c r="Y1775" s="378"/>
      <c r="Z1775" s="378"/>
      <c r="AA1775" s="378"/>
      <c r="AB1775" s="378"/>
      <c r="AC1775" s="378"/>
      <c r="AD1775" s="378"/>
      <c r="AE1775" s="378"/>
      <c r="AF1775" s="378"/>
      <c r="AG1775" s="378"/>
    </row>
    <row r="1776">
      <c r="A1776" s="378"/>
      <c r="B1776" s="477"/>
      <c r="C1776" s="378"/>
      <c r="D1776" s="378"/>
      <c r="E1776" s="378"/>
      <c r="F1776" s="378"/>
      <c r="G1776" s="378"/>
      <c r="H1776" s="378"/>
      <c r="I1776" s="376"/>
      <c r="J1776" s="377"/>
      <c r="K1776" s="378"/>
      <c r="L1776" s="378"/>
      <c r="M1776" s="378"/>
      <c r="N1776" s="379"/>
      <c r="O1776" s="380"/>
      <c r="P1776" s="378"/>
      <c r="Q1776" s="378"/>
      <c r="R1776" s="378"/>
      <c r="S1776" s="378"/>
      <c r="T1776" s="378"/>
      <c r="U1776" s="378"/>
      <c r="V1776" s="378"/>
      <c r="W1776" s="378"/>
      <c r="X1776" s="378"/>
      <c r="Y1776" s="378"/>
      <c r="Z1776" s="378"/>
      <c r="AA1776" s="378"/>
      <c r="AB1776" s="378"/>
      <c r="AC1776" s="378"/>
      <c r="AD1776" s="378"/>
      <c r="AE1776" s="378"/>
      <c r="AF1776" s="378"/>
      <c r="AG1776" s="378"/>
    </row>
    <row r="1777">
      <c r="A1777" s="378"/>
      <c r="B1777" s="477"/>
      <c r="C1777" s="378"/>
      <c r="D1777" s="378"/>
      <c r="E1777" s="378"/>
      <c r="F1777" s="378"/>
      <c r="G1777" s="378"/>
      <c r="H1777" s="378"/>
      <c r="I1777" s="376"/>
      <c r="J1777" s="377"/>
      <c r="K1777" s="378"/>
      <c r="L1777" s="378"/>
      <c r="M1777" s="378"/>
      <c r="N1777" s="379"/>
      <c r="O1777" s="380"/>
      <c r="P1777" s="378"/>
      <c r="Q1777" s="378"/>
      <c r="R1777" s="378"/>
      <c r="S1777" s="378"/>
      <c r="T1777" s="378"/>
      <c r="U1777" s="378"/>
      <c r="V1777" s="378"/>
      <c r="W1777" s="378"/>
      <c r="X1777" s="378"/>
      <c r="Y1777" s="378"/>
      <c r="Z1777" s="378"/>
      <c r="AA1777" s="378"/>
      <c r="AB1777" s="378"/>
      <c r="AC1777" s="378"/>
      <c r="AD1777" s="378"/>
      <c r="AE1777" s="378"/>
      <c r="AF1777" s="378"/>
      <c r="AG1777" s="378"/>
    </row>
    <row r="1778">
      <c r="A1778" s="378"/>
      <c r="B1778" s="477"/>
      <c r="C1778" s="378"/>
      <c r="D1778" s="378"/>
      <c r="E1778" s="378"/>
      <c r="F1778" s="378"/>
      <c r="G1778" s="378"/>
      <c r="H1778" s="378"/>
      <c r="I1778" s="376"/>
      <c r="J1778" s="377"/>
      <c r="K1778" s="378"/>
      <c r="L1778" s="378"/>
      <c r="M1778" s="378"/>
      <c r="N1778" s="379"/>
      <c r="O1778" s="380"/>
      <c r="P1778" s="378"/>
      <c r="Q1778" s="378"/>
      <c r="R1778" s="378"/>
      <c r="S1778" s="378"/>
      <c r="T1778" s="378"/>
      <c r="U1778" s="378"/>
      <c r="V1778" s="378"/>
      <c r="W1778" s="378"/>
      <c r="X1778" s="378"/>
      <c r="Y1778" s="378"/>
      <c r="Z1778" s="378"/>
      <c r="AA1778" s="378"/>
      <c r="AB1778" s="378"/>
      <c r="AC1778" s="378"/>
      <c r="AD1778" s="378"/>
      <c r="AE1778" s="378"/>
      <c r="AF1778" s="378"/>
      <c r="AG1778" s="378"/>
    </row>
    <row r="1779">
      <c r="A1779" s="378"/>
      <c r="B1779" s="477"/>
      <c r="C1779" s="378"/>
      <c r="D1779" s="378"/>
      <c r="E1779" s="378"/>
      <c r="F1779" s="378"/>
      <c r="G1779" s="378"/>
      <c r="H1779" s="378"/>
      <c r="I1779" s="376"/>
      <c r="J1779" s="377"/>
      <c r="K1779" s="378"/>
      <c r="L1779" s="378"/>
      <c r="M1779" s="378"/>
      <c r="N1779" s="379"/>
      <c r="O1779" s="380"/>
      <c r="P1779" s="378"/>
      <c r="Q1779" s="378"/>
      <c r="R1779" s="378"/>
      <c r="S1779" s="378"/>
      <c r="T1779" s="378"/>
      <c r="U1779" s="378"/>
      <c r="V1779" s="378"/>
      <c r="W1779" s="378"/>
      <c r="X1779" s="378"/>
      <c r="Y1779" s="378"/>
      <c r="Z1779" s="378"/>
      <c r="AA1779" s="378"/>
      <c r="AB1779" s="378"/>
      <c r="AC1779" s="378"/>
      <c r="AD1779" s="378"/>
      <c r="AE1779" s="378"/>
      <c r="AF1779" s="378"/>
      <c r="AG1779" s="378"/>
    </row>
    <row r="1780">
      <c r="A1780" s="378"/>
      <c r="B1780" s="477"/>
      <c r="C1780" s="378"/>
      <c r="D1780" s="378"/>
      <c r="E1780" s="378"/>
      <c r="F1780" s="378"/>
      <c r="G1780" s="378"/>
      <c r="H1780" s="378"/>
      <c r="I1780" s="376"/>
      <c r="J1780" s="377"/>
      <c r="K1780" s="378"/>
      <c r="L1780" s="378"/>
      <c r="M1780" s="378"/>
      <c r="N1780" s="379"/>
      <c r="O1780" s="380"/>
      <c r="P1780" s="378"/>
      <c r="Q1780" s="378"/>
      <c r="R1780" s="378"/>
      <c r="S1780" s="378"/>
      <c r="T1780" s="378"/>
      <c r="U1780" s="378"/>
      <c r="V1780" s="378"/>
      <c r="W1780" s="378"/>
      <c r="X1780" s="378"/>
      <c r="Y1780" s="378"/>
      <c r="Z1780" s="378"/>
      <c r="AA1780" s="378"/>
      <c r="AB1780" s="378"/>
      <c r="AC1780" s="378"/>
      <c r="AD1780" s="378"/>
      <c r="AE1780" s="378"/>
      <c r="AF1780" s="378"/>
      <c r="AG1780" s="378"/>
    </row>
    <row r="1781">
      <c r="A1781" s="378"/>
      <c r="B1781" s="477"/>
      <c r="C1781" s="378"/>
      <c r="D1781" s="378"/>
      <c r="E1781" s="378"/>
      <c r="F1781" s="378"/>
      <c r="G1781" s="378"/>
      <c r="H1781" s="378"/>
      <c r="I1781" s="376"/>
      <c r="J1781" s="377"/>
      <c r="K1781" s="378"/>
      <c r="L1781" s="378"/>
      <c r="M1781" s="378"/>
      <c r="N1781" s="379"/>
      <c r="O1781" s="380"/>
      <c r="P1781" s="378"/>
      <c r="Q1781" s="378"/>
      <c r="R1781" s="378"/>
      <c r="S1781" s="378"/>
      <c r="T1781" s="378"/>
      <c r="U1781" s="378"/>
      <c r="V1781" s="378"/>
      <c r="W1781" s="378"/>
      <c r="X1781" s="378"/>
      <c r="Y1781" s="378"/>
      <c r="Z1781" s="378"/>
      <c r="AA1781" s="378"/>
      <c r="AB1781" s="378"/>
      <c r="AC1781" s="378"/>
      <c r="AD1781" s="378"/>
      <c r="AE1781" s="378"/>
      <c r="AF1781" s="378"/>
      <c r="AG1781" s="378"/>
    </row>
    <row r="1782">
      <c r="A1782" s="378"/>
      <c r="B1782" s="477"/>
      <c r="C1782" s="378"/>
      <c r="D1782" s="378"/>
      <c r="E1782" s="378"/>
      <c r="F1782" s="378"/>
      <c r="G1782" s="378"/>
      <c r="H1782" s="378"/>
      <c r="I1782" s="376"/>
      <c r="J1782" s="377"/>
      <c r="K1782" s="378"/>
      <c r="L1782" s="378"/>
      <c r="M1782" s="378"/>
      <c r="N1782" s="379"/>
      <c r="O1782" s="380"/>
      <c r="P1782" s="378"/>
      <c r="Q1782" s="378"/>
      <c r="R1782" s="378"/>
      <c r="S1782" s="378"/>
      <c r="T1782" s="378"/>
      <c r="U1782" s="378"/>
      <c r="V1782" s="378"/>
      <c r="W1782" s="378"/>
      <c r="X1782" s="378"/>
      <c r="Y1782" s="378"/>
      <c r="Z1782" s="378"/>
      <c r="AA1782" s="378"/>
      <c r="AB1782" s="378"/>
      <c r="AC1782" s="378"/>
      <c r="AD1782" s="378"/>
      <c r="AE1782" s="378"/>
      <c r="AF1782" s="378"/>
      <c r="AG1782" s="378"/>
    </row>
    <row r="1783">
      <c r="A1783" s="378"/>
      <c r="B1783" s="477"/>
      <c r="C1783" s="378"/>
      <c r="D1783" s="378"/>
      <c r="E1783" s="378"/>
      <c r="F1783" s="378"/>
      <c r="G1783" s="378"/>
      <c r="H1783" s="378"/>
      <c r="I1783" s="376"/>
      <c r="J1783" s="377"/>
      <c r="K1783" s="378"/>
      <c r="L1783" s="378"/>
      <c r="M1783" s="378"/>
      <c r="N1783" s="379"/>
      <c r="O1783" s="380"/>
      <c r="P1783" s="378"/>
      <c r="Q1783" s="378"/>
      <c r="R1783" s="378"/>
      <c r="S1783" s="378"/>
      <c r="T1783" s="378"/>
      <c r="U1783" s="378"/>
      <c r="V1783" s="378"/>
      <c r="W1783" s="378"/>
      <c r="X1783" s="378"/>
      <c r="Y1783" s="378"/>
      <c r="Z1783" s="378"/>
      <c r="AA1783" s="378"/>
      <c r="AB1783" s="378"/>
      <c r="AC1783" s="378"/>
      <c r="AD1783" s="378"/>
      <c r="AE1783" s="378"/>
      <c r="AF1783" s="378"/>
      <c r="AG1783" s="378"/>
    </row>
    <row r="1784">
      <c r="A1784" s="378"/>
      <c r="B1784" s="477"/>
      <c r="C1784" s="378"/>
      <c r="D1784" s="378"/>
      <c r="E1784" s="378"/>
      <c r="F1784" s="378"/>
      <c r="G1784" s="378"/>
      <c r="H1784" s="378"/>
      <c r="I1784" s="376"/>
      <c r="J1784" s="377"/>
      <c r="K1784" s="378"/>
      <c r="L1784" s="378"/>
      <c r="M1784" s="378"/>
      <c r="N1784" s="379"/>
      <c r="O1784" s="380"/>
      <c r="P1784" s="378"/>
      <c r="Q1784" s="378"/>
      <c r="R1784" s="378"/>
      <c r="S1784" s="378"/>
      <c r="T1784" s="378"/>
      <c r="U1784" s="378"/>
      <c r="V1784" s="378"/>
      <c r="W1784" s="378"/>
      <c r="X1784" s="378"/>
      <c r="Y1784" s="378"/>
      <c r="Z1784" s="378"/>
      <c r="AA1784" s="378"/>
      <c r="AB1784" s="378"/>
      <c r="AC1784" s="378"/>
      <c r="AD1784" s="378"/>
      <c r="AE1784" s="378"/>
      <c r="AF1784" s="378"/>
      <c r="AG1784" s="378"/>
    </row>
    <row r="1785">
      <c r="A1785" s="378"/>
      <c r="B1785" s="477"/>
      <c r="C1785" s="378"/>
      <c r="D1785" s="378"/>
      <c r="E1785" s="378"/>
      <c r="F1785" s="378"/>
      <c r="G1785" s="378"/>
      <c r="H1785" s="378"/>
      <c r="I1785" s="376"/>
      <c r="J1785" s="377"/>
      <c r="K1785" s="378"/>
      <c r="L1785" s="378"/>
      <c r="M1785" s="378"/>
      <c r="N1785" s="379"/>
      <c r="O1785" s="380"/>
      <c r="P1785" s="378"/>
      <c r="Q1785" s="378"/>
      <c r="R1785" s="378"/>
      <c r="S1785" s="378"/>
      <c r="T1785" s="378"/>
      <c r="U1785" s="378"/>
      <c r="V1785" s="378"/>
      <c r="W1785" s="378"/>
      <c r="X1785" s="378"/>
      <c r="Y1785" s="378"/>
      <c r="Z1785" s="378"/>
      <c r="AA1785" s="378"/>
      <c r="AB1785" s="378"/>
      <c r="AC1785" s="378"/>
      <c r="AD1785" s="378"/>
      <c r="AE1785" s="378"/>
      <c r="AF1785" s="378"/>
      <c r="AG1785" s="378"/>
    </row>
    <row r="1786">
      <c r="A1786" s="378"/>
      <c r="B1786" s="477"/>
      <c r="C1786" s="378"/>
      <c r="D1786" s="378"/>
      <c r="E1786" s="378"/>
      <c r="F1786" s="378"/>
      <c r="G1786" s="378"/>
      <c r="H1786" s="378"/>
      <c r="I1786" s="376"/>
      <c r="J1786" s="377"/>
      <c r="K1786" s="378"/>
      <c r="L1786" s="378"/>
      <c r="M1786" s="378"/>
      <c r="N1786" s="379"/>
      <c r="O1786" s="380"/>
      <c r="P1786" s="378"/>
      <c r="Q1786" s="378"/>
      <c r="R1786" s="378"/>
      <c r="S1786" s="378"/>
      <c r="T1786" s="378"/>
      <c r="U1786" s="378"/>
      <c r="V1786" s="378"/>
      <c r="W1786" s="378"/>
      <c r="X1786" s="378"/>
      <c r="Y1786" s="378"/>
      <c r="Z1786" s="378"/>
      <c r="AA1786" s="378"/>
      <c r="AB1786" s="378"/>
      <c r="AC1786" s="378"/>
      <c r="AD1786" s="378"/>
      <c r="AE1786" s="378"/>
      <c r="AF1786" s="378"/>
      <c r="AG1786" s="378"/>
    </row>
    <row r="1787">
      <c r="A1787" s="378"/>
      <c r="B1787" s="477"/>
      <c r="C1787" s="378"/>
      <c r="D1787" s="378"/>
      <c r="E1787" s="378"/>
      <c r="F1787" s="378"/>
      <c r="G1787" s="378"/>
      <c r="H1787" s="378"/>
      <c r="I1787" s="376"/>
      <c r="J1787" s="377"/>
      <c r="K1787" s="378"/>
      <c r="L1787" s="378"/>
      <c r="M1787" s="378"/>
      <c r="N1787" s="379"/>
      <c r="O1787" s="380"/>
      <c r="P1787" s="378"/>
      <c r="Q1787" s="378"/>
      <c r="R1787" s="378"/>
      <c r="S1787" s="378"/>
      <c r="T1787" s="378"/>
      <c r="U1787" s="378"/>
      <c r="V1787" s="378"/>
      <c r="W1787" s="378"/>
      <c r="X1787" s="378"/>
      <c r="Y1787" s="378"/>
      <c r="Z1787" s="378"/>
      <c r="AA1787" s="378"/>
      <c r="AB1787" s="378"/>
      <c r="AC1787" s="378"/>
      <c r="AD1787" s="378"/>
      <c r="AE1787" s="378"/>
      <c r="AF1787" s="378"/>
      <c r="AG1787" s="378"/>
    </row>
    <row r="1788">
      <c r="A1788" s="378"/>
      <c r="B1788" s="477"/>
      <c r="C1788" s="378"/>
      <c r="D1788" s="378"/>
      <c r="E1788" s="378"/>
      <c r="F1788" s="378"/>
      <c r="G1788" s="378"/>
      <c r="H1788" s="378"/>
      <c r="I1788" s="376"/>
      <c r="J1788" s="377"/>
      <c r="K1788" s="378"/>
      <c r="L1788" s="378"/>
      <c r="M1788" s="378"/>
      <c r="N1788" s="379"/>
      <c r="O1788" s="380"/>
      <c r="P1788" s="378"/>
      <c r="Q1788" s="378"/>
      <c r="R1788" s="378"/>
      <c r="S1788" s="378"/>
      <c r="T1788" s="378"/>
      <c r="U1788" s="378"/>
      <c r="V1788" s="378"/>
      <c r="W1788" s="378"/>
      <c r="X1788" s="378"/>
      <c r="Y1788" s="378"/>
      <c r="Z1788" s="378"/>
      <c r="AA1788" s="378"/>
      <c r="AB1788" s="378"/>
      <c r="AC1788" s="378"/>
      <c r="AD1788" s="378"/>
      <c r="AE1788" s="378"/>
      <c r="AF1788" s="378"/>
      <c r="AG1788" s="378"/>
    </row>
    <row r="1789">
      <c r="A1789" s="378"/>
      <c r="B1789" s="477"/>
      <c r="C1789" s="378"/>
      <c r="D1789" s="378"/>
      <c r="E1789" s="378"/>
      <c r="F1789" s="378"/>
      <c r="G1789" s="378"/>
      <c r="H1789" s="378"/>
      <c r="I1789" s="376"/>
      <c r="J1789" s="377"/>
      <c r="K1789" s="378"/>
      <c r="L1789" s="378"/>
      <c r="M1789" s="378"/>
      <c r="N1789" s="379"/>
      <c r="O1789" s="380"/>
      <c r="P1789" s="378"/>
      <c r="Q1789" s="378"/>
      <c r="R1789" s="378"/>
      <c r="S1789" s="378"/>
      <c r="T1789" s="378"/>
      <c r="U1789" s="378"/>
      <c r="V1789" s="378"/>
      <c r="W1789" s="378"/>
      <c r="X1789" s="378"/>
      <c r="Y1789" s="378"/>
      <c r="Z1789" s="378"/>
      <c r="AA1789" s="378"/>
      <c r="AB1789" s="378"/>
      <c r="AC1789" s="378"/>
      <c r="AD1789" s="378"/>
      <c r="AE1789" s="378"/>
      <c r="AF1789" s="378"/>
      <c r="AG1789" s="378"/>
    </row>
    <row r="1790">
      <c r="A1790" s="378"/>
      <c r="B1790" s="477"/>
      <c r="C1790" s="378"/>
      <c r="D1790" s="378"/>
      <c r="E1790" s="378"/>
      <c r="F1790" s="378"/>
      <c r="G1790" s="378"/>
      <c r="H1790" s="378"/>
      <c r="I1790" s="376"/>
      <c r="J1790" s="377"/>
      <c r="K1790" s="378"/>
      <c r="L1790" s="378"/>
      <c r="M1790" s="378"/>
      <c r="N1790" s="379"/>
      <c r="O1790" s="380"/>
      <c r="P1790" s="378"/>
      <c r="Q1790" s="378"/>
      <c r="R1790" s="378"/>
      <c r="S1790" s="378"/>
      <c r="T1790" s="378"/>
      <c r="U1790" s="378"/>
      <c r="V1790" s="378"/>
      <c r="W1790" s="378"/>
      <c r="X1790" s="378"/>
      <c r="Y1790" s="378"/>
      <c r="Z1790" s="378"/>
      <c r="AA1790" s="378"/>
      <c r="AB1790" s="378"/>
      <c r="AC1790" s="378"/>
      <c r="AD1790" s="378"/>
      <c r="AE1790" s="378"/>
      <c r="AF1790" s="378"/>
      <c r="AG1790" s="378"/>
    </row>
    <row r="1791">
      <c r="A1791" s="378"/>
      <c r="B1791" s="477"/>
      <c r="C1791" s="378"/>
      <c r="D1791" s="378"/>
      <c r="E1791" s="378"/>
      <c r="F1791" s="378"/>
      <c r="G1791" s="378"/>
      <c r="H1791" s="378"/>
      <c r="I1791" s="376"/>
      <c r="J1791" s="377"/>
      <c r="K1791" s="378"/>
      <c r="L1791" s="378"/>
      <c r="M1791" s="378"/>
      <c r="N1791" s="379"/>
      <c r="O1791" s="380"/>
      <c r="P1791" s="378"/>
      <c r="Q1791" s="378"/>
      <c r="R1791" s="378"/>
      <c r="S1791" s="378"/>
      <c r="T1791" s="378"/>
      <c r="U1791" s="378"/>
      <c r="V1791" s="378"/>
      <c r="W1791" s="378"/>
      <c r="X1791" s="378"/>
      <c r="Y1791" s="378"/>
      <c r="Z1791" s="378"/>
      <c r="AA1791" s="378"/>
      <c r="AB1791" s="378"/>
      <c r="AC1791" s="378"/>
      <c r="AD1791" s="378"/>
      <c r="AE1791" s="378"/>
      <c r="AF1791" s="378"/>
      <c r="AG1791" s="378"/>
    </row>
    <row r="1792">
      <c r="A1792" s="378"/>
      <c r="B1792" s="477"/>
      <c r="C1792" s="378"/>
      <c r="D1792" s="378"/>
      <c r="E1792" s="378"/>
      <c r="F1792" s="378"/>
      <c r="G1792" s="378"/>
      <c r="H1792" s="378"/>
      <c r="I1792" s="376"/>
      <c r="J1792" s="377"/>
      <c r="K1792" s="378"/>
      <c r="L1792" s="378"/>
      <c r="M1792" s="378"/>
      <c r="N1792" s="379"/>
      <c r="O1792" s="380"/>
      <c r="P1792" s="378"/>
      <c r="Q1792" s="378"/>
      <c r="R1792" s="378"/>
      <c r="S1792" s="378"/>
      <c r="T1792" s="378"/>
      <c r="U1792" s="378"/>
      <c r="V1792" s="378"/>
      <c r="W1792" s="378"/>
      <c r="X1792" s="378"/>
      <c r="Y1792" s="378"/>
      <c r="Z1792" s="378"/>
      <c r="AA1792" s="378"/>
      <c r="AB1792" s="378"/>
      <c r="AC1792" s="378"/>
      <c r="AD1792" s="378"/>
      <c r="AE1792" s="378"/>
      <c r="AF1792" s="378"/>
      <c r="AG1792" s="378"/>
    </row>
    <row r="1793">
      <c r="A1793" s="378"/>
      <c r="B1793" s="477"/>
      <c r="C1793" s="378"/>
      <c r="D1793" s="378"/>
      <c r="E1793" s="378"/>
      <c r="F1793" s="378"/>
      <c r="G1793" s="378"/>
      <c r="H1793" s="378"/>
      <c r="I1793" s="376"/>
      <c r="J1793" s="377"/>
      <c r="K1793" s="378"/>
      <c r="L1793" s="378"/>
      <c r="M1793" s="378"/>
      <c r="N1793" s="379"/>
      <c r="O1793" s="380"/>
      <c r="P1793" s="378"/>
      <c r="Q1793" s="378"/>
      <c r="R1793" s="378"/>
      <c r="S1793" s="378"/>
      <c r="T1793" s="378"/>
      <c r="U1793" s="378"/>
      <c r="V1793" s="378"/>
      <c r="W1793" s="378"/>
      <c r="X1793" s="378"/>
      <c r="Y1793" s="378"/>
      <c r="Z1793" s="378"/>
      <c r="AA1793" s="378"/>
      <c r="AB1793" s="378"/>
      <c r="AC1793" s="378"/>
      <c r="AD1793" s="378"/>
      <c r="AE1793" s="378"/>
      <c r="AF1793" s="378"/>
      <c r="AG1793" s="378"/>
    </row>
    <row r="1794">
      <c r="A1794" s="378"/>
      <c r="B1794" s="477"/>
      <c r="C1794" s="378"/>
      <c r="D1794" s="378"/>
      <c r="E1794" s="378"/>
      <c r="F1794" s="378"/>
      <c r="G1794" s="378"/>
      <c r="H1794" s="378"/>
      <c r="I1794" s="376"/>
      <c r="J1794" s="377"/>
      <c r="K1794" s="378"/>
      <c r="L1794" s="378"/>
      <c r="M1794" s="378"/>
      <c r="N1794" s="379"/>
      <c r="O1794" s="380"/>
      <c r="P1794" s="378"/>
      <c r="Q1794" s="378"/>
      <c r="R1794" s="378"/>
      <c r="S1794" s="378"/>
      <c r="T1794" s="378"/>
      <c r="U1794" s="378"/>
      <c r="V1794" s="378"/>
      <c r="W1794" s="378"/>
      <c r="X1794" s="378"/>
      <c r="Y1794" s="378"/>
      <c r="Z1794" s="378"/>
      <c r="AA1794" s="378"/>
      <c r="AB1794" s="378"/>
      <c r="AC1794" s="378"/>
      <c r="AD1794" s="378"/>
      <c r="AE1794" s="378"/>
      <c r="AF1794" s="378"/>
      <c r="AG1794" s="378"/>
    </row>
    <row r="1795">
      <c r="A1795" s="378"/>
      <c r="B1795" s="477"/>
      <c r="C1795" s="378"/>
      <c r="D1795" s="378"/>
      <c r="E1795" s="378"/>
      <c r="F1795" s="378"/>
      <c r="G1795" s="378"/>
      <c r="H1795" s="378"/>
      <c r="I1795" s="376"/>
      <c r="J1795" s="377"/>
      <c r="K1795" s="378"/>
      <c r="L1795" s="378"/>
      <c r="M1795" s="378"/>
      <c r="N1795" s="379"/>
      <c r="O1795" s="380"/>
      <c r="P1795" s="378"/>
      <c r="Q1795" s="378"/>
      <c r="R1795" s="378"/>
      <c r="S1795" s="378"/>
      <c r="T1795" s="378"/>
      <c r="U1795" s="378"/>
      <c r="V1795" s="378"/>
      <c r="W1795" s="378"/>
      <c r="X1795" s="378"/>
      <c r="Y1795" s="378"/>
      <c r="Z1795" s="378"/>
      <c r="AA1795" s="378"/>
      <c r="AB1795" s="378"/>
      <c r="AC1795" s="378"/>
      <c r="AD1795" s="378"/>
      <c r="AE1795" s="378"/>
      <c r="AF1795" s="378"/>
      <c r="AG1795" s="378"/>
    </row>
    <row r="1796">
      <c r="A1796" s="378"/>
      <c r="B1796" s="477"/>
      <c r="C1796" s="378"/>
      <c r="D1796" s="378"/>
      <c r="E1796" s="378"/>
      <c r="F1796" s="378"/>
      <c r="G1796" s="378"/>
      <c r="H1796" s="378"/>
      <c r="I1796" s="376"/>
      <c r="J1796" s="377"/>
      <c r="K1796" s="378"/>
      <c r="L1796" s="378"/>
      <c r="M1796" s="378"/>
      <c r="N1796" s="379"/>
      <c r="O1796" s="380"/>
      <c r="P1796" s="378"/>
      <c r="Q1796" s="378"/>
      <c r="R1796" s="378"/>
      <c r="S1796" s="378"/>
      <c r="T1796" s="378"/>
      <c r="U1796" s="378"/>
      <c r="V1796" s="378"/>
      <c r="W1796" s="378"/>
      <c r="X1796" s="378"/>
      <c r="Y1796" s="378"/>
      <c r="Z1796" s="378"/>
      <c r="AA1796" s="378"/>
      <c r="AB1796" s="378"/>
      <c r="AC1796" s="378"/>
      <c r="AD1796" s="378"/>
      <c r="AE1796" s="378"/>
      <c r="AF1796" s="378"/>
      <c r="AG1796" s="378"/>
    </row>
    <row r="1797">
      <c r="A1797" s="378"/>
      <c r="B1797" s="477"/>
      <c r="C1797" s="378"/>
      <c r="D1797" s="378"/>
      <c r="E1797" s="378"/>
      <c r="F1797" s="378"/>
      <c r="G1797" s="378"/>
      <c r="H1797" s="378"/>
      <c r="I1797" s="376"/>
      <c r="J1797" s="377"/>
      <c r="K1797" s="378"/>
      <c r="L1797" s="378"/>
      <c r="M1797" s="378"/>
      <c r="N1797" s="379"/>
      <c r="O1797" s="380"/>
      <c r="P1797" s="378"/>
      <c r="Q1797" s="378"/>
      <c r="R1797" s="378"/>
      <c r="S1797" s="378"/>
      <c r="T1797" s="378"/>
      <c r="U1797" s="378"/>
      <c r="V1797" s="378"/>
      <c r="W1797" s="378"/>
      <c r="X1797" s="378"/>
      <c r="Y1797" s="378"/>
      <c r="Z1797" s="378"/>
      <c r="AA1797" s="378"/>
      <c r="AB1797" s="378"/>
      <c r="AC1797" s="378"/>
      <c r="AD1797" s="378"/>
      <c r="AE1797" s="378"/>
      <c r="AF1797" s="378"/>
      <c r="AG1797" s="378"/>
    </row>
    <row r="1798">
      <c r="A1798" s="378"/>
      <c r="B1798" s="477"/>
      <c r="C1798" s="378"/>
      <c r="D1798" s="378"/>
      <c r="E1798" s="378"/>
      <c r="F1798" s="378"/>
      <c r="G1798" s="378"/>
      <c r="H1798" s="378"/>
      <c r="I1798" s="376"/>
      <c r="J1798" s="377"/>
      <c r="K1798" s="378"/>
      <c r="L1798" s="378"/>
      <c r="M1798" s="378"/>
      <c r="N1798" s="379"/>
      <c r="O1798" s="380"/>
      <c r="P1798" s="378"/>
      <c r="Q1798" s="378"/>
      <c r="R1798" s="378"/>
      <c r="S1798" s="378"/>
      <c r="T1798" s="378"/>
      <c r="U1798" s="378"/>
      <c r="V1798" s="378"/>
      <c r="W1798" s="378"/>
      <c r="X1798" s="378"/>
      <c r="Y1798" s="378"/>
      <c r="Z1798" s="378"/>
      <c r="AA1798" s="378"/>
      <c r="AB1798" s="378"/>
      <c r="AC1798" s="378"/>
      <c r="AD1798" s="378"/>
      <c r="AE1798" s="378"/>
      <c r="AF1798" s="378"/>
      <c r="AG1798" s="378"/>
    </row>
    <row r="1799">
      <c r="A1799" s="378"/>
      <c r="B1799" s="477"/>
      <c r="C1799" s="378"/>
      <c r="D1799" s="378"/>
      <c r="E1799" s="378"/>
      <c r="F1799" s="378"/>
      <c r="G1799" s="378"/>
      <c r="H1799" s="378"/>
      <c r="I1799" s="376"/>
      <c r="J1799" s="377"/>
      <c r="K1799" s="378"/>
      <c r="L1799" s="378"/>
      <c r="M1799" s="378"/>
      <c r="N1799" s="379"/>
      <c r="O1799" s="380"/>
      <c r="P1799" s="378"/>
      <c r="Q1799" s="378"/>
      <c r="R1799" s="378"/>
      <c r="S1799" s="378"/>
      <c r="T1799" s="378"/>
      <c r="U1799" s="378"/>
      <c r="V1799" s="378"/>
      <c r="W1799" s="378"/>
      <c r="X1799" s="378"/>
      <c r="Y1799" s="378"/>
      <c r="Z1799" s="378"/>
      <c r="AA1799" s="378"/>
      <c r="AB1799" s="378"/>
      <c r="AC1799" s="378"/>
      <c r="AD1799" s="378"/>
      <c r="AE1799" s="378"/>
      <c r="AF1799" s="378"/>
      <c r="AG1799" s="378"/>
    </row>
    <row r="1800">
      <c r="A1800" s="378"/>
      <c r="B1800" s="477"/>
      <c r="C1800" s="378"/>
      <c r="D1800" s="378"/>
      <c r="E1800" s="378"/>
      <c r="F1800" s="378"/>
      <c r="G1800" s="378"/>
      <c r="H1800" s="378"/>
      <c r="I1800" s="376"/>
      <c r="J1800" s="377"/>
      <c r="K1800" s="378"/>
      <c r="L1800" s="378"/>
      <c r="M1800" s="378"/>
      <c r="N1800" s="379"/>
      <c r="O1800" s="380"/>
      <c r="P1800" s="378"/>
      <c r="Q1800" s="378"/>
      <c r="R1800" s="378"/>
      <c r="S1800" s="378"/>
      <c r="T1800" s="378"/>
      <c r="U1800" s="378"/>
      <c r="V1800" s="378"/>
      <c r="W1800" s="378"/>
      <c r="X1800" s="378"/>
      <c r="Y1800" s="378"/>
      <c r="Z1800" s="378"/>
      <c r="AA1800" s="378"/>
      <c r="AB1800" s="378"/>
      <c r="AC1800" s="378"/>
      <c r="AD1800" s="378"/>
      <c r="AE1800" s="378"/>
      <c r="AF1800" s="378"/>
      <c r="AG1800" s="378"/>
    </row>
    <row r="1801">
      <c r="A1801" s="378"/>
      <c r="B1801" s="477"/>
      <c r="C1801" s="378"/>
      <c r="D1801" s="378"/>
      <c r="E1801" s="378"/>
      <c r="F1801" s="378"/>
      <c r="G1801" s="378"/>
      <c r="H1801" s="378"/>
      <c r="I1801" s="376"/>
      <c r="J1801" s="377"/>
      <c r="K1801" s="378"/>
      <c r="L1801" s="378"/>
      <c r="M1801" s="378"/>
      <c r="N1801" s="379"/>
      <c r="O1801" s="380"/>
      <c r="P1801" s="378"/>
      <c r="Q1801" s="378"/>
      <c r="R1801" s="378"/>
      <c r="S1801" s="378"/>
      <c r="T1801" s="378"/>
      <c r="U1801" s="378"/>
      <c r="V1801" s="378"/>
      <c r="W1801" s="378"/>
      <c r="X1801" s="378"/>
      <c r="Y1801" s="378"/>
      <c r="Z1801" s="378"/>
      <c r="AA1801" s="378"/>
      <c r="AB1801" s="378"/>
      <c r="AC1801" s="378"/>
      <c r="AD1801" s="378"/>
      <c r="AE1801" s="378"/>
      <c r="AF1801" s="378"/>
      <c r="AG1801" s="378"/>
    </row>
    <row r="1802">
      <c r="A1802" s="378"/>
      <c r="B1802" s="477"/>
      <c r="C1802" s="378"/>
      <c r="D1802" s="378"/>
      <c r="E1802" s="378"/>
      <c r="F1802" s="378"/>
      <c r="G1802" s="378"/>
      <c r="H1802" s="378"/>
      <c r="I1802" s="376"/>
      <c r="J1802" s="377"/>
      <c r="K1802" s="378"/>
      <c r="L1802" s="378"/>
      <c r="M1802" s="378"/>
      <c r="N1802" s="379"/>
      <c r="O1802" s="380"/>
      <c r="P1802" s="378"/>
      <c r="Q1802" s="378"/>
      <c r="R1802" s="378"/>
      <c r="S1802" s="378"/>
      <c r="T1802" s="378"/>
      <c r="U1802" s="378"/>
      <c r="V1802" s="378"/>
      <c r="W1802" s="378"/>
      <c r="X1802" s="378"/>
      <c r="Y1802" s="378"/>
      <c r="Z1802" s="378"/>
      <c r="AA1802" s="378"/>
      <c r="AB1802" s="378"/>
      <c r="AC1802" s="378"/>
      <c r="AD1802" s="378"/>
      <c r="AE1802" s="378"/>
      <c r="AF1802" s="378"/>
      <c r="AG1802" s="378"/>
    </row>
    <row r="1803">
      <c r="A1803" s="378"/>
      <c r="B1803" s="477"/>
      <c r="C1803" s="378"/>
      <c r="D1803" s="378"/>
      <c r="E1803" s="378"/>
      <c r="F1803" s="378"/>
      <c r="G1803" s="378"/>
      <c r="H1803" s="378"/>
      <c r="I1803" s="376"/>
      <c r="J1803" s="377"/>
      <c r="K1803" s="378"/>
      <c r="L1803" s="378"/>
      <c r="M1803" s="378"/>
      <c r="N1803" s="379"/>
      <c r="O1803" s="380"/>
      <c r="P1803" s="378"/>
      <c r="Q1803" s="378"/>
      <c r="R1803" s="378"/>
      <c r="S1803" s="378"/>
      <c r="T1803" s="378"/>
      <c r="U1803" s="378"/>
      <c r="V1803" s="378"/>
      <c r="W1803" s="378"/>
      <c r="X1803" s="378"/>
      <c r="Y1803" s="378"/>
      <c r="Z1803" s="378"/>
      <c r="AA1803" s="378"/>
      <c r="AB1803" s="378"/>
      <c r="AC1803" s="378"/>
      <c r="AD1803" s="378"/>
      <c r="AE1803" s="378"/>
      <c r="AF1803" s="378"/>
      <c r="AG1803" s="378"/>
    </row>
    <row r="1804">
      <c r="A1804" s="378"/>
      <c r="B1804" s="477"/>
      <c r="C1804" s="378"/>
      <c r="D1804" s="378"/>
      <c r="E1804" s="378"/>
      <c r="F1804" s="378"/>
      <c r="G1804" s="378"/>
      <c r="H1804" s="378"/>
      <c r="I1804" s="376"/>
      <c r="J1804" s="377"/>
      <c r="K1804" s="378"/>
      <c r="L1804" s="378"/>
      <c r="M1804" s="378"/>
      <c r="N1804" s="379"/>
      <c r="O1804" s="380"/>
      <c r="P1804" s="378"/>
      <c r="Q1804" s="378"/>
      <c r="R1804" s="378"/>
      <c r="S1804" s="378"/>
      <c r="T1804" s="378"/>
      <c r="U1804" s="378"/>
      <c r="V1804" s="378"/>
      <c r="W1804" s="378"/>
      <c r="X1804" s="378"/>
      <c r="Y1804" s="378"/>
      <c r="Z1804" s="378"/>
      <c r="AA1804" s="378"/>
      <c r="AB1804" s="378"/>
      <c r="AC1804" s="378"/>
      <c r="AD1804" s="378"/>
      <c r="AE1804" s="378"/>
      <c r="AF1804" s="378"/>
      <c r="AG1804" s="378"/>
    </row>
    <row r="1805">
      <c r="A1805" s="378"/>
      <c r="B1805" s="477"/>
      <c r="C1805" s="378"/>
      <c r="D1805" s="378"/>
      <c r="E1805" s="378"/>
      <c r="F1805" s="378"/>
      <c r="G1805" s="378"/>
      <c r="H1805" s="378"/>
      <c r="I1805" s="376"/>
      <c r="J1805" s="377"/>
      <c r="K1805" s="378"/>
      <c r="L1805" s="378"/>
      <c r="M1805" s="378"/>
      <c r="N1805" s="379"/>
      <c r="O1805" s="380"/>
      <c r="P1805" s="378"/>
      <c r="Q1805" s="378"/>
      <c r="R1805" s="378"/>
      <c r="S1805" s="378"/>
      <c r="T1805" s="378"/>
      <c r="U1805" s="378"/>
      <c r="V1805" s="378"/>
      <c r="W1805" s="378"/>
      <c r="X1805" s="378"/>
      <c r="Y1805" s="378"/>
      <c r="Z1805" s="378"/>
      <c r="AA1805" s="378"/>
      <c r="AB1805" s="378"/>
      <c r="AC1805" s="378"/>
      <c r="AD1805" s="378"/>
      <c r="AE1805" s="378"/>
      <c r="AF1805" s="378"/>
      <c r="AG1805" s="378"/>
    </row>
    <row r="1806">
      <c r="A1806" s="378"/>
      <c r="B1806" s="477"/>
      <c r="C1806" s="378"/>
      <c r="D1806" s="378"/>
      <c r="E1806" s="378"/>
      <c r="F1806" s="378"/>
      <c r="G1806" s="378"/>
      <c r="H1806" s="378"/>
      <c r="I1806" s="376"/>
      <c r="J1806" s="377"/>
      <c r="K1806" s="378"/>
      <c r="L1806" s="378"/>
      <c r="M1806" s="378"/>
      <c r="N1806" s="379"/>
      <c r="O1806" s="380"/>
      <c r="P1806" s="378"/>
      <c r="Q1806" s="378"/>
      <c r="R1806" s="378"/>
      <c r="S1806" s="378"/>
      <c r="T1806" s="378"/>
      <c r="U1806" s="378"/>
      <c r="V1806" s="378"/>
      <c r="W1806" s="378"/>
      <c r="X1806" s="378"/>
      <c r="Y1806" s="378"/>
      <c r="Z1806" s="378"/>
      <c r="AA1806" s="378"/>
      <c r="AB1806" s="378"/>
      <c r="AC1806" s="378"/>
      <c r="AD1806" s="378"/>
      <c r="AE1806" s="378"/>
      <c r="AF1806" s="378"/>
      <c r="AG1806" s="378"/>
    </row>
    <row r="1807">
      <c r="A1807" s="378"/>
      <c r="B1807" s="477"/>
      <c r="C1807" s="378"/>
      <c r="D1807" s="378"/>
      <c r="E1807" s="378"/>
      <c r="F1807" s="378"/>
      <c r="G1807" s="378"/>
      <c r="H1807" s="378"/>
      <c r="I1807" s="376"/>
      <c r="J1807" s="377"/>
      <c r="K1807" s="378"/>
      <c r="L1807" s="378"/>
      <c r="M1807" s="378"/>
      <c r="N1807" s="379"/>
      <c r="O1807" s="380"/>
      <c r="P1807" s="378"/>
      <c r="Q1807" s="378"/>
      <c r="R1807" s="378"/>
      <c r="S1807" s="378"/>
      <c r="T1807" s="378"/>
      <c r="U1807" s="378"/>
      <c r="V1807" s="378"/>
      <c r="W1807" s="378"/>
      <c r="X1807" s="378"/>
      <c r="Y1807" s="378"/>
      <c r="Z1807" s="378"/>
      <c r="AA1807" s="378"/>
      <c r="AB1807" s="378"/>
      <c r="AC1807" s="378"/>
      <c r="AD1807" s="378"/>
      <c r="AE1807" s="378"/>
      <c r="AF1807" s="378"/>
      <c r="AG1807" s="378"/>
    </row>
    <row r="1808">
      <c r="A1808" s="378"/>
      <c r="B1808" s="477"/>
      <c r="C1808" s="378"/>
      <c r="D1808" s="378"/>
      <c r="E1808" s="378"/>
      <c r="F1808" s="378"/>
      <c r="G1808" s="378"/>
      <c r="H1808" s="378"/>
      <c r="I1808" s="376"/>
      <c r="J1808" s="377"/>
      <c r="K1808" s="378"/>
      <c r="L1808" s="378"/>
      <c r="M1808" s="378"/>
      <c r="N1808" s="379"/>
      <c r="O1808" s="380"/>
      <c r="P1808" s="378"/>
      <c r="Q1808" s="378"/>
      <c r="R1808" s="378"/>
      <c r="S1808" s="378"/>
      <c r="T1808" s="378"/>
      <c r="U1808" s="378"/>
      <c r="V1808" s="378"/>
      <c r="W1808" s="378"/>
      <c r="X1808" s="378"/>
      <c r="Y1808" s="378"/>
      <c r="Z1808" s="378"/>
      <c r="AA1808" s="378"/>
      <c r="AB1808" s="378"/>
      <c r="AC1808" s="378"/>
      <c r="AD1808" s="378"/>
      <c r="AE1808" s="378"/>
      <c r="AF1808" s="378"/>
      <c r="AG1808" s="378"/>
    </row>
    <row r="1809">
      <c r="A1809" s="378"/>
      <c r="B1809" s="477"/>
      <c r="C1809" s="378"/>
      <c r="D1809" s="378"/>
      <c r="E1809" s="378"/>
      <c r="F1809" s="378"/>
      <c r="G1809" s="378"/>
      <c r="H1809" s="378"/>
      <c r="I1809" s="376"/>
      <c r="J1809" s="377"/>
      <c r="K1809" s="378"/>
      <c r="L1809" s="378"/>
      <c r="M1809" s="378"/>
      <c r="N1809" s="379"/>
      <c r="O1809" s="380"/>
      <c r="P1809" s="378"/>
      <c r="Q1809" s="378"/>
      <c r="R1809" s="378"/>
      <c r="S1809" s="378"/>
      <c r="T1809" s="378"/>
      <c r="U1809" s="378"/>
      <c r="V1809" s="378"/>
      <c r="W1809" s="378"/>
      <c r="X1809" s="378"/>
      <c r="Y1809" s="378"/>
      <c r="Z1809" s="378"/>
      <c r="AA1809" s="378"/>
      <c r="AB1809" s="378"/>
      <c r="AC1809" s="378"/>
      <c r="AD1809" s="378"/>
      <c r="AE1809" s="378"/>
      <c r="AF1809" s="378"/>
      <c r="AG1809" s="378"/>
    </row>
    <row r="1810">
      <c r="A1810" s="378"/>
      <c r="B1810" s="477"/>
      <c r="C1810" s="378"/>
      <c r="D1810" s="378"/>
      <c r="E1810" s="378"/>
      <c r="F1810" s="378"/>
      <c r="G1810" s="378"/>
      <c r="H1810" s="378"/>
      <c r="I1810" s="376"/>
      <c r="J1810" s="377"/>
      <c r="K1810" s="378"/>
      <c r="L1810" s="378"/>
      <c r="M1810" s="378"/>
      <c r="N1810" s="379"/>
      <c r="O1810" s="380"/>
      <c r="P1810" s="378"/>
      <c r="Q1810" s="378"/>
      <c r="R1810" s="378"/>
      <c r="S1810" s="378"/>
      <c r="T1810" s="378"/>
      <c r="U1810" s="378"/>
      <c r="V1810" s="378"/>
      <c r="W1810" s="378"/>
      <c r="X1810" s="378"/>
      <c r="Y1810" s="378"/>
      <c r="Z1810" s="378"/>
      <c r="AA1810" s="378"/>
      <c r="AB1810" s="378"/>
      <c r="AC1810" s="378"/>
      <c r="AD1810" s="378"/>
      <c r="AE1810" s="378"/>
      <c r="AF1810" s="378"/>
      <c r="AG1810" s="378"/>
    </row>
    <row r="1811">
      <c r="A1811" s="378"/>
      <c r="B1811" s="477"/>
      <c r="C1811" s="378"/>
      <c r="D1811" s="378"/>
      <c r="E1811" s="378"/>
      <c r="F1811" s="378"/>
      <c r="G1811" s="378"/>
      <c r="H1811" s="378"/>
      <c r="I1811" s="376"/>
      <c r="J1811" s="377"/>
      <c r="K1811" s="378"/>
      <c r="L1811" s="378"/>
      <c r="M1811" s="378"/>
      <c r="N1811" s="379"/>
      <c r="O1811" s="380"/>
      <c r="P1811" s="378"/>
      <c r="Q1811" s="378"/>
      <c r="R1811" s="378"/>
      <c r="S1811" s="378"/>
      <c r="T1811" s="378"/>
      <c r="U1811" s="378"/>
      <c r="V1811" s="378"/>
      <c r="W1811" s="378"/>
      <c r="X1811" s="378"/>
      <c r="Y1811" s="378"/>
      <c r="Z1811" s="378"/>
      <c r="AA1811" s="378"/>
      <c r="AB1811" s="378"/>
      <c r="AC1811" s="378"/>
      <c r="AD1811" s="378"/>
      <c r="AE1811" s="378"/>
      <c r="AF1811" s="378"/>
      <c r="AG1811" s="378"/>
    </row>
    <row r="1812">
      <c r="A1812" s="378"/>
      <c r="B1812" s="477"/>
      <c r="C1812" s="378"/>
      <c r="D1812" s="378"/>
      <c r="E1812" s="378"/>
      <c r="F1812" s="378"/>
      <c r="G1812" s="378"/>
      <c r="H1812" s="378"/>
      <c r="I1812" s="376"/>
      <c r="J1812" s="377"/>
      <c r="K1812" s="378"/>
      <c r="L1812" s="378"/>
      <c r="M1812" s="378"/>
      <c r="N1812" s="379"/>
      <c r="O1812" s="380"/>
      <c r="P1812" s="378"/>
      <c r="Q1812" s="378"/>
      <c r="R1812" s="378"/>
      <c r="S1812" s="378"/>
      <c r="T1812" s="378"/>
      <c r="U1812" s="378"/>
      <c r="V1812" s="378"/>
      <c r="W1812" s="378"/>
      <c r="X1812" s="378"/>
      <c r="Y1812" s="378"/>
      <c r="Z1812" s="378"/>
      <c r="AA1812" s="378"/>
      <c r="AB1812" s="378"/>
      <c r="AC1812" s="378"/>
      <c r="AD1812" s="378"/>
      <c r="AE1812" s="378"/>
      <c r="AF1812" s="378"/>
      <c r="AG1812" s="378"/>
    </row>
    <row r="1813">
      <c r="A1813" s="378"/>
      <c r="B1813" s="477"/>
      <c r="C1813" s="378"/>
      <c r="D1813" s="378"/>
      <c r="E1813" s="378"/>
      <c r="F1813" s="378"/>
      <c r="G1813" s="378"/>
      <c r="H1813" s="378"/>
      <c r="I1813" s="376"/>
      <c r="J1813" s="377"/>
      <c r="K1813" s="378"/>
      <c r="L1813" s="378"/>
      <c r="M1813" s="378"/>
      <c r="N1813" s="379"/>
      <c r="O1813" s="380"/>
      <c r="P1813" s="378"/>
      <c r="Q1813" s="378"/>
      <c r="R1813" s="378"/>
      <c r="S1813" s="378"/>
      <c r="T1813" s="378"/>
      <c r="U1813" s="378"/>
      <c r="V1813" s="378"/>
      <c r="W1813" s="378"/>
      <c r="X1813" s="378"/>
      <c r="Y1813" s="378"/>
      <c r="Z1813" s="378"/>
      <c r="AA1813" s="378"/>
      <c r="AB1813" s="378"/>
      <c r="AC1813" s="378"/>
      <c r="AD1813" s="378"/>
      <c r="AE1813" s="378"/>
      <c r="AF1813" s="378"/>
      <c r="AG1813" s="378"/>
    </row>
    <row r="1814">
      <c r="A1814" s="378"/>
      <c r="B1814" s="477"/>
      <c r="C1814" s="378"/>
      <c r="D1814" s="378"/>
      <c r="E1814" s="378"/>
      <c r="F1814" s="378"/>
      <c r="G1814" s="378"/>
      <c r="H1814" s="378"/>
      <c r="I1814" s="376"/>
      <c r="J1814" s="377"/>
      <c r="K1814" s="378"/>
      <c r="L1814" s="378"/>
      <c r="M1814" s="378"/>
      <c r="N1814" s="379"/>
      <c r="O1814" s="380"/>
      <c r="P1814" s="378"/>
      <c r="Q1814" s="378"/>
      <c r="R1814" s="378"/>
      <c r="S1814" s="378"/>
      <c r="T1814" s="378"/>
      <c r="U1814" s="378"/>
      <c r="V1814" s="378"/>
      <c r="W1814" s="378"/>
      <c r="X1814" s="378"/>
      <c r="Y1814" s="378"/>
      <c r="Z1814" s="378"/>
      <c r="AA1814" s="378"/>
      <c r="AB1814" s="378"/>
      <c r="AC1814" s="378"/>
      <c r="AD1814" s="378"/>
      <c r="AE1814" s="378"/>
      <c r="AF1814" s="378"/>
      <c r="AG1814" s="378"/>
    </row>
    <row r="1815">
      <c r="A1815" s="378"/>
      <c r="B1815" s="477"/>
      <c r="C1815" s="378"/>
      <c r="D1815" s="378"/>
      <c r="E1815" s="378"/>
      <c r="F1815" s="378"/>
      <c r="G1815" s="378"/>
      <c r="H1815" s="378"/>
      <c r="I1815" s="376"/>
      <c r="J1815" s="377"/>
      <c r="K1815" s="378"/>
      <c r="L1815" s="378"/>
      <c r="M1815" s="378"/>
      <c r="N1815" s="379"/>
      <c r="O1815" s="380"/>
      <c r="P1815" s="378"/>
      <c r="Q1815" s="378"/>
      <c r="R1815" s="378"/>
      <c r="S1815" s="378"/>
      <c r="T1815" s="378"/>
      <c r="U1815" s="378"/>
      <c r="V1815" s="378"/>
      <c r="W1815" s="378"/>
      <c r="X1815" s="378"/>
      <c r="Y1815" s="378"/>
      <c r="Z1815" s="378"/>
      <c r="AA1815" s="378"/>
      <c r="AB1815" s="378"/>
      <c r="AC1815" s="378"/>
      <c r="AD1815" s="378"/>
      <c r="AE1815" s="378"/>
      <c r="AF1815" s="378"/>
      <c r="AG1815" s="378"/>
    </row>
    <row r="1816">
      <c r="A1816" s="378"/>
      <c r="B1816" s="477"/>
      <c r="C1816" s="378"/>
      <c r="D1816" s="378"/>
      <c r="E1816" s="378"/>
      <c r="F1816" s="378"/>
      <c r="G1816" s="378"/>
      <c r="H1816" s="378"/>
      <c r="I1816" s="376"/>
      <c r="J1816" s="377"/>
      <c r="K1816" s="378"/>
      <c r="L1816" s="378"/>
      <c r="M1816" s="378"/>
      <c r="N1816" s="379"/>
      <c r="O1816" s="380"/>
      <c r="P1816" s="378"/>
      <c r="Q1816" s="378"/>
      <c r="R1816" s="378"/>
      <c r="S1816" s="378"/>
      <c r="T1816" s="378"/>
      <c r="U1816" s="378"/>
      <c r="V1816" s="378"/>
      <c r="W1816" s="378"/>
      <c r="X1816" s="378"/>
      <c r="Y1816" s="378"/>
      <c r="Z1816" s="378"/>
      <c r="AA1816" s="378"/>
      <c r="AB1816" s="378"/>
      <c r="AC1816" s="378"/>
      <c r="AD1816" s="378"/>
      <c r="AE1816" s="378"/>
      <c r="AF1816" s="378"/>
      <c r="AG1816" s="378"/>
    </row>
    <row r="1817">
      <c r="A1817" s="378"/>
      <c r="B1817" s="477"/>
      <c r="C1817" s="378"/>
      <c r="D1817" s="378"/>
      <c r="E1817" s="378"/>
      <c r="F1817" s="378"/>
      <c r="G1817" s="378"/>
      <c r="H1817" s="378"/>
      <c r="I1817" s="376"/>
      <c r="J1817" s="377"/>
      <c r="K1817" s="378"/>
      <c r="L1817" s="378"/>
      <c r="M1817" s="378"/>
      <c r="N1817" s="379"/>
      <c r="O1817" s="380"/>
      <c r="P1817" s="378"/>
      <c r="Q1817" s="378"/>
      <c r="R1817" s="378"/>
      <c r="S1817" s="378"/>
      <c r="T1817" s="378"/>
      <c r="U1817" s="378"/>
      <c r="V1817" s="378"/>
      <c r="W1817" s="378"/>
      <c r="X1817" s="378"/>
      <c r="Y1817" s="378"/>
      <c r="Z1817" s="378"/>
      <c r="AA1817" s="378"/>
      <c r="AB1817" s="378"/>
      <c r="AC1817" s="378"/>
      <c r="AD1817" s="378"/>
      <c r="AE1817" s="378"/>
      <c r="AF1817" s="378"/>
      <c r="AG1817" s="378"/>
    </row>
    <row r="1818">
      <c r="A1818" s="378"/>
      <c r="B1818" s="477"/>
      <c r="C1818" s="378"/>
      <c r="D1818" s="378"/>
      <c r="E1818" s="378"/>
      <c r="F1818" s="378"/>
      <c r="G1818" s="378"/>
      <c r="H1818" s="378"/>
      <c r="I1818" s="376"/>
      <c r="J1818" s="377"/>
      <c r="K1818" s="378"/>
      <c r="L1818" s="378"/>
      <c r="M1818" s="378"/>
      <c r="N1818" s="379"/>
      <c r="O1818" s="380"/>
      <c r="P1818" s="378"/>
      <c r="Q1818" s="378"/>
      <c r="R1818" s="378"/>
      <c r="S1818" s="378"/>
      <c r="T1818" s="378"/>
      <c r="U1818" s="378"/>
      <c r="V1818" s="378"/>
      <c r="W1818" s="378"/>
      <c r="X1818" s="378"/>
      <c r="Y1818" s="378"/>
      <c r="Z1818" s="378"/>
      <c r="AA1818" s="378"/>
      <c r="AB1818" s="378"/>
      <c r="AC1818" s="378"/>
      <c r="AD1818" s="378"/>
      <c r="AE1818" s="378"/>
      <c r="AF1818" s="378"/>
      <c r="AG1818" s="378"/>
    </row>
    <row r="1819">
      <c r="A1819" s="378"/>
      <c r="B1819" s="477"/>
      <c r="C1819" s="378"/>
      <c r="D1819" s="378"/>
      <c r="E1819" s="378"/>
      <c r="F1819" s="378"/>
      <c r="G1819" s="378"/>
      <c r="H1819" s="378"/>
      <c r="I1819" s="376"/>
      <c r="J1819" s="377"/>
      <c r="K1819" s="378"/>
      <c r="L1819" s="378"/>
      <c r="M1819" s="378"/>
      <c r="N1819" s="379"/>
      <c r="O1819" s="380"/>
      <c r="P1819" s="378"/>
      <c r="Q1819" s="378"/>
      <c r="R1819" s="378"/>
      <c r="S1819" s="378"/>
      <c r="T1819" s="378"/>
      <c r="U1819" s="378"/>
      <c r="V1819" s="378"/>
      <c r="W1819" s="378"/>
      <c r="X1819" s="378"/>
      <c r="Y1819" s="378"/>
      <c r="Z1819" s="378"/>
      <c r="AA1819" s="378"/>
      <c r="AB1819" s="378"/>
      <c r="AC1819" s="378"/>
      <c r="AD1819" s="378"/>
      <c r="AE1819" s="378"/>
      <c r="AF1819" s="378"/>
      <c r="AG1819" s="378"/>
    </row>
    <row r="1820">
      <c r="A1820" s="378"/>
      <c r="B1820" s="477"/>
      <c r="C1820" s="378"/>
      <c r="D1820" s="378"/>
      <c r="E1820" s="378"/>
      <c r="F1820" s="378"/>
      <c r="G1820" s="378"/>
      <c r="H1820" s="378"/>
      <c r="I1820" s="376"/>
      <c r="J1820" s="377"/>
      <c r="K1820" s="378"/>
      <c r="L1820" s="378"/>
      <c r="M1820" s="378"/>
      <c r="N1820" s="379"/>
      <c r="O1820" s="380"/>
      <c r="P1820" s="378"/>
      <c r="Q1820" s="378"/>
      <c r="R1820" s="378"/>
      <c r="S1820" s="378"/>
      <c r="T1820" s="378"/>
      <c r="U1820" s="378"/>
      <c r="V1820" s="378"/>
      <c r="W1820" s="378"/>
      <c r="X1820" s="378"/>
      <c r="Y1820" s="378"/>
      <c r="Z1820" s="378"/>
      <c r="AA1820" s="378"/>
      <c r="AB1820" s="378"/>
      <c r="AC1820" s="378"/>
      <c r="AD1820" s="378"/>
      <c r="AE1820" s="378"/>
      <c r="AF1820" s="378"/>
      <c r="AG1820" s="378"/>
    </row>
    <row r="1821">
      <c r="A1821" s="378"/>
      <c r="B1821" s="477"/>
      <c r="C1821" s="378"/>
      <c r="D1821" s="378"/>
      <c r="E1821" s="378"/>
      <c r="F1821" s="378"/>
      <c r="G1821" s="378"/>
      <c r="H1821" s="378"/>
      <c r="I1821" s="376"/>
      <c r="J1821" s="377"/>
      <c r="K1821" s="378"/>
      <c r="L1821" s="378"/>
      <c r="M1821" s="378"/>
      <c r="N1821" s="379"/>
      <c r="O1821" s="380"/>
      <c r="P1821" s="378"/>
      <c r="Q1821" s="378"/>
      <c r="R1821" s="378"/>
      <c r="S1821" s="378"/>
      <c r="T1821" s="378"/>
      <c r="U1821" s="378"/>
      <c r="V1821" s="378"/>
      <c r="W1821" s="378"/>
      <c r="X1821" s="378"/>
      <c r="Y1821" s="378"/>
      <c r="Z1821" s="378"/>
      <c r="AA1821" s="378"/>
      <c r="AB1821" s="378"/>
      <c r="AC1821" s="378"/>
      <c r="AD1821" s="378"/>
      <c r="AE1821" s="378"/>
      <c r="AF1821" s="378"/>
      <c r="AG1821" s="378"/>
    </row>
    <row r="1822">
      <c r="A1822" s="378"/>
      <c r="B1822" s="477"/>
      <c r="C1822" s="378"/>
      <c r="D1822" s="378"/>
      <c r="E1822" s="378"/>
      <c r="F1822" s="378"/>
      <c r="G1822" s="378"/>
      <c r="H1822" s="378"/>
      <c r="I1822" s="376"/>
      <c r="J1822" s="377"/>
      <c r="K1822" s="378"/>
      <c r="L1822" s="378"/>
      <c r="M1822" s="378"/>
      <c r="N1822" s="379"/>
      <c r="O1822" s="380"/>
      <c r="P1822" s="378"/>
      <c r="Q1822" s="378"/>
      <c r="R1822" s="378"/>
      <c r="S1822" s="378"/>
      <c r="T1822" s="378"/>
      <c r="U1822" s="378"/>
      <c r="V1822" s="378"/>
      <c r="W1822" s="378"/>
      <c r="X1822" s="378"/>
      <c r="Y1822" s="378"/>
      <c r="Z1822" s="378"/>
      <c r="AA1822" s="378"/>
      <c r="AB1822" s="378"/>
      <c r="AC1822" s="378"/>
      <c r="AD1822" s="378"/>
      <c r="AE1822" s="378"/>
      <c r="AF1822" s="378"/>
      <c r="AG1822" s="378"/>
    </row>
    <row r="1823">
      <c r="A1823" s="378"/>
      <c r="B1823" s="477"/>
      <c r="C1823" s="378"/>
      <c r="D1823" s="378"/>
      <c r="E1823" s="378"/>
      <c r="F1823" s="378"/>
      <c r="G1823" s="378"/>
      <c r="H1823" s="378"/>
      <c r="I1823" s="376"/>
      <c r="J1823" s="377"/>
      <c r="K1823" s="378"/>
      <c r="L1823" s="378"/>
      <c r="M1823" s="378"/>
      <c r="N1823" s="379"/>
      <c r="O1823" s="380"/>
      <c r="P1823" s="378"/>
      <c r="Q1823" s="378"/>
      <c r="R1823" s="378"/>
      <c r="S1823" s="378"/>
      <c r="T1823" s="378"/>
      <c r="U1823" s="378"/>
      <c r="V1823" s="378"/>
      <c r="W1823" s="378"/>
      <c r="X1823" s="378"/>
      <c r="Y1823" s="378"/>
      <c r="Z1823" s="378"/>
      <c r="AA1823" s="378"/>
      <c r="AB1823" s="378"/>
      <c r="AC1823" s="378"/>
      <c r="AD1823" s="378"/>
      <c r="AE1823" s="378"/>
      <c r="AF1823" s="378"/>
      <c r="AG1823" s="378"/>
    </row>
    <row r="1824">
      <c r="A1824" s="378"/>
      <c r="B1824" s="477"/>
      <c r="C1824" s="378"/>
      <c r="D1824" s="378"/>
      <c r="E1824" s="378"/>
      <c r="F1824" s="378"/>
      <c r="G1824" s="378"/>
      <c r="H1824" s="378"/>
      <c r="I1824" s="376"/>
      <c r="J1824" s="377"/>
      <c r="K1824" s="378"/>
      <c r="L1824" s="378"/>
      <c r="M1824" s="378"/>
      <c r="N1824" s="379"/>
      <c r="O1824" s="380"/>
      <c r="P1824" s="378"/>
      <c r="Q1824" s="378"/>
      <c r="R1824" s="378"/>
      <c r="S1824" s="378"/>
      <c r="T1824" s="378"/>
      <c r="U1824" s="378"/>
      <c r="V1824" s="378"/>
      <c r="W1824" s="378"/>
      <c r="X1824" s="378"/>
      <c r="Y1824" s="378"/>
      <c r="Z1824" s="378"/>
      <c r="AA1824" s="378"/>
      <c r="AB1824" s="378"/>
      <c r="AC1824" s="378"/>
      <c r="AD1824" s="378"/>
      <c r="AE1824" s="378"/>
      <c r="AF1824" s="378"/>
      <c r="AG1824" s="378"/>
    </row>
    <row r="1825">
      <c r="A1825" s="378"/>
      <c r="B1825" s="477"/>
      <c r="C1825" s="378"/>
      <c r="D1825" s="378"/>
      <c r="E1825" s="378"/>
      <c r="F1825" s="378"/>
      <c r="G1825" s="378"/>
      <c r="H1825" s="378"/>
      <c r="I1825" s="376"/>
      <c r="J1825" s="377"/>
      <c r="K1825" s="378"/>
      <c r="L1825" s="378"/>
      <c r="M1825" s="378"/>
      <c r="N1825" s="379"/>
      <c r="O1825" s="380"/>
      <c r="P1825" s="378"/>
      <c r="Q1825" s="378"/>
      <c r="R1825" s="378"/>
      <c r="S1825" s="378"/>
      <c r="T1825" s="378"/>
      <c r="U1825" s="378"/>
      <c r="V1825" s="378"/>
      <c r="W1825" s="378"/>
      <c r="X1825" s="378"/>
      <c r="Y1825" s="378"/>
      <c r="Z1825" s="378"/>
      <c r="AA1825" s="378"/>
      <c r="AB1825" s="378"/>
      <c r="AC1825" s="378"/>
      <c r="AD1825" s="378"/>
      <c r="AE1825" s="378"/>
      <c r="AF1825" s="378"/>
      <c r="AG1825" s="378"/>
    </row>
    <row r="1826">
      <c r="A1826" s="378"/>
      <c r="B1826" s="477"/>
      <c r="C1826" s="378"/>
      <c r="D1826" s="378"/>
      <c r="E1826" s="378"/>
      <c r="F1826" s="378"/>
      <c r="G1826" s="378"/>
      <c r="H1826" s="378"/>
      <c r="I1826" s="376"/>
      <c r="J1826" s="377"/>
      <c r="K1826" s="378"/>
      <c r="L1826" s="378"/>
      <c r="M1826" s="378"/>
      <c r="N1826" s="379"/>
      <c r="O1826" s="380"/>
      <c r="P1826" s="378"/>
      <c r="Q1826" s="378"/>
      <c r="R1826" s="378"/>
      <c r="S1826" s="378"/>
      <c r="T1826" s="378"/>
      <c r="U1826" s="378"/>
      <c r="V1826" s="378"/>
      <c r="W1826" s="378"/>
      <c r="X1826" s="378"/>
      <c r="Y1826" s="378"/>
      <c r="Z1826" s="378"/>
      <c r="AA1826" s="378"/>
      <c r="AB1826" s="378"/>
      <c r="AC1826" s="378"/>
      <c r="AD1826" s="378"/>
      <c r="AE1826" s="378"/>
      <c r="AF1826" s="378"/>
      <c r="AG1826" s="378"/>
    </row>
    <row r="1827">
      <c r="A1827" s="378"/>
      <c r="B1827" s="477"/>
      <c r="C1827" s="378"/>
      <c r="D1827" s="378"/>
      <c r="E1827" s="378"/>
      <c r="F1827" s="378"/>
      <c r="G1827" s="378"/>
      <c r="H1827" s="378"/>
      <c r="I1827" s="376"/>
      <c r="J1827" s="377"/>
      <c r="K1827" s="378"/>
      <c r="L1827" s="378"/>
      <c r="M1827" s="378"/>
      <c r="N1827" s="379"/>
      <c r="O1827" s="380"/>
      <c r="P1827" s="378"/>
      <c r="Q1827" s="378"/>
      <c r="R1827" s="378"/>
      <c r="S1827" s="378"/>
      <c r="T1827" s="378"/>
      <c r="U1827" s="378"/>
      <c r="V1827" s="378"/>
      <c r="W1827" s="378"/>
      <c r="X1827" s="378"/>
      <c r="Y1827" s="378"/>
      <c r="Z1827" s="378"/>
      <c r="AA1827" s="378"/>
      <c r="AB1827" s="378"/>
      <c r="AC1827" s="378"/>
      <c r="AD1827" s="378"/>
      <c r="AE1827" s="378"/>
      <c r="AF1827" s="378"/>
      <c r="AG1827" s="378"/>
    </row>
    <row r="1828">
      <c r="A1828" s="378"/>
      <c r="B1828" s="477"/>
      <c r="C1828" s="378"/>
      <c r="D1828" s="378"/>
      <c r="E1828" s="378"/>
      <c r="F1828" s="378"/>
      <c r="G1828" s="378"/>
      <c r="H1828" s="378"/>
      <c r="I1828" s="376"/>
      <c r="J1828" s="377"/>
      <c r="K1828" s="378"/>
      <c r="L1828" s="378"/>
      <c r="M1828" s="378"/>
      <c r="N1828" s="379"/>
      <c r="O1828" s="380"/>
      <c r="P1828" s="378"/>
      <c r="Q1828" s="378"/>
      <c r="R1828" s="378"/>
      <c r="S1828" s="378"/>
      <c r="T1828" s="378"/>
      <c r="U1828" s="378"/>
      <c r="V1828" s="378"/>
      <c r="W1828" s="378"/>
      <c r="X1828" s="378"/>
      <c r="Y1828" s="378"/>
      <c r="Z1828" s="378"/>
      <c r="AA1828" s="378"/>
      <c r="AB1828" s="378"/>
      <c r="AC1828" s="378"/>
      <c r="AD1828" s="378"/>
      <c r="AE1828" s="378"/>
      <c r="AF1828" s="378"/>
      <c r="AG1828" s="378"/>
    </row>
    <row r="1829">
      <c r="A1829" s="378"/>
      <c r="B1829" s="477"/>
      <c r="C1829" s="378"/>
      <c r="D1829" s="378"/>
      <c r="E1829" s="378"/>
      <c r="F1829" s="378"/>
      <c r="G1829" s="378"/>
      <c r="H1829" s="378"/>
      <c r="I1829" s="376"/>
      <c r="J1829" s="377"/>
      <c r="K1829" s="378"/>
      <c r="L1829" s="378"/>
      <c r="M1829" s="378"/>
      <c r="N1829" s="379"/>
      <c r="O1829" s="380"/>
      <c r="P1829" s="378"/>
      <c r="Q1829" s="378"/>
      <c r="R1829" s="378"/>
      <c r="S1829" s="378"/>
      <c r="T1829" s="378"/>
      <c r="U1829" s="378"/>
      <c r="V1829" s="378"/>
      <c r="W1829" s="378"/>
      <c r="X1829" s="378"/>
      <c r="Y1829" s="378"/>
      <c r="Z1829" s="378"/>
      <c r="AA1829" s="378"/>
      <c r="AB1829" s="378"/>
      <c r="AC1829" s="378"/>
      <c r="AD1829" s="378"/>
      <c r="AE1829" s="378"/>
      <c r="AF1829" s="378"/>
      <c r="AG1829" s="378"/>
    </row>
    <row r="1830">
      <c r="A1830" s="378"/>
      <c r="B1830" s="477"/>
      <c r="C1830" s="378"/>
      <c r="D1830" s="378"/>
      <c r="E1830" s="378"/>
      <c r="F1830" s="378"/>
      <c r="G1830" s="378"/>
      <c r="H1830" s="378"/>
      <c r="I1830" s="376"/>
      <c r="J1830" s="377"/>
      <c r="K1830" s="378"/>
      <c r="L1830" s="378"/>
      <c r="M1830" s="378"/>
      <c r="N1830" s="379"/>
      <c r="O1830" s="380"/>
      <c r="P1830" s="378"/>
      <c r="Q1830" s="378"/>
      <c r="R1830" s="378"/>
      <c r="S1830" s="378"/>
      <c r="T1830" s="378"/>
      <c r="U1830" s="378"/>
      <c r="V1830" s="378"/>
      <c r="W1830" s="378"/>
      <c r="X1830" s="378"/>
      <c r="Y1830" s="378"/>
      <c r="Z1830" s="378"/>
      <c r="AA1830" s="378"/>
      <c r="AB1830" s="378"/>
      <c r="AC1830" s="378"/>
      <c r="AD1830" s="378"/>
      <c r="AE1830" s="378"/>
      <c r="AF1830" s="378"/>
      <c r="AG1830" s="378"/>
    </row>
    <row r="1831">
      <c r="A1831" s="378"/>
      <c r="B1831" s="477"/>
      <c r="C1831" s="378"/>
      <c r="D1831" s="378"/>
      <c r="E1831" s="378"/>
      <c r="F1831" s="378"/>
      <c r="G1831" s="378"/>
      <c r="H1831" s="378"/>
      <c r="I1831" s="376"/>
      <c r="J1831" s="377"/>
      <c r="K1831" s="378"/>
      <c r="L1831" s="378"/>
      <c r="M1831" s="378"/>
      <c r="N1831" s="379"/>
      <c r="O1831" s="380"/>
      <c r="P1831" s="378"/>
      <c r="Q1831" s="378"/>
      <c r="R1831" s="378"/>
      <c r="S1831" s="378"/>
      <c r="T1831" s="378"/>
      <c r="U1831" s="378"/>
      <c r="V1831" s="378"/>
      <c r="W1831" s="378"/>
      <c r="X1831" s="378"/>
      <c r="Y1831" s="378"/>
      <c r="Z1831" s="378"/>
      <c r="AA1831" s="378"/>
      <c r="AB1831" s="378"/>
      <c r="AC1831" s="378"/>
      <c r="AD1831" s="378"/>
      <c r="AE1831" s="378"/>
      <c r="AF1831" s="378"/>
      <c r="AG1831" s="378"/>
    </row>
    <row r="1832">
      <c r="A1832" s="378"/>
      <c r="B1832" s="477"/>
      <c r="C1832" s="378"/>
      <c r="D1832" s="378"/>
      <c r="E1832" s="378"/>
      <c r="F1832" s="378"/>
      <c r="G1832" s="378"/>
      <c r="H1832" s="378"/>
      <c r="I1832" s="376"/>
      <c r="J1832" s="377"/>
      <c r="K1832" s="378"/>
      <c r="L1832" s="378"/>
      <c r="M1832" s="378"/>
      <c r="N1832" s="379"/>
      <c r="O1832" s="380"/>
      <c r="P1832" s="378"/>
      <c r="Q1832" s="378"/>
      <c r="R1832" s="378"/>
      <c r="S1832" s="378"/>
      <c r="T1832" s="378"/>
      <c r="U1832" s="378"/>
      <c r="V1832" s="378"/>
      <c r="W1832" s="378"/>
      <c r="X1832" s="378"/>
      <c r="Y1832" s="378"/>
      <c r="Z1832" s="378"/>
      <c r="AA1832" s="378"/>
      <c r="AB1832" s="378"/>
      <c r="AC1832" s="378"/>
      <c r="AD1832" s="378"/>
      <c r="AE1832" s="378"/>
      <c r="AF1832" s="378"/>
      <c r="AG1832" s="378"/>
    </row>
    <row r="1833">
      <c r="A1833" s="378"/>
      <c r="B1833" s="477"/>
      <c r="C1833" s="378"/>
      <c r="D1833" s="378"/>
      <c r="E1833" s="378"/>
      <c r="F1833" s="378"/>
      <c r="G1833" s="378"/>
      <c r="H1833" s="378"/>
      <c r="I1833" s="376"/>
      <c r="J1833" s="377"/>
      <c r="K1833" s="378"/>
      <c r="L1833" s="378"/>
      <c r="M1833" s="378"/>
      <c r="N1833" s="379"/>
      <c r="O1833" s="380"/>
      <c r="P1833" s="378"/>
      <c r="Q1833" s="378"/>
      <c r="R1833" s="378"/>
      <c r="S1833" s="378"/>
      <c r="T1833" s="378"/>
      <c r="U1833" s="378"/>
      <c r="V1833" s="378"/>
      <c r="W1833" s="378"/>
      <c r="X1833" s="378"/>
      <c r="Y1833" s="378"/>
      <c r="Z1833" s="378"/>
      <c r="AA1833" s="378"/>
      <c r="AB1833" s="378"/>
      <c r="AC1833" s="378"/>
      <c r="AD1833" s="378"/>
      <c r="AE1833" s="378"/>
      <c r="AF1833" s="378"/>
      <c r="AG1833" s="378"/>
    </row>
    <row r="1834">
      <c r="A1834" s="378"/>
      <c r="B1834" s="477"/>
      <c r="C1834" s="378"/>
      <c r="D1834" s="378"/>
      <c r="E1834" s="378"/>
      <c r="F1834" s="378"/>
      <c r="G1834" s="378"/>
      <c r="H1834" s="378"/>
      <c r="I1834" s="376"/>
      <c r="J1834" s="377"/>
      <c r="K1834" s="378"/>
      <c r="L1834" s="378"/>
      <c r="M1834" s="378"/>
      <c r="N1834" s="379"/>
      <c r="O1834" s="380"/>
      <c r="P1834" s="378"/>
      <c r="Q1834" s="378"/>
      <c r="R1834" s="378"/>
      <c r="S1834" s="378"/>
      <c r="T1834" s="378"/>
      <c r="U1834" s="378"/>
      <c r="V1834" s="378"/>
      <c r="W1834" s="378"/>
      <c r="X1834" s="378"/>
      <c r="Y1834" s="378"/>
      <c r="Z1834" s="378"/>
      <c r="AA1834" s="378"/>
      <c r="AB1834" s="378"/>
      <c r="AC1834" s="378"/>
      <c r="AD1834" s="378"/>
      <c r="AE1834" s="378"/>
      <c r="AF1834" s="378"/>
      <c r="AG1834" s="378"/>
    </row>
    <row r="1835">
      <c r="A1835" s="378"/>
      <c r="B1835" s="477"/>
      <c r="C1835" s="378"/>
      <c r="D1835" s="378"/>
      <c r="E1835" s="378"/>
      <c r="F1835" s="378"/>
      <c r="G1835" s="378"/>
      <c r="H1835" s="378"/>
      <c r="I1835" s="376"/>
      <c r="J1835" s="377"/>
      <c r="K1835" s="378"/>
      <c r="L1835" s="378"/>
      <c r="M1835" s="378"/>
      <c r="N1835" s="379"/>
      <c r="O1835" s="380"/>
      <c r="P1835" s="378"/>
      <c r="Q1835" s="378"/>
      <c r="R1835" s="378"/>
      <c r="S1835" s="378"/>
      <c r="T1835" s="378"/>
      <c r="U1835" s="378"/>
      <c r="V1835" s="378"/>
      <c r="W1835" s="378"/>
      <c r="X1835" s="378"/>
      <c r="Y1835" s="378"/>
      <c r="Z1835" s="378"/>
      <c r="AA1835" s="378"/>
      <c r="AB1835" s="378"/>
      <c r="AC1835" s="378"/>
      <c r="AD1835" s="378"/>
      <c r="AE1835" s="378"/>
      <c r="AF1835" s="378"/>
      <c r="AG1835" s="378"/>
    </row>
    <row r="1836">
      <c r="A1836" s="378"/>
      <c r="B1836" s="477"/>
      <c r="C1836" s="378"/>
      <c r="D1836" s="378"/>
      <c r="E1836" s="378"/>
      <c r="F1836" s="378"/>
      <c r="G1836" s="378"/>
      <c r="H1836" s="378"/>
      <c r="I1836" s="376"/>
      <c r="J1836" s="377"/>
      <c r="K1836" s="378"/>
      <c r="L1836" s="378"/>
      <c r="M1836" s="378"/>
      <c r="N1836" s="379"/>
      <c r="O1836" s="380"/>
      <c r="P1836" s="378"/>
      <c r="Q1836" s="378"/>
      <c r="R1836" s="378"/>
      <c r="S1836" s="378"/>
      <c r="T1836" s="378"/>
      <c r="U1836" s="378"/>
      <c r="V1836" s="378"/>
      <c r="W1836" s="378"/>
      <c r="X1836" s="378"/>
      <c r="Y1836" s="378"/>
      <c r="Z1836" s="378"/>
      <c r="AA1836" s="378"/>
      <c r="AB1836" s="378"/>
      <c r="AC1836" s="378"/>
      <c r="AD1836" s="378"/>
      <c r="AE1836" s="378"/>
      <c r="AF1836" s="378"/>
      <c r="AG1836" s="378"/>
    </row>
    <row r="1837">
      <c r="A1837" s="378"/>
      <c r="B1837" s="477"/>
      <c r="C1837" s="378"/>
      <c r="D1837" s="378"/>
      <c r="E1837" s="378"/>
      <c r="F1837" s="378"/>
      <c r="G1837" s="378"/>
      <c r="H1837" s="378"/>
      <c r="I1837" s="376"/>
      <c r="J1837" s="377"/>
      <c r="K1837" s="378"/>
      <c r="L1837" s="378"/>
      <c r="M1837" s="378"/>
      <c r="N1837" s="379"/>
      <c r="O1837" s="380"/>
      <c r="P1837" s="378"/>
      <c r="Q1837" s="378"/>
      <c r="R1837" s="378"/>
      <c r="S1837" s="378"/>
      <c r="T1837" s="378"/>
      <c r="U1837" s="378"/>
      <c r="V1837" s="378"/>
      <c r="W1837" s="378"/>
      <c r="X1837" s="378"/>
      <c r="Y1837" s="378"/>
      <c r="Z1837" s="378"/>
      <c r="AA1837" s="378"/>
      <c r="AB1837" s="378"/>
      <c r="AC1837" s="378"/>
      <c r="AD1837" s="378"/>
      <c r="AE1837" s="378"/>
      <c r="AF1837" s="378"/>
      <c r="AG1837" s="378"/>
    </row>
    <row r="1838">
      <c r="A1838" s="378"/>
      <c r="B1838" s="477"/>
      <c r="C1838" s="378"/>
      <c r="D1838" s="378"/>
      <c r="E1838" s="378"/>
      <c r="F1838" s="378"/>
      <c r="G1838" s="378"/>
      <c r="H1838" s="378"/>
      <c r="I1838" s="376"/>
      <c r="J1838" s="377"/>
      <c r="K1838" s="378"/>
      <c r="L1838" s="378"/>
      <c r="M1838" s="378"/>
      <c r="N1838" s="379"/>
      <c r="O1838" s="380"/>
      <c r="P1838" s="378"/>
      <c r="Q1838" s="378"/>
      <c r="R1838" s="378"/>
      <c r="S1838" s="378"/>
      <c r="T1838" s="378"/>
      <c r="U1838" s="378"/>
      <c r="V1838" s="378"/>
      <c r="W1838" s="378"/>
      <c r="X1838" s="378"/>
      <c r="Y1838" s="378"/>
      <c r="Z1838" s="378"/>
      <c r="AA1838" s="378"/>
      <c r="AB1838" s="378"/>
      <c r="AC1838" s="378"/>
      <c r="AD1838" s="378"/>
      <c r="AE1838" s="378"/>
      <c r="AF1838" s="378"/>
      <c r="AG1838" s="378"/>
    </row>
    <row r="1839">
      <c r="A1839" s="378"/>
      <c r="B1839" s="477"/>
      <c r="C1839" s="378"/>
      <c r="D1839" s="378"/>
      <c r="E1839" s="378"/>
      <c r="F1839" s="378"/>
      <c r="G1839" s="378"/>
      <c r="H1839" s="378"/>
      <c r="I1839" s="376"/>
      <c r="J1839" s="377"/>
      <c r="K1839" s="378"/>
      <c r="L1839" s="378"/>
      <c r="M1839" s="378"/>
      <c r="N1839" s="379"/>
      <c r="O1839" s="380"/>
      <c r="P1839" s="378"/>
      <c r="Q1839" s="378"/>
      <c r="R1839" s="378"/>
      <c r="S1839" s="378"/>
      <c r="T1839" s="378"/>
      <c r="U1839" s="378"/>
      <c r="V1839" s="378"/>
      <c r="W1839" s="378"/>
      <c r="X1839" s="378"/>
      <c r="Y1839" s="378"/>
      <c r="Z1839" s="378"/>
      <c r="AA1839" s="378"/>
      <c r="AB1839" s="378"/>
      <c r="AC1839" s="378"/>
      <c r="AD1839" s="378"/>
      <c r="AE1839" s="378"/>
      <c r="AF1839" s="378"/>
      <c r="AG1839" s="378"/>
    </row>
    <row r="1840">
      <c r="A1840" s="378"/>
      <c r="B1840" s="477"/>
      <c r="C1840" s="378"/>
      <c r="D1840" s="378"/>
      <c r="E1840" s="378"/>
      <c r="F1840" s="378"/>
      <c r="G1840" s="378"/>
      <c r="H1840" s="378"/>
      <c r="I1840" s="376"/>
      <c r="J1840" s="377"/>
      <c r="K1840" s="378"/>
      <c r="L1840" s="378"/>
      <c r="M1840" s="378"/>
      <c r="N1840" s="379"/>
      <c r="O1840" s="380"/>
      <c r="P1840" s="378"/>
      <c r="Q1840" s="378"/>
      <c r="R1840" s="378"/>
      <c r="S1840" s="378"/>
      <c r="T1840" s="378"/>
      <c r="U1840" s="378"/>
      <c r="V1840" s="378"/>
      <c r="W1840" s="378"/>
      <c r="X1840" s="378"/>
      <c r="Y1840" s="378"/>
      <c r="Z1840" s="378"/>
      <c r="AA1840" s="378"/>
      <c r="AB1840" s="378"/>
      <c r="AC1840" s="378"/>
      <c r="AD1840" s="378"/>
      <c r="AE1840" s="378"/>
      <c r="AF1840" s="378"/>
      <c r="AG1840" s="378"/>
    </row>
    <row r="1841">
      <c r="A1841" s="378"/>
      <c r="B1841" s="477"/>
      <c r="C1841" s="378"/>
      <c r="D1841" s="378"/>
      <c r="E1841" s="378"/>
      <c r="F1841" s="378"/>
      <c r="G1841" s="378"/>
      <c r="H1841" s="378"/>
      <c r="I1841" s="376"/>
      <c r="J1841" s="377"/>
      <c r="K1841" s="378"/>
      <c r="L1841" s="378"/>
      <c r="M1841" s="378"/>
      <c r="N1841" s="379"/>
      <c r="O1841" s="380"/>
      <c r="P1841" s="378"/>
      <c r="Q1841" s="378"/>
      <c r="R1841" s="378"/>
      <c r="S1841" s="378"/>
      <c r="T1841" s="378"/>
      <c r="U1841" s="378"/>
      <c r="V1841" s="378"/>
      <c r="W1841" s="378"/>
      <c r="X1841" s="378"/>
      <c r="Y1841" s="378"/>
      <c r="Z1841" s="378"/>
      <c r="AA1841" s="378"/>
      <c r="AB1841" s="378"/>
      <c r="AC1841" s="378"/>
      <c r="AD1841" s="378"/>
      <c r="AE1841" s="378"/>
      <c r="AF1841" s="378"/>
      <c r="AG1841" s="378"/>
    </row>
    <row r="1842">
      <c r="A1842" s="378"/>
      <c r="B1842" s="477"/>
      <c r="C1842" s="378"/>
      <c r="D1842" s="378"/>
      <c r="E1842" s="378"/>
      <c r="F1842" s="378"/>
      <c r="G1842" s="378"/>
      <c r="H1842" s="378"/>
      <c r="I1842" s="376"/>
      <c r="J1842" s="377"/>
      <c r="K1842" s="378"/>
      <c r="L1842" s="378"/>
      <c r="M1842" s="378"/>
      <c r="N1842" s="379"/>
      <c r="O1842" s="380"/>
      <c r="P1842" s="378"/>
      <c r="Q1842" s="378"/>
      <c r="R1842" s="378"/>
      <c r="S1842" s="378"/>
      <c r="T1842" s="378"/>
      <c r="U1842" s="378"/>
      <c r="V1842" s="378"/>
      <c r="W1842" s="378"/>
      <c r="X1842" s="378"/>
      <c r="Y1842" s="378"/>
      <c r="Z1842" s="378"/>
      <c r="AA1842" s="378"/>
      <c r="AB1842" s="378"/>
      <c r="AC1842" s="378"/>
      <c r="AD1842" s="378"/>
      <c r="AE1842" s="378"/>
      <c r="AF1842" s="378"/>
      <c r="AG1842" s="378"/>
    </row>
    <row r="1843">
      <c r="A1843" s="378"/>
      <c r="B1843" s="477"/>
      <c r="C1843" s="378"/>
      <c r="D1843" s="378"/>
      <c r="E1843" s="378"/>
      <c r="F1843" s="378"/>
      <c r="G1843" s="378"/>
      <c r="H1843" s="378"/>
      <c r="I1843" s="376"/>
      <c r="J1843" s="377"/>
      <c r="K1843" s="378"/>
      <c r="L1843" s="378"/>
      <c r="M1843" s="378"/>
      <c r="N1843" s="379"/>
      <c r="O1843" s="380"/>
      <c r="P1843" s="378"/>
      <c r="Q1843" s="378"/>
      <c r="R1843" s="378"/>
      <c r="S1843" s="378"/>
      <c r="T1843" s="378"/>
      <c r="U1843" s="378"/>
      <c r="V1843" s="378"/>
      <c r="W1843" s="378"/>
      <c r="X1843" s="378"/>
      <c r="Y1843" s="378"/>
      <c r="Z1843" s="378"/>
      <c r="AA1843" s="378"/>
      <c r="AB1843" s="378"/>
      <c r="AC1843" s="378"/>
      <c r="AD1843" s="378"/>
      <c r="AE1843" s="378"/>
      <c r="AF1843" s="378"/>
      <c r="AG1843" s="378"/>
    </row>
  </sheetData>
  <mergeCells count="308">
    <mergeCell ref="F533:H533"/>
    <mergeCell ref="N533:P533"/>
    <mergeCell ref="B541:E541"/>
    <mergeCell ref="J541:M541"/>
    <mergeCell ref="F553:F555"/>
    <mergeCell ref="G553:H555"/>
    <mergeCell ref="O553:P555"/>
    <mergeCell ref="F562:H562"/>
    <mergeCell ref="N562:P562"/>
    <mergeCell ref="F563:H563"/>
    <mergeCell ref="N563:P563"/>
    <mergeCell ref="N564:P564"/>
    <mergeCell ref="B572:E572"/>
    <mergeCell ref="J572:M572"/>
    <mergeCell ref="F429:F431"/>
    <mergeCell ref="G429:H431"/>
    <mergeCell ref="O429:P431"/>
    <mergeCell ref="F438:H438"/>
    <mergeCell ref="N438:P438"/>
    <mergeCell ref="F439:H439"/>
    <mergeCell ref="F440:H440"/>
    <mergeCell ref="N439:P439"/>
    <mergeCell ref="N440:P440"/>
    <mergeCell ref="B448:E448"/>
    <mergeCell ref="J448:M448"/>
    <mergeCell ref="F460:F462"/>
    <mergeCell ref="G460:H462"/>
    <mergeCell ref="O460:P462"/>
    <mergeCell ref="F469:H469"/>
    <mergeCell ref="N469:P469"/>
    <mergeCell ref="F470:H470"/>
    <mergeCell ref="N470:P470"/>
    <mergeCell ref="N471:P471"/>
    <mergeCell ref="B479:E479"/>
    <mergeCell ref="J479:M479"/>
    <mergeCell ref="F471:H471"/>
    <mergeCell ref="F491:F493"/>
    <mergeCell ref="G491:H493"/>
    <mergeCell ref="O491:P493"/>
    <mergeCell ref="F500:H500"/>
    <mergeCell ref="N500:P500"/>
    <mergeCell ref="N501:P501"/>
    <mergeCell ref="F501:H501"/>
    <mergeCell ref="B510:E510"/>
    <mergeCell ref="J510:M510"/>
    <mergeCell ref="G522:H524"/>
    <mergeCell ref="O522:P524"/>
    <mergeCell ref="F531:H531"/>
    <mergeCell ref="F532:H532"/>
    <mergeCell ref="F564:H564"/>
    <mergeCell ref="G584:H586"/>
    <mergeCell ref="F593:H593"/>
    <mergeCell ref="F594:H594"/>
    <mergeCell ref="F595:H595"/>
    <mergeCell ref="B603:E603"/>
    <mergeCell ref="J603:M603"/>
    <mergeCell ref="F584:F586"/>
    <mergeCell ref="F615:F617"/>
    <mergeCell ref="G615:H617"/>
    <mergeCell ref="F624:H624"/>
    <mergeCell ref="F625:H625"/>
    <mergeCell ref="F626:H626"/>
    <mergeCell ref="N626:P626"/>
    <mergeCell ref="B757:E757"/>
    <mergeCell ref="J757:M757"/>
    <mergeCell ref="G769:H771"/>
    <mergeCell ref="O769:P771"/>
    <mergeCell ref="F778:H778"/>
    <mergeCell ref="N778:P778"/>
    <mergeCell ref="N779:P779"/>
    <mergeCell ref="N780:P780"/>
    <mergeCell ref="F779:H779"/>
    <mergeCell ref="F780:H780"/>
    <mergeCell ref="B788:E788"/>
    <mergeCell ref="J788:M788"/>
    <mergeCell ref="G800:H802"/>
    <mergeCell ref="O800:P802"/>
    <mergeCell ref="N809:P809"/>
    <mergeCell ref="N655:P655"/>
    <mergeCell ref="N656:P656"/>
    <mergeCell ref="B634:E634"/>
    <mergeCell ref="J634:M634"/>
    <mergeCell ref="F646:F648"/>
    <mergeCell ref="G646:H648"/>
    <mergeCell ref="O646:P648"/>
    <mergeCell ref="F655:H655"/>
    <mergeCell ref="F656:H656"/>
    <mergeCell ref="B665:E665"/>
    <mergeCell ref="J665:M665"/>
    <mergeCell ref="G677:H679"/>
    <mergeCell ref="O677:P679"/>
    <mergeCell ref="F685:H685"/>
    <mergeCell ref="N685:P685"/>
    <mergeCell ref="N686:P686"/>
    <mergeCell ref="N687:P687"/>
    <mergeCell ref="F686:H686"/>
    <mergeCell ref="F687:H687"/>
    <mergeCell ref="B695:E695"/>
    <mergeCell ref="J695:M695"/>
    <mergeCell ref="G707:H709"/>
    <mergeCell ref="O707:P709"/>
    <mergeCell ref="F715:G715"/>
    <mergeCell ref="F716:H716"/>
    <mergeCell ref="N716:P716"/>
    <mergeCell ref="F717:H717"/>
    <mergeCell ref="N717:P717"/>
    <mergeCell ref="B726:E726"/>
    <mergeCell ref="J726:M726"/>
    <mergeCell ref="O738:P740"/>
    <mergeCell ref="G738:H740"/>
    <mergeCell ref="F747:H747"/>
    <mergeCell ref="N747:P747"/>
    <mergeCell ref="F748:H748"/>
    <mergeCell ref="N748:P748"/>
    <mergeCell ref="F749:H749"/>
    <mergeCell ref="N749:P749"/>
    <mergeCell ref="F809:H809"/>
    <mergeCell ref="F810:H810"/>
    <mergeCell ref="N810:P810"/>
    <mergeCell ref="F811:H811"/>
    <mergeCell ref="N811:P811"/>
    <mergeCell ref="B819:E819"/>
    <mergeCell ref="J819:M819"/>
    <mergeCell ref="N160:P160"/>
    <mergeCell ref="N161:P161"/>
    <mergeCell ref="O119:P121"/>
    <mergeCell ref="N128:P128"/>
    <mergeCell ref="N129:P129"/>
    <mergeCell ref="N130:P130"/>
    <mergeCell ref="J138:M138"/>
    <mergeCell ref="O150:P152"/>
    <mergeCell ref="N159:P159"/>
    <mergeCell ref="F159:H159"/>
    <mergeCell ref="F160:H160"/>
    <mergeCell ref="F161:H161"/>
    <mergeCell ref="B169:E169"/>
    <mergeCell ref="J169:M169"/>
    <mergeCell ref="G181:H183"/>
    <mergeCell ref="O181:P183"/>
    <mergeCell ref="F190:H190"/>
    <mergeCell ref="N190:P190"/>
    <mergeCell ref="F191:H191"/>
    <mergeCell ref="N191:P191"/>
    <mergeCell ref="N192:P192"/>
    <mergeCell ref="B200:E200"/>
    <mergeCell ref="J200:M200"/>
    <mergeCell ref="F3:H3"/>
    <mergeCell ref="N3:P3"/>
    <mergeCell ref="F4:H4"/>
    <mergeCell ref="N4:P4"/>
    <mergeCell ref="N5:P5"/>
    <mergeCell ref="B13:E13"/>
    <mergeCell ref="J13:M13"/>
    <mergeCell ref="F5:H5"/>
    <mergeCell ref="G25:H27"/>
    <mergeCell ref="O25:P27"/>
    <mergeCell ref="F34:H34"/>
    <mergeCell ref="N34:P34"/>
    <mergeCell ref="F35:H35"/>
    <mergeCell ref="F36:H36"/>
    <mergeCell ref="N35:P35"/>
    <mergeCell ref="N36:P36"/>
    <mergeCell ref="B44:E44"/>
    <mergeCell ref="J44:M44"/>
    <mergeCell ref="G56:H58"/>
    <mergeCell ref="N56:N58"/>
    <mergeCell ref="O56:P58"/>
    <mergeCell ref="F65:H65"/>
    <mergeCell ref="N65:P65"/>
    <mergeCell ref="F66:H66"/>
    <mergeCell ref="N66:P66"/>
    <mergeCell ref="B75:E75"/>
    <mergeCell ref="J75:M75"/>
    <mergeCell ref="O87:P89"/>
    <mergeCell ref="F97:H97"/>
    <mergeCell ref="N97:P97"/>
    <mergeCell ref="F98:H98"/>
    <mergeCell ref="N98:P98"/>
    <mergeCell ref="N99:P99"/>
    <mergeCell ref="B107:E107"/>
    <mergeCell ref="J107:M107"/>
    <mergeCell ref="G87:H89"/>
    <mergeCell ref="G119:H121"/>
    <mergeCell ref="F128:H128"/>
    <mergeCell ref="F129:H129"/>
    <mergeCell ref="F130:H130"/>
    <mergeCell ref="B138:E138"/>
    <mergeCell ref="G150:H152"/>
    <mergeCell ref="F192:H192"/>
    <mergeCell ref="G212:H214"/>
    <mergeCell ref="O212:P214"/>
    <mergeCell ref="F221:H221"/>
    <mergeCell ref="N221:P221"/>
    <mergeCell ref="F222:H222"/>
    <mergeCell ref="F223:H223"/>
    <mergeCell ref="B355:E355"/>
    <mergeCell ref="J355:M355"/>
    <mergeCell ref="G367:H369"/>
    <mergeCell ref="O367:P369"/>
    <mergeCell ref="F376:H376"/>
    <mergeCell ref="N376:P376"/>
    <mergeCell ref="N377:P377"/>
    <mergeCell ref="N378:P378"/>
    <mergeCell ref="F377:H377"/>
    <mergeCell ref="F378:H378"/>
    <mergeCell ref="B386:E386"/>
    <mergeCell ref="J386:M386"/>
    <mergeCell ref="G398:H400"/>
    <mergeCell ref="O398:P400"/>
    <mergeCell ref="N407:P407"/>
    <mergeCell ref="N222:P222"/>
    <mergeCell ref="N223:P223"/>
    <mergeCell ref="B231:E231"/>
    <mergeCell ref="J231:M231"/>
    <mergeCell ref="G243:H245"/>
    <mergeCell ref="O243:P245"/>
    <mergeCell ref="N252:P252"/>
    <mergeCell ref="F252:H252"/>
    <mergeCell ref="F253:H253"/>
    <mergeCell ref="F254:H254"/>
    <mergeCell ref="B262:E262"/>
    <mergeCell ref="J262:M262"/>
    <mergeCell ref="G274:H276"/>
    <mergeCell ref="F283:H283"/>
    <mergeCell ref="N314:P314"/>
    <mergeCell ref="N315:P315"/>
    <mergeCell ref="N316:P316"/>
    <mergeCell ref="O336:P338"/>
    <mergeCell ref="N345:P345"/>
    <mergeCell ref="N346:P346"/>
    <mergeCell ref="N347:P347"/>
    <mergeCell ref="N253:P253"/>
    <mergeCell ref="N254:P254"/>
    <mergeCell ref="O274:P276"/>
    <mergeCell ref="N283:P283"/>
    <mergeCell ref="N284:P284"/>
    <mergeCell ref="N285:P285"/>
    <mergeCell ref="O305:P307"/>
    <mergeCell ref="F284:H284"/>
    <mergeCell ref="F285:H285"/>
    <mergeCell ref="B293:E293"/>
    <mergeCell ref="J293:M293"/>
    <mergeCell ref="G305:H307"/>
    <mergeCell ref="F314:H314"/>
    <mergeCell ref="F315:H315"/>
    <mergeCell ref="F316:H316"/>
    <mergeCell ref="B324:E324"/>
    <mergeCell ref="J324:M324"/>
    <mergeCell ref="G336:H338"/>
    <mergeCell ref="F345:H345"/>
    <mergeCell ref="F346:H346"/>
    <mergeCell ref="F347:H347"/>
    <mergeCell ref="F407:H407"/>
    <mergeCell ref="F408:H408"/>
    <mergeCell ref="N408:P408"/>
    <mergeCell ref="F409:H409"/>
    <mergeCell ref="N409:P409"/>
    <mergeCell ref="B417:E417"/>
    <mergeCell ref="J417:M417"/>
    <mergeCell ref="N624:P624"/>
    <mergeCell ref="N625:P625"/>
    <mergeCell ref="N531:P531"/>
    <mergeCell ref="N532:P532"/>
    <mergeCell ref="O584:P586"/>
    <mergeCell ref="N593:P593"/>
    <mergeCell ref="N594:P594"/>
    <mergeCell ref="N595:P595"/>
    <mergeCell ref="O615:P617"/>
    <mergeCell ref="G831:H833"/>
    <mergeCell ref="O831:P833"/>
    <mergeCell ref="F840:H840"/>
    <mergeCell ref="N840:P840"/>
    <mergeCell ref="F841:H841"/>
    <mergeCell ref="N841:P841"/>
    <mergeCell ref="N842:P842"/>
    <mergeCell ref="N871:P871"/>
    <mergeCell ref="N872:P872"/>
    <mergeCell ref="F842:H842"/>
    <mergeCell ref="B852:E852"/>
    <mergeCell ref="J852:M852"/>
    <mergeCell ref="G862:H864"/>
    <mergeCell ref="O862:P864"/>
    <mergeCell ref="F871:H871"/>
    <mergeCell ref="F872:H872"/>
    <mergeCell ref="F873:H873"/>
    <mergeCell ref="N873:P873"/>
    <mergeCell ref="B881:E881"/>
    <mergeCell ref="J881:M881"/>
    <mergeCell ref="G893:H895"/>
    <mergeCell ref="N893:N895"/>
    <mergeCell ref="O893:P895"/>
    <mergeCell ref="F902:H902"/>
    <mergeCell ref="N902:P902"/>
    <mergeCell ref="F903:H903"/>
    <mergeCell ref="N903:P903"/>
    <mergeCell ref="N904:P904"/>
    <mergeCell ref="B912:E912"/>
    <mergeCell ref="J912:M912"/>
    <mergeCell ref="G924:H926"/>
    <mergeCell ref="G955:H957"/>
    <mergeCell ref="B965:D965"/>
    <mergeCell ref="F904:H904"/>
    <mergeCell ref="N924:N926"/>
    <mergeCell ref="O924:P926"/>
    <mergeCell ref="F933:H933"/>
    <mergeCell ref="F934:H934"/>
    <mergeCell ref="F935:H935"/>
    <mergeCell ref="B943:E94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0.1" defaultRowHeight="15.0"/>
  <cols>
    <col customWidth="1" min="1" max="1" width="8.8"/>
    <col customWidth="1" min="3" max="3" width="14.9"/>
    <col customWidth="1" min="4" max="4" width="17.0"/>
    <col customWidth="1" min="5" max="5" width="8.3"/>
    <col customWidth="1" min="6" max="6" width="6.3"/>
    <col customWidth="1" min="7" max="7" width="12.8"/>
    <col customWidth="1" min="11" max="11" width="18.6"/>
    <col customWidth="1" min="12" max="12" width="16.2"/>
    <col customWidth="1" min="13" max="13" width="5.5"/>
    <col customWidth="1" min="14" max="14" width="7.0"/>
    <col customWidth="1" min="15" max="15" width="7.4"/>
    <col customWidth="1" min="19" max="19" width="18.3"/>
    <col customWidth="1" min="20" max="20" width="13.4"/>
  </cols>
  <sheetData>
    <row r="1">
      <c r="A1" s="685" t="s">
        <v>959</v>
      </c>
      <c r="B1" s="686"/>
      <c r="C1" s="687"/>
      <c r="D1" s="688" t="s">
        <v>960</v>
      </c>
      <c r="E1" s="686"/>
      <c r="F1" s="686"/>
      <c r="G1" s="686"/>
      <c r="H1" s="686"/>
      <c r="I1" s="686"/>
      <c r="J1" s="686"/>
      <c r="K1" s="686"/>
      <c r="L1" s="689"/>
      <c r="M1" s="690"/>
      <c r="N1" s="691"/>
      <c r="O1" s="692"/>
      <c r="P1" s="693" t="s">
        <v>961</v>
      </c>
      <c r="Q1" s="694" t="s">
        <v>962</v>
      </c>
    </row>
    <row r="2">
      <c r="A2" s="695"/>
      <c r="B2" s="696" t="s">
        <v>916</v>
      </c>
      <c r="C2" s="697" t="s">
        <v>711</v>
      </c>
      <c r="D2" s="698" t="s">
        <v>4</v>
      </c>
      <c r="E2" s="699" t="s">
        <v>5</v>
      </c>
      <c r="F2" s="699" t="s">
        <v>6</v>
      </c>
      <c r="G2" s="699" t="s">
        <v>7</v>
      </c>
      <c r="H2" s="700" t="s">
        <v>8</v>
      </c>
      <c r="I2" s="701" t="s">
        <v>9</v>
      </c>
      <c r="J2" s="699" t="s">
        <v>10</v>
      </c>
      <c r="K2" s="699" t="s">
        <v>11</v>
      </c>
      <c r="L2" s="702" t="s">
        <v>12</v>
      </c>
      <c r="M2" s="4"/>
      <c r="N2" s="703" t="s">
        <v>963</v>
      </c>
      <c r="P2" s="704">
        <f>SUM(H3:H61)</f>
        <v>111918.8</v>
      </c>
      <c r="Q2" s="705"/>
      <c r="R2" s="145"/>
      <c r="S2" s="145"/>
      <c r="T2" s="145"/>
      <c r="U2" s="145"/>
      <c r="V2" s="145"/>
      <c r="W2" s="145"/>
      <c r="X2" s="145"/>
      <c r="Y2" s="145"/>
    </row>
    <row r="3">
      <c r="A3" s="706"/>
      <c r="B3" s="707" t="s">
        <v>916</v>
      </c>
      <c r="C3" s="707" t="s">
        <v>964</v>
      </c>
      <c r="D3" s="11">
        <v>45986.0</v>
      </c>
      <c r="E3" s="10">
        <v>9.340326E7</v>
      </c>
      <c r="F3" s="10" t="s">
        <v>965</v>
      </c>
      <c r="G3" s="10" t="s">
        <v>966</v>
      </c>
      <c r="H3" s="12">
        <v>0.0</v>
      </c>
      <c r="I3" s="13">
        <v>0.0</v>
      </c>
      <c r="J3" s="10" t="s">
        <v>967</v>
      </c>
      <c r="K3" s="708"/>
      <c r="L3" s="709"/>
      <c r="M3" s="10"/>
      <c r="N3" s="710" t="s">
        <v>968</v>
      </c>
      <c r="P3" s="711">
        <f>SUM(I3:I61)</f>
        <v>54573</v>
      </c>
      <c r="Q3" s="705"/>
      <c r="R3" s="145"/>
      <c r="S3" s="145"/>
      <c r="T3" s="145"/>
      <c r="U3" s="145"/>
      <c r="V3" s="145"/>
      <c r="W3" s="145"/>
      <c r="X3" s="145"/>
      <c r="Y3" s="145"/>
    </row>
    <row r="4">
      <c r="A4" s="706"/>
      <c r="B4" s="712" t="s">
        <v>431</v>
      </c>
      <c r="C4" s="713">
        <v>2135.85</v>
      </c>
      <c r="D4" s="11">
        <v>45985.0</v>
      </c>
      <c r="E4" s="10">
        <v>5.35801219E8</v>
      </c>
      <c r="F4" s="10" t="s">
        <v>969</v>
      </c>
      <c r="G4" s="10" t="s">
        <v>970</v>
      </c>
      <c r="H4" s="12">
        <v>250.0</v>
      </c>
      <c r="I4" s="13">
        <v>0.0</v>
      </c>
      <c r="J4" s="10" t="s">
        <v>971</v>
      </c>
      <c r="K4" s="10" t="s">
        <v>185</v>
      </c>
      <c r="L4" s="714">
        <v>3881.0</v>
      </c>
      <c r="M4" s="10"/>
      <c r="N4" s="703" t="s">
        <v>972</v>
      </c>
      <c r="P4" s="704">
        <f>SUM(C4:C30)</f>
        <v>45383.78</v>
      </c>
      <c r="Q4" s="715"/>
      <c r="R4" s="128"/>
      <c r="S4" s="128"/>
      <c r="T4" s="128"/>
      <c r="U4" s="128"/>
      <c r="V4" s="128"/>
      <c r="W4" s="128"/>
      <c r="X4" s="128"/>
      <c r="Y4" s="128"/>
    </row>
    <row r="5">
      <c r="A5" s="706"/>
      <c r="B5" s="712" t="s">
        <v>973</v>
      </c>
      <c r="C5" s="713">
        <v>2673.12</v>
      </c>
      <c r="D5" s="11">
        <v>45985.0</v>
      </c>
      <c r="E5" s="10">
        <v>1572898.0</v>
      </c>
      <c r="F5" s="10" t="s">
        <v>974</v>
      </c>
      <c r="G5" s="10" t="s">
        <v>975</v>
      </c>
      <c r="H5" s="12">
        <v>3100.0</v>
      </c>
      <c r="I5" s="13">
        <v>1528.0</v>
      </c>
      <c r="J5" s="10" t="s">
        <v>976</v>
      </c>
      <c r="K5" s="10" t="s">
        <v>249</v>
      </c>
      <c r="L5" s="714">
        <v>7048.0</v>
      </c>
      <c r="M5" s="10"/>
      <c r="N5" s="710"/>
      <c r="P5" s="126"/>
      <c r="Q5" s="716">
        <v>45383.78</v>
      </c>
      <c r="R5" s="126"/>
      <c r="S5" s="126"/>
      <c r="T5" s="126"/>
      <c r="U5" s="717"/>
      <c r="V5" s="126"/>
      <c r="W5" s="145"/>
      <c r="X5" s="145"/>
      <c r="Y5" s="145"/>
    </row>
    <row r="6">
      <c r="A6" s="706"/>
      <c r="B6" s="712" t="s">
        <v>513</v>
      </c>
      <c r="C6" s="713">
        <v>1062.81</v>
      </c>
      <c r="D6" s="11">
        <v>45985.0</v>
      </c>
      <c r="E6" s="10">
        <v>161551.0</v>
      </c>
      <c r="F6" s="10" t="s">
        <v>977</v>
      </c>
      <c r="G6" s="10" t="s">
        <v>978</v>
      </c>
      <c r="H6" s="12">
        <v>1050.0</v>
      </c>
      <c r="I6" s="13">
        <v>659.0</v>
      </c>
      <c r="J6" s="10" t="s">
        <v>979</v>
      </c>
      <c r="K6" s="10" t="s">
        <v>980</v>
      </c>
      <c r="L6" s="714">
        <v>6338.0</v>
      </c>
      <c r="M6" s="10"/>
      <c r="N6" s="703" t="s">
        <v>981</v>
      </c>
      <c r="P6" s="145"/>
      <c r="Q6" s="718">
        <f>sum(U24:U63)</f>
        <v>3766.26</v>
      </c>
      <c r="R6" s="126"/>
      <c r="S6" s="145"/>
      <c r="T6" s="145"/>
      <c r="U6" s="145"/>
      <c r="V6" s="145"/>
      <c r="W6" s="145"/>
      <c r="X6" s="145"/>
      <c r="Y6" s="145"/>
    </row>
    <row r="7">
      <c r="A7" s="706"/>
      <c r="B7" s="712" t="s">
        <v>982</v>
      </c>
      <c r="C7" s="713">
        <v>1731.16</v>
      </c>
      <c r="D7" s="11">
        <v>45985.0</v>
      </c>
      <c r="E7" s="10" t="s">
        <v>983</v>
      </c>
      <c r="F7" s="10" t="s">
        <v>984</v>
      </c>
      <c r="G7" s="10" t="s">
        <v>985</v>
      </c>
      <c r="H7" s="12">
        <v>2800.0</v>
      </c>
      <c r="I7" s="13">
        <v>1218.0</v>
      </c>
      <c r="J7" s="10" t="s">
        <v>986</v>
      </c>
      <c r="K7" s="10" t="s">
        <v>95</v>
      </c>
      <c r="L7" s="714">
        <v>2516.0</v>
      </c>
      <c r="M7" s="10"/>
      <c r="N7" s="703" t="s">
        <v>987</v>
      </c>
      <c r="P7" s="145"/>
      <c r="Q7" s="705"/>
      <c r="R7" s="145"/>
      <c r="S7" s="145"/>
      <c r="T7" s="126"/>
      <c r="U7" s="717"/>
      <c r="V7" s="145"/>
      <c r="W7" s="145"/>
      <c r="X7" s="126"/>
      <c r="Y7" s="126"/>
    </row>
    <row r="8">
      <c r="A8" s="706"/>
      <c r="B8" s="719">
        <v>2316.0</v>
      </c>
      <c r="C8" s="713">
        <v>2729.63</v>
      </c>
      <c r="D8" s="11">
        <v>45985.0</v>
      </c>
      <c r="E8" s="10">
        <v>5.35295368E8</v>
      </c>
      <c r="F8" s="10" t="s">
        <v>988</v>
      </c>
      <c r="G8" s="10" t="s">
        <v>989</v>
      </c>
      <c r="H8" s="12">
        <v>2300.0</v>
      </c>
      <c r="I8" s="13">
        <v>1155.0</v>
      </c>
      <c r="J8" s="10" t="s">
        <v>990</v>
      </c>
      <c r="K8" s="10" t="s">
        <v>185</v>
      </c>
      <c r="L8" s="714">
        <v>3881.0</v>
      </c>
      <c r="M8" s="10"/>
      <c r="N8" s="703" t="s">
        <v>991</v>
      </c>
      <c r="P8" s="720">
        <f>400*33</f>
        <v>13200</v>
      </c>
      <c r="Q8" s="718">
        <f>SUM(S24:S63)</f>
        <v>8800</v>
      </c>
      <c r="R8" s="145"/>
      <c r="S8" s="145"/>
      <c r="T8" s="145"/>
      <c r="U8" s="145"/>
      <c r="V8" s="145"/>
      <c r="W8" s="145"/>
      <c r="X8" s="145"/>
      <c r="Y8" s="145"/>
    </row>
    <row r="9">
      <c r="A9" s="706"/>
      <c r="B9" s="719">
        <v>2516.0</v>
      </c>
      <c r="C9" s="713">
        <v>747.17</v>
      </c>
      <c r="D9" s="11">
        <v>45985.0</v>
      </c>
      <c r="E9" s="10" t="s">
        <v>992</v>
      </c>
      <c r="F9" s="10" t="s">
        <v>246</v>
      </c>
      <c r="G9" s="10" t="s">
        <v>993</v>
      </c>
      <c r="H9" s="12">
        <v>816.0</v>
      </c>
      <c r="I9" s="13">
        <v>562.0</v>
      </c>
      <c r="J9" s="10" t="s">
        <v>994</v>
      </c>
      <c r="K9" s="10" t="s">
        <v>320</v>
      </c>
      <c r="L9" s="714">
        <v>9348.0</v>
      </c>
      <c r="M9" s="10"/>
      <c r="N9" s="710"/>
      <c r="P9" s="126"/>
      <c r="Q9" s="705"/>
      <c r="R9" s="126"/>
      <c r="S9" s="126"/>
      <c r="T9" s="126"/>
      <c r="U9" s="717"/>
      <c r="V9" s="126"/>
      <c r="W9" s="145"/>
      <c r="X9" s="126"/>
      <c r="Y9" s="126"/>
    </row>
    <row r="10">
      <c r="A10" s="706"/>
      <c r="B10" s="719">
        <v>2675.0</v>
      </c>
      <c r="C10" s="713">
        <v>2610.76</v>
      </c>
      <c r="D10" s="11">
        <v>45985.0</v>
      </c>
      <c r="E10" s="10">
        <v>794771.0</v>
      </c>
      <c r="F10" s="10" t="s">
        <v>995</v>
      </c>
      <c r="G10" s="10" t="s">
        <v>996</v>
      </c>
      <c r="H10" s="12">
        <v>675.0</v>
      </c>
      <c r="I10" s="13">
        <v>571.0</v>
      </c>
      <c r="J10" s="10" t="s">
        <v>997</v>
      </c>
      <c r="K10" s="10" t="s">
        <v>287</v>
      </c>
      <c r="L10" s="714">
        <v>7807.0</v>
      </c>
      <c r="M10" s="10"/>
      <c r="N10" s="710" t="s">
        <v>998</v>
      </c>
      <c r="P10" s="126"/>
      <c r="Q10" s="721">
        <f>SUM(T25:T63)</f>
        <v>3400</v>
      </c>
      <c r="R10" s="126"/>
      <c r="S10" s="145"/>
      <c r="T10" s="145"/>
      <c r="U10" s="145"/>
      <c r="V10" s="145"/>
      <c r="W10" s="145"/>
      <c r="X10" s="145"/>
      <c r="Y10" s="145"/>
    </row>
    <row r="11">
      <c r="A11" s="706"/>
      <c r="B11" s="719">
        <v>2693.0</v>
      </c>
      <c r="C11" s="713">
        <v>3387.6</v>
      </c>
      <c r="D11" s="11">
        <v>45985.0</v>
      </c>
      <c r="E11" s="10">
        <v>1259248.0</v>
      </c>
      <c r="F11" s="10" t="s">
        <v>999</v>
      </c>
      <c r="G11" s="10" t="s">
        <v>1000</v>
      </c>
      <c r="H11" s="12">
        <v>2000.0</v>
      </c>
      <c r="I11" s="13">
        <v>774.0</v>
      </c>
      <c r="J11" s="10" t="s">
        <v>1001</v>
      </c>
      <c r="K11" s="10" t="s">
        <v>1002</v>
      </c>
      <c r="L11" s="714">
        <v>9334.0</v>
      </c>
      <c r="M11" s="708"/>
      <c r="N11" s="710"/>
      <c r="P11" s="145"/>
      <c r="Q11" s="705"/>
      <c r="R11" s="126"/>
      <c r="S11" s="145"/>
      <c r="T11" s="145"/>
      <c r="U11" s="145"/>
      <c r="V11" s="145"/>
      <c r="W11" s="145"/>
      <c r="X11" s="145"/>
      <c r="Y11" s="145"/>
    </row>
    <row r="12">
      <c r="A12" s="706"/>
      <c r="B12" s="719">
        <v>2774.0</v>
      </c>
      <c r="C12" s="713">
        <v>973.82</v>
      </c>
      <c r="D12" s="11">
        <v>45985.0</v>
      </c>
      <c r="E12" s="10" t="s">
        <v>1003</v>
      </c>
      <c r="F12" s="10" t="s">
        <v>246</v>
      </c>
      <c r="G12" s="10" t="s">
        <v>1004</v>
      </c>
      <c r="H12" s="12">
        <v>849.0</v>
      </c>
      <c r="I12" s="13">
        <v>554.0</v>
      </c>
      <c r="J12" s="10" t="s">
        <v>1005</v>
      </c>
      <c r="K12" s="10" t="s">
        <v>278</v>
      </c>
      <c r="L12" s="714">
        <v>3866.0</v>
      </c>
      <c r="M12" s="10"/>
      <c r="N12" s="703" t="s">
        <v>1006</v>
      </c>
      <c r="P12" s="704">
        <f>W24+W25+W26+W27+W28+W29+W30+W32+W33+W34+W35+W36+W37+W38+W39+W41+W42+W43+W44+W45+W46+W48</f>
        <v>42414.234</v>
      </c>
      <c r="Q12" s="705"/>
      <c r="R12" s="145"/>
      <c r="S12" s="145"/>
      <c r="T12" s="126"/>
      <c r="U12" s="717"/>
      <c r="V12" s="145"/>
      <c r="W12" s="145"/>
      <c r="X12" s="145"/>
      <c r="Y12" s="145"/>
    </row>
    <row r="13">
      <c r="A13" s="706"/>
      <c r="B13" s="719">
        <v>2890.0</v>
      </c>
      <c r="C13" s="713">
        <v>1094.4</v>
      </c>
      <c r="D13" s="11">
        <v>45985.0</v>
      </c>
      <c r="E13" s="10">
        <v>5.3548805E8</v>
      </c>
      <c r="F13" s="10" t="s">
        <v>1007</v>
      </c>
      <c r="G13" s="10" t="s">
        <v>1008</v>
      </c>
      <c r="H13" s="12">
        <v>820.0</v>
      </c>
      <c r="I13" s="13">
        <v>498.0</v>
      </c>
      <c r="J13" s="10" t="s">
        <v>1009</v>
      </c>
      <c r="K13" s="10" t="s">
        <v>153</v>
      </c>
      <c r="L13" s="714">
        <v>3301.0</v>
      </c>
      <c r="M13" s="10"/>
      <c r="N13" s="710" t="s">
        <v>1010</v>
      </c>
      <c r="P13" s="722"/>
      <c r="Q13" s="723"/>
      <c r="R13" s="145"/>
      <c r="S13" s="145"/>
      <c r="T13" s="145"/>
      <c r="U13" s="145"/>
      <c r="V13" s="145"/>
      <c r="W13" s="145"/>
      <c r="X13" s="145"/>
      <c r="Y13" s="145"/>
    </row>
    <row r="14">
      <c r="A14" s="706"/>
      <c r="B14" s="719">
        <v>3301.0</v>
      </c>
      <c r="C14" s="713">
        <v>2517.8</v>
      </c>
      <c r="D14" s="11">
        <v>45985.0</v>
      </c>
      <c r="E14" s="10">
        <v>2.0638176E7</v>
      </c>
      <c r="F14" s="10" t="s">
        <v>1011</v>
      </c>
      <c r="G14" s="10" t="s">
        <v>1012</v>
      </c>
      <c r="H14" s="12">
        <v>1400.0</v>
      </c>
      <c r="I14" s="13">
        <v>598.0</v>
      </c>
      <c r="J14" s="10" t="s">
        <v>1013</v>
      </c>
      <c r="K14" s="10" t="s">
        <v>197</v>
      </c>
      <c r="L14" s="714">
        <v>6643.0</v>
      </c>
      <c r="M14" s="10"/>
      <c r="N14" s="724"/>
      <c r="P14" s="126"/>
      <c r="Q14" s="705"/>
      <c r="R14" s="126"/>
      <c r="S14" s="126"/>
      <c r="T14" s="126"/>
      <c r="U14" s="717"/>
      <c r="V14" s="126"/>
      <c r="W14" s="145"/>
      <c r="X14" s="145"/>
      <c r="Y14" s="145"/>
    </row>
    <row r="15">
      <c r="A15" s="706"/>
      <c r="B15" s="719">
        <v>3403.0</v>
      </c>
      <c r="C15" s="713">
        <v>483.58</v>
      </c>
      <c r="D15" s="11">
        <v>45985.0</v>
      </c>
      <c r="E15" s="10">
        <v>4.0115064E7</v>
      </c>
      <c r="F15" s="10" t="s">
        <v>1014</v>
      </c>
      <c r="G15" s="10" t="s">
        <v>1015</v>
      </c>
      <c r="H15" s="12">
        <v>1200.0</v>
      </c>
      <c r="I15" s="13">
        <v>598.0</v>
      </c>
      <c r="J15" s="10" t="s">
        <v>1016</v>
      </c>
      <c r="K15" s="10" t="s">
        <v>103</v>
      </c>
      <c r="L15" s="714">
        <v>2675.0</v>
      </c>
      <c r="M15" s="10"/>
      <c r="N15" s="710" t="s">
        <v>1017</v>
      </c>
      <c r="P15" s="145"/>
      <c r="Q15" s="705">
        <f>SUM(Y24:Y63)</f>
        <v>0</v>
      </c>
      <c r="R15" s="126"/>
      <c r="S15" s="145"/>
      <c r="T15" s="145"/>
      <c r="U15" s="145"/>
      <c r="V15" s="145"/>
      <c r="W15" s="145"/>
      <c r="X15" s="145"/>
      <c r="Y15" s="145"/>
    </row>
    <row r="16">
      <c r="A16" s="706"/>
      <c r="B16" s="719">
        <v>3819.0</v>
      </c>
      <c r="C16" s="713">
        <v>1111.82</v>
      </c>
      <c r="D16" s="11">
        <v>45985.0</v>
      </c>
      <c r="E16" s="10">
        <v>2.0649044E7</v>
      </c>
      <c r="F16" s="10" t="s">
        <v>1018</v>
      </c>
      <c r="G16" s="10" t="s">
        <v>1019</v>
      </c>
      <c r="H16" s="12">
        <v>2300.0</v>
      </c>
      <c r="I16" s="13">
        <v>900.0</v>
      </c>
      <c r="J16" s="10" t="s">
        <v>1020</v>
      </c>
      <c r="K16" s="10" t="s">
        <v>220</v>
      </c>
      <c r="L16" s="714">
        <v>6960.0</v>
      </c>
      <c r="M16" s="708"/>
      <c r="N16" s="710"/>
      <c r="P16" s="126"/>
      <c r="Q16" s="705"/>
      <c r="R16" s="126"/>
      <c r="S16" s="126"/>
      <c r="T16" s="126"/>
      <c r="U16" s="717"/>
      <c r="V16" s="126"/>
      <c r="W16" s="145"/>
      <c r="X16" s="145"/>
      <c r="Y16" s="145"/>
    </row>
    <row r="17">
      <c r="A17" s="706"/>
      <c r="B17" s="719">
        <v>3866.0</v>
      </c>
      <c r="C17" s="713">
        <v>2085.26</v>
      </c>
      <c r="D17" s="11">
        <v>45985.0</v>
      </c>
      <c r="E17" s="10">
        <v>5.34890703E8</v>
      </c>
      <c r="F17" s="10" t="s">
        <v>1021</v>
      </c>
      <c r="G17" s="10" t="s">
        <v>1022</v>
      </c>
      <c r="H17" s="12">
        <v>1000.0</v>
      </c>
      <c r="I17" s="13">
        <v>391.0</v>
      </c>
      <c r="J17" s="10" t="s">
        <v>1023</v>
      </c>
      <c r="K17" s="10" t="s">
        <v>274</v>
      </c>
      <c r="L17" s="714">
        <v>7352.0</v>
      </c>
      <c r="M17" s="10"/>
      <c r="N17" s="725" t="s">
        <v>1024</v>
      </c>
      <c r="P17" s="704">
        <f t="shared" ref="P17:Q17" si="1">SUM(P4:P16)</f>
        <v>100998.014</v>
      </c>
      <c r="Q17" s="705">
        <f t="shared" si="1"/>
        <v>61350.04</v>
      </c>
      <c r="R17" s="126"/>
      <c r="S17" s="145"/>
      <c r="T17" s="145"/>
      <c r="U17" s="145"/>
      <c r="V17" s="145"/>
      <c r="W17" s="145"/>
      <c r="X17" s="145"/>
      <c r="Y17" s="145"/>
    </row>
    <row r="18">
      <c r="A18" s="706"/>
      <c r="B18" s="719">
        <v>3881.0</v>
      </c>
      <c r="C18" s="713">
        <v>2110.2</v>
      </c>
      <c r="D18" s="11">
        <v>45986.0</v>
      </c>
      <c r="E18" s="10">
        <v>5.36013958E8</v>
      </c>
      <c r="F18" s="10" t="s">
        <v>1025</v>
      </c>
      <c r="G18" s="10" t="s">
        <v>1026</v>
      </c>
      <c r="H18" s="12">
        <v>1500.0</v>
      </c>
      <c r="I18" s="13">
        <v>902.0</v>
      </c>
      <c r="J18" s="10" t="s">
        <v>1027</v>
      </c>
      <c r="K18" s="10" t="s">
        <v>1028</v>
      </c>
      <c r="L18" s="714">
        <v>6339.0</v>
      </c>
      <c r="M18" s="10"/>
      <c r="N18" s="726" t="s">
        <v>1029</v>
      </c>
      <c r="P18" s="704">
        <f>P2/P3</f>
        <v>2.050809008</v>
      </c>
      <c r="Q18" s="705"/>
      <c r="R18" s="145"/>
      <c r="S18" s="145"/>
      <c r="T18" s="126"/>
      <c r="U18" s="717"/>
      <c r="V18" s="145"/>
      <c r="W18" s="145"/>
      <c r="X18" s="126"/>
      <c r="Y18" s="126"/>
    </row>
    <row r="19">
      <c r="A19" s="706"/>
      <c r="B19" s="719">
        <v>6338.0</v>
      </c>
      <c r="C19" s="713">
        <v>926.26</v>
      </c>
      <c r="D19" s="11">
        <v>45986.0</v>
      </c>
      <c r="E19" s="10">
        <v>170800.0</v>
      </c>
      <c r="F19" s="10" t="s">
        <v>1030</v>
      </c>
      <c r="G19" s="10" t="s">
        <v>1031</v>
      </c>
      <c r="H19" s="12">
        <v>2300.0</v>
      </c>
      <c r="I19" s="13">
        <v>1079.0</v>
      </c>
      <c r="J19" s="10" t="s">
        <v>1032</v>
      </c>
      <c r="K19" s="10" t="s">
        <v>132</v>
      </c>
      <c r="L19" s="714">
        <v>2890.0</v>
      </c>
      <c r="M19" s="10"/>
      <c r="N19" s="703" t="s">
        <v>1033</v>
      </c>
      <c r="P19" s="727">
        <f>(P4+P6+P7+P8+P10+P12+P13+P15)/P3</f>
        <v>1.850695655</v>
      </c>
      <c r="Q19" s="718">
        <f>(P17-Q17)/P3</f>
        <v>0.7265126345</v>
      </c>
      <c r="R19" s="145"/>
      <c r="S19" s="145"/>
      <c r="T19" s="145"/>
      <c r="U19" s="145"/>
      <c r="V19" s="145"/>
      <c r="W19" s="145"/>
      <c r="X19" s="145"/>
      <c r="Y19" s="145"/>
    </row>
    <row r="20">
      <c r="A20" s="706"/>
      <c r="B20" s="719">
        <v>6339.0</v>
      </c>
      <c r="C20" s="713">
        <v>1900.22</v>
      </c>
      <c r="D20" s="11">
        <v>45986.0</v>
      </c>
      <c r="E20" s="10">
        <v>1258418.0</v>
      </c>
      <c r="F20" s="10" t="s">
        <v>1034</v>
      </c>
      <c r="G20" s="10" t="s">
        <v>1035</v>
      </c>
      <c r="H20" s="12">
        <v>400.0</v>
      </c>
      <c r="I20" s="13">
        <v>47.0</v>
      </c>
      <c r="J20" s="10" t="s">
        <v>1036</v>
      </c>
      <c r="K20" s="10" t="s">
        <v>980</v>
      </c>
      <c r="L20" s="714">
        <v>6338.0</v>
      </c>
      <c r="M20" s="10"/>
      <c r="N20" s="703" t="s">
        <v>1037</v>
      </c>
      <c r="P20" s="704">
        <f>P18-P19</f>
        <v>0.2001133528</v>
      </c>
      <c r="Q20" s="718">
        <f>P18-Q19</f>
        <v>1.324296374</v>
      </c>
      <c r="R20" s="145"/>
      <c r="S20" s="145"/>
      <c r="T20" s="126"/>
      <c r="U20" s="717"/>
      <c r="V20" s="145"/>
      <c r="W20" s="145"/>
      <c r="X20" s="145"/>
      <c r="Y20" s="145"/>
    </row>
    <row r="21">
      <c r="A21" s="706"/>
      <c r="B21" s="719">
        <v>6643.0</v>
      </c>
      <c r="C21" s="713">
        <v>1663.22</v>
      </c>
      <c r="D21" s="11">
        <v>45986.0</v>
      </c>
      <c r="E21" s="10">
        <v>1540219.0</v>
      </c>
      <c r="F21" s="10" t="s">
        <v>1038</v>
      </c>
      <c r="G21" s="10" t="s">
        <v>1039</v>
      </c>
      <c r="H21" s="12">
        <v>1360.0</v>
      </c>
      <c r="I21" s="13">
        <v>809.0</v>
      </c>
      <c r="J21" s="10" t="s">
        <v>1040</v>
      </c>
      <c r="K21" s="10" t="s">
        <v>980</v>
      </c>
      <c r="L21" s="714">
        <v>6338.0</v>
      </c>
      <c r="M21" s="10"/>
      <c r="N21" s="703"/>
      <c r="P21" s="145"/>
      <c r="Q21" s="705"/>
      <c r="R21" s="145"/>
      <c r="S21" s="145"/>
      <c r="T21" s="145"/>
      <c r="U21" s="145"/>
      <c r="V21" s="145"/>
      <c r="W21" s="145"/>
      <c r="X21" s="145"/>
      <c r="Y21" s="145"/>
    </row>
    <row r="22">
      <c r="A22" s="706"/>
      <c r="B22" s="719">
        <v>6813.0</v>
      </c>
      <c r="C22" s="713">
        <v>1004.82</v>
      </c>
      <c r="D22" s="11">
        <v>45986.0</v>
      </c>
      <c r="E22" s="10">
        <v>5542555.0</v>
      </c>
      <c r="F22" s="10" t="s">
        <v>1041</v>
      </c>
      <c r="G22" s="10" t="s">
        <v>1042</v>
      </c>
      <c r="H22" s="12">
        <v>2000.0</v>
      </c>
      <c r="I22" s="13">
        <v>1175.0</v>
      </c>
      <c r="J22" s="10" t="s">
        <v>1043</v>
      </c>
      <c r="K22" s="10" t="s">
        <v>58</v>
      </c>
      <c r="L22" s="728" t="s">
        <v>982</v>
      </c>
      <c r="M22" s="10"/>
      <c r="N22" s="729" t="s">
        <v>1044</v>
      </c>
      <c r="O22" s="730"/>
      <c r="P22" s="731">
        <f>P2-(P4+P6+P7+P8+P10+P12+P13+P15)</f>
        <v>10920.786</v>
      </c>
      <c r="Q22" s="732"/>
      <c r="S22" s="733" t="s">
        <v>1045</v>
      </c>
      <c r="T22" s="734"/>
      <c r="U22" s="735"/>
      <c r="V22" s="145"/>
      <c r="W22" s="145"/>
      <c r="X22" s="126"/>
      <c r="Y22" s="126"/>
    </row>
    <row r="23">
      <c r="A23" s="706"/>
      <c r="B23" s="719">
        <v>6960.0</v>
      </c>
      <c r="C23" s="713">
        <v>625.12</v>
      </c>
      <c r="D23" s="11">
        <v>45986.0</v>
      </c>
      <c r="E23" s="10">
        <v>1257186.0</v>
      </c>
      <c r="F23" s="10" t="s">
        <v>1046</v>
      </c>
      <c r="G23" s="22" t="s">
        <v>1047</v>
      </c>
      <c r="H23" s="12">
        <v>2900.0</v>
      </c>
      <c r="I23" s="13">
        <v>1505.0</v>
      </c>
      <c r="J23" s="10" t="s">
        <v>1048</v>
      </c>
      <c r="K23" s="10" t="s">
        <v>262</v>
      </c>
      <c r="L23" s="714">
        <v>7265.0</v>
      </c>
      <c r="M23" s="10"/>
      <c r="N23" s="736"/>
      <c r="O23" s="737"/>
      <c r="P23" s="738" t="s">
        <v>591</v>
      </c>
      <c r="Q23" s="738" t="s">
        <v>656</v>
      </c>
      <c r="R23" s="739" t="s">
        <v>1049</v>
      </c>
      <c r="S23" s="738" t="s">
        <v>991</v>
      </c>
      <c r="T23" s="738" t="s">
        <v>885</v>
      </c>
      <c r="U23" s="738" t="s">
        <v>1050</v>
      </c>
      <c r="V23" s="738" t="s">
        <v>1051</v>
      </c>
      <c r="W23" s="738" t="s">
        <v>1052</v>
      </c>
      <c r="X23" s="738" t="s">
        <v>1010</v>
      </c>
      <c r="Y23" s="740" t="s">
        <v>1053</v>
      </c>
    </row>
    <row r="24">
      <c r="A24" s="706"/>
      <c r="B24" s="719">
        <v>7048.0</v>
      </c>
      <c r="C24" s="713">
        <v>1219.53</v>
      </c>
      <c r="D24" s="11">
        <v>45986.0</v>
      </c>
      <c r="E24" s="10">
        <v>2174307.0</v>
      </c>
      <c r="F24" s="10" t="s">
        <v>1054</v>
      </c>
      <c r="G24" s="10" t="s">
        <v>1055</v>
      </c>
      <c r="H24" s="12">
        <v>1550.0</v>
      </c>
      <c r="I24" s="13">
        <v>411.0</v>
      </c>
      <c r="J24" s="10" t="s">
        <v>1056</v>
      </c>
      <c r="K24" s="10" t="s">
        <v>197</v>
      </c>
      <c r="L24" s="714">
        <v>6643.0</v>
      </c>
      <c r="M24" s="10"/>
      <c r="N24" s="741">
        <v>1.0</v>
      </c>
      <c r="O24" s="742" t="s">
        <v>431</v>
      </c>
      <c r="P24" s="727">
        <f>M130</f>
        <v>1778</v>
      </c>
      <c r="Q24" s="704">
        <f>C150</f>
        <v>2135.85</v>
      </c>
      <c r="R24" s="704" t="str">
        <f>C147</f>
        <v/>
      </c>
      <c r="S24" s="704" t="str">
        <f>C148</f>
        <v/>
      </c>
      <c r="T24" s="743" t="str">
        <f>C149</f>
        <v/>
      </c>
      <c r="U24" s="743" t="str">
        <f>C151</f>
        <v/>
      </c>
      <c r="V24" s="145"/>
      <c r="W24" s="704">
        <f>G148</f>
        <v>3218.15</v>
      </c>
      <c r="X24" s="145"/>
      <c r="Y24" s="705"/>
    </row>
    <row r="25">
      <c r="A25" s="706"/>
      <c r="B25" s="719">
        <v>7265.0</v>
      </c>
      <c r="C25" s="713">
        <v>1450.08</v>
      </c>
      <c r="D25" s="11">
        <v>45986.0</v>
      </c>
      <c r="E25" s="10">
        <v>120482.0</v>
      </c>
      <c r="F25" s="10" t="s">
        <v>1057</v>
      </c>
      <c r="G25" s="10" t="s">
        <v>1058</v>
      </c>
      <c r="H25" s="12">
        <v>1800.0</v>
      </c>
      <c r="I25" s="13">
        <v>434.0</v>
      </c>
      <c r="J25" s="10" t="s">
        <v>1059</v>
      </c>
      <c r="K25" s="10" t="s">
        <v>103</v>
      </c>
      <c r="L25" s="714">
        <v>2675.0</v>
      </c>
      <c r="M25" s="10"/>
      <c r="N25" s="741">
        <v>2.0</v>
      </c>
      <c r="O25" s="744">
        <v>6960.0</v>
      </c>
      <c r="P25" s="727">
        <f>M161</f>
        <v>450</v>
      </c>
      <c r="Q25" s="704">
        <f>C181</f>
        <v>625.12</v>
      </c>
      <c r="R25" s="704">
        <f>C178</f>
        <v>150</v>
      </c>
      <c r="S25" s="704">
        <f>C179</f>
        <v>400</v>
      </c>
      <c r="T25" s="704">
        <f>C180</f>
        <v>200</v>
      </c>
      <c r="U25" s="145"/>
      <c r="V25" s="145"/>
      <c r="W25" s="704">
        <f>G179</f>
        <v>169.45</v>
      </c>
      <c r="X25" s="145" t="str">
        <f t="shared" ref="X25:Y25" si="2">J181</f>
        <v/>
      </c>
      <c r="Y25" s="718" t="str">
        <f t="shared" si="2"/>
        <v/>
      </c>
    </row>
    <row r="26">
      <c r="A26" s="706"/>
      <c r="B26" s="719">
        <v>7352.0</v>
      </c>
      <c r="C26" s="713">
        <v>2392.39</v>
      </c>
      <c r="D26" s="11">
        <v>45986.0</v>
      </c>
      <c r="E26" s="10">
        <v>642799.0</v>
      </c>
      <c r="F26" s="10" t="s">
        <v>1060</v>
      </c>
      <c r="G26" s="10" t="s">
        <v>1061</v>
      </c>
      <c r="H26" s="12">
        <v>1300.0</v>
      </c>
      <c r="I26" s="13">
        <v>727.0</v>
      </c>
      <c r="J26" s="10" t="s">
        <v>1062</v>
      </c>
      <c r="K26" s="10" t="s">
        <v>1063</v>
      </c>
      <c r="L26" s="728" t="s">
        <v>513</v>
      </c>
      <c r="M26" s="10"/>
      <c r="N26" s="741">
        <v>3.0</v>
      </c>
      <c r="O26" s="744">
        <v>7048.0</v>
      </c>
      <c r="P26" s="727">
        <f>M192</f>
        <v>1528</v>
      </c>
      <c r="Q26" s="704">
        <f>C212</f>
        <v>1219.53</v>
      </c>
      <c r="R26" s="704">
        <f>C178</f>
        <v>150</v>
      </c>
      <c r="S26" s="704">
        <f>C210</f>
        <v>400</v>
      </c>
      <c r="T26" s="704">
        <f>C211</f>
        <v>200</v>
      </c>
      <c r="U26" s="704" t="str">
        <f>C213</f>
        <v/>
      </c>
      <c r="V26" s="145"/>
      <c r="W26" s="704">
        <f>G210</f>
        <v>758.47</v>
      </c>
      <c r="X26" s="145" t="str">
        <f t="shared" ref="X26:Y26" si="3">J212</f>
        <v/>
      </c>
      <c r="Y26" s="718" t="str">
        <f t="shared" si="3"/>
        <v/>
      </c>
    </row>
    <row r="27">
      <c r="A27" s="706"/>
      <c r="B27" s="719">
        <v>7807.0</v>
      </c>
      <c r="C27" s="713">
        <v>1131.08</v>
      </c>
      <c r="D27" s="11">
        <v>45986.0</v>
      </c>
      <c r="E27" s="10" t="s">
        <v>1064</v>
      </c>
      <c r="F27" s="10" t="s">
        <v>1065</v>
      </c>
      <c r="G27" s="10" t="s">
        <v>1066</v>
      </c>
      <c r="H27" s="12">
        <v>1600.0</v>
      </c>
      <c r="I27" s="13">
        <v>357.0</v>
      </c>
      <c r="J27" s="10" t="s">
        <v>1067</v>
      </c>
      <c r="K27" s="10" t="s">
        <v>153</v>
      </c>
      <c r="L27" s="714">
        <v>3301.0</v>
      </c>
      <c r="M27" s="10"/>
      <c r="N27" s="741">
        <v>4.0</v>
      </c>
      <c r="O27" s="744">
        <v>7265.0</v>
      </c>
      <c r="P27" s="727">
        <f>M223</f>
        <v>1505</v>
      </c>
      <c r="Q27" s="704">
        <f>C243</f>
        <v>1450.08</v>
      </c>
      <c r="R27" s="704" t="str">
        <f>C240</f>
        <v/>
      </c>
      <c r="S27" s="704" t="str">
        <f>C241</f>
        <v/>
      </c>
      <c r="T27" s="704" t="str">
        <f>C242</f>
        <v/>
      </c>
      <c r="U27" s="745" t="str">
        <f>C244</f>
        <v/>
      </c>
      <c r="V27" s="145"/>
      <c r="W27" s="704">
        <f>G241</f>
        <v>1351.92</v>
      </c>
      <c r="X27" s="145"/>
      <c r="Y27" s="705"/>
    </row>
    <row r="28">
      <c r="A28" s="706"/>
      <c r="B28" s="719">
        <v>9334.0</v>
      </c>
      <c r="C28" s="713">
        <v>1934.41</v>
      </c>
      <c r="D28" s="11">
        <v>45986.0</v>
      </c>
      <c r="E28" s="10">
        <v>2884255.0</v>
      </c>
      <c r="F28" s="10" t="s">
        <v>1068</v>
      </c>
      <c r="G28" s="10" t="s">
        <v>1069</v>
      </c>
      <c r="H28" s="12">
        <v>2185.0</v>
      </c>
      <c r="I28" s="13">
        <v>847.0</v>
      </c>
      <c r="J28" s="10" t="s">
        <v>1070</v>
      </c>
      <c r="K28" s="10" t="s">
        <v>115</v>
      </c>
      <c r="L28" s="714">
        <v>2693.0</v>
      </c>
      <c r="M28" s="10"/>
      <c r="N28" s="741">
        <v>5.0</v>
      </c>
      <c r="O28" s="744">
        <v>3819.0</v>
      </c>
      <c r="P28" s="727">
        <f>M260</f>
        <v>2155</v>
      </c>
      <c r="Q28" s="126">
        <f>C274</f>
        <v>1111.82</v>
      </c>
      <c r="R28" s="704">
        <f>C271</f>
        <v>150</v>
      </c>
      <c r="S28" s="704">
        <f>C272</f>
        <v>400</v>
      </c>
      <c r="T28" s="704">
        <f>C273</f>
        <v>200</v>
      </c>
      <c r="U28" s="126">
        <f>C275</f>
        <v>295</v>
      </c>
      <c r="V28" s="145"/>
      <c r="W28" s="704">
        <f>G272</f>
        <v>1437.18</v>
      </c>
      <c r="X28" s="145"/>
      <c r="Y28" s="705"/>
    </row>
    <row r="29">
      <c r="A29" s="706"/>
      <c r="B29" s="719">
        <v>9348.0</v>
      </c>
      <c r="C29" s="713">
        <v>2770.38</v>
      </c>
      <c r="D29" s="11">
        <v>45987.0</v>
      </c>
      <c r="E29" s="10">
        <v>1.26138229E8</v>
      </c>
      <c r="F29" s="10" t="s">
        <v>1071</v>
      </c>
      <c r="G29" s="10" t="s">
        <v>1072</v>
      </c>
      <c r="H29" s="12">
        <v>2500.0</v>
      </c>
      <c r="I29" s="13">
        <v>1361.0</v>
      </c>
      <c r="J29" s="10" t="s">
        <v>1073</v>
      </c>
      <c r="K29" s="10" t="s">
        <v>115</v>
      </c>
      <c r="L29" s="714">
        <v>2693.0</v>
      </c>
      <c r="M29" s="10"/>
      <c r="N29" s="741">
        <v>6.0</v>
      </c>
      <c r="O29" s="744">
        <v>9348.0</v>
      </c>
      <c r="P29" s="727">
        <f>M291</f>
        <v>4462</v>
      </c>
      <c r="Q29" s="704">
        <f>C305</f>
        <v>2770.38</v>
      </c>
      <c r="R29" s="704" t="str">
        <f>C302</f>
        <v/>
      </c>
      <c r="S29" s="704" t="str">
        <f>C303</f>
        <v/>
      </c>
      <c r="T29" s="704" t="str">
        <f>C304</f>
        <v/>
      </c>
      <c r="U29" s="704" t="str">
        <f>C306</f>
        <v/>
      </c>
      <c r="V29" s="145"/>
      <c r="W29" s="704">
        <f>G303</f>
        <v>4685.7</v>
      </c>
      <c r="X29" s="145"/>
      <c r="Y29" s="705"/>
    </row>
    <row r="30">
      <c r="A30" s="706"/>
      <c r="B30" s="719">
        <v>9617.0</v>
      </c>
      <c r="C30" s="713">
        <v>911.29</v>
      </c>
      <c r="D30" s="11">
        <v>45987.0</v>
      </c>
      <c r="E30" s="10" t="s">
        <v>1074</v>
      </c>
      <c r="F30" s="10" t="s">
        <v>1075</v>
      </c>
      <c r="G30" s="10" t="s">
        <v>1076</v>
      </c>
      <c r="H30" s="12">
        <v>1900.0</v>
      </c>
      <c r="I30" s="13">
        <v>1346.0</v>
      </c>
      <c r="J30" s="10" t="s">
        <v>1077</v>
      </c>
      <c r="K30" s="10" t="s">
        <v>153</v>
      </c>
      <c r="L30" s="714">
        <v>3301.0</v>
      </c>
      <c r="M30" s="10"/>
      <c r="N30" s="741">
        <v>7.0</v>
      </c>
      <c r="O30" s="744">
        <v>7807.0</v>
      </c>
      <c r="P30" s="727">
        <f>M322</f>
        <v>1596</v>
      </c>
      <c r="Q30" s="704">
        <f>C336</f>
        <v>1131.08</v>
      </c>
      <c r="R30" s="704" t="str">
        <f>C333</f>
        <v/>
      </c>
      <c r="S30" s="704" t="str">
        <f>C334</f>
        <v/>
      </c>
      <c r="T30" s="704" t="str">
        <f>C335</f>
        <v/>
      </c>
      <c r="U30" s="704" t="str">
        <f>C337</f>
        <v/>
      </c>
      <c r="V30" s="145"/>
      <c r="W30" s="704">
        <f>G334</f>
        <v>1780.92</v>
      </c>
      <c r="X30" s="145"/>
      <c r="Y30" s="705"/>
    </row>
    <row r="31">
      <c r="A31" s="706"/>
      <c r="B31" s="746"/>
      <c r="C31" s="747"/>
      <c r="D31" s="11">
        <v>45986.0</v>
      </c>
      <c r="E31" s="10">
        <v>393581.0</v>
      </c>
      <c r="F31" s="10" t="s">
        <v>1078</v>
      </c>
      <c r="G31" s="10" t="s">
        <v>1079</v>
      </c>
      <c r="H31" s="12">
        <v>2350.0</v>
      </c>
      <c r="I31" s="13">
        <v>1025.0</v>
      </c>
      <c r="J31" s="10" t="s">
        <v>1080</v>
      </c>
      <c r="K31" s="10" t="s">
        <v>287</v>
      </c>
      <c r="L31" s="714">
        <v>7807.0</v>
      </c>
      <c r="M31" s="10"/>
      <c r="N31" s="741">
        <v>8.0</v>
      </c>
      <c r="O31" s="744">
        <v>2693.0</v>
      </c>
      <c r="P31" s="727">
        <f>M353</f>
        <v>5018</v>
      </c>
      <c r="Q31" s="704">
        <f>C367</f>
        <v>3387.6</v>
      </c>
      <c r="R31" s="704">
        <f>C364</f>
        <v>150</v>
      </c>
      <c r="S31" s="704">
        <f>C365</f>
        <v>400</v>
      </c>
      <c r="T31" s="704">
        <f>C366</f>
        <v>200</v>
      </c>
      <c r="U31" s="704" t="str">
        <f>C368</f>
        <v/>
      </c>
      <c r="V31" s="145"/>
      <c r="W31" s="704">
        <f>G365</f>
        <v>5075.2</v>
      </c>
      <c r="X31" s="145"/>
      <c r="Y31" s="705"/>
    </row>
    <row r="32">
      <c r="A32" s="706"/>
      <c r="D32" s="11">
        <v>45986.0</v>
      </c>
      <c r="E32" s="10" t="s">
        <v>1081</v>
      </c>
      <c r="F32" s="10" t="s">
        <v>1082</v>
      </c>
      <c r="G32" s="10" t="s">
        <v>1083</v>
      </c>
      <c r="H32" s="12">
        <v>1650.0</v>
      </c>
      <c r="I32" s="13">
        <v>871.0</v>
      </c>
      <c r="J32" s="10" t="s">
        <v>1084</v>
      </c>
      <c r="K32" s="10" t="s">
        <v>320</v>
      </c>
      <c r="L32" s="714">
        <v>9348.0</v>
      </c>
      <c r="M32" s="10"/>
      <c r="N32" s="741">
        <v>9.0</v>
      </c>
      <c r="O32" s="744">
        <v>9334.0</v>
      </c>
      <c r="P32" s="727">
        <f>M384</f>
        <v>3568</v>
      </c>
      <c r="Q32" s="704">
        <f>C398</f>
        <v>1934.41</v>
      </c>
      <c r="R32" s="704">
        <f>C395</f>
        <v>150</v>
      </c>
      <c r="S32" s="704">
        <f>C396</f>
        <v>400</v>
      </c>
      <c r="T32" s="704">
        <f>C397</f>
        <v>200</v>
      </c>
      <c r="U32" s="704" t="str">
        <f>C399</f>
        <v/>
      </c>
      <c r="V32" s="145"/>
      <c r="W32" s="704">
        <f>G396</f>
        <v>3593.59</v>
      </c>
      <c r="X32" s="145"/>
      <c r="Y32" s="705"/>
    </row>
    <row r="33">
      <c r="A33" s="706"/>
      <c r="D33" s="11">
        <v>45986.0</v>
      </c>
      <c r="E33" s="10">
        <v>2026142.0</v>
      </c>
      <c r="F33" s="10" t="s">
        <v>1085</v>
      </c>
      <c r="G33" s="10" t="s">
        <v>17</v>
      </c>
      <c r="H33" s="12">
        <v>750.0</v>
      </c>
      <c r="I33" s="13">
        <v>531.0</v>
      </c>
      <c r="J33" s="10" t="s">
        <v>1086</v>
      </c>
      <c r="K33" s="10" t="s">
        <v>1002</v>
      </c>
      <c r="L33" s="714">
        <v>9334.0</v>
      </c>
      <c r="M33" s="10"/>
      <c r="N33" s="741">
        <v>10.0</v>
      </c>
      <c r="O33" s="744">
        <v>2890.0</v>
      </c>
      <c r="P33" s="727">
        <f>M415</f>
        <v>1079</v>
      </c>
      <c r="Q33" s="704">
        <f>C429</f>
        <v>1094.4</v>
      </c>
      <c r="R33" s="704">
        <f>C426</f>
        <v>150</v>
      </c>
      <c r="S33" s="704">
        <f>C427</f>
        <v>400</v>
      </c>
      <c r="T33" s="704">
        <f>C428</f>
        <v>200</v>
      </c>
      <c r="U33" s="745" t="str">
        <f>C430</f>
        <v/>
      </c>
      <c r="V33" s="128"/>
      <c r="W33" s="704">
        <f>G427</f>
        <v>163.4</v>
      </c>
      <c r="X33" s="128"/>
      <c r="Y33" s="715"/>
    </row>
    <row r="34">
      <c r="A34" s="706"/>
      <c r="D34" s="11">
        <v>45986.0</v>
      </c>
      <c r="E34" s="10">
        <v>6912758.0</v>
      </c>
      <c r="F34" s="10" t="s">
        <v>1087</v>
      </c>
      <c r="G34" s="10" t="s">
        <v>1088</v>
      </c>
      <c r="H34" s="12">
        <v>3400.0</v>
      </c>
      <c r="I34" s="13">
        <v>1778.0</v>
      </c>
      <c r="J34" s="10" t="s">
        <v>1089</v>
      </c>
      <c r="K34" s="10" t="s">
        <v>19</v>
      </c>
      <c r="L34" s="728" t="s">
        <v>431</v>
      </c>
      <c r="M34" s="10"/>
      <c r="N34" s="741">
        <v>11.0</v>
      </c>
      <c r="O34" s="744">
        <v>2316.0</v>
      </c>
      <c r="P34" s="727">
        <f>M446</f>
        <v>2887</v>
      </c>
      <c r="Q34" s="704">
        <f>C460</f>
        <v>2729.63</v>
      </c>
      <c r="R34" s="704">
        <f>C457</f>
        <v>150</v>
      </c>
      <c r="S34" s="704">
        <f>C458</f>
        <v>400</v>
      </c>
      <c r="T34" s="704">
        <f>C459</f>
        <v>200</v>
      </c>
      <c r="U34" s="717" t="str">
        <f>C461</f>
        <v/>
      </c>
      <c r="V34" s="126"/>
      <c r="W34" s="704">
        <f>G458</f>
        <v>906.37</v>
      </c>
      <c r="X34" s="145"/>
      <c r="Y34" s="705"/>
    </row>
    <row r="35">
      <c r="A35" s="706"/>
      <c r="D35" s="11">
        <v>45986.0</v>
      </c>
      <c r="E35" s="10">
        <v>5.35949541E8</v>
      </c>
      <c r="F35" s="10" t="s">
        <v>130</v>
      </c>
      <c r="G35" s="10" t="s">
        <v>1090</v>
      </c>
      <c r="H35" s="12">
        <v>1700.0</v>
      </c>
      <c r="I35" s="13">
        <v>448.0</v>
      </c>
      <c r="J35" s="10" t="s">
        <v>1091</v>
      </c>
      <c r="K35" s="10" t="s">
        <v>278</v>
      </c>
      <c r="L35" s="714">
        <v>3866.0</v>
      </c>
      <c r="M35" s="10"/>
      <c r="N35" s="741">
        <v>12.0</v>
      </c>
      <c r="O35" s="744">
        <v>2774.0</v>
      </c>
      <c r="P35" s="727">
        <f>M477</f>
        <v>1254</v>
      </c>
      <c r="Q35" s="704">
        <f>C491</f>
        <v>973.82</v>
      </c>
      <c r="R35" s="704">
        <f>C488</f>
        <v>150</v>
      </c>
      <c r="S35" s="704">
        <f>C489</f>
        <v>400</v>
      </c>
      <c r="T35" s="704">
        <f>C490</f>
        <v>200</v>
      </c>
      <c r="U35" s="704" t="str">
        <f>C492</f>
        <v/>
      </c>
      <c r="V35" s="145"/>
      <c r="W35" s="704">
        <f>G489</f>
        <v>594.18</v>
      </c>
      <c r="X35" s="145"/>
      <c r="Y35" s="705"/>
    </row>
    <row r="36">
      <c r="A36" s="706"/>
      <c r="D36" s="11">
        <v>45986.0</v>
      </c>
      <c r="E36" s="10">
        <v>5.35758159E8</v>
      </c>
      <c r="F36" s="10" t="s">
        <v>1092</v>
      </c>
      <c r="G36" s="10" t="s">
        <v>1093</v>
      </c>
      <c r="H36" s="12">
        <v>708.8</v>
      </c>
      <c r="I36" s="13">
        <v>352.0</v>
      </c>
      <c r="J36" s="10" t="s">
        <v>1094</v>
      </c>
      <c r="K36" s="10" t="s">
        <v>37</v>
      </c>
      <c r="L36" s="728" t="s">
        <v>973</v>
      </c>
      <c r="M36" s="10"/>
      <c r="N36" s="741">
        <v>13.0</v>
      </c>
      <c r="O36" s="742" t="s">
        <v>973</v>
      </c>
      <c r="P36" s="711">
        <f>M508</f>
        <v>3445</v>
      </c>
      <c r="Q36" s="704">
        <f>C522</f>
        <v>2673.12</v>
      </c>
      <c r="R36" s="704">
        <f>C519</f>
        <v>150</v>
      </c>
      <c r="S36" s="704">
        <f>C520</f>
        <v>400</v>
      </c>
      <c r="T36" s="704">
        <f>C521</f>
        <v>200</v>
      </c>
      <c r="U36" s="717" t="str">
        <f>C523</f>
        <v/>
      </c>
      <c r="V36" s="145"/>
      <c r="W36" s="704">
        <f>G520</f>
        <v>3925.424</v>
      </c>
      <c r="X36" s="145"/>
      <c r="Y36" s="705"/>
    </row>
    <row r="37">
      <c r="A37" s="706"/>
      <c r="D37" s="11"/>
      <c r="E37" s="10"/>
      <c r="F37" s="10"/>
      <c r="G37" s="10"/>
      <c r="H37" s="12"/>
      <c r="I37" s="13"/>
      <c r="J37" s="10"/>
      <c r="K37" s="10"/>
      <c r="L37" s="714"/>
      <c r="M37" s="10"/>
      <c r="N37" s="741">
        <v>14.0</v>
      </c>
      <c r="O37" s="744">
        <v>3301.0</v>
      </c>
      <c r="P37" s="711">
        <f>M539</f>
        <v>3610</v>
      </c>
      <c r="Q37" s="704">
        <f>C553</f>
        <v>2517.8</v>
      </c>
      <c r="R37" s="704">
        <f>C550</f>
        <v>150</v>
      </c>
      <c r="S37" s="704">
        <f>C551</f>
        <v>400</v>
      </c>
      <c r="T37" s="704">
        <f>C552</f>
        <v>200</v>
      </c>
      <c r="U37" s="704">
        <f>C554</f>
        <v>294.92</v>
      </c>
      <c r="V37" s="145"/>
      <c r="W37" s="704">
        <f>G551</f>
        <v>3102.48</v>
      </c>
      <c r="X37" s="145"/>
      <c r="Y37" s="705"/>
    </row>
    <row r="38">
      <c r="A38" s="706"/>
      <c r="D38" s="11">
        <v>45987.0</v>
      </c>
      <c r="E38" s="10">
        <v>5.34465726E8</v>
      </c>
      <c r="F38" s="10" t="s">
        <v>1095</v>
      </c>
      <c r="G38" s="10" t="s">
        <v>1096</v>
      </c>
      <c r="H38" s="12">
        <v>2960.0</v>
      </c>
      <c r="I38" s="13">
        <v>1565.0</v>
      </c>
      <c r="J38" s="10" t="s">
        <v>1097</v>
      </c>
      <c r="K38" s="10" t="s">
        <v>1028</v>
      </c>
      <c r="L38" s="714">
        <v>6339.0</v>
      </c>
      <c r="M38" s="10"/>
      <c r="N38" s="741">
        <v>15.0</v>
      </c>
      <c r="O38" s="742" t="s">
        <v>513</v>
      </c>
      <c r="P38" s="711">
        <f>M570</f>
        <v>1657</v>
      </c>
      <c r="Q38" s="704">
        <f>C584</f>
        <v>1062.81</v>
      </c>
      <c r="R38" s="704" t="str">
        <f>C581</f>
        <v/>
      </c>
      <c r="S38" s="704" t="str">
        <f>C582</f>
        <v/>
      </c>
      <c r="T38" s="704" t="str">
        <f>C583</f>
        <v/>
      </c>
      <c r="U38" s="717" t="str">
        <f>C585</f>
        <v/>
      </c>
      <c r="V38" s="126"/>
      <c r="W38" s="704">
        <f>G582</f>
        <v>2443.19</v>
      </c>
      <c r="X38" s="126"/>
      <c r="Y38" s="748"/>
    </row>
    <row r="39">
      <c r="A39" s="706"/>
      <c r="D39" s="11">
        <v>45987.0</v>
      </c>
      <c r="E39" s="10">
        <v>6.5171572E7</v>
      </c>
      <c r="F39" s="10" t="s">
        <v>1098</v>
      </c>
      <c r="G39" s="10" t="s">
        <v>1099</v>
      </c>
      <c r="H39" s="12">
        <v>4700.0</v>
      </c>
      <c r="I39" s="13">
        <v>2887.0</v>
      </c>
      <c r="J39" s="10" t="s">
        <v>1100</v>
      </c>
      <c r="K39" s="10" t="s">
        <v>79</v>
      </c>
      <c r="L39" s="714">
        <v>2316.0</v>
      </c>
      <c r="M39" s="10"/>
      <c r="N39" s="741">
        <v>16.0</v>
      </c>
      <c r="O39" s="744">
        <v>2516.0</v>
      </c>
      <c r="P39" s="711">
        <f>M601</f>
        <v>1218</v>
      </c>
      <c r="Q39" s="704">
        <f>C615</f>
        <v>747.17</v>
      </c>
      <c r="R39" s="704">
        <f>C612</f>
        <v>150</v>
      </c>
      <c r="S39" s="704">
        <f>C613</f>
        <v>400</v>
      </c>
      <c r="T39" s="704">
        <f>C614</f>
        <v>200</v>
      </c>
      <c r="U39" s="704" t="str">
        <f>C616</f>
        <v/>
      </c>
      <c r="V39" s="145"/>
      <c r="W39" s="704">
        <f>G613</f>
        <v>1216.83</v>
      </c>
      <c r="X39" s="145"/>
      <c r="Y39" s="705"/>
    </row>
    <row r="40">
      <c r="A40" s="706"/>
      <c r="D40" s="11">
        <v>45987.0</v>
      </c>
      <c r="E40" s="10">
        <v>5.36270638E8</v>
      </c>
      <c r="F40" s="10" t="s">
        <v>1101</v>
      </c>
      <c r="G40" s="10" t="s">
        <v>1102</v>
      </c>
      <c r="H40" s="12">
        <v>2800.0</v>
      </c>
      <c r="I40" s="13">
        <v>1970.0</v>
      </c>
      <c r="J40" s="10" t="s">
        <v>1103</v>
      </c>
      <c r="K40" s="10" t="s">
        <v>278</v>
      </c>
      <c r="L40" s="714">
        <v>3866.0</v>
      </c>
      <c r="M40" s="10"/>
      <c r="N40" s="741">
        <v>17.0</v>
      </c>
      <c r="O40" s="742" t="s">
        <v>982</v>
      </c>
      <c r="P40" s="711">
        <f>M632</f>
        <v>1175</v>
      </c>
      <c r="Q40" s="704">
        <f>C646</f>
        <v>1731.16</v>
      </c>
      <c r="R40" s="704">
        <f>C643</f>
        <v>150</v>
      </c>
      <c r="S40" s="704">
        <f>C644</f>
        <v>400</v>
      </c>
      <c r="T40" s="704">
        <f>C645</f>
        <v>200</v>
      </c>
      <c r="U40" s="704">
        <f>C647</f>
        <v>340.82</v>
      </c>
      <c r="V40" s="126"/>
      <c r="W40" s="704">
        <f>G644</f>
        <v>-811.98</v>
      </c>
      <c r="X40" s="145"/>
      <c r="Y40" s="705"/>
    </row>
    <row r="41">
      <c r="A41" s="706"/>
      <c r="D41" s="11">
        <v>45987.0</v>
      </c>
      <c r="E41" s="10">
        <v>5.34524106E8</v>
      </c>
      <c r="F41" s="10" t="s">
        <v>1104</v>
      </c>
      <c r="G41" s="10" t="s">
        <v>1105</v>
      </c>
      <c r="H41" s="12">
        <v>1440.0</v>
      </c>
      <c r="I41" s="13">
        <v>733.0</v>
      </c>
      <c r="J41" s="10" t="s">
        <v>1106</v>
      </c>
      <c r="K41" s="10" t="s">
        <v>185</v>
      </c>
      <c r="L41" s="714">
        <v>3881.0</v>
      </c>
      <c r="M41" s="10"/>
      <c r="N41" s="741">
        <v>18.0</v>
      </c>
      <c r="O41" s="744">
        <v>6643.0</v>
      </c>
      <c r="P41" s="711">
        <f>M663</f>
        <v>1791</v>
      </c>
      <c r="Q41" s="704">
        <f>C677</f>
        <v>1663.22</v>
      </c>
      <c r="R41" s="704">
        <f>C674</f>
        <v>150</v>
      </c>
      <c r="S41" s="704">
        <f>C675</f>
        <v>400</v>
      </c>
      <c r="T41" s="704" t="str">
        <f>C676</f>
        <v/>
      </c>
      <c r="U41" s="704" t="str">
        <f>C678</f>
        <v/>
      </c>
      <c r="V41" s="145"/>
      <c r="W41" s="704">
        <f>G675</f>
        <v>2582.78</v>
      </c>
      <c r="X41" s="145"/>
      <c r="Y41" s="705"/>
    </row>
    <row r="42">
      <c r="A42" s="706"/>
      <c r="D42" s="11">
        <v>45987.0</v>
      </c>
      <c r="E42" s="10" t="s">
        <v>1107</v>
      </c>
      <c r="F42" s="10" t="s">
        <v>1108</v>
      </c>
      <c r="G42" s="10" t="s">
        <v>1109</v>
      </c>
      <c r="H42" s="12">
        <v>4100.0</v>
      </c>
      <c r="I42" s="13">
        <v>2263.0</v>
      </c>
      <c r="J42" s="10" t="s">
        <v>1110</v>
      </c>
      <c r="K42" s="10" t="s">
        <v>1002</v>
      </c>
      <c r="L42" s="714">
        <v>9334.0</v>
      </c>
      <c r="M42" s="10"/>
      <c r="N42" s="741">
        <v>19.0</v>
      </c>
      <c r="O42" s="744">
        <v>7352.0</v>
      </c>
      <c r="P42" s="711">
        <f>M694</f>
        <v>3214</v>
      </c>
      <c r="Q42" s="704">
        <f>C708</f>
        <v>2392.39</v>
      </c>
      <c r="R42" s="704">
        <f>C705</f>
        <v>150</v>
      </c>
      <c r="S42" s="704">
        <f>C706</f>
        <v>400</v>
      </c>
      <c r="T42" s="704">
        <f>C707</f>
        <v>200</v>
      </c>
      <c r="U42" s="704">
        <f>C709</f>
        <v>867.8</v>
      </c>
      <c r="V42" s="126"/>
      <c r="W42" s="704">
        <f>G706</f>
        <v>-106.5</v>
      </c>
      <c r="X42" s="145"/>
      <c r="Y42" s="705"/>
    </row>
    <row r="43">
      <c r="A43" s="706"/>
      <c r="D43" s="11">
        <v>45987.0</v>
      </c>
      <c r="E43" s="10">
        <v>1.5486212E7</v>
      </c>
      <c r="F43" s="10" t="s">
        <v>136</v>
      </c>
      <c r="G43" s="10" t="s">
        <v>1111</v>
      </c>
      <c r="H43" s="12">
        <v>5700.0</v>
      </c>
      <c r="I43" s="13">
        <v>3029.0</v>
      </c>
      <c r="J43" s="10" t="s">
        <v>1112</v>
      </c>
      <c r="K43" s="10" t="s">
        <v>320</v>
      </c>
      <c r="L43" s="714">
        <v>9348.0</v>
      </c>
      <c r="M43" s="10"/>
      <c r="N43" s="741">
        <v>20.0</v>
      </c>
      <c r="O43" s="744">
        <v>3881.0</v>
      </c>
      <c r="P43" s="711">
        <f>M725</f>
        <v>3180</v>
      </c>
      <c r="Q43" s="704">
        <f>C739</f>
        <v>2110.2</v>
      </c>
      <c r="R43" s="704">
        <f>C736</f>
        <v>150</v>
      </c>
      <c r="S43" s="704">
        <f>C737</f>
        <v>400</v>
      </c>
      <c r="T43" s="704" t="str">
        <f>C738</f>
        <v/>
      </c>
      <c r="U43" s="704" t="str">
        <f>C740</f>
        <v/>
      </c>
      <c r="V43" s="145"/>
      <c r="W43" s="704">
        <f>G737</f>
        <v>3933.8</v>
      </c>
      <c r="X43" s="145"/>
      <c r="Y43" s="705"/>
    </row>
    <row r="44">
      <c r="A44" s="706"/>
      <c r="D44" s="11">
        <v>45987.0</v>
      </c>
      <c r="E44" s="10" t="s">
        <v>1113</v>
      </c>
      <c r="F44" s="10" t="s">
        <v>1114</v>
      </c>
      <c r="G44" s="10" t="s">
        <v>1115</v>
      </c>
      <c r="H44" s="12">
        <v>1200.0</v>
      </c>
      <c r="I44" s="13">
        <v>429.0</v>
      </c>
      <c r="J44" s="10" t="s">
        <v>1116</v>
      </c>
      <c r="K44" s="10" t="s">
        <v>103</v>
      </c>
      <c r="L44" s="714">
        <v>2675.0</v>
      </c>
      <c r="M44" s="10"/>
      <c r="N44" s="741">
        <v>21.0</v>
      </c>
      <c r="O44" s="744">
        <v>3866.0</v>
      </c>
      <c r="P44" s="711">
        <f>M756</f>
        <v>2972</v>
      </c>
      <c r="Q44" s="704">
        <f>C770</f>
        <v>2085.26</v>
      </c>
      <c r="R44" s="704">
        <f>C767</f>
        <v>100</v>
      </c>
      <c r="S44" s="704">
        <f>C768</f>
        <v>400</v>
      </c>
      <c r="T44" s="704">
        <f>C769</f>
        <v>200</v>
      </c>
      <c r="U44" s="704">
        <f>C771</f>
        <v>90.52</v>
      </c>
      <c r="V44" s="145"/>
      <c r="W44" s="704">
        <f>G768</f>
        <v>1612.15</v>
      </c>
      <c r="X44" s="126"/>
      <c r="Y44" s="748"/>
    </row>
    <row r="45">
      <c r="A45" s="706"/>
      <c r="D45" s="11">
        <v>45987.0</v>
      </c>
      <c r="E45" s="10">
        <v>1243985.0</v>
      </c>
      <c r="F45" s="10" t="s">
        <v>1117</v>
      </c>
      <c r="G45" s="10" t="s">
        <v>1046</v>
      </c>
      <c r="H45" s="12">
        <v>6100.0</v>
      </c>
      <c r="I45" s="13">
        <v>2823.0</v>
      </c>
      <c r="J45" s="10" t="s">
        <v>1118</v>
      </c>
      <c r="K45" s="10" t="s">
        <v>274</v>
      </c>
      <c r="L45" s="714">
        <v>7352.0</v>
      </c>
      <c r="M45" s="10"/>
      <c r="N45" s="741">
        <v>22.0</v>
      </c>
      <c r="O45" s="744">
        <v>2675.0</v>
      </c>
      <c r="P45" s="711">
        <f>M787</f>
        <v>3332</v>
      </c>
      <c r="Q45" s="704">
        <f>C801</f>
        <v>2610.76</v>
      </c>
      <c r="R45" s="704">
        <f>C798</f>
        <v>100</v>
      </c>
      <c r="S45" s="704">
        <f>C799</f>
        <v>400</v>
      </c>
      <c r="T45" s="704">
        <f>C800</f>
        <v>200</v>
      </c>
      <c r="U45" s="704">
        <f>C802</f>
        <v>654.08</v>
      </c>
      <c r="V45" s="145"/>
      <c r="W45" s="704">
        <f>G799</f>
        <v>3187.16</v>
      </c>
      <c r="X45" s="145"/>
      <c r="Y45" s="705"/>
    </row>
    <row r="46">
      <c r="A46" s="706"/>
      <c r="D46" s="11">
        <v>45987.0</v>
      </c>
      <c r="E46" s="10">
        <v>2177290.0</v>
      </c>
      <c r="F46" s="10" t="s">
        <v>1119</v>
      </c>
      <c r="G46" s="10" t="s">
        <v>1120</v>
      </c>
      <c r="H46" s="12">
        <v>2500.0</v>
      </c>
      <c r="I46" s="13">
        <v>782.0</v>
      </c>
      <c r="J46" s="10" t="s">
        <v>1121</v>
      </c>
      <c r="K46" s="10" t="s">
        <v>197</v>
      </c>
      <c r="L46" s="714">
        <v>6643.0</v>
      </c>
      <c r="M46" s="10"/>
      <c r="N46" s="741">
        <v>23.0</v>
      </c>
      <c r="O46" s="744">
        <v>6339.0</v>
      </c>
      <c r="P46" s="711">
        <f>M818</f>
        <v>3470</v>
      </c>
      <c r="Q46" s="704">
        <f>C832</f>
        <v>1900.22</v>
      </c>
      <c r="R46" s="704">
        <f>C829</f>
        <v>150</v>
      </c>
      <c r="S46" s="704">
        <f>C830</f>
        <v>400</v>
      </c>
      <c r="T46" s="704" t="str">
        <f>C831</f>
        <v/>
      </c>
      <c r="U46" s="704">
        <f>C833</f>
        <v>258.5</v>
      </c>
      <c r="V46" s="145"/>
      <c r="W46" s="704">
        <f>G830</f>
        <v>2962.08</v>
      </c>
      <c r="X46" s="145"/>
      <c r="Y46" s="705"/>
    </row>
    <row r="47">
      <c r="A47" s="706"/>
      <c r="D47" s="11">
        <v>45987.0</v>
      </c>
      <c r="E47" s="10">
        <v>2.0714865E7</v>
      </c>
      <c r="F47" s="10" t="s">
        <v>269</v>
      </c>
      <c r="G47" s="10" t="s">
        <v>1122</v>
      </c>
      <c r="H47" s="12">
        <v>800.0</v>
      </c>
      <c r="I47" s="13">
        <v>430.0</v>
      </c>
      <c r="J47" s="10" t="s">
        <v>1123</v>
      </c>
      <c r="K47" s="10" t="s">
        <v>37</v>
      </c>
      <c r="L47" s="728" t="s">
        <v>973</v>
      </c>
      <c r="M47" s="10"/>
      <c r="N47" s="741">
        <v>24.0</v>
      </c>
      <c r="O47" s="744">
        <v>6813.0</v>
      </c>
      <c r="P47" s="711">
        <f>M849</f>
        <v>1153</v>
      </c>
      <c r="Q47" s="704">
        <f>C863</f>
        <v>1004.82</v>
      </c>
      <c r="R47" s="704">
        <f>C860</f>
        <v>150</v>
      </c>
      <c r="S47" s="704">
        <f>C861</f>
        <v>400</v>
      </c>
      <c r="T47" s="704" t="str">
        <f>C862</f>
        <v/>
      </c>
      <c r="U47" s="704">
        <f>C864</f>
        <v>220</v>
      </c>
      <c r="V47" s="145"/>
      <c r="W47" s="704">
        <f>G861</f>
        <v>927.28</v>
      </c>
      <c r="X47" s="145"/>
      <c r="Y47" s="705"/>
    </row>
    <row r="48">
      <c r="A48" s="706"/>
      <c r="D48" s="11">
        <v>45987.0</v>
      </c>
      <c r="E48" s="10">
        <v>5.36184345E8</v>
      </c>
      <c r="F48" s="10" t="s">
        <v>1124</v>
      </c>
      <c r="G48" s="10" t="s">
        <v>1125</v>
      </c>
      <c r="H48" s="12">
        <v>0.0</v>
      </c>
      <c r="I48" s="13">
        <v>0.0</v>
      </c>
      <c r="J48" s="10" t="s">
        <v>1126</v>
      </c>
      <c r="K48" s="708"/>
      <c r="L48" s="709"/>
      <c r="M48" s="10"/>
      <c r="N48" s="741">
        <v>25.0</v>
      </c>
      <c r="O48" s="744">
        <v>6338.0</v>
      </c>
      <c r="P48" s="711">
        <f>M880</f>
        <v>1515</v>
      </c>
      <c r="Q48" s="704">
        <f>C894</f>
        <v>926.26</v>
      </c>
      <c r="R48" s="704">
        <f>C891</f>
        <v>150</v>
      </c>
      <c r="S48" s="704">
        <f>C892</f>
        <v>400</v>
      </c>
      <c r="T48" s="704" t="str">
        <f>C893</f>
        <v/>
      </c>
      <c r="U48" s="704">
        <f>C895</f>
        <v>744.62</v>
      </c>
      <c r="V48" s="145"/>
      <c r="W48" s="704">
        <f>G892</f>
        <v>-1104.49</v>
      </c>
      <c r="X48" s="145"/>
      <c r="Y48" s="705"/>
    </row>
    <row r="49">
      <c r="A49" s="706"/>
      <c r="D49" s="11">
        <v>45987.0</v>
      </c>
      <c r="E49" s="10">
        <v>5.36184345E8</v>
      </c>
      <c r="F49" s="10" t="s">
        <v>1124</v>
      </c>
      <c r="G49" s="10" t="s">
        <v>1125</v>
      </c>
      <c r="H49" s="12">
        <v>1250.0</v>
      </c>
      <c r="I49" s="13">
        <v>411.0</v>
      </c>
      <c r="J49" s="10" t="s">
        <v>1127</v>
      </c>
      <c r="K49" s="10" t="s">
        <v>215</v>
      </c>
      <c r="L49" s="714">
        <v>6813.0</v>
      </c>
      <c r="M49" s="10"/>
      <c r="N49" s="741">
        <v>26.0</v>
      </c>
      <c r="O49" s="744">
        <v>9617.0</v>
      </c>
      <c r="P49" s="145" t="str">
        <f>M911</f>
        <v>#N/A</v>
      </c>
      <c r="Q49" s="704">
        <f>C925</f>
        <v>911.29</v>
      </c>
      <c r="R49" s="704">
        <f>C922</f>
        <v>150</v>
      </c>
      <c r="S49" s="704">
        <f>C923</f>
        <v>400</v>
      </c>
      <c r="T49" s="704">
        <f>C924</f>
        <v>200</v>
      </c>
      <c r="U49" s="704" t="str">
        <f>C926</f>
        <v/>
      </c>
      <c r="V49" s="145"/>
      <c r="W49" s="704">
        <f>G923</f>
        <v>-1661.29</v>
      </c>
      <c r="X49" s="145"/>
      <c r="Y49" s="705"/>
    </row>
    <row r="50">
      <c r="A50" s="706"/>
      <c r="D50" s="11">
        <v>45987.0</v>
      </c>
      <c r="E50" s="10">
        <v>5.36172052E8</v>
      </c>
      <c r="F50" s="10" t="s">
        <v>1128</v>
      </c>
      <c r="G50" s="10" t="s">
        <v>1129</v>
      </c>
      <c r="H50" s="12">
        <v>2400.0</v>
      </c>
      <c r="I50" s="13">
        <v>930.0</v>
      </c>
      <c r="J50" s="10" t="s">
        <v>1130</v>
      </c>
      <c r="K50" s="10" t="s">
        <v>1063</v>
      </c>
      <c r="L50" s="728" t="s">
        <v>513</v>
      </c>
      <c r="M50" s="10"/>
      <c r="N50" s="741">
        <v>27.0</v>
      </c>
      <c r="O50" s="744">
        <v>3403.0</v>
      </c>
      <c r="P50" s="145" t="str">
        <f>M942</f>
        <v>#N/A</v>
      </c>
      <c r="Q50" s="704">
        <f>C956</f>
        <v>483.58</v>
      </c>
      <c r="R50" s="704">
        <f>C953</f>
        <v>150</v>
      </c>
      <c r="S50" s="704">
        <f>C954</f>
        <v>400</v>
      </c>
      <c r="T50" s="704">
        <f>C955</f>
        <v>200</v>
      </c>
      <c r="U50" s="704" t="str">
        <f>C957</f>
        <v/>
      </c>
      <c r="V50" s="145"/>
      <c r="W50" s="704">
        <f>G954</f>
        <v>-1233.58</v>
      </c>
      <c r="X50" s="145"/>
      <c r="Y50" s="705"/>
    </row>
    <row r="51">
      <c r="A51" s="706"/>
      <c r="D51" s="11">
        <v>45987.0</v>
      </c>
      <c r="E51" s="10" t="s">
        <v>1131</v>
      </c>
      <c r="F51" s="10" t="s">
        <v>1132</v>
      </c>
      <c r="G51" s="10" t="s">
        <v>1133</v>
      </c>
      <c r="H51" s="12">
        <v>1025.0</v>
      </c>
      <c r="I51" s="13">
        <v>2155.0</v>
      </c>
      <c r="J51" s="10" t="s">
        <v>1134</v>
      </c>
      <c r="K51" s="10" t="s">
        <v>175</v>
      </c>
      <c r="L51" s="714">
        <v>3819.0</v>
      </c>
      <c r="M51" s="10"/>
      <c r="N51" s="741">
        <v>28.0</v>
      </c>
      <c r="O51" s="749"/>
      <c r="P51" s="145"/>
      <c r="Q51" s="704" t="str">
        <f>C327</f>
        <v/>
      </c>
      <c r="R51" s="145"/>
      <c r="S51" s="145"/>
      <c r="T51" s="145"/>
      <c r="U51" s="145"/>
      <c r="V51" s="145"/>
      <c r="W51" s="145"/>
      <c r="X51" s="145"/>
      <c r="Y51" s="705"/>
    </row>
    <row r="52">
      <c r="A52" s="706"/>
      <c r="D52" s="11">
        <v>45987.0</v>
      </c>
      <c r="E52" s="10" t="s">
        <v>1135</v>
      </c>
      <c r="F52" s="10" t="s">
        <v>1132</v>
      </c>
      <c r="G52" s="10" t="s">
        <v>331</v>
      </c>
      <c r="H52" s="12">
        <v>1350.0</v>
      </c>
      <c r="I52" s="13">
        <v>0.0</v>
      </c>
      <c r="J52" s="10" t="s">
        <v>1136</v>
      </c>
      <c r="K52" s="10" t="s">
        <v>175</v>
      </c>
      <c r="L52" s="714">
        <v>3819.0</v>
      </c>
      <c r="M52" s="10"/>
      <c r="N52" s="741">
        <v>29.0</v>
      </c>
      <c r="O52" s="749"/>
      <c r="P52" s="145"/>
      <c r="Q52" s="145"/>
      <c r="R52" s="145"/>
      <c r="S52" s="145"/>
      <c r="T52" s="145"/>
      <c r="U52" s="145"/>
      <c r="V52" s="145"/>
      <c r="W52" s="145"/>
      <c r="X52" s="145"/>
      <c r="Y52" s="705"/>
    </row>
    <row r="53">
      <c r="A53" s="706"/>
      <c r="D53" s="11">
        <v>45986.0</v>
      </c>
      <c r="E53" s="10" t="s">
        <v>1137</v>
      </c>
      <c r="F53" s="10" t="s">
        <v>1132</v>
      </c>
      <c r="G53" s="10" t="s">
        <v>1138</v>
      </c>
      <c r="H53" s="12">
        <v>0.0</v>
      </c>
      <c r="I53" s="13">
        <v>0.0</v>
      </c>
      <c r="J53" s="10" t="s">
        <v>1139</v>
      </c>
      <c r="K53" s="708"/>
      <c r="L53" s="709"/>
      <c r="M53" s="10"/>
      <c r="N53" s="741">
        <v>30.0</v>
      </c>
      <c r="O53" s="749"/>
      <c r="P53" s="145"/>
      <c r="Q53" s="145"/>
      <c r="R53" s="145"/>
      <c r="S53" s="145"/>
      <c r="T53" s="145"/>
      <c r="U53" s="145"/>
      <c r="V53" s="145"/>
      <c r="W53" s="145"/>
      <c r="X53" s="145"/>
      <c r="Y53" s="705"/>
    </row>
    <row r="54">
      <c r="A54" s="706"/>
      <c r="D54" s="11">
        <v>45986.0</v>
      </c>
      <c r="E54" s="10" t="s">
        <v>1137</v>
      </c>
      <c r="F54" s="10" t="s">
        <v>1132</v>
      </c>
      <c r="G54" s="10" t="s">
        <v>1138</v>
      </c>
      <c r="H54" s="12">
        <v>1425.0</v>
      </c>
      <c r="I54" s="13">
        <v>0.0</v>
      </c>
      <c r="J54" s="10" t="s">
        <v>1140</v>
      </c>
      <c r="K54" s="10" t="s">
        <v>175</v>
      </c>
      <c r="L54" s="714">
        <v>3819.0</v>
      </c>
      <c r="M54" s="10"/>
      <c r="N54" s="741">
        <v>31.0</v>
      </c>
      <c r="O54" s="749"/>
      <c r="P54" s="145"/>
      <c r="Q54" s="145"/>
      <c r="R54" s="145"/>
      <c r="S54" s="145"/>
      <c r="T54" s="145"/>
      <c r="U54" s="145"/>
      <c r="V54" s="145"/>
      <c r="W54" s="145"/>
      <c r="X54" s="145"/>
      <c r="Y54" s="705"/>
    </row>
    <row r="55">
      <c r="A55" s="706"/>
      <c r="D55" s="11">
        <v>45989.0</v>
      </c>
      <c r="E55" s="10">
        <v>5.35457817E8</v>
      </c>
      <c r="F55" s="10" t="s">
        <v>1141</v>
      </c>
      <c r="G55" s="10" t="s">
        <v>1142</v>
      </c>
      <c r="H55" s="12">
        <v>2350.0</v>
      </c>
      <c r="I55" s="13">
        <v>1254.0</v>
      </c>
      <c r="J55" s="10" t="s">
        <v>1143</v>
      </c>
      <c r="K55" s="10" t="s">
        <v>1144</v>
      </c>
      <c r="L55" s="714">
        <v>2774.0</v>
      </c>
      <c r="M55" s="10"/>
      <c r="N55" s="741">
        <v>32.0</v>
      </c>
      <c r="O55" s="749"/>
      <c r="P55" s="145"/>
      <c r="Q55" s="145"/>
      <c r="R55" s="145"/>
      <c r="S55" s="145"/>
      <c r="T55" s="145"/>
      <c r="U55" s="145"/>
      <c r="V55" s="145"/>
      <c r="W55" s="145"/>
      <c r="X55" s="145"/>
      <c r="Y55" s="705"/>
    </row>
    <row r="56">
      <c r="A56" s="706"/>
      <c r="D56" s="11">
        <v>45989.0</v>
      </c>
      <c r="E56" s="10">
        <v>2795724.0</v>
      </c>
      <c r="F56" s="10" t="s">
        <v>1145</v>
      </c>
      <c r="G56" s="10" t="s">
        <v>190</v>
      </c>
      <c r="H56" s="12">
        <v>2200.0</v>
      </c>
      <c r="I56" s="13">
        <v>958.0</v>
      </c>
      <c r="J56" s="10" t="s">
        <v>1146</v>
      </c>
      <c r="K56" s="10" t="s">
        <v>185</v>
      </c>
      <c r="L56" s="714">
        <v>3881.0</v>
      </c>
      <c r="M56" s="10"/>
      <c r="N56" s="741">
        <v>33.0</v>
      </c>
      <c r="O56" s="749"/>
      <c r="P56" s="145"/>
      <c r="Q56" s="145"/>
      <c r="R56" s="145"/>
      <c r="S56" s="145"/>
      <c r="T56" s="145"/>
      <c r="U56" s="145"/>
      <c r="V56" s="145"/>
      <c r="W56" s="145"/>
      <c r="X56" s="145"/>
      <c r="Y56" s="705"/>
    </row>
    <row r="57">
      <c r="A57" s="706"/>
      <c r="D57" s="11">
        <v>45989.0</v>
      </c>
      <c r="E57" s="10" t="s">
        <v>1147</v>
      </c>
      <c r="F57" s="10" t="s">
        <v>1148</v>
      </c>
      <c r="G57" s="10" t="s">
        <v>200</v>
      </c>
      <c r="H57" s="12">
        <v>6535.0</v>
      </c>
      <c r="I57" s="13">
        <v>2663.0</v>
      </c>
      <c r="J57" s="10" t="s">
        <v>1149</v>
      </c>
      <c r="K57" s="10" t="s">
        <v>37</v>
      </c>
      <c r="L57" s="728" t="s">
        <v>973</v>
      </c>
      <c r="M57" s="10"/>
      <c r="N57" s="741">
        <v>34.0</v>
      </c>
      <c r="O57" s="750"/>
      <c r="P57" s="145"/>
      <c r="Q57" s="128"/>
      <c r="R57" s="128"/>
      <c r="S57" s="128"/>
      <c r="T57" s="128"/>
      <c r="U57" s="128"/>
      <c r="V57" s="128"/>
      <c r="W57" s="128"/>
      <c r="X57" s="128"/>
      <c r="Y57" s="715"/>
    </row>
    <row r="58">
      <c r="A58" s="706"/>
      <c r="D58" s="11">
        <v>45989.0</v>
      </c>
      <c r="E58" s="10">
        <v>396969.0</v>
      </c>
      <c r="F58" s="10" t="s">
        <v>1150</v>
      </c>
      <c r="G58" s="10" t="s">
        <v>1151</v>
      </c>
      <c r="H58" s="12">
        <v>870.0</v>
      </c>
      <c r="I58" s="13">
        <v>397.0</v>
      </c>
      <c r="J58" s="10" t="s">
        <v>1152</v>
      </c>
      <c r="K58" s="10" t="s">
        <v>153</v>
      </c>
      <c r="L58" s="714">
        <v>3301.0</v>
      </c>
      <c r="M58" s="10"/>
      <c r="N58" s="741">
        <v>35.0</v>
      </c>
      <c r="O58" s="749"/>
      <c r="P58" s="145"/>
      <c r="Q58" s="145"/>
      <c r="R58" s="126"/>
      <c r="S58" s="126"/>
      <c r="T58" s="126"/>
      <c r="U58" s="129"/>
      <c r="V58" s="126"/>
      <c r="W58" s="145"/>
      <c r="X58" s="126"/>
      <c r="Y58" s="748"/>
    </row>
    <row r="59">
      <c r="A59" s="706"/>
      <c r="D59" s="11">
        <v>45990.0</v>
      </c>
      <c r="E59" s="10">
        <v>12639.0</v>
      </c>
      <c r="F59" s="10" t="s">
        <v>1153</v>
      </c>
      <c r="G59" s="10" t="s">
        <v>1154</v>
      </c>
      <c r="H59" s="12">
        <v>3000.0</v>
      </c>
      <c r="I59" s="13">
        <v>1191.0</v>
      </c>
      <c r="J59" s="10" t="s">
        <v>1155</v>
      </c>
      <c r="K59" s="10" t="s">
        <v>103</v>
      </c>
      <c r="L59" s="714">
        <v>2675.0</v>
      </c>
      <c r="M59" s="10"/>
      <c r="N59" s="741">
        <v>36.0</v>
      </c>
      <c r="O59" s="749"/>
      <c r="P59" s="145"/>
      <c r="Q59" s="145"/>
      <c r="R59" s="126"/>
      <c r="S59" s="145"/>
      <c r="T59" s="145"/>
      <c r="U59" s="145"/>
      <c r="V59" s="145"/>
      <c r="W59" s="145"/>
      <c r="X59" s="145"/>
      <c r="Y59" s="705"/>
    </row>
    <row r="60">
      <c r="A60" s="706"/>
      <c r="D60" s="11">
        <v>45990.0</v>
      </c>
      <c r="E60" s="10">
        <v>14256.0</v>
      </c>
      <c r="F60" s="10" t="s">
        <v>1156</v>
      </c>
      <c r="G60" s="22" t="s">
        <v>1157</v>
      </c>
      <c r="H60" s="12">
        <v>700.0</v>
      </c>
      <c r="I60" s="13">
        <v>680.0</v>
      </c>
      <c r="J60" s="10" t="s">
        <v>1158</v>
      </c>
      <c r="K60" s="10" t="s">
        <v>103</v>
      </c>
      <c r="L60" s="714">
        <v>2675.0</v>
      </c>
      <c r="M60" s="708"/>
      <c r="N60" s="741">
        <v>37.0</v>
      </c>
      <c r="O60" s="749"/>
      <c r="P60" s="145"/>
      <c r="Q60" s="145"/>
      <c r="R60" s="126"/>
      <c r="S60" s="126"/>
      <c r="T60" s="126"/>
      <c r="U60" s="717"/>
      <c r="V60" s="126"/>
      <c r="W60" s="145"/>
      <c r="X60" s="126"/>
      <c r="Y60" s="748"/>
    </row>
    <row r="61">
      <c r="A61" s="706"/>
      <c r="D61" s="11">
        <v>45990.0</v>
      </c>
      <c r="E61" s="10" t="s">
        <v>1159</v>
      </c>
      <c r="F61" s="10" t="s">
        <v>1160</v>
      </c>
      <c r="G61" s="10" t="s">
        <v>1161</v>
      </c>
      <c r="H61" s="12">
        <v>2100.0</v>
      </c>
      <c r="I61" s="13">
        <v>1012.0</v>
      </c>
      <c r="J61" s="10" t="s">
        <v>1162</v>
      </c>
      <c r="K61" s="10" t="s">
        <v>153</v>
      </c>
      <c r="L61" s="714">
        <v>3301.0</v>
      </c>
      <c r="M61" s="708"/>
      <c r="N61" s="741">
        <v>38.0</v>
      </c>
      <c r="O61" s="749"/>
      <c r="P61" s="145"/>
      <c r="Q61" s="145"/>
      <c r="R61" s="126"/>
      <c r="S61" s="145"/>
      <c r="T61" s="145"/>
      <c r="U61" s="145"/>
      <c r="V61" s="145"/>
      <c r="W61" s="145"/>
      <c r="X61" s="145"/>
      <c r="Y61" s="705"/>
    </row>
    <row r="62">
      <c r="A62" s="706"/>
      <c r="D62" s="11">
        <v>45991.0</v>
      </c>
      <c r="E62" s="10">
        <v>5.35039164E8</v>
      </c>
      <c r="F62" s="10" t="s">
        <v>1163</v>
      </c>
      <c r="G62" s="10" t="s">
        <v>1164</v>
      </c>
      <c r="H62" s="12">
        <v>735.0</v>
      </c>
      <c r="I62" s="10">
        <v>334.0</v>
      </c>
      <c r="J62" s="10" t="s">
        <v>1165</v>
      </c>
      <c r="K62" s="10" t="s">
        <v>185</v>
      </c>
      <c r="L62" s="714">
        <v>3881.0</v>
      </c>
      <c r="N62" s="741">
        <v>39.0</v>
      </c>
      <c r="O62" s="749"/>
      <c r="P62" s="145"/>
      <c r="Q62" s="145"/>
      <c r="R62" s="126"/>
      <c r="S62" s="126"/>
      <c r="T62" s="126"/>
      <c r="U62" s="129"/>
      <c r="V62" s="126"/>
      <c r="W62" s="145"/>
      <c r="X62" s="145"/>
      <c r="Y62" s="705"/>
    </row>
    <row r="63">
      <c r="A63" s="706"/>
      <c r="D63" s="11">
        <v>45991.0</v>
      </c>
      <c r="E63" s="10">
        <v>714176.0</v>
      </c>
      <c r="F63" s="10" t="s">
        <v>1166</v>
      </c>
      <c r="G63" s="10" t="s">
        <v>1167</v>
      </c>
      <c r="H63" s="12">
        <v>1700.0</v>
      </c>
      <c r="I63" s="10">
        <v>1003.0</v>
      </c>
      <c r="J63" s="10" t="s">
        <v>1168</v>
      </c>
      <c r="K63" s="10" t="s">
        <v>1028</v>
      </c>
      <c r="L63" s="714">
        <v>6339.0</v>
      </c>
      <c r="N63" s="751"/>
      <c r="O63" s="752"/>
      <c r="P63" s="753"/>
      <c r="Q63" s="753"/>
      <c r="R63" s="754"/>
      <c r="S63" s="753"/>
      <c r="T63" s="753"/>
      <c r="U63" s="753"/>
      <c r="V63" s="753"/>
      <c r="W63" s="753"/>
      <c r="X63" s="753"/>
      <c r="Y63" s="732"/>
    </row>
    <row r="64">
      <c r="A64" s="706"/>
      <c r="D64" s="11">
        <v>45989.0</v>
      </c>
      <c r="E64" s="10">
        <v>8012654.0</v>
      </c>
      <c r="F64" s="10" t="s">
        <v>1088</v>
      </c>
      <c r="G64" s="10" t="s">
        <v>1122</v>
      </c>
      <c r="H64" s="12">
        <v>2400.0</v>
      </c>
      <c r="I64" s="10">
        <v>1261.0</v>
      </c>
      <c r="J64" s="10" t="s">
        <v>1169</v>
      </c>
      <c r="K64" s="10" t="s">
        <v>19</v>
      </c>
      <c r="L64" s="728" t="s">
        <v>431</v>
      </c>
      <c r="N64" s="755"/>
      <c r="O64" s="145"/>
      <c r="P64" s="126"/>
      <c r="Q64" s="145"/>
      <c r="R64" s="126"/>
      <c r="S64" s="126"/>
      <c r="T64" s="126"/>
      <c r="U64" s="717"/>
      <c r="V64" s="126"/>
      <c r="W64" s="145"/>
      <c r="X64" s="126"/>
      <c r="Y64" s="126"/>
    </row>
    <row r="65">
      <c r="A65" s="706"/>
      <c r="D65" s="11">
        <v>45990.0</v>
      </c>
      <c r="E65" s="10" t="s">
        <v>1170</v>
      </c>
      <c r="F65" s="10" t="s">
        <v>1171</v>
      </c>
      <c r="G65" s="10" t="s">
        <v>1172</v>
      </c>
      <c r="H65" s="12">
        <v>5500.0</v>
      </c>
      <c r="I65" s="10">
        <v>2810.0</v>
      </c>
      <c r="J65" s="10" t="s">
        <v>1173</v>
      </c>
      <c r="K65" s="10" t="s">
        <v>115</v>
      </c>
      <c r="L65" s="714">
        <v>2693.0</v>
      </c>
      <c r="N65" s="145"/>
      <c r="O65" s="145"/>
      <c r="P65" s="145"/>
      <c r="Q65" s="145"/>
      <c r="R65" s="126"/>
      <c r="S65" s="145"/>
      <c r="T65" s="145"/>
      <c r="U65" s="145"/>
      <c r="V65" s="145"/>
      <c r="W65" s="145"/>
      <c r="X65" s="145"/>
      <c r="Y65" s="145"/>
    </row>
    <row r="66">
      <c r="A66" s="706"/>
      <c r="D66" s="11">
        <v>45990.0</v>
      </c>
      <c r="E66" s="10">
        <v>2898343.0</v>
      </c>
      <c r="F66" s="10" t="s">
        <v>1174</v>
      </c>
      <c r="G66" s="10" t="s">
        <v>1174</v>
      </c>
      <c r="H66" s="12">
        <v>1400.0</v>
      </c>
      <c r="I66" s="10">
        <v>742.0</v>
      </c>
      <c r="J66" s="10" t="s">
        <v>1175</v>
      </c>
      <c r="K66" s="10" t="s">
        <v>215</v>
      </c>
      <c r="L66" s="714">
        <v>6813.0</v>
      </c>
      <c r="N66" s="145"/>
      <c r="O66" s="145"/>
      <c r="P66" s="126"/>
      <c r="Q66" s="145"/>
      <c r="R66" s="126"/>
      <c r="S66" s="126"/>
      <c r="T66" s="126"/>
      <c r="U66" s="717"/>
      <c r="V66" s="126"/>
      <c r="W66" s="145"/>
      <c r="X66" s="126"/>
      <c r="Y66" s="126"/>
    </row>
    <row r="67">
      <c r="A67" s="706"/>
      <c r="D67" s="11">
        <v>45987.0</v>
      </c>
      <c r="E67" s="10">
        <v>5.36090795E8</v>
      </c>
      <c r="F67" s="10" t="s">
        <v>1124</v>
      </c>
      <c r="G67" s="10" t="s">
        <v>1125</v>
      </c>
      <c r="H67" s="12">
        <v>0.0</v>
      </c>
      <c r="I67" s="10">
        <v>0.0</v>
      </c>
      <c r="J67" s="10" t="s">
        <v>1176</v>
      </c>
      <c r="K67" s="10" t="s">
        <v>215</v>
      </c>
      <c r="L67" s="714">
        <v>6813.0</v>
      </c>
      <c r="N67" s="145"/>
      <c r="O67" s="145"/>
      <c r="P67" s="145"/>
      <c r="Q67" s="145"/>
      <c r="R67" s="126"/>
      <c r="S67" s="145"/>
      <c r="T67" s="145"/>
      <c r="U67" s="145"/>
      <c r="V67" s="145"/>
      <c r="W67" s="145"/>
      <c r="X67" s="145"/>
      <c r="Y67" s="145"/>
    </row>
    <row r="68">
      <c r="A68" s="706"/>
      <c r="D68" s="11">
        <v>45986.0</v>
      </c>
      <c r="E68" s="10">
        <v>9.340326E7</v>
      </c>
      <c r="F68" s="10" t="s">
        <v>965</v>
      </c>
      <c r="G68" s="10" t="s">
        <v>966</v>
      </c>
      <c r="H68" s="12">
        <v>0.0</v>
      </c>
      <c r="I68" s="10">
        <v>0.0</v>
      </c>
      <c r="J68" s="10" t="s">
        <v>967</v>
      </c>
      <c r="K68" s="708"/>
      <c r="L68" s="709"/>
      <c r="N68" s="145"/>
      <c r="O68" s="145"/>
      <c r="P68" s="126"/>
      <c r="Q68" s="145"/>
      <c r="R68" s="126"/>
      <c r="S68" s="126"/>
      <c r="T68" s="126"/>
      <c r="U68" s="717"/>
      <c r="V68" s="126"/>
      <c r="W68" s="145"/>
      <c r="X68" s="126"/>
      <c r="Y68" s="126"/>
    </row>
    <row r="69">
      <c r="A69" s="706"/>
      <c r="H69" s="743">
        <f t="shared" ref="H69:I69" si="4">SUM(H3:H68)</f>
        <v>123653.8</v>
      </c>
      <c r="I69" s="756">
        <f t="shared" si="4"/>
        <v>60723</v>
      </c>
      <c r="K69" s="10"/>
      <c r="L69" s="757"/>
      <c r="N69" s="145"/>
      <c r="O69" s="145"/>
      <c r="P69" s="145"/>
      <c r="Q69" s="145"/>
      <c r="R69" s="126"/>
      <c r="S69" s="145"/>
      <c r="T69" s="145"/>
      <c r="U69" s="145"/>
      <c r="V69" s="145"/>
      <c r="W69" s="145"/>
      <c r="X69" s="145"/>
      <c r="Y69" s="145"/>
    </row>
    <row r="70">
      <c r="A70" s="706"/>
      <c r="K70" s="10"/>
      <c r="L70" s="757"/>
      <c r="N70" s="145"/>
      <c r="O70" s="145"/>
      <c r="P70" s="145"/>
      <c r="Q70" s="145"/>
      <c r="R70" s="145"/>
      <c r="S70" s="145"/>
      <c r="T70" s="126"/>
      <c r="U70" s="145"/>
      <c r="V70" s="145"/>
      <c r="W70" s="145"/>
      <c r="X70" s="145"/>
      <c r="Y70" s="145"/>
    </row>
    <row r="71">
      <c r="A71" s="706"/>
      <c r="K71" s="10"/>
      <c r="L71" s="757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</row>
    <row r="72">
      <c r="A72" s="706"/>
      <c r="K72" s="10"/>
      <c r="L72" s="757"/>
      <c r="N72" s="145"/>
      <c r="O72" s="758"/>
      <c r="P72" s="126"/>
      <c r="Q72" s="145"/>
      <c r="R72" s="126"/>
      <c r="S72" s="126"/>
      <c r="T72" s="126"/>
      <c r="U72" s="129"/>
      <c r="V72" s="126"/>
      <c r="W72" s="126"/>
      <c r="X72" s="126"/>
      <c r="Y72" s="126"/>
    </row>
    <row r="73">
      <c r="A73" s="706"/>
      <c r="K73" s="10"/>
      <c r="L73" s="757"/>
      <c r="N73" s="145"/>
      <c r="O73" s="145"/>
      <c r="P73" s="145"/>
      <c r="Q73" s="145"/>
      <c r="R73" s="126"/>
      <c r="S73" s="145"/>
      <c r="T73" s="145"/>
      <c r="U73" s="145"/>
      <c r="V73" s="145"/>
      <c r="W73" s="145"/>
      <c r="X73" s="145"/>
      <c r="Y73" s="145"/>
    </row>
    <row r="74">
      <c r="A74" s="706"/>
      <c r="K74" s="10"/>
      <c r="L74" s="757"/>
      <c r="N74" s="145"/>
      <c r="O74" s="758"/>
      <c r="P74" s="126"/>
      <c r="Q74" s="145"/>
      <c r="R74" s="126"/>
      <c r="S74" s="126"/>
      <c r="T74" s="126"/>
      <c r="U74" s="129"/>
      <c r="V74" s="126"/>
      <c r="W74" s="145"/>
      <c r="X74" s="145"/>
      <c r="Y74" s="145"/>
    </row>
    <row r="75">
      <c r="A75" s="706"/>
      <c r="K75" s="10"/>
      <c r="L75" s="757"/>
      <c r="N75" s="145"/>
      <c r="O75" s="145"/>
      <c r="P75" s="145"/>
      <c r="Q75" s="145"/>
      <c r="R75" s="126"/>
      <c r="S75" s="145"/>
      <c r="T75" s="145"/>
      <c r="U75" s="145"/>
      <c r="V75" s="145"/>
      <c r="W75" s="145"/>
      <c r="X75" s="145"/>
      <c r="Y75" s="145"/>
    </row>
    <row r="76">
      <c r="A76" s="706"/>
      <c r="K76" s="10"/>
      <c r="L76" s="757"/>
      <c r="N76" s="145"/>
      <c r="O76" s="145"/>
      <c r="P76" s="126"/>
      <c r="Q76" s="145"/>
      <c r="R76" s="126"/>
      <c r="S76" s="126"/>
      <c r="T76" s="126"/>
      <c r="U76" s="129"/>
      <c r="V76" s="126"/>
      <c r="W76" s="126"/>
      <c r="X76" s="126"/>
      <c r="Y76" s="126"/>
    </row>
    <row r="77">
      <c r="A77" s="706"/>
      <c r="L77" s="759"/>
      <c r="N77" s="145"/>
      <c r="O77" s="145"/>
      <c r="P77" s="145"/>
      <c r="Q77" s="145"/>
      <c r="R77" s="126"/>
      <c r="S77" s="145"/>
      <c r="T77" s="145"/>
      <c r="U77" s="145"/>
      <c r="V77" s="145"/>
      <c r="W77" s="145"/>
      <c r="X77" s="145"/>
      <c r="Y77" s="145"/>
    </row>
    <row r="78">
      <c r="A78" s="706"/>
      <c r="L78" s="759"/>
      <c r="N78" s="145"/>
      <c r="O78" s="145"/>
      <c r="P78" s="126"/>
      <c r="Q78" s="145"/>
      <c r="R78" s="126"/>
      <c r="S78" s="126"/>
      <c r="T78" s="126"/>
      <c r="U78" s="717"/>
      <c r="V78" s="126"/>
      <c r="W78" s="145"/>
      <c r="X78" s="126"/>
      <c r="Y78" s="126"/>
    </row>
    <row r="79">
      <c r="A79" s="706"/>
      <c r="L79" s="759"/>
      <c r="N79" s="145"/>
      <c r="O79" s="145"/>
      <c r="P79" s="145"/>
      <c r="Q79" s="145"/>
      <c r="R79" s="126"/>
      <c r="S79" s="145"/>
      <c r="T79" s="145"/>
      <c r="U79" s="145"/>
      <c r="V79" s="145"/>
      <c r="W79" s="145"/>
      <c r="X79" s="145"/>
      <c r="Y79" s="145"/>
    </row>
    <row r="80">
      <c r="A80" s="706"/>
      <c r="L80" s="759"/>
      <c r="N80" s="145"/>
      <c r="O80" s="758"/>
      <c r="P80" s="126"/>
      <c r="Q80" s="145"/>
      <c r="R80" s="126"/>
      <c r="S80" s="126"/>
      <c r="T80" s="126"/>
      <c r="U80" s="717"/>
      <c r="V80" s="126"/>
      <c r="W80" s="145"/>
      <c r="X80" s="145"/>
      <c r="Y80" s="145"/>
    </row>
    <row r="81">
      <c r="A81" s="706"/>
      <c r="L81" s="759"/>
      <c r="N81" s="145"/>
      <c r="O81" s="145"/>
      <c r="P81" s="145"/>
      <c r="Q81" s="145"/>
      <c r="R81" s="126"/>
      <c r="S81" s="145"/>
      <c r="T81" s="145"/>
      <c r="U81" s="145"/>
      <c r="V81" s="145"/>
      <c r="W81" s="145"/>
      <c r="X81" s="145"/>
      <c r="Y81" s="145"/>
    </row>
    <row r="82">
      <c r="A82" s="706"/>
      <c r="L82" s="759"/>
      <c r="N82" s="145"/>
      <c r="O82" s="145"/>
      <c r="P82" s="126"/>
      <c r="Q82" s="145"/>
      <c r="R82" s="126"/>
      <c r="S82" s="126"/>
      <c r="T82" s="126"/>
      <c r="U82" s="717"/>
      <c r="V82" s="126"/>
      <c r="W82" s="126"/>
      <c r="X82" s="126"/>
      <c r="Y82" s="126"/>
    </row>
    <row r="83">
      <c r="A83" s="706"/>
      <c r="L83" s="759"/>
      <c r="N83" s="145"/>
      <c r="O83" s="145"/>
      <c r="P83" s="145"/>
      <c r="Q83" s="145"/>
      <c r="R83" s="126"/>
      <c r="S83" s="145"/>
      <c r="T83" s="145"/>
      <c r="U83" s="145"/>
      <c r="V83" s="145"/>
      <c r="W83" s="145"/>
      <c r="X83" s="145"/>
      <c r="Y83" s="145"/>
    </row>
    <row r="84">
      <c r="A84" s="706"/>
      <c r="L84" s="759"/>
      <c r="N84" s="145"/>
      <c r="O84" s="758"/>
      <c r="P84" s="126"/>
      <c r="Q84" s="145"/>
      <c r="R84" s="126"/>
      <c r="S84" s="126"/>
      <c r="T84" s="126"/>
      <c r="U84" s="717"/>
      <c r="V84" s="126"/>
      <c r="W84" s="145"/>
      <c r="X84" s="145"/>
      <c r="Y84" s="145"/>
    </row>
    <row r="85">
      <c r="A85" s="706"/>
      <c r="L85" s="759"/>
      <c r="N85" s="145"/>
      <c r="O85" s="145"/>
      <c r="P85" s="145"/>
      <c r="Q85" s="145"/>
      <c r="R85" s="126"/>
      <c r="S85" s="145"/>
      <c r="T85" s="145"/>
      <c r="U85" s="145"/>
      <c r="V85" s="145"/>
      <c r="W85" s="145"/>
      <c r="X85" s="145"/>
      <c r="Y85" s="145"/>
    </row>
    <row r="86">
      <c r="A86" s="706"/>
      <c r="L86" s="759"/>
      <c r="N86" s="145"/>
      <c r="O86" s="145"/>
      <c r="P86" s="126"/>
      <c r="Q86" s="145"/>
      <c r="R86" s="126"/>
      <c r="S86" s="126"/>
      <c r="T86" s="126"/>
      <c r="U86" s="717"/>
      <c r="V86" s="126"/>
      <c r="W86" s="145"/>
      <c r="X86" s="126"/>
      <c r="Y86" s="126"/>
    </row>
    <row r="87">
      <c r="A87" s="706"/>
      <c r="L87" s="759"/>
      <c r="N87" s="145"/>
      <c r="O87" s="145"/>
      <c r="P87" s="145"/>
      <c r="Q87" s="145"/>
      <c r="R87" s="126"/>
      <c r="S87" s="145"/>
      <c r="T87" s="145"/>
      <c r="U87" s="145"/>
      <c r="V87" s="145"/>
      <c r="W87" s="145"/>
      <c r="X87" s="145"/>
      <c r="Y87" s="145"/>
    </row>
    <row r="88">
      <c r="A88" s="706"/>
      <c r="L88" s="759"/>
      <c r="N88" s="145"/>
      <c r="O88" s="758"/>
      <c r="P88" s="126"/>
      <c r="Q88" s="145"/>
      <c r="R88" s="126"/>
      <c r="S88" s="126"/>
      <c r="T88" s="126"/>
      <c r="U88" s="717"/>
      <c r="V88" s="126"/>
      <c r="W88" s="145"/>
      <c r="X88" s="145"/>
      <c r="Y88" s="145"/>
    </row>
    <row r="89">
      <c r="A89" s="706"/>
      <c r="L89" s="759"/>
      <c r="N89" s="145"/>
      <c r="O89" s="145"/>
      <c r="P89" s="145"/>
      <c r="Q89" s="145"/>
      <c r="R89" s="126"/>
      <c r="S89" s="145"/>
      <c r="T89" s="145"/>
      <c r="U89" s="145"/>
      <c r="V89" s="145"/>
      <c r="W89" s="145"/>
      <c r="X89" s="145"/>
      <c r="Y89" s="145"/>
    </row>
    <row r="90">
      <c r="A90" s="706"/>
      <c r="L90" s="759"/>
      <c r="N90" s="755"/>
      <c r="O90" s="755"/>
      <c r="P90" s="145"/>
      <c r="Q90" s="755"/>
      <c r="R90" s="145"/>
      <c r="S90" s="145"/>
      <c r="T90" s="126"/>
      <c r="U90" s="717"/>
      <c r="V90" s="145"/>
      <c r="W90" s="145"/>
      <c r="X90" s="145"/>
      <c r="Y90" s="145"/>
    </row>
    <row r="91">
      <c r="A91" s="706"/>
      <c r="L91" s="759"/>
      <c r="N91" s="760"/>
      <c r="O91" s="145"/>
      <c r="P91" s="145"/>
      <c r="Q91" s="755"/>
      <c r="R91" s="145"/>
      <c r="S91" s="145"/>
      <c r="T91" s="145"/>
      <c r="U91" s="145"/>
      <c r="V91" s="145"/>
      <c r="W91" s="145"/>
      <c r="X91" s="145"/>
      <c r="Y91" s="145"/>
    </row>
    <row r="92">
      <c r="A92" s="706"/>
      <c r="L92" s="759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</row>
    <row r="93">
      <c r="A93" s="706"/>
      <c r="L93" s="759"/>
      <c r="N93" s="128"/>
      <c r="O93" s="128"/>
      <c r="P93" s="128"/>
      <c r="Q93" s="128"/>
      <c r="R93" s="128"/>
      <c r="S93" s="128"/>
      <c r="T93" s="128"/>
      <c r="U93" s="128"/>
      <c r="V93" s="145"/>
      <c r="W93" s="145"/>
      <c r="X93" s="145"/>
      <c r="Y93" s="145"/>
    </row>
    <row r="94">
      <c r="A94" s="706"/>
      <c r="L94" s="759"/>
      <c r="N94" s="126"/>
      <c r="O94" s="126"/>
      <c r="P94" s="126"/>
      <c r="Q94" s="126"/>
      <c r="R94" s="129"/>
      <c r="S94" s="126"/>
      <c r="T94" s="126"/>
      <c r="U94" s="126"/>
      <c r="V94" s="145"/>
      <c r="W94" s="145"/>
      <c r="X94" s="145"/>
      <c r="Y94" s="145"/>
    </row>
    <row r="95">
      <c r="A95" s="706"/>
      <c r="L95" s="759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</row>
    <row r="96">
      <c r="A96" s="706"/>
      <c r="L96" s="759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</row>
    <row r="97">
      <c r="A97" s="706"/>
      <c r="L97" s="759"/>
      <c r="N97" s="761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</row>
    <row r="98">
      <c r="A98" s="706"/>
      <c r="L98" s="759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</row>
    <row r="99">
      <c r="A99" s="706"/>
      <c r="L99" s="759"/>
      <c r="N99" s="762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</row>
    <row r="100">
      <c r="A100" s="706"/>
      <c r="L100" s="759"/>
      <c r="N100" s="128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</row>
    <row r="101">
      <c r="A101" s="706"/>
      <c r="L101" s="759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</row>
    <row r="102">
      <c r="A102" s="706"/>
      <c r="L102" s="759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</row>
    <row r="103">
      <c r="A103" s="706"/>
      <c r="L103" s="759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</row>
    <row r="104">
      <c r="A104" s="706"/>
      <c r="L104" s="759"/>
      <c r="N104" s="75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</row>
    <row r="105">
      <c r="A105" s="706"/>
      <c r="L105" s="759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</row>
    <row r="106">
      <c r="A106" s="706"/>
      <c r="L106" s="759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</row>
    <row r="107">
      <c r="A107" s="706"/>
      <c r="L107" s="759"/>
      <c r="N107" s="763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</row>
    <row r="108">
      <c r="A108" s="706"/>
      <c r="L108" s="759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</row>
    <row r="109">
      <c r="A109" s="706"/>
      <c r="L109" s="759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</row>
    <row r="110">
      <c r="A110" s="706"/>
      <c r="L110" s="759"/>
      <c r="N110" s="145"/>
      <c r="O110" s="145"/>
      <c r="P110" s="145"/>
      <c r="Q110" s="145"/>
      <c r="R110" s="145"/>
      <c r="S110" s="145"/>
      <c r="T110" s="764"/>
      <c r="U110" s="145"/>
      <c r="V110" s="145"/>
      <c r="W110" s="145"/>
      <c r="X110" s="145"/>
      <c r="Y110" s="145"/>
    </row>
    <row r="111">
      <c r="A111" s="706"/>
      <c r="L111" s="759"/>
      <c r="N111" s="145"/>
      <c r="O111" s="145"/>
      <c r="P111" s="126"/>
      <c r="Q111" s="145"/>
      <c r="R111" s="126"/>
      <c r="S111" s="126"/>
      <c r="T111" s="126"/>
      <c r="U111" s="129"/>
      <c r="V111" s="126"/>
      <c r="W111" s="145"/>
      <c r="X111" s="145"/>
      <c r="Y111" s="145"/>
    </row>
    <row r="112">
      <c r="A112" s="706"/>
      <c r="L112" s="759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</row>
    <row r="113">
      <c r="A113" s="706"/>
      <c r="L113" s="759"/>
      <c r="N113" s="76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</row>
    <row r="114">
      <c r="A114" s="706"/>
      <c r="L114" s="759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</row>
    <row r="115">
      <c r="A115" s="706"/>
      <c r="L115" s="759"/>
      <c r="N115" s="128"/>
      <c r="O115" s="128"/>
      <c r="P115" s="128"/>
      <c r="Q115" s="128"/>
      <c r="R115" s="128"/>
      <c r="S115" s="128"/>
      <c r="T115" s="145"/>
      <c r="U115" s="145"/>
      <c r="V115" s="145"/>
      <c r="W115" s="145"/>
      <c r="X115" s="145"/>
      <c r="Y115" s="145"/>
    </row>
    <row r="116">
      <c r="A116" s="706"/>
      <c r="L116" s="759"/>
      <c r="N116" s="126"/>
      <c r="O116" s="126"/>
      <c r="P116" s="126"/>
      <c r="Q116" s="126"/>
      <c r="R116" s="129"/>
      <c r="S116" s="126"/>
      <c r="T116" s="145"/>
      <c r="U116" s="145"/>
      <c r="V116" s="145"/>
      <c r="W116" s="145"/>
      <c r="X116" s="145"/>
      <c r="Y116" s="145"/>
    </row>
    <row r="117">
      <c r="A117" s="706"/>
      <c r="L117" s="759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</row>
    <row r="118">
      <c r="A118" s="706"/>
      <c r="L118" s="759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</row>
    <row r="119">
      <c r="A119" s="706"/>
      <c r="L119" s="759"/>
      <c r="N119" s="761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</row>
    <row r="120">
      <c r="A120" s="706"/>
      <c r="L120" s="759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</row>
    <row r="121">
      <c r="A121" s="706"/>
      <c r="L121" s="759"/>
      <c r="N121" s="128"/>
      <c r="O121" s="128"/>
      <c r="P121" s="128"/>
      <c r="Q121" s="128"/>
      <c r="R121" s="128"/>
      <c r="S121" s="128"/>
      <c r="T121" s="128"/>
      <c r="U121" s="128"/>
      <c r="V121" s="145"/>
      <c r="W121" s="145"/>
      <c r="X121" s="145"/>
      <c r="Y121" s="145"/>
    </row>
    <row r="122">
      <c r="A122" s="766"/>
      <c r="B122" s="767"/>
      <c r="C122" s="767"/>
      <c r="D122" s="767"/>
      <c r="E122" s="767"/>
      <c r="F122" s="767"/>
      <c r="G122" s="767"/>
      <c r="H122" s="767"/>
      <c r="I122" s="767"/>
      <c r="J122" s="767"/>
      <c r="K122" s="767"/>
      <c r="L122" s="768"/>
      <c r="N122" s="126"/>
      <c r="O122" s="126"/>
      <c r="P122" s="126"/>
      <c r="Q122" s="126"/>
      <c r="R122" s="129"/>
      <c r="S122" s="126"/>
      <c r="T122" s="126"/>
      <c r="U122" s="126"/>
      <c r="V122" s="145"/>
      <c r="W122" s="145"/>
      <c r="X122" s="145"/>
      <c r="Y122" s="145"/>
    </row>
    <row r="126">
      <c r="A126" s="769"/>
      <c r="B126" s="770"/>
      <c r="C126" s="770"/>
      <c r="D126" s="771" t="s">
        <v>700</v>
      </c>
      <c r="E126" s="772" t="s">
        <v>1177</v>
      </c>
      <c r="F126" s="773"/>
      <c r="G126" s="774"/>
      <c r="H126" s="305">
        <v>1.0</v>
      </c>
      <c r="I126" s="769"/>
      <c r="J126" s="770"/>
      <c r="K126" s="770"/>
      <c r="L126" s="771" t="s">
        <v>700</v>
      </c>
      <c r="M126" s="772" t="str">
        <f>E126</f>
        <v>11.24.2025-11.30.2025</v>
      </c>
      <c r="N126" s="773"/>
      <c r="O126" s="774"/>
    </row>
    <row r="127">
      <c r="A127" s="775"/>
      <c r="D127" s="771" t="s">
        <v>702</v>
      </c>
      <c r="E127" s="772" t="str">
        <f t="array" ref="E127">XLOOKUP(E128,$Q$973:$Q$1005,$R$973:$R$1005)</f>
        <v>Ada Fleet LLC</v>
      </c>
      <c r="F127" s="773"/>
      <c r="G127" s="774"/>
      <c r="H127" s="776"/>
      <c r="I127" s="775"/>
      <c r="L127" s="771" t="s">
        <v>351</v>
      </c>
      <c r="M127" s="772" t="str">
        <f t="array" ref="M127">XLOOKUP(M128,$L$1:$L$122,$K$1:$K$122)</f>
        <v>VICTOR DEMCHENKO</v>
      </c>
      <c r="N127" s="773"/>
      <c r="O127" s="774"/>
      <c r="P127" s="777"/>
    </row>
    <row r="128">
      <c r="A128" s="775"/>
      <c r="D128" s="771" t="s">
        <v>703</v>
      </c>
      <c r="E128" s="778" t="s">
        <v>431</v>
      </c>
      <c r="F128" s="773"/>
      <c r="G128" s="774"/>
      <c r="H128" s="283"/>
      <c r="I128" s="775"/>
      <c r="L128" s="771" t="s">
        <v>703</v>
      </c>
      <c r="M128" s="772" t="str">
        <f>E128</f>
        <v>0427</v>
      </c>
      <c r="N128" s="773"/>
      <c r="O128" s="774"/>
    </row>
    <row r="129">
      <c r="A129" s="779" t="s">
        <v>704</v>
      </c>
      <c r="B129" s="779" t="s">
        <v>5</v>
      </c>
      <c r="C129" s="779" t="s">
        <v>6</v>
      </c>
      <c r="D129" s="779" t="s">
        <v>7</v>
      </c>
      <c r="E129" s="779" t="s">
        <v>8</v>
      </c>
      <c r="F129" s="779" t="s">
        <v>706</v>
      </c>
      <c r="G129" s="779" t="s">
        <v>707</v>
      </c>
      <c r="H129" s="34"/>
      <c r="I129" s="779" t="s">
        <v>704</v>
      </c>
      <c r="J129" s="779" t="s">
        <v>5</v>
      </c>
      <c r="K129" s="779" t="s">
        <v>6</v>
      </c>
      <c r="L129" s="779" t="s">
        <v>7</v>
      </c>
      <c r="M129" s="779" t="s">
        <v>1178</v>
      </c>
      <c r="N129" s="779" t="s">
        <v>839</v>
      </c>
      <c r="O129" s="779" t="s">
        <v>707</v>
      </c>
    </row>
    <row r="130">
      <c r="A130" s="780">
        <f>IFERROR(__xludf.DUMMYFUNCTION("FILTER($D$3:$H$122,$L$3:$L$122=E128)"),45986.0)</f>
        <v>45986</v>
      </c>
      <c r="B130" s="781">
        <f>IFERROR(__xludf.DUMMYFUNCTION("""COMPUTED_VALUE"""),6912758.0)</f>
        <v>6912758</v>
      </c>
      <c r="C130" s="781" t="str">
        <f>IFERROR(__xludf.DUMMYFUNCTION("""COMPUTED_VALUE"""),"Bridgewater, NJ,")</f>
        <v>Bridgewater, NJ,</v>
      </c>
      <c r="D130" s="781" t="str">
        <f>IFERROR(__xludf.DUMMYFUNCTION("""COMPUTED_VALUE"""),"Belle Fourche, WY, 82710")</f>
        <v>Belle Fourche, WY, 82710</v>
      </c>
      <c r="E130" s="782">
        <f>IFERROR(__xludf.DUMMYFUNCTION("""COMPUTED_VALUE"""),3400.0)</f>
        <v>3400</v>
      </c>
      <c r="F130" s="783">
        <v>0.88</v>
      </c>
      <c r="G130" s="782">
        <f t="shared" ref="G130:G131" si="5">E130*F130</f>
        <v>2992</v>
      </c>
      <c r="H130" s="283"/>
      <c r="I130" s="780">
        <f>IFERROR(__xludf.DUMMYFUNCTION("FILTER($D$3:$G$122,$L$3:$L$122=M128)"),45986.0)</f>
        <v>45986</v>
      </c>
      <c r="J130" s="781">
        <f>IFERROR(__xludf.DUMMYFUNCTION("""COMPUTED_VALUE"""),6912758.0)</f>
        <v>6912758</v>
      </c>
      <c r="K130" s="781" t="str">
        <f>IFERROR(__xludf.DUMMYFUNCTION("""COMPUTED_VALUE"""),"Bridgewater, NJ,")</f>
        <v>Bridgewater, NJ,</v>
      </c>
      <c r="L130" s="781" t="str">
        <f>IFERROR(__xludf.DUMMYFUNCTION("""COMPUTED_VALUE"""),"Belle Fourche, WY, 82710")</f>
        <v>Belle Fourche, WY, 82710</v>
      </c>
      <c r="M130" s="784">
        <f>IFERROR(__xludf.DUMMYFUNCTION("FILTER($I$3:$I$122,$L$3:$L$122=M128)"),1778.0)</f>
        <v>1778</v>
      </c>
      <c r="N130" s="781">
        <v>0.65</v>
      </c>
      <c r="O130" s="782">
        <f t="shared" ref="O130:O131" si="6">M130*N130</f>
        <v>1155.7</v>
      </c>
    </row>
    <row r="131">
      <c r="A131" s="780">
        <f>IFERROR(__xludf.DUMMYFUNCTION("""COMPUTED_VALUE"""),45989.0)</f>
        <v>45989</v>
      </c>
      <c r="B131" s="781">
        <f>IFERROR(__xludf.DUMMYFUNCTION("""COMPUTED_VALUE"""),8012654.0)</f>
        <v>8012654</v>
      </c>
      <c r="C131" s="781" t="str">
        <f>IFERROR(__xludf.DUMMYFUNCTION("""COMPUTED_VALUE"""),"Belle Fourche, WY, 82710")</f>
        <v>Belle Fourche, WY, 82710</v>
      </c>
      <c r="D131" s="781" t="str">
        <f>IFERROR(__xludf.DUMMYFUNCTION("""COMPUTED_VALUE"""),"Apple Valley, CA, 92307")</f>
        <v>Apple Valley, CA, 92307</v>
      </c>
      <c r="E131" s="782">
        <f>IFERROR(__xludf.DUMMYFUNCTION("""COMPUTED_VALUE"""),2400.0)</f>
        <v>2400</v>
      </c>
      <c r="F131" s="783">
        <v>0.88</v>
      </c>
      <c r="G131" s="782">
        <f t="shared" si="5"/>
        <v>2112</v>
      </c>
      <c r="H131" s="283"/>
      <c r="I131" s="780">
        <f>IFERROR(__xludf.DUMMYFUNCTION("""COMPUTED_VALUE"""),45989.0)</f>
        <v>45989</v>
      </c>
      <c r="J131" s="781">
        <f>IFERROR(__xludf.DUMMYFUNCTION("""COMPUTED_VALUE"""),8012654.0)</f>
        <v>8012654</v>
      </c>
      <c r="K131" s="781" t="str">
        <f>IFERROR(__xludf.DUMMYFUNCTION("""COMPUTED_VALUE"""),"Belle Fourche, WY, 82710")</f>
        <v>Belle Fourche, WY, 82710</v>
      </c>
      <c r="L131" s="781" t="str">
        <f>IFERROR(__xludf.DUMMYFUNCTION("""COMPUTED_VALUE"""),"Apple Valley, CA, 92307")</f>
        <v>Apple Valley, CA, 92307</v>
      </c>
      <c r="M131" s="781">
        <f>IFERROR(__xludf.DUMMYFUNCTION("""COMPUTED_VALUE"""),1261.0)</f>
        <v>1261</v>
      </c>
      <c r="N131" s="781">
        <v>0.65</v>
      </c>
      <c r="O131" s="782">
        <f t="shared" si="6"/>
        <v>819.65</v>
      </c>
    </row>
    <row r="132">
      <c r="A132" s="785"/>
      <c r="B132" s="786"/>
      <c r="C132" s="786"/>
      <c r="D132" s="786"/>
      <c r="E132" s="785"/>
      <c r="F132" s="787"/>
      <c r="G132" s="788"/>
      <c r="H132" s="283"/>
      <c r="I132" s="785"/>
      <c r="J132" s="786"/>
      <c r="K132" s="786"/>
      <c r="L132" s="786"/>
      <c r="M132" s="785"/>
      <c r="N132" s="787"/>
      <c r="O132" s="789"/>
    </row>
    <row r="133">
      <c r="A133" s="785"/>
      <c r="B133" s="786"/>
      <c r="C133" s="786"/>
      <c r="D133" s="786"/>
      <c r="E133" s="785"/>
      <c r="F133" s="787"/>
      <c r="G133" s="788"/>
      <c r="H133" s="283"/>
      <c r="I133" s="785"/>
      <c r="J133" s="786"/>
      <c r="K133" s="786"/>
      <c r="L133" s="786"/>
      <c r="M133" s="785"/>
      <c r="N133" s="787"/>
      <c r="O133" s="789"/>
    </row>
    <row r="134">
      <c r="A134" s="785"/>
      <c r="B134" s="786"/>
      <c r="C134" s="786"/>
      <c r="D134" s="786"/>
      <c r="E134" s="785"/>
      <c r="F134" s="787"/>
      <c r="G134" s="788"/>
      <c r="H134" s="283"/>
      <c r="I134" s="785"/>
      <c r="J134" s="786"/>
      <c r="K134" s="786"/>
      <c r="L134" s="786"/>
      <c r="M134" s="785"/>
      <c r="N134" s="787"/>
      <c r="O134" s="789"/>
    </row>
    <row r="135">
      <c r="A135" s="785"/>
      <c r="B135" s="786"/>
      <c r="C135" s="786"/>
      <c r="D135" s="786"/>
      <c r="E135" s="785"/>
      <c r="F135" s="787"/>
      <c r="G135" s="788"/>
      <c r="H135" s="283"/>
      <c r="I135" s="785"/>
      <c r="J135" s="786"/>
      <c r="K135" s="786"/>
      <c r="L135" s="786"/>
      <c r="M135" s="785"/>
      <c r="N135" s="787"/>
      <c r="O135" s="789"/>
    </row>
    <row r="136">
      <c r="A136" s="790" t="s">
        <v>711</v>
      </c>
      <c r="B136" s="791"/>
      <c r="C136" s="791"/>
      <c r="D136" s="792"/>
      <c r="E136" s="793">
        <f>SUM(E130:E135)</f>
        <v>5800</v>
      </c>
      <c r="F136" s="794"/>
      <c r="G136" s="793">
        <f>SUM(G130:G135)</f>
        <v>5104</v>
      </c>
      <c r="H136" s="283"/>
      <c r="I136" s="790" t="s">
        <v>711</v>
      </c>
      <c r="J136" s="791"/>
      <c r="K136" s="791"/>
      <c r="L136" s="792"/>
      <c r="M136" s="795">
        <f>SUM(M130:M135)</f>
        <v>3039</v>
      </c>
      <c r="N136" s="794"/>
      <c r="O136" s="793">
        <f>SUM(O130:O135)</f>
        <v>1975.35</v>
      </c>
    </row>
    <row r="137">
      <c r="A137" s="796"/>
      <c r="D137" s="248"/>
      <c r="E137" s="248"/>
      <c r="F137" s="248"/>
      <c r="G137" s="797"/>
      <c r="H137" s="283"/>
      <c r="I137" s="796"/>
      <c r="L137" s="798"/>
      <c r="O137" s="799"/>
    </row>
    <row r="138">
      <c r="A138" s="800" t="s">
        <v>712</v>
      </c>
      <c r="B138" s="801"/>
      <c r="C138" s="802"/>
      <c r="D138" s="248"/>
      <c r="E138" s="248"/>
      <c r="F138" s="248"/>
      <c r="G138" s="797"/>
      <c r="H138" s="283"/>
      <c r="I138" s="800" t="s">
        <v>712</v>
      </c>
      <c r="J138" s="803"/>
      <c r="K138" s="804"/>
      <c r="O138" s="799"/>
    </row>
    <row r="139">
      <c r="A139" s="805"/>
      <c r="B139" s="806"/>
      <c r="C139" s="807"/>
      <c r="D139" s="248"/>
      <c r="E139" s="248"/>
      <c r="F139" s="248"/>
      <c r="G139" s="797"/>
      <c r="H139" s="283"/>
      <c r="I139" s="805" t="s">
        <v>1179</v>
      </c>
      <c r="J139" s="808"/>
      <c r="K139" s="809">
        <v>250.0</v>
      </c>
      <c r="O139" s="799"/>
    </row>
    <row r="140">
      <c r="A140" s="810" t="s">
        <v>1179</v>
      </c>
      <c r="B140" s="811"/>
      <c r="C140" s="812">
        <v>250.0</v>
      </c>
      <c r="D140" s="248"/>
      <c r="E140" s="248"/>
      <c r="F140" s="248"/>
      <c r="G140" s="797"/>
      <c r="H140" s="283"/>
      <c r="I140" s="813" t="s">
        <v>1180</v>
      </c>
      <c r="J140" s="774"/>
      <c r="K140" s="814">
        <v>73.45</v>
      </c>
      <c r="O140" s="799"/>
    </row>
    <row r="141">
      <c r="A141" s="815"/>
      <c r="B141" s="792"/>
      <c r="C141" s="816"/>
      <c r="D141" s="248"/>
      <c r="E141" s="248"/>
      <c r="F141" s="248"/>
      <c r="G141" s="797"/>
      <c r="H141" s="283"/>
      <c r="I141" s="815"/>
      <c r="J141" s="792"/>
      <c r="K141" s="816"/>
      <c r="O141" s="799"/>
    </row>
    <row r="142">
      <c r="A142" s="817"/>
      <c r="B142" s="774"/>
      <c r="C142" s="818"/>
      <c r="D142" s="819" t="s">
        <v>1181</v>
      </c>
      <c r="E142" s="820">
        <v>2298.8</v>
      </c>
      <c r="F142" s="248"/>
      <c r="G142" s="797"/>
      <c r="H142" s="283"/>
      <c r="I142" s="817"/>
      <c r="J142" s="774"/>
      <c r="K142" s="818"/>
      <c r="O142" s="799"/>
    </row>
    <row r="143">
      <c r="A143" s="817"/>
      <c r="B143" s="792"/>
      <c r="C143" s="818"/>
      <c r="D143" s="248"/>
      <c r="E143" s="248"/>
      <c r="F143" s="248"/>
      <c r="G143" s="797"/>
      <c r="H143" s="283"/>
      <c r="I143" s="817"/>
      <c r="J143" s="792"/>
      <c r="K143" s="818"/>
      <c r="O143" s="799"/>
    </row>
    <row r="144">
      <c r="A144" s="821" t="s">
        <v>714</v>
      </c>
      <c r="B144" s="822"/>
      <c r="C144" s="823">
        <f>SUM(C139:C143)</f>
        <v>250</v>
      </c>
      <c r="D144" s="824" t="s">
        <v>657</v>
      </c>
      <c r="E144" s="825">
        <f>G148-E142</f>
        <v>919.35</v>
      </c>
      <c r="F144" s="248"/>
      <c r="G144" s="797"/>
      <c r="H144" s="283"/>
      <c r="I144" s="821" t="s">
        <v>714</v>
      </c>
      <c r="J144" s="826"/>
      <c r="K144" s="827">
        <f>SUM(K139:K143)</f>
        <v>323.45</v>
      </c>
      <c r="O144" s="799"/>
    </row>
    <row r="145">
      <c r="A145" s="828"/>
      <c r="C145" s="829"/>
      <c r="D145" s="248"/>
      <c r="E145" s="248"/>
      <c r="F145" s="248"/>
      <c r="G145" s="797"/>
      <c r="H145" s="283"/>
      <c r="I145" s="828"/>
      <c r="K145" s="829"/>
      <c r="O145" s="799"/>
    </row>
    <row r="146">
      <c r="A146" s="830" t="s">
        <v>715</v>
      </c>
      <c r="B146" s="831"/>
      <c r="C146" s="832"/>
      <c r="D146" s="248"/>
      <c r="E146" s="248"/>
      <c r="F146" s="248"/>
      <c r="G146" s="797"/>
      <c r="H146" s="283"/>
      <c r="I146" s="833" t="s">
        <v>715</v>
      </c>
      <c r="J146" s="834"/>
      <c r="K146" s="835"/>
      <c r="O146" s="799"/>
    </row>
    <row r="147">
      <c r="A147" s="836" t="s">
        <v>716</v>
      </c>
      <c r="B147" s="837"/>
      <c r="C147" s="838"/>
      <c r="D147" s="248"/>
      <c r="E147" s="248"/>
      <c r="F147" s="248"/>
      <c r="G147" s="797"/>
      <c r="H147" s="283"/>
      <c r="I147" s="839"/>
      <c r="J147" s="840"/>
      <c r="K147" s="841"/>
      <c r="O147" s="799"/>
    </row>
    <row r="148">
      <c r="A148" s="842" t="s">
        <v>717</v>
      </c>
      <c r="B148" s="843"/>
      <c r="C148" s="844"/>
      <c r="D148" s="248"/>
      <c r="E148" s="845" t="s">
        <v>1182</v>
      </c>
      <c r="G148" s="846">
        <f>G136+C144-C153</f>
        <v>3218.15</v>
      </c>
      <c r="H148" s="283"/>
      <c r="I148" s="847"/>
      <c r="J148" s="848"/>
      <c r="K148" s="849"/>
      <c r="L148" s="248"/>
      <c r="M148" s="845" t="s">
        <v>1183</v>
      </c>
      <c r="O148" s="846">
        <f>O136+K144-K153</f>
        <v>2298.8</v>
      </c>
    </row>
    <row r="149">
      <c r="A149" s="836" t="s">
        <v>718</v>
      </c>
      <c r="B149" s="837"/>
      <c r="C149" s="838"/>
      <c r="G149" s="799"/>
      <c r="H149" s="283"/>
      <c r="I149" s="847"/>
      <c r="J149" s="848"/>
      <c r="K149" s="849"/>
      <c r="O149" s="799"/>
    </row>
    <row r="150">
      <c r="A150" s="842" t="s">
        <v>656</v>
      </c>
      <c r="B150" s="843"/>
      <c r="C150" s="844">
        <f>IFERROR(__xludf.DUMMYFUNCTION("FILTER($C$4:$C$30,$B$4:$B$30=E128)"),2135.85)</f>
        <v>2135.85</v>
      </c>
      <c r="G150" s="799"/>
      <c r="H150" s="283"/>
      <c r="I150" s="847"/>
      <c r="J150" s="848"/>
      <c r="K150" s="849"/>
      <c r="O150" s="799"/>
    </row>
    <row r="151">
      <c r="A151" s="850" t="s">
        <v>1184</v>
      </c>
      <c r="B151" s="851"/>
      <c r="C151" s="852"/>
      <c r="E151" s="248"/>
      <c r="G151" s="799"/>
      <c r="H151" s="283"/>
      <c r="I151" s="847"/>
      <c r="J151" s="848"/>
      <c r="K151" s="849"/>
      <c r="M151" s="248"/>
      <c r="O151" s="799"/>
    </row>
    <row r="152">
      <c r="A152" s="847"/>
      <c r="B152" s="848"/>
      <c r="C152" s="849"/>
      <c r="G152" s="799"/>
      <c r="H152" s="283"/>
      <c r="I152" s="847"/>
      <c r="J152" s="848"/>
      <c r="K152" s="849"/>
      <c r="O152" s="799"/>
    </row>
    <row r="153">
      <c r="A153" s="853" t="s">
        <v>721</v>
      </c>
      <c r="B153" s="854"/>
      <c r="C153" s="855">
        <f>SUM(C147:C152)</f>
        <v>2135.85</v>
      </c>
      <c r="G153" s="799"/>
      <c r="H153" s="283"/>
      <c r="I153" s="853" t="s">
        <v>721</v>
      </c>
      <c r="J153" s="854"/>
      <c r="K153" s="855"/>
      <c r="O153" s="799"/>
    </row>
    <row r="154">
      <c r="A154" s="856"/>
      <c r="B154" s="857"/>
      <c r="C154" s="857"/>
      <c r="D154" s="857"/>
      <c r="E154" s="857"/>
      <c r="F154" s="857"/>
      <c r="G154" s="808"/>
      <c r="H154" s="283"/>
      <c r="I154" s="856"/>
      <c r="J154" s="857"/>
      <c r="K154" s="857"/>
      <c r="L154" s="857"/>
      <c r="M154" s="857"/>
      <c r="N154" s="857"/>
      <c r="O154" s="808"/>
    </row>
    <row r="157">
      <c r="A157" s="769"/>
      <c r="B157" s="770"/>
      <c r="C157" s="770"/>
      <c r="D157" s="771" t="s">
        <v>700</v>
      </c>
      <c r="E157" s="772" t="str">
        <f>E126</f>
        <v>11.24.2025-11.30.2025</v>
      </c>
      <c r="F157" s="773"/>
      <c r="G157" s="774"/>
      <c r="H157" s="305">
        <v>2.0</v>
      </c>
      <c r="I157" s="769"/>
      <c r="J157" s="770"/>
      <c r="K157" s="770"/>
      <c r="L157" s="771" t="s">
        <v>700</v>
      </c>
      <c r="M157" s="772" t="str">
        <f>E126</f>
        <v>11.24.2025-11.30.2025</v>
      </c>
      <c r="N157" s="773"/>
      <c r="O157" s="774"/>
      <c r="Q157" s="769"/>
      <c r="R157" s="770"/>
      <c r="S157" s="770"/>
      <c r="T157" s="771" t="s">
        <v>700</v>
      </c>
      <c r="U157" s="772" t="str">
        <f>E126</f>
        <v>11.24.2025-11.30.2025</v>
      </c>
      <c r="V157" s="773"/>
      <c r="W157" s="774"/>
    </row>
    <row r="158">
      <c r="A158" s="775"/>
      <c r="D158" s="771" t="s">
        <v>702</v>
      </c>
      <c r="E158" s="772" t="str">
        <f t="array" ref="E158">XLOOKUP(E159,$Q$973:$Q$1005,$R$973:$R$1005)</f>
        <v>Arba Express LLC</v>
      </c>
      <c r="F158" s="773"/>
      <c r="G158" s="774"/>
      <c r="H158" s="858"/>
      <c r="I158" s="775"/>
      <c r="L158" s="771" t="s">
        <v>351</v>
      </c>
      <c r="M158" s="772" t="str">
        <f t="array" ref="M158">XLOOKUP(M159,$L$1:$L$122,$K$1:$K$122)</f>
        <v>ROUDELINE ZEPHIRIN</v>
      </c>
      <c r="N158" s="773"/>
      <c r="O158" s="774"/>
      <c r="P158" s="859"/>
      <c r="Q158" s="775"/>
      <c r="T158" s="771" t="s">
        <v>351</v>
      </c>
      <c r="U158" s="772" t="s">
        <v>661</v>
      </c>
      <c r="V158" s="773"/>
      <c r="W158" s="774"/>
    </row>
    <row r="159">
      <c r="A159" s="775"/>
      <c r="D159" s="771" t="s">
        <v>703</v>
      </c>
      <c r="E159" s="772">
        <v>6960.0</v>
      </c>
      <c r="F159" s="773"/>
      <c r="G159" s="774"/>
      <c r="H159" s="283"/>
      <c r="I159" s="775"/>
      <c r="L159" s="771" t="s">
        <v>703</v>
      </c>
      <c r="M159" s="772">
        <f>E159</f>
        <v>6960</v>
      </c>
      <c r="N159" s="773"/>
      <c r="O159" s="774"/>
      <c r="Q159" s="775"/>
      <c r="T159" s="771" t="s">
        <v>703</v>
      </c>
      <c r="U159" s="772">
        <f>M159</f>
        <v>6960</v>
      </c>
      <c r="V159" s="773"/>
      <c r="W159" s="774"/>
    </row>
    <row r="160">
      <c r="A160" s="779" t="s">
        <v>704</v>
      </c>
      <c r="B160" s="779" t="s">
        <v>5</v>
      </c>
      <c r="C160" s="779" t="s">
        <v>6</v>
      </c>
      <c r="D160" s="779" t="s">
        <v>7</v>
      </c>
      <c r="E160" s="779" t="s">
        <v>8</v>
      </c>
      <c r="F160" s="779" t="s">
        <v>706</v>
      </c>
      <c r="G160" s="779" t="s">
        <v>707</v>
      </c>
      <c r="H160" s="34"/>
      <c r="I160" s="779" t="s">
        <v>704</v>
      </c>
      <c r="J160" s="779" t="s">
        <v>5</v>
      </c>
      <c r="K160" s="779" t="s">
        <v>6</v>
      </c>
      <c r="L160" s="779" t="s">
        <v>7</v>
      </c>
      <c r="M160" s="779" t="s">
        <v>1178</v>
      </c>
      <c r="N160" s="779" t="s">
        <v>839</v>
      </c>
      <c r="O160" s="779" t="s">
        <v>707</v>
      </c>
      <c r="Q160" s="779" t="s">
        <v>704</v>
      </c>
      <c r="R160" s="779" t="s">
        <v>5</v>
      </c>
      <c r="S160" s="779" t="s">
        <v>6</v>
      </c>
      <c r="T160" s="779" t="s">
        <v>7</v>
      </c>
      <c r="U160" s="779" t="s">
        <v>1178</v>
      </c>
      <c r="V160" s="779" t="s">
        <v>839</v>
      </c>
      <c r="W160" s="779" t="s">
        <v>707</v>
      </c>
    </row>
    <row r="161">
      <c r="A161" s="780">
        <f>IFERROR(__xludf.DUMMYFUNCTION("FILTER($D$3:$H$122,$L$3:$L$122=E159)"),45985.0)</f>
        <v>45985</v>
      </c>
      <c r="B161" s="781">
        <f>IFERROR(__xludf.DUMMYFUNCTION("""COMPUTED_VALUE"""),2.0649044E7)</f>
        <v>20649044</v>
      </c>
      <c r="C161" s="781" t="str">
        <f>IFERROR(__xludf.DUMMYFUNCTION("""COMPUTED_VALUE"""),"New Iberia, LA, 70560")</f>
        <v>New Iberia, LA, 70560</v>
      </c>
      <c r="D161" s="781" t="str">
        <f>IFERROR(__xludf.DUMMYFUNCTION("""COMPUTED_VALUE"""),"Florence, SC, 29501")</f>
        <v>Florence, SC, 29501</v>
      </c>
      <c r="E161" s="782">
        <f>IFERROR(__xludf.DUMMYFUNCTION("""COMPUTED_VALUE"""),2300.0)</f>
        <v>2300</v>
      </c>
      <c r="F161" s="783">
        <v>0.88</v>
      </c>
      <c r="G161" s="782">
        <f>E161*F161</f>
        <v>2024</v>
      </c>
      <c r="H161" s="283"/>
      <c r="I161" s="860">
        <f>IFERROR(__xludf.DUMMYFUNCTION("FILTER($D$3:$G$122,$L$3:$L$122=M159)"),45985.0)</f>
        <v>45985</v>
      </c>
      <c r="J161" s="861">
        <f>IFERROR(__xludf.DUMMYFUNCTION("""COMPUTED_VALUE"""),2.0649044E7)</f>
        <v>20649044</v>
      </c>
      <c r="K161" s="861" t="str">
        <f>IFERROR(__xludf.DUMMYFUNCTION("""COMPUTED_VALUE"""),"New Iberia, LA, 70560")</f>
        <v>New Iberia, LA, 70560</v>
      </c>
      <c r="L161" s="861" t="str">
        <f>IFERROR(__xludf.DUMMYFUNCTION("""COMPUTED_VALUE"""),"Florence, SC, 29501")</f>
        <v>Florence, SC, 29501</v>
      </c>
      <c r="M161" s="861">
        <f>IFERROR(__xludf.DUMMYFUNCTION("FILTER($I$3:$I$122,$L$3:$L$122=M159)/2"),450.0)</f>
        <v>450</v>
      </c>
      <c r="N161" s="862">
        <v>0.8</v>
      </c>
      <c r="O161" s="863">
        <f>M161*N161</f>
        <v>360</v>
      </c>
      <c r="Q161" s="860">
        <f>IFERROR(__xludf.DUMMYFUNCTION("FILTER($D$3:$G$122,$L$3:$L$122=U159)"),45985.0)</f>
        <v>45985</v>
      </c>
      <c r="R161" s="861">
        <f>IFERROR(__xludf.DUMMYFUNCTION("""COMPUTED_VALUE"""),2.0649044E7)</f>
        <v>20649044</v>
      </c>
      <c r="S161" s="861" t="str">
        <f>IFERROR(__xludf.DUMMYFUNCTION("""COMPUTED_VALUE"""),"New Iberia, LA, 70560")</f>
        <v>New Iberia, LA, 70560</v>
      </c>
      <c r="T161" s="861" t="str">
        <f>IFERROR(__xludf.DUMMYFUNCTION("""COMPUTED_VALUE"""),"Florence, SC, 29501")</f>
        <v>Florence, SC, 29501</v>
      </c>
      <c r="U161" s="861">
        <f>IFERROR(__xludf.DUMMYFUNCTION("FILTER($I$3:$I$122,$L$3:$L$122=U159)/2"),450.0)</f>
        <v>450</v>
      </c>
      <c r="V161" s="862">
        <v>0.8</v>
      </c>
      <c r="W161" s="863">
        <f>U161*V161</f>
        <v>360</v>
      </c>
    </row>
    <row r="162">
      <c r="A162" s="780"/>
      <c r="B162" s="781"/>
      <c r="C162" s="781"/>
      <c r="D162" s="781"/>
      <c r="E162" s="782"/>
      <c r="F162" s="783"/>
      <c r="G162" s="782"/>
      <c r="H162" s="283"/>
      <c r="I162" s="780"/>
      <c r="J162" s="781"/>
      <c r="K162" s="781"/>
      <c r="L162" s="781"/>
      <c r="M162" s="782"/>
      <c r="N162" s="783"/>
      <c r="O162" s="789"/>
      <c r="Q162" s="780"/>
      <c r="R162" s="781"/>
      <c r="S162" s="781"/>
      <c r="T162" s="781"/>
      <c r="U162" s="782"/>
      <c r="V162" s="783"/>
      <c r="W162" s="789"/>
    </row>
    <row r="163">
      <c r="A163" s="785"/>
      <c r="B163" s="786"/>
      <c r="C163" s="786"/>
      <c r="D163" s="786"/>
      <c r="E163" s="785"/>
      <c r="F163" s="787"/>
      <c r="G163" s="788"/>
      <c r="H163" s="283"/>
      <c r="I163" s="785"/>
      <c r="J163" s="786"/>
      <c r="K163" s="786"/>
      <c r="L163" s="786"/>
      <c r="M163" s="785"/>
      <c r="N163" s="787"/>
      <c r="O163" s="789"/>
      <c r="Q163" s="785"/>
      <c r="R163" s="786"/>
      <c r="S163" s="786"/>
      <c r="T163" s="786"/>
      <c r="U163" s="785"/>
      <c r="V163" s="787"/>
      <c r="W163" s="789"/>
    </row>
    <row r="164">
      <c r="A164" s="785"/>
      <c r="B164" s="786"/>
      <c r="C164" s="786"/>
      <c r="D164" s="786"/>
      <c r="E164" s="785"/>
      <c r="F164" s="787"/>
      <c r="G164" s="788"/>
      <c r="H164" s="283"/>
      <c r="I164" s="785"/>
      <c r="J164" s="786"/>
      <c r="K164" s="786"/>
      <c r="L164" s="786"/>
      <c r="M164" s="785"/>
      <c r="N164" s="787"/>
      <c r="O164" s="789"/>
      <c r="Q164" s="785"/>
      <c r="R164" s="786"/>
      <c r="S164" s="786"/>
      <c r="T164" s="786"/>
      <c r="U164" s="785"/>
      <c r="V164" s="787"/>
      <c r="W164" s="789"/>
    </row>
    <row r="165">
      <c r="A165" s="785"/>
      <c r="B165" s="786"/>
      <c r="C165" s="786"/>
      <c r="D165" s="786"/>
      <c r="E165" s="785"/>
      <c r="F165" s="787"/>
      <c r="G165" s="788"/>
      <c r="H165" s="283"/>
      <c r="I165" s="785"/>
      <c r="J165" s="786"/>
      <c r="K165" s="786"/>
      <c r="L165" s="786"/>
      <c r="M165" s="785"/>
      <c r="N165" s="787"/>
      <c r="O165" s="789"/>
      <c r="Q165" s="785"/>
      <c r="R165" s="786"/>
      <c r="S165" s="786"/>
      <c r="T165" s="786"/>
      <c r="U165" s="785"/>
      <c r="V165" s="787"/>
      <c r="W165" s="789"/>
    </row>
    <row r="166">
      <c r="A166" s="785"/>
      <c r="B166" s="786"/>
      <c r="C166" s="786"/>
      <c r="D166" s="786"/>
      <c r="E166" s="785"/>
      <c r="F166" s="787"/>
      <c r="G166" s="788"/>
      <c r="H166" s="283"/>
      <c r="I166" s="785"/>
      <c r="J166" s="786"/>
      <c r="K166" s="786"/>
      <c r="L166" s="786"/>
      <c r="M166" s="785"/>
      <c r="N166" s="787"/>
      <c r="O166" s="789"/>
      <c r="Q166" s="785"/>
      <c r="R166" s="786"/>
      <c r="S166" s="786"/>
      <c r="T166" s="786"/>
      <c r="U166" s="785"/>
      <c r="V166" s="787"/>
      <c r="W166" s="789"/>
    </row>
    <row r="167">
      <c r="A167" s="790" t="s">
        <v>711</v>
      </c>
      <c r="B167" s="791"/>
      <c r="C167" s="791"/>
      <c r="D167" s="792"/>
      <c r="E167" s="793">
        <f>SUM(E161:E166)</f>
        <v>2300</v>
      </c>
      <c r="F167" s="794"/>
      <c r="G167" s="793">
        <f>SUM(G161:G166)</f>
        <v>2024</v>
      </c>
      <c r="H167" s="283"/>
      <c r="I167" s="790" t="s">
        <v>711</v>
      </c>
      <c r="J167" s="791"/>
      <c r="K167" s="791"/>
      <c r="L167" s="792"/>
      <c r="M167" s="795">
        <f>SUM(M161:M166)</f>
        <v>450</v>
      </c>
      <c r="N167" s="794"/>
      <c r="O167" s="793">
        <f>SUM(O161:O166)</f>
        <v>360</v>
      </c>
      <c r="Q167" s="790" t="s">
        <v>711</v>
      </c>
      <c r="R167" s="791"/>
      <c r="S167" s="791"/>
      <c r="T167" s="792"/>
      <c r="U167" s="793">
        <f>SUM(U161:U166)</f>
        <v>450</v>
      </c>
      <c r="V167" s="794"/>
      <c r="W167" s="793">
        <f>SUM(W161:W166)</f>
        <v>360</v>
      </c>
    </row>
    <row r="168">
      <c r="A168" s="864"/>
      <c r="D168" s="865" t="s">
        <v>1185</v>
      </c>
      <c r="G168" s="866"/>
      <c r="H168" s="283"/>
      <c r="I168" s="796"/>
      <c r="L168" s="798"/>
      <c r="O168" s="799"/>
      <c r="Q168" s="796"/>
      <c r="T168" s="798"/>
      <c r="W168" s="799"/>
    </row>
    <row r="169">
      <c r="A169" s="800" t="s">
        <v>712</v>
      </c>
      <c r="B169" s="801"/>
      <c r="C169" s="802"/>
      <c r="G169" s="799"/>
      <c r="H169" s="283"/>
      <c r="I169" s="800" t="s">
        <v>712</v>
      </c>
      <c r="J169" s="803"/>
      <c r="K169" s="804"/>
      <c r="O169" s="799"/>
      <c r="Q169" s="800" t="s">
        <v>712</v>
      </c>
      <c r="R169" s="803"/>
      <c r="S169" s="804"/>
      <c r="W169" s="799"/>
    </row>
    <row r="170">
      <c r="A170" s="867"/>
      <c r="B170" s="808"/>
      <c r="C170" s="809"/>
      <c r="G170" s="799"/>
      <c r="H170" s="283"/>
      <c r="I170" s="805" t="s">
        <v>1179</v>
      </c>
      <c r="J170" s="808"/>
      <c r="K170" s="812">
        <v>250.0</v>
      </c>
      <c r="O170" s="799"/>
      <c r="Q170" s="805" t="s">
        <v>1179</v>
      </c>
      <c r="R170" s="808"/>
      <c r="S170" s="812">
        <v>250.0</v>
      </c>
      <c r="W170" s="799"/>
    </row>
    <row r="171">
      <c r="A171" s="868"/>
      <c r="B171" s="774"/>
      <c r="C171" s="816"/>
      <c r="G171" s="799"/>
      <c r="H171" s="283"/>
      <c r="I171" s="868"/>
      <c r="J171" s="774"/>
      <c r="K171" s="816"/>
      <c r="O171" s="799"/>
      <c r="Q171" s="868"/>
      <c r="R171" s="774"/>
      <c r="S171" s="816"/>
      <c r="W171" s="799"/>
    </row>
    <row r="172">
      <c r="A172" s="815"/>
      <c r="B172" s="792"/>
      <c r="C172" s="816"/>
      <c r="G172" s="799"/>
      <c r="H172" s="283"/>
      <c r="I172" s="815"/>
      <c r="J172" s="792"/>
      <c r="K172" s="816"/>
      <c r="O172" s="799"/>
      <c r="Q172" s="815"/>
      <c r="R172" s="792"/>
      <c r="S172" s="816"/>
      <c r="W172" s="799"/>
    </row>
    <row r="173">
      <c r="A173" s="817"/>
      <c r="B173" s="774"/>
      <c r="C173" s="818"/>
      <c r="G173" s="799"/>
      <c r="H173" s="283"/>
      <c r="I173" s="817"/>
      <c r="J173" s="774"/>
      <c r="K173" s="818"/>
      <c r="O173" s="799"/>
      <c r="Q173" s="817"/>
      <c r="R173" s="774"/>
      <c r="S173" s="818"/>
      <c r="W173" s="799"/>
    </row>
    <row r="174">
      <c r="A174" s="817"/>
      <c r="B174" s="792"/>
      <c r="C174" s="818"/>
      <c r="G174" s="799"/>
      <c r="H174" s="283"/>
      <c r="I174" s="817"/>
      <c r="J174" s="792"/>
      <c r="K174" s="818"/>
      <c r="O174" s="799"/>
      <c r="Q174" s="817"/>
      <c r="R174" s="792"/>
      <c r="S174" s="818"/>
      <c r="W174" s="799"/>
    </row>
    <row r="175">
      <c r="A175" s="821" t="s">
        <v>714</v>
      </c>
      <c r="B175" s="822"/>
      <c r="C175" s="823">
        <f>SUM(C170:C174)</f>
        <v>0</v>
      </c>
      <c r="G175" s="799"/>
      <c r="H175" s="283"/>
      <c r="I175" s="821" t="s">
        <v>714</v>
      </c>
      <c r="J175" s="826"/>
      <c r="K175" s="827">
        <f>SUM(K170:K174)</f>
        <v>250</v>
      </c>
      <c r="O175" s="799"/>
      <c r="Q175" s="821" t="s">
        <v>714</v>
      </c>
      <c r="R175" s="826"/>
      <c r="S175" s="827">
        <f>SUM(S170:S174)</f>
        <v>250</v>
      </c>
      <c r="W175" s="799"/>
    </row>
    <row r="176">
      <c r="A176" s="828"/>
      <c r="C176" s="829"/>
      <c r="G176" s="799"/>
      <c r="H176" s="283"/>
      <c r="I176" s="828"/>
      <c r="K176" s="829"/>
      <c r="O176" s="799"/>
      <c r="Q176" s="828"/>
      <c r="S176" s="829"/>
      <c r="W176" s="799"/>
    </row>
    <row r="177">
      <c r="A177" s="830" t="s">
        <v>715</v>
      </c>
      <c r="B177" s="831"/>
      <c r="C177" s="832"/>
      <c r="G177" s="799"/>
      <c r="H177" s="283"/>
      <c r="I177" s="833" t="s">
        <v>715</v>
      </c>
      <c r="J177" s="834"/>
      <c r="K177" s="835"/>
      <c r="O177" s="799"/>
      <c r="Q177" s="833" t="s">
        <v>715</v>
      </c>
      <c r="R177" s="834"/>
      <c r="S177" s="835"/>
      <c r="W177" s="799"/>
    </row>
    <row r="178">
      <c r="A178" s="836" t="s">
        <v>716</v>
      </c>
      <c r="B178" s="837"/>
      <c r="C178" s="838">
        <v>150.0</v>
      </c>
      <c r="G178" s="799"/>
      <c r="H178" s="283"/>
      <c r="I178" s="839"/>
      <c r="J178" s="840"/>
      <c r="K178" s="841"/>
      <c r="O178" s="799"/>
      <c r="Q178" s="839"/>
      <c r="R178" s="840"/>
      <c r="S178" s="841"/>
      <c r="W178" s="799"/>
    </row>
    <row r="179">
      <c r="A179" s="842" t="s">
        <v>717</v>
      </c>
      <c r="B179" s="843"/>
      <c r="C179" s="844">
        <v>400.0</v>
      </c>
      <c r="D179" s="248"/>
      <c r="E179" s="845" t="s">
        <v>1182</v>
      </c>
      <c r="G179" s="846">
        <f>G167+C175-C184</f>
        <v>169.45</v>
      </c>
      <c r="H179" s="283"/>
      <c r="I179" s="847"/>
      <c r="J179" s="848"/>
      <c r="K179" s="849"/>
      <c r="L179" s="248"/>
      <c r="M179" s="845" t="s">
        <v>1183</v>
      </c>
      <c r="O179" s="846">
        <f>O167+K175-K184</f>
        <v>610</v>
      </c>
      <c r="Q179" s="847"/>
      <c r="R179" s="848"/>
      <c r="S179" s="849"/>
      <c r="T179" s="248"/>
      <c r="U179" s="845" t="s">
        <v>1183</v>
      </c>
      <c r="W179" s="846">
        <f>W167+S175-S184</f>
        <v>610</v>
      </c>
    </row>
    <row r="180">
      <c r="A180" s="836" t="s">
        <v>718</v>
      </c>
      <c r="B180" s="837"/>
      <c r="C180" s="838">
        <v>200.0</v>
      </c>
      <c r="G180" s="799"/>
      <c r="H180" s="283"/>
      <c r="I180" s="847"/>
      <c r="J180" s="848"/>
      <c r="K180" s="849"/>
      <c r="O180" s="799"/>
      <c r="Q180" s="847"/>
      <c r="R180" s="848"/>
      <c r="S180" s="849"/>
      <c r="W180" s="799"/>
    </row>
    <row r="181">
      <c r="A181" s="842" t="s">
        <v>656</v>
      </c>
      <c r="B181" s="843"/>
      <c r="C181" s="844">
        <f>IFERROR(__xludf.DUMMYFUNCTION("FILTER($C$4:$C$30,$B$4:$B$30=E159)"),625.12)</f>
        <v>625.12</v>
      </c>
      <c r="G181" s="799"/>
      <c r="H181" s="283"/>
      <c r="I181" s="847"/>
      <c r="J181" s="848"/>
      <c r="K181" s="849"/>
      <c r="O181" s="799"/>
      <c r="Q181" s="847"/>
      <c r="R181" s="848"/>
      <c r="S181" s="849"/>
      <c r="W181" s="799"/>
    </row>
    <row r="182">
      <c r="A182" s="850" t="s">
        <v>1184</v>
      </c>
      <c r="B182" s="851"/>
      <c r="C182" s="852">
        <v>479.43</v>
      </c>
      <c r="E182" s="248"/>
      <c r="G182" s="799"/>
      <c r="H182" s="283"/>
      <c r="I182" s="847"/>
      <c r="J182" s="848"/>
      <c r="K182" s="849"/>
      <c r="M182" s="248"/>
      <c r="O182" s="799"/>
      <c r="Q182" s="847"/>
      <c r="R182" s="848"/>
      <c r="S182" s="849"/>
      <c r="U182" s="248"/>
      <c r="W182" s="799"/>
    </row>
    <row r="183">
      <c r="A183" s="847"/>
      <c r="B183" s="848"/>
      <c r="C183" s="849"/>
      <c r="G183" s="799"/>
      <c r="H183" s="283"/>
      <c r="I183" s="847"/>
      <c r="J183" s="848"/>
      <c r="K183" s="849"/>
      <c r="O183" s="799"/>
      <c r="Q183" s="847"/>
      <c r="R183" s="848"/>
      <c r="S183" s="849"/>
      <c r="W183" s="799"/>
    </row>
    <row r="184">
      <c r="A184" s="853" t="s">
        <v>721</v>
      </c>
      <c r="B184" s="854"/>
      <c r="C184" s="855">
        <f>SUM(C178:C183)</f>
        <v>1854.55</v>
      </c>
      <c r="G184" s="799"/>
      <c r="H184" s="283"/>
      <c r="I184" s="853" t="s">
        <v>721</v>
      </c>
      <c r="J184" s="854"/>
      <c r="K184" s="855"/>
      <c r="O184" s="799"/>
      <c r="Q184" s="853" t="s">
        <v>721</v>
      </c>
      <c r="R184" s="854"/>
      <c r="S184" s="855"/>
      <c r="W184" s="799"/>
    </row>
    <row r="185">
      <c r="A185" s="856"/>
      <c r="B185" s="857"/>
      <c r="C185" s="857"/>
      <c r="D185" s="857"/>
      <c r="E185" s="857"/>
      <c r="F185" s="857"/>
      <c r="G185" s="808"/>
      <c r="H185" s="283"/>
      <c r="I185" s="856"/>
      <c r="J185" s="857"/>
      <c r="K185" s="857"/>
      <c r="L185" s="857"/>
      <c r="M185" s="857"/>
      <c r="N185" s="857"/>
      <c r="O185" s="808"/>
      <c r="Q185" s="856"/>
      <c r="R185" s="857"/>
      <c r="S185" s="857"/>
      <c r="T185" s="857"/>
      <c r="U185" s="857"/>
      <c r="V185" s="857"/>
      <c r="W185" s="808"/>
    </row>
    <row r="188">
      <c r="A188" s="769"/>
      <c r="B188" s="770"/>
      <c r="C188" s="770"/>
      <c r="D188" s="771" t="s">
        <v>700</v>
      </c>
      <c r="E188" s="772" t="str">
        <f>E126</f>
        <v>11.24.2025-11.30.2025</v>
      </c>
      <c r="F188" s="773"/>
      <c r="G188" s="774"/>
      <c r="H188" s="305">
        <v>3.0</v>
      </c>
      <c r="I188" s="769"/>
      <c r="J188" s="770"/>
      <c r="K188" s="770"/>
      <c r="L188" s="771" t="s">
        <v>700</v>
      </c>
      <c r="M188" s="772" t="str">
        <f>E126</f>
        <v>11.24.2025-11.30.2025</v>
      </c>
      <c r="N188" s="773"/>
      <c r="O188" s="774"/>
    </row>
    <row r="189">
      <c r="A189" s="775"/>
      <c r="D189" s="771" t="s">
        <v>702</v>
      </c>
      <c r="E189" s="772" t="str">
        <f t="array" ref="E189">XLOOKUP(E190,$Q$973:$Q$1005,$R$973:$R$1005)</f>
        <v>Arba Express LLC</v>
      </c>
      <c r="F189" s="773"/>
      <c r="G189" s="774"/>
      <c r="H189" s="858"/>
      <c r="I189" s="775"/>
      <c r="L189" s="771" t="s">
        <v>351</v>
      </c>
      <c r="M189" s="772" t="str">
        <f t="array" ref="M189">XLOOKUP(M190,$L$1:$L$122,$K$1:$K$122)</f>
        <v>DAGBOLEN ISA</v>
      </c>
      <c r="N189" s="773"/>
      <c r="O189" s="774"/>
      <c r="P189" s="859"/>
    </row>
    <row r="190">
      <c r="A190" s="775"/>
      <c r="D190" s="771" t="s">
        <v>703</v>
      </c>
      <c r="E190" s="772">
        <v>7048.0</v>
      </c>
      <c r="F190" s="773"/>
      <c r="G190" s="774"/>
      <c r="H190" s="283"/>
      <c r="I190" s="775"/>
      <c r="L190" s="771" t="s">
        <v>703</v>
      </c>
      <c r="M190" s="772">
        <f>E190</f>
        <v>7048</v>
      </c>
      <c r="N190" s="773"/>
      <c r="O190" s="774"/>
    </row>
    <row r="191">
      <c r="A191" s="779" t="s">
        <v>704</v>
      </c>
      <c r="B191" s="779" t="s">
        <v>5</v>
      </c>
      <c r="C191" s="779" t="s">
        <v>6</v>
      </c>
      <c r="D191" s="779" t="s">
        <v>7</v>
      </c>
      <c r="E191" s="779" t="s">
        <v>8</v>
      </c>
      <c r="F191" s="779" t="s">
        <v>706</v>
      </c>
      <c r="G191" s="779" t="s">
        <v>707</v>
      </c>
      <c r="H191" s="34"/>
      <c r="I191" s="779" t="s">
        <v>704</v>
      </c>
      <c r="J191" s="779" t="s">
        <v>5</v>
      </c>
      <c r="K191" s="779" t="s">
        <v>6</v>
      </c>
      <c r="L191" s="779" t="s">
        <v>7</v>
      </c>
      <c r="M191" s="779" t="s">
        <v>1178</v>
      </c>
      <c r="N191" s="779" t="s">
        <v>839</v>
      </c>
      <c r="O191" s="779" t="s">
        <v>707</v>
      </c>
    </row>
    <row r="192">
      <c r="A192" s="780">
        <f>IFERROR(__xludf.DUMMYFUNCTION("FILTER($D$3:$H$122,$L$3:$L$122=E190)"),45985.0)</f>
        <v>45985</v>
      </c>
      <c r="B192" s="781">
        <f>IFERROR(__xludf.DUMMYFUNCTION("""COMPUTED_VALUE"""),1572898.0)</f>
        <v>1572898</v>
      </c>
      <c r="C192" s="781" t="str">
        <f>IFERROR(__xludf.DUMMYFUNCTION("""COMPUTED_VALUE"""),"Whitehall, NY, 12887")</f>
        <v>Whitehall, NY, 12887</v>
      </c>
      <c r="D192" s="781" t="str">
        <f>IFERROR(__xludf.DUMMYFUNCTION("""COMPUTED_VALUE"""),"Pompano Beach, FL, 33069")</f>
        <v>Pompano Beach, FL, 33069</v>
      </c>
      <c r="E192" s="782">
        <f>IFERROR(__xludf.DUMMYFUNCTION("""COMPUTED_VALUE"""),3100.0)</f>
        <v>3100</v>
      </c>
      <c r="F192" s="783">
        <v>0.88</v>
      </c>
      <c r="G192" s="782">
        <f>E192*F192</f>
        <v>2728</v>
      </c>
      <c r="H192" s="283"/>
      <c r="I192" s="780">
        <f>IFERROR(__xludf.DUMMYFUNCTION("FILTER($D$3:$G$122,$L$3:$L$122=M190)"),45985.0)</f>
        <v>45985</v>
      </c>
      <c r="J192" s="781">
        <f>IFERROR(__xludf.DUMMYFUNCTION("""COMPUTED_VALUE"""),1572898.0)</f>
        <v>1572898</v>
      </c>
      <c r="K192" s="781" t="str">
        <f>IFERROR(__xludf.DUMMYFUNCTION("""COMPUTED_VALUE"""),"Whitehall, NY, 12887")</f>
        <v>Whitehall, NY, 12887</v>
      </c>
      <c r="L192" s="781" t="str">
        <f>IFERROR(__xludf.DUMMYFUNCTION("""COMPUTED_VALUE"""),"Pompano Beach, FL, 33069")</f>
        <v>Pompano Beach, FL, 33069</v>
      </c>
      <c r="M192" s="869">
        <f>IFERROR(__xludf.DUMMYFUNCTION("FILTER($I$3:$I$122,$L$3:$L$122=M190)"),1528.0)</f>
        <v>1528</v>
      </c>
      <c r="N192" s="870">
        <v>0.7</v>
      </c>
      <c r="O192" s="782">
        <f>M192*N192</f>
        <v>1069.6</v>
      </c>
    </row>
    <row r="193">
      <c r="A193" s="780"/>
      <c r="B193" s="781"/>
      <c r="C193" s="781"/>
      <c r="D193" s="781"/>
      <c r="E193" s="782"/>
      <c r="F193" s="783"/>
      <c r="G193" s="782"/>
      <c r="H193" s="283"/>
      <c r="I193" s="780"/>
      <c r="J193" s="781"/>
      <c r="K193" s="781"/>
      <c r="L193" s="781"/>
      <c r="M193" s="782"/>
      <c r="N193" s="783"/>
      <c r="O193" s="789"/>
    </row>
    <row r="194">
      <c r="A194" s="785"/>
      <c r="B194" s="786"/>
      <c r="C194" s="786"/>
      <c r="D194" s="786"/>
      <c r="E194" s="785"/>
      <c r="F194" s="787"/>
      <c r="G194" s="788"/>
      <c r="H194" s="283"/>
      <c r="I194" s="785"/>
      <c r="J194" s="786"/>
      <c r="K194" s="786"/>
      <c r="L194" s="786"/>
      <c r="M194" s="785"/>
      <c r="N194" s="787"/>
      <c r="O194" s="789"/>
    </row>
    <row r="195">
      <c r="A195" s="785"/>
      <c r="B195" s="786"/>
      <c r="C195" s="786"/>
      <c r="D195" s="786"/>
      <c r="E195" s="785"/>
      <c r="F195" s="787"/>
      <c r="G195" s="788"/>
      <c r="H195" s="283"/>
      <c r="I195" s="785"/>
      <c r="J195" s="786"/>
      <c r="K195" s="786"/>
      <c r="L195" s="786"/>
      <c r="M195" s="785"/>
      <c r="N195" s="787"/>
      <c r="O195" s="789"/>
    </row>
    <row r="196">
      <c r="A196" s="785"/>
      <c r="B196" s="786"/>
      <c r="C196" s="786"/>
      <c r="D196" s="786"/>
      <c r="E196" s="785"/>
      <c r="F196" s="787"/>
      <c r="G196" s="788"/>
      <c r="H196" s="283"/>
      <c r="I196" s="785"/>
      <c r="J196" s="786"/>
      <c r="K196" s="786"/>
      <c r="L196" s="786"/>
      <c r="M196" s="785"/>
      <c r="N196" s="787"/>
      <c r="O196" s="789"/>
    </row>
    <row r="197">
      <c r="A197" s="785"/>
      <c r="B197" s="786"/>
      <c r="C197" s="786"/>
      <c r="D197" s="786"/>
      <c r="E197" s="785"/>
      <c r="F197" s="787"/>
      <c r="G197" s="788"/>
      <c r="H197" s="283"/>
      <c r="I197" s="785"/>
      <c r="J197" s="786"/>
      <c r="K197" s="786"/>
      <c r="L197" s="786"/>
      <c r="M197" s="785"/>
      <c r="N197" s="787"/>
      <c r="O197" s="789"/>
    </row>
    <row r="198">
      <c r="A198" s="790" t="s">
        <v>711</v>
      </c>
      <c r="B198" s="791"/>
      <c r="C198" s="791"/>
      <c r="D198" s="792"/>
      <c r="E198" s="793">
        <f>SUM(E192:E197)</f>
        <v>3100</v>
      </c>
      <c r="F198" s="794"/>
      <c r="G198" s="793">
        <f>SUM(G192:G197)</f>
        <v>2728</v>
      </c>
      <c r="H198" s="283"/>
      <c r="I198" s="790" t="s">
        <v>711</v>
      </c>
      <c r="J198" s="791"/>
      <c r="K198" s="791"/>
      <c r="L198" s="792"/>
      <c r="M198" s="795">
        <f>SUM(M192:M197)</f>
        <v>1528</v>
      </c>
      <c r="N198" s="794"/>
      <c r="O198" s="793">
        <f>SUM(O192:O197)</f>
        <v>1069.6</v>
      </c>
    </row>
    <row r="199">
      <c r="A199" s="796"/>
      <c r="D199" s="798"/>
      <c r="G199" s="799"/>
      <c r="H199" s="283"/>
      <c r="I199" s="796"/>
      <c r="L199" s="798"/>
      <c r="O199" s="799"/>
    </row>
    <row r="200">
      <c r="A200" s="800" t="s">
        <v>712</v>
      </c>
      <c r="B200" s="801"/>
      <c r="C200" s="802"/>
      <c r="G200" s="799"/>
      <c r="H200" s="283"/>
      <c r="I200" s="800" t="s">
        <v>712</v>
      </c>
      <c r="J200" s="803"/>
      <c r="K200" s="804"/>
      <c r="O200" s="799"/>
    </row>
    <row r="201">
      <c r="A201" s="867"/>
      <c r="B201" s="808"/>
      <c r="C201" s="809"/>
      <c r="G201" s="799"/>
      <c r="H201" s="283"/>
      <c r="I201" s="805" t="s">
        <v>1179</v>
      </c>
      <c r="J201" s="808"/>
      <c r="K201" s="812">
        <v>250.0</v>
      </c>
      <c r="O201" s="799"/>
    </row>
    <row r="202">
      <c r="A202" s="868"/>
      <c r="B202" s="774"/>
      <c r="C202" s="816"/>
      <c r="G202" s="799"/>
      <c r="H202" s="283"/>
      <c r="I202" s="868"/>
      <c r="J202" s="774"/>
      <c r="K202" s="816"/>
      <c r="O202" s="799"/>
    </row>
    <row r="203">
      <c r="A203" s="815"/>
      <c r="B203" s="792"/>
      <c r="C203" s="816"/>
      <c r="G203" s="799"/>
      <c r="H203" s="283"/>
      <c r="I203" s="815"/>
      <c r="J203" s="792"/>
      <c r="K203" s="816"/>
      <c r="O203" s="799"/>
    </row>
    <row r="204">
      <c r="A204" s="817"/>
      <c r="B204" s="774"/>
      <c r="C204" s="818"/>
      <c r="G204" s="799"/>
      <c r="H204" s="283"/>
      <c r="I204" s="817"/>
      <c r="J204" s="774"/>
      <c r="K204" s="818"/>
      <c r="O204" s="799"/>
    </row>
    <row r="205">
      <c r="A205" s="817"/>
      <c r="B205" s="792"/>
      <c r="C205" s="818"/>
      <c r="G205" s="799"/>
      <c r="H205" s="283"/>
      <c r="I205" s="817"/>
      <c r="J205" s="792"/>
      <c r="K205" s="818"/>
      <c r="O205" s="799"/>
    </row>
    <row r="206">
      <c r="A206" s="821" t="s">
        <v>714</v>
      </c>
      <c r="B206" s="822"/>
      <c r="C206" s="823">
        <f>SUM(C201:C205)</f>
        <v>0</v>
      </c>
      <c r="G206" s="799"/>
      <c r="H206" s="283"/>
      <c r="I206" s="821" t="s">
        <v>714</v>
      </c>
      <c r="J206" s="826"/>
      <c r="K206" s="827">
        <f>SUM(K201:K205)</f>
        <v>250</v>
      </c>
      <c r="O206" s="799"/>
    </row>
    <row r="207">
      <c r="A207" s="828"/>
      <c r="C207" s="829"/>
      <c r="G207" s="799"/>
      <c r="H207" s="283"/>
      <c r="I207" s="828"/>
      <c r="K207" s="829"/>
      <c r="O207" s="799"/>
    </row>
    <row r="208">
      <c r="A208" s="830" t="s">
        <v>715</v>
      </c>
      <c r="B208" s="831"/>
      <c r="C208" s="832"/>
      <c r="G208" s="799"/>
      <c r="H208" s="283"/>
      <c r="I208" s="833" t="s">
        <v>715</v>
      </c>
      <c r="J208" s="834"/>
      <c r="K208" s="835"/>
      <c r="O208" s="799"/>
    </row>
    <row r="209">
      <c r="A209" s="836" t="s">
        <v>716</v>
      </c>
      <c r="B209" s="837"/>
      <c r="C209" s="838">
        <v>150.0</v>
      </c>
      <c r="G209" s="799"/>
      <c r="H209" s="283"/>
      <c r="I209" s="839"/>
      <c r="J209" s="840"/>
      <c r="K209" s="841"/>
      <c r="O209" s="799"/>
    </row>
    <row r="210">
      <c r="A210" s="842" t="s">
        <v>717</v>
      </c>
      <c r="B210" s="843"/>
      <c r="C210" s="844">
        <v>400.0</v>
      </c>
      <c r="D210" s="248"/>
      <c r="E210" s="845" t="s">
        <v>1182</v>
      </c>
      <c r="G210" s="846">
        <f>G198+C206-C215</f>
        <v>758.47</v>
      </c>
      <c r="H210" s="283"/>
      <c r="I210" s="847"/>
      <c r="J210" s="848"/>
      <c r="K210" s="849"/>
      <c r="L210" s="248"/>
      <c r="M210" s="845" t="s">
        <v>1183</v>
      </c>
      <c r="O210" s="846">
        <f>O198+K206-K215</f>
        <v>1319.6</v>
      </c>
    </row>
    <row r="211">
      <c r="A211" s="836" t="s">
        <v>718</v>
      </c>
      <c r="B211" s="837"/>
      <c r="C211" s="838">
        <v>200.0</v>
      </c>
      <c r="G211" s="799"/>
      <c r="H211" s="283"/>
      <c r="I211" s="847"/>
      <c r="J211" s="848"/>
      <c r="K211" s="849"/>
      <c r="O211" s="799"/>
    </row>
    <row r="212">
      <c r="A212" s="842" t="s">
        <v>656</v>
      </c>
      <c r="B212" s="843"/>
      <c r="C212" s="844">
        <f>IFERROR(__xludf.DUMMYFUNCTION("FILTER($C$4:$C$30,$B$4:$B$30=E190)"),1219.53)</f>
        <v>1219.53</v>
      </c>
      <c r="G212" s="799"/>
      <c r="H212" s="283"/>
      <c r="I212" s="847"/>
      <c r="J212" s="848"/>
      <c r="K212" s="849"/>
      <c r="O212" s="799"/>
    </row>
    <row r="213">
      <c r="A213" s="850" t="s">
        <v>1184</v>
      </c>
      <c r="B213" s="851"/>
      <c r="C213" s="852"/>
      <c r="E213" s="248"/>
      <c r="G213" s="799"/>
      <c r="H213" s="283"/>
      <c r="I213" s="847"/>
      <c r="J213" s="848"/>
      <c r="K213" s="849"/>
      <c r="M213" s="248"/>
      <c r="O213" s="799"/>
    </row>
    <row r="214">
      <c r="A214" s="847"/>
      <c r="B214" s="848"/>
      <c r="C214" s="849"/>
      <c r="G214" s="799"/>
      <c r="H214" s="283"/>
      <c r="I214" s="847"/>
      <c r="J214" s="848"/>
      <c r="K214" s="849"/>
      <c r="O214" s="799"/>
    </row>
    <row r="215">
      <c r="A215" s="853" t="s">
        <v>721</v>
      </c>
      <c r="B215" s="854"/>
      <c r="C215" s="855">
        <f>SUM(C209:C214)</f>
        <v>1969.53</v>
      </c>
      <c r="G215" s="799"/>
      <c r="H215" s="283"/>
      <c r="I215" s="853" t="s">
        <v>721</v>
      </c>
      <c r="J215" s="854"/>
      <c r="K215" s="855"/>
      <c r="O215" s="799"/>
    </row>
    <row r="216">
      <c r="A216" s="856"/>
      <c r="B216" s="857"/>
      <c r="C216" s="857"/>
      <c r="D216" s="857"/>
      <c r="E216" s="857"/>
      <c r="F216" s="857"/>
      <c r="G216" s="808"/>
      <c r="H216" s="283"/>
      <c r="I216" s="856"/>
      <c r="J216" s="857"/>
      <c r="K216" s="857"/>
      <c r="L216" s="857"/>
      <c r="M216" s="857"/>
      <c r="N216" s="857"/>
      <c r="O216" s="808"/>
    </row>
    <row r="219">
      <c r="A219" s="769"/>
      <c r="B219" s="770"/>
      <c r="C219" s="770"/>
      <c r="D219" s="771" t="s">
        <v>700</v>
      </c>
      <c r="E219" s="772" t="str">
        <f>E126</f>
        <v>11.24.2025-11.30.2025</v>
      </c>
      <c r="F219" s="773"/>
      <c r="G219" s="774"/>
      <c r="H219" s="305">
        <v>4.0</v>
      </c>
      <c r="I219" s="769"/>
      <c r="J219" s="770"/>
      <c r="K219" s="770"/>
      <c r="L219" s="771" t="s">
        <v>700</v>
      </c>
      <c r="M219" s="772" t="str">
        <f>E126</f>
        <v>11.24.2025-11.30.2025</v>
      </c>
      <c r="N219" s="773"/>
      <c r="O219" s="774"/>
    </row>
    <row r="220">
      <c r="A220" s="775"/>
      <c r="D220" s="771" t="s">
        <v>702</v>
      </c>
      <c r="E220" s="772" t="str">
        <f t="array" ref="E220">XLOOKUP(E221,$Q$973:$Q$1005,$R$973:$R$1005)</f>
        <v>Ada Fleet LLC</v>
      </c>
      <c r="F220" s="773"/>
      <c r="G220" s="774"/>
      <c r="H220" s="776"/>
      <c r="I220" s="775"/>
      <c r="L220" s="771" t="s">
        <v>351</v>
      </c>
      <c r="M220" s="772" t="str">
        <f t="array" ref="M220">XLOOKUP(M221,$L$1:$L$122,$K$1:$K$122)</f>
        <v>BENCHIKA DOLL</v>
      </c>
      <c r="N220" s="773"/>
      <c r="O220" s="774"/>
      <c r="P220" s="859"/>
    </row>
    <row r="221">
      <c r="A221" s="775"/>
      <c r="D221" s="771" t="s">
        <v>703</v>
      </c>
      <c r="E221" s="772">
        <v>7265.0</v>
      </c>
      <c r="F221" s="773"/>
      <c r="G221" s="774"/>
      <c r="H221" s="283"/>
      <c r="I221" s="775"/>
      <c r="L221" s="771" t="s">
        <v>703</v>
      </c>
      <c r="M221" s="772">
        <f>E221</f>
        <v>7265</v>
      </c>
      <c r="N221" s="773"/>
      <c r="O221" s="774"/>
    </row>
    <row r="222">
      <c r="A222" s="779" t="s">
        <v>704</v>
      </c>
      <c r="B222" s="779" t="s">
        <v>5</v>
      </c>
      <c r="C222" s="779" t="s">
        <v>6</v>
      </c>
      <c r="D222" s="779" t="s">
        <v>7</v>
      </c>
      <c r="E222" s="779" t="s">
        <v>8</v>
      </c>
      <c r="F222" s="779" t="s">
        <v>706</v>
      </c>
      <c r="G222" s="779" t="s">
        <v>707</v>
      </c>
      <c r="H222" s="34"/>
      <c r="I222" s="779" t="s">
        <v>704</v>
      </c>
      <c r="J222" s="779" t="s">
        <v>5</v>
      </c>
      <c r="K222" s="779" t="s">
        <v>6</v>
      </c>
      <c r="L222" s="779" t="s">
        <v>7</v>
      </c>
      <c r="M222" s="779" t="s">
        <v>1178</v>
      </c>
      <c r="N222" s="779" t="s">
        <v>839</v>
      </c>
      <c r="O222" s="779" t="s">
        <v>707</v>
      </c>
    </row>
    <row r="223">
      <c r="A223" s="780">
        <f>IFERROR(__xludf.DUMMYFUNCTION("FILTER($D$3:$H$122,$L$3:$L$122=E221)"),45986.0)</f>
        <v>45986</v>
      </c>
      <c r="B223" s="781">
        <f>IFERROR(__xludf.DUMMYFUNCTION("""COMPUTED_VALUE"""),1257186.0)</f>
        <v>1257186</v>
      </c>
      <c r="C223" s="781" t="str">
        <f>IFERROR(__xludf.DUMMYFUNCTION("""COMPUTED_VALUE"""),"Mechanicsburg, PA, 17055")</f>
        <v>Mechanicsburg, PA, 17055</v>
      </c>
      <c r="D223" s="871" t="str">
        <f>IFERROR(__xludf.DUMMYFUNCTION("""COMPUTED_VALUE"""),"Royal Palm Beach, FL, 33411")</f>
        <v>Royal Palm Beach, FL, 33411</v>
      </c>
      <c r="E223" s="782">
        <f>IFERROR(__xludf.DUMMYFUNCTION("""COMPUTED_VALUE"""),2900.0)</f>
        <v>2900</v>
      </c>
      <c r="F223" s="783">
        <v>0.88</v>
      </c>
      <c r="G223" s="782">
        <f>E223*F223</f>
        <v>2552</v>
      </c>
      <c r="H223" s="283"/>
      <c r="I223" s="872">
        <f>IFERROR(__xludf.DUMMYFUNCTION("FILTER($D$3:$G$122,$L$3:$L$122=M221)"),45986.0)</f>
        <v>45986</v>
      </c>
      <c r="J223" s="873">
        <f>IFERROR(__xludf.DUMMYFUNCTION("""COMPUTED_VALUE"""),1257186.0)</f>
        <v>1257186</v>
      </c>
      <c r="K223" s="873" t="str">
        <f>IFERROR(__xludf.DUMMYFUNCTION("""COMPUTED_VALUE"""),"Mechanicsburg, PA, 17055")</f>
        <v>Mechanicsburg, PA, 17055</v>
      </c>
      <c r="L223" s="874" t="str">
        <f>IFERROR(__xludf.DUMMYFUNCTION("""COMPUTED_VALUE"""),"Royal Palm Beach, FL, 33411")</f>
        <v>Royal Palm Beach, FL, 33411</v>
      </c>
      <c r="M223" s="875">
        <f>IFERROR(__xludf.DUMMYFUNCTION("FILTER($I$3:$I$122,$L$3:$L$122=M221)"),1505.0)</f>
        <v>1505</v>
      </c>
      <c r="N223" s="873">
        <v>0.65</v>
      </c>
      <c r="O223" s="876">
        <f>M223*N223</f>
        <v>978.25</v>
      </c>
    </row>
    <row r="224">
      <c r="A224" s="780"/>
      <c r="B224" s="781"/>
      <c r="C224" s="781"/>
      <c r="D224" s="781"/>
      <c r="E224" s="782"/>
      <c r="F224" s="783"/>
      <c r="G224" s="782"/>
      <c r="H224" s="283"/>
      <c r="I224" s="780"/>
      <c r="J224" s="781"/>
      <c r="K224" s="781"/>
      <c r="L224" s="781"/>
      <c r="M224" s="782"/>
      <c r="N224" s="783"/>
      <c r="O224" s="789"/>
    </row>
    <row r="225">
      <c r="A225" s="785"/>
      <c r="B225" s="786"/>
      <c r="C225" s="786"/>
      <c r="D225" s="786"/>
      <c r="E225" s="785"/>
      <c r="F225" s="787"/>
      <c r="G225" s="788"/>
      <c r="H225" s="283"/>
      <c r="I225" s="785"/>
      <c r="J225" s="786"/>
      <c r="K225" s="786"/>
      <c r="L225" s="786"/>
      <c r="M225" s="785"/>
      <c r="N225" s="787"/>
      <c r="O225" s="789"/>
    </row>
    <row r="226">
      <c r="A226" s="785"/>
      <c r="B226" s="786"/>
      <c r="C226" s="786"/>
      <c r="D226" s="786"/>
      <c r="E226" s="785"/>
      <c r="F226" s="787"/>
      <c r="G226" s="788"/>
      <c r="H226" s="283"/>
      <c r="I226" s="785"/>
      <c r="J226" s="786"/>
      <c r="K226" s="786"/>
      <c r="L226" s="786"/>
      <c r="M226" s="785"/>
      <c r="N226" s="787"/>
      <c r="O226" s="789"/>
    </row>
    <row r="227">
      <c r="A227" s="785"/>
      <c r="B227" s="786"/>
      <c r="C227" s="786"/>
      <c r="D227" s="786"/>
      <c r="E227" s="785"/>
      <c r="F227" s="787"/>
      <c r="G227" s="788"/>
      <c r="H227" s="283"/>
      <c r="I227" s="785"/>
      <c r="J227" s="786"/>
      <c r="K227" s="786"/>
      <c r="L227" s="786"/>
      <c r="M227" s="785"/>
      <c r="N227" s="787"/>
      <c r="O227" s="789"/>
    </row>
    <row r="228">
      <c r="A228" s="785"/>
      <c r="B228" s="786"/>
      <c r="C228" s="786"/>
      <c r="D228" s="786"/>
      <c r="E228" s="785"/>
      <c r="F228" s="787"/>
      <c r="G228" s="788"/>
      <c r="H228" s="283"/>
      <c r="I228" s="785"/>
      <c r="J228" s="786"/>
      <c r="K228" s="786"/>
      <c r="L228" s="786"/>
      <c r="M228" s="785"/>
      <c r="N228" s="787"/>
      <c r="O228" s="789"/>
    </row>
    <row r="229">
      <c r="A229" s="790" t="s">
        <v>711</v>
      </c>
      <c r="B229" s="791"/>
      <c r="C229" s="791"/>
      <c r="D229" s="792"/>
      <c r="E229" s="793">
        <f>SUM(E223:E228)</f>
        <v>2900</v>
      </c>
      <c r="F229" s="794"/>
      <c r="G229" s="793">
        <f>SUM(G223:G228)</f>
        <v>2552</v>
      </c>
      <c r="H229" s="283"/>
      <c r="I229" s="790" t="s">
        <v>711</v>
      </c>
      <c r="J229" s="791"/>
      <c r="K229" s="791"/>
      <c r="L229" s="792"/>
      <c r="M229" s="877">
        <f>SUM(M223:M228)</f>
        <v>1505</v>
      </c>
      <c r="N229" s="794"/>
      <c r="O229" s="793">
        <f>SUM(O223:O228)</f>
        <v>978.25</v>
      </c>
    </row>
    <row r="230">
      <c r="A230" s="796"/>
      <c r="D230" s="798"/>
      <c r="E230" s="798"/>
      <c r="F230" s="798"/>
      <c r="G230" s="878"/>
      <c r="H230" s="283"/>
      <c r="I230" s="796"/>
      <c r="L230" s="798"/>
      <c r="O230" s="799"/>
    </row>
    <row r="231">
      <c r="A231" s="800" t="s">
        <v>712</v>
      </c>
      <c r="B231" s="801"/>
      <c r="C231" s="802"/>
      <c r="D231" s="798"/>
      <c r="E231" s="798"/>
      <c r="F231" s="798"/>
      <c r="G231" s="878"/>
      <c r="H231" s="283"/>
      <c r="I231" s="800" t="s">
        <v>712</v>
      </c>
      <c r="J231" s="803"/>
      <c r="K231" s="804"/>
      <c r="O231" s="799"/>
    </row>
    <row r="232">
      <c r="A232" s="805" t="s">
        <v>1179</v>
      </c>
      <c r="B232" s="806"/>
      <c r="C232" s="807">
        <v>250.0</v>
      </c>
      <c r="D232" s="798"/>
      <c r="E232" s="798"/>
      <c r="F232" s="798"/>
      <c r="G232" s="878"/>
      <c r="H232" s="283"/>
      <c r="I232" s="805" t="s">
        <v>1179</v>
      </c>
      <c r="J232" s="808"/>
      <c r="K232" s="812">
        <v>250.0</v>
      </c>
      <c r="O232" s="799"/>
    </row>
    <row r="233">
      <c r="A233" s="868"/>
      <c r="B233" s="774"/>
      <c r="C233" s="816"/>
      <c r="D233" s="798"/>
      <c r="E233" s="798"/>
      <c r="F233" s="798"/>
      <c r="G233" s="878"/>
      <c r="H233" s="283"/>
      <c r="I233" s="868"/>
      <c r="J233" s="774"/>
      <c r="K233" s="816"/>
      <c r="O233" s="799"/>
    </row>
    <row r="234">
      <c r="A234" s="815"/>
      <c r="B234" s="792"/>
      <c r="C234" s="816"/>
      <c r="D234" s="798"/>
      <c r="E234" s="798"/>
      <c r="F234" s="798"/>
      <c r="G234" s="878"/>
      <c r="H234" s="283"/>
      <c r="I234" s="815"/>
      <c r="J234" s="792"/>
      <c r="K234" s="816"/>
      <c r="O234" s="799"/>
    </row>
    <row r="235">
      <c r="A235" s="817"/>
      <c r="B235" s="774"/>
      <c r="C235" s="818"/>
      <c r="D235" s="819" t="s">
        <v>1181</v>
      </c>
      <c r="E235" s="820">
        <v>1228.25</v>
      </c>
      <c r="F235" s="798"/>
      <c r="G235" s="878"/>
      <c r="H235" s="283"/>
      <c r="I235" s="817"/>
      <c r="J235" s="774"/>
      <c r="K235" s="818"/>
      <c r="O235" s="799"/>
    </row>
    <row r="236">
      <c r="A236" s="817"/>
      <c r="B236" s="792"/>
      <c r="C236" s="818"/>
      <c r="D236" s="798"/>
      <c r="E236" s="798"/>
      <c r="F236" s="798"/>
      <c r="G236" s="878"/>
      <c r="H236" s="283"/>
      <c r="I236" s="817"/>
      <c r="J236" s="792"/>
      <c r="K236" s="818"/>
      <c r="O236" s="799"/>
    </row>
    <row r="237">
      <c r="A237" s="821" t="s">
        <v>714</v>
      </c>
      <c r="B237" s="822"/>
      <c r="C237" s="823">
        <f>SUM(C232:C236)</f>
        <v>250</v>
      </c>
      <c r="D237" s="824" t="s">
        <v>657</v>
      </c>
      <c r="E237" s="825">
        <f>G241-E235</f>
        <v>123.67</v>
      </c>
      <c r="F237" s="798"/>
      <c r="G237" s="878"/>
      <c r="H237" s="283"/>
      <c r="I237" s="821" t="s">
        <v>714</v>
      </c>
      <c r="J237" s="826"/>
      <c r="K237" s="827">
        <f>SUM(K232:K236)</f>
        <v>250</v>
      </c>
      <c r="O237" s="799"/>
    </row>
    <row r="238">
      <c r="A238" s="828"/>
      <c r="C238" s="829"/>
      <c r="D238" s="798"/>
      <c r="E238" s="798"/>
      <c r="F238" s="798"/>
      <c r="G238" s="878"/>
      <c r="H238" s="283"/>
      <c r="I238" s="828"/>
      <c r="K238" s="829"/>
      <c r="O238" s="799"/>
    </row>
    <row r="239">
      <c r="A239" s="830" t="s">
        <v>715</v>
      </c>
      <c r="B239" s="831"/>
      <c r="C239" s="832"/>
      <c r="D239" s="798"/>
      <c r="E239" s="798"/>
      <c r="F239" s="798"/>
      <c r="G239" s="878"/>
      <c r="H239" s="283"/>
      <c r="I239" s="833" t="s">
        <v>715</v>
      </c>
      <c r="J239" s="834"/>
      <c r="K239" s="835"/>
      <c r="O239" s="799"/>
    </row>
    <row r="240">
      <c r="A240" s="836" t="s">
        <v>716</v>
      </c>
      <c r="B240" s="837"/>
      <c r="C240" s="838"/>
      <c r="D240" s="798"/>
      <c r="E240" s="798"/>
      <c r="F240" s="798"/>
      <c r="G240" s="878"/>
      <c r="H240" s="283"/>
      <c r="I240" s="839"/>
      <c r="J240" s="840"/>
      <c r="K240" s="841"/>
      <c r="O240" s="799"/>
    </row>
    <row r="241">
      <c r="A241" s="842" t="s">
        <v>717</v>
      </c>
      <c r="B241" s="843"/>
      <c r="C241" s="844"/>
      <c r="D241" s="248"/>
      <c r="E241" s="845" t="s">
        <v>1182</v>
      </c>
      <c r="G241" s="846">
        <f>G229+C237-C246</f>
        <v>1351.92</v>
      </c>
      <c r="H241" s="283"/>
      <c r="I241" s="847"/>
      <c r="J241" s="848"/>
      <c r="K241" s="849"/>
      <c r="L241" s="248"/>
      <c r="M241" s="845" t="s">
        <v>1183</v>
      </c>
      <c r="O241" s="846">
        <f>O229+K237-K246</f>
        <v>1228.25</v>
      </c>
    </row>
    <row r="242">
      <c r="A242" s="836" t="s">
        <v>718</v>
      </c>
      <c r="B242" s="837"/>
      <c r="C242" s="838"/>
      <c r="G242" s="799"/>
      <c r="H242" s="283"/>
      <c r="I242" s="847"/>
      <c r="J242" s="848"/>
      <c r="K242" s="849"/>
      <c r="O242" s="799"/>
    </row>
    <row r="243">
      <c r="A243" s="842" t="s">
        <v>656</v>
      </c>
      <c r="B243" s="843"/>
      <c r="C243" s="844">
        <f>IFERROR(__xludf.DUMMYFUNCTION("FILTER($C$4:$C$30,$B$4:$B$30=E221)"),1450.08)</f>
        <v>1450.08</v>
      </c>
      <c r="G243" s="799"/>
      <c r="H243" s="283"/>
      <c r="I243" s="847"/>
      <c r="J243" s="848"/>
      <c r="K243" s="849"/>
      <c r="O243" s="799"/>
    </row>
    <row r="244">
      <c r="A244" s="850" t="s">
        <v>1184</v>
      </c>
      <c r="B244" s="851"/>
      <c r="C244" s="852"/>
      <c r="E244" s="248"/>
      <c r="G244" s="799"/>
      <c r="H244" s="283"/>
      <c r="I244" s="847"/>
      <c r="J244" s="848"/>
      <c r="K244" s="849"/>
      <c r="M244" s="248"/>
      <c r="O244" s="799"/>
    </row>
    <row r="245">
      <c r="A245" s="847"/>
      <c r="B245" s="848"/>
      <c r="C245" s="849"/>
      <c r="G245" s="799"/>
      <c r="H245" s="283"/>
      <c r="I245" s="847"/>
      <c r="J245" s="848"/>
      <c r="K245" s="849"/>
      <c r="O245" s="799"/>
    </row>
    <row r="246">
      <c r="A246" s="853" t="s">
        <v>721</v>
      </c>
      <c r="B246" s="854"/>
      <c r="C246" s="855">
        <f>SUM(C240:C245)</f>
        <v>1450.08</v>
      </c>
      <c r="G246" s="799"/>
      <c r="H246" s="283"/>
      <c r="I246" s="853" t="s">
        <v>721</v>
      </c>
      <c r="J246" s="854"/>
      <c r="K246" s="855"/>
      <c r="O246" s="799"/>
    </row>
    <row r="247">
      <c r="A247" s="856"/>
      <c r="B247" s="857"/>
      <c r="C247" s="857"/>
      <c r="D247" s="857"/>
      <c r="E247" s="857"/>
      <c r="F247" s="857"/>
      <c r="G247" s="808"/>
      <c r="H247" s="283"/>
      <c r="I247" s="856"/>
      <c r="J247" s="857"/>
      <c r="K247" s="857"/>
      <c r="L247" s="857"/>
      <c r="M247" s="857"/>
      <c r="N247" s="857"/>
      <c r="O247" s="808"/>
    </row>
    <row r="250">
      <c r="A250" s="769"/>
      <c r="B250" s="770"/>
      <c r="C250" s="770"/>
      <c r="D250" s="771" t="s">
        <v>700</v>
      </c>
      <c r="E250" s="772" t="str">
        <f>E126</f>
        <v>11.24.2025-11.30.2025</v>
      </c>
      <c r="F250" s="773"/>
      <c r="G250" s="774"/>
      <c r="H250" s="879">
        <v>5.0</v>
      </c>
      <c r="I250" s="769"/>
      <c r="J250" s="770"/>
      <c r="K250" s="770"/>
      <c r="L250" s="771" t="s">
        <v>700</v>
      </c>
      <c r="M250" s="772" t="str">
        <f>E126</f>
        <v>11.24.2025-11.30.2025</v>
      </c>
      <c r="N250" s="773"/>
      <c r="O250" s="774"/>
    </row>
    <row r="251">
      <c r="A251" s="775"/>
      <c r="D251" s="771" t="s">
        <v>702</v>
      </c>
      <c r="E251" s="772" t="str">
        <f t="array" ref="E251">XLOOKUP(E252,$Q$973:$Q$1005,$R$973:$R$1005)</f>
        <v>Ada Fleet LLC</v>
      </c>
      <c r="F251" s="773"/>
      <c r="G251" s="774"/>
      <c r="H251" s="283"/>
      <c r="I251" s="775"/>
      <c r="L251" s="771" t="s">
        <v>351</v>
      </c>
      <c r="M251" s="772" t="str">
        <f t="array" ref="M251">XLOOKUP(M252,$L$1:$L$122,$K$1:$K$122)</f>
        <v>MICHEL PATRICK</v>
      </c>
      <c r="N251" s="773"/>
      <c r="O251" s="774"/>
    </row>
    <row r="252">
      <c r="A252" s="775"/>
      <c r="D252" s="771" t="s">
        <v>703</v>
      </c>
      <c r="E252" s="772">
        <v>3819.0</v>
      </c>
      <c r="F252" s="773"/>
      <c r="G252" s="774"/>
      <c r="H252" s="283"/>
      <c r="I252" s="775"/>
      <c r="L252" s="771" t="s">
        <v>703</v>
      </c>
      <c r="M252" s="772">
        <f>E252</f>
        <v>3819</v>
      </c>
      <c r="N252" s="773"/>
      <c r="O252" s="774"/>
    </row>
    <row r="253">
      <c r="A253" s="779" t="s">
        <v>704</v>
      </c>
      <c r="B253" s="779" t="s">
        <v>5</v>
      </c>
      <c r="C253" s="779" t="s">
        <v>6</v>
      </c>
      <c r="D253" s="779" t="s">
        <v>7</v>
      </c>
      <c r="E253" s="779" t="s">
        <v>8</v>
      </c>
      <c r="F253" s="779" t="s">
        <v>706</v>
      </c>
      <c r="G253" s="779" t="s">
        <v>707</v>
      </c>
      <c r="H253" s="34"/>
      <c r="I253" s="779" t="s">
        <v>704</v>
      </c>
      <c r="J253" s="779" t="s">
        <v>5</v>
      </c>
      <c r="K253" s="779" t="s">
        <v>6</v>
      </c>
      <c r="L253" s="779" t="s">
        <v>7</v>
      </c>
      <c r="M253" s="779" t="s">
        <v>1178</v>
      </c>
      <c r="N253" s="779" t="s">
        <v>839</v>
      </c>
      <c r="O253" s="779" t="s">
        <v>707</v>
      </c>
    </row>
    <row r="254">
      <c r="A254" s="780">
        <f>IFERROR(__xludf.DUMMYFUNCTION("FILTER($D$3:$H$122,$L$3:$L$122=E252)"),45987.0)</f>
        <v>45987</v>
      </c>
      <c r="B254" s="781" t="str">
        <f>IFERROR(__xludf.DUMMYFUNCTION("""COMPUTED_VALUE"""),"7291664773-1")</f>
        <v>7291664773-1</v>
      </c>
      <c r="C254" s="781" t="str">
        <f>IFERROR(__xludf.DUMMYFUNCTION("""COMPUTED_VALUE"""),"Langhorne, PA, 19047")</f>
        <v>Langhorne, PA, 19047</v>
      </c>
      <c r="D254" s="781" t="str">
        <f>IFERROR(__xludf.DUMMYFUNCTION("""COMPUTED_VALUE"""),"Sioux Falls, SD, 57104")</f>
        <v>Sioux Falls, SD, 57104</v>
      </c>
      <c r="E254" s="782">
        <f>IFERROR(__xludf.DUMMYFUNCTION("""COMPUTED_VALUE"""),1025.0)</f>
        <v>1025</v>
      </c>
      <c r="F254" s="783">
        <v>0.88</v>
      </c>
      <c r="G254" s="782">
        <f t="shared" ref="G254:G256" si="7">E254*F254</f>
        <v>902</v>
      </c>
      <c r="H254" s="283"/>
      <c r="I254" s="780">
        <f>IFERROR(__xludf.DUMMYFUNCTION("FILTER($D$3:$G$122,$L$3:$L$122=M252)"),45987.0)</f>
        <v>45987</v>
      </c>
      <c r="J254" s="781" t="str">
        <f>IFERROR(__xludf.DUMMYFUNCTION("""COMPUTED_VALUE"""),"7291664773-1")</f>
        <v>7291664773-1</v>
      </c>
      <c r="K254" s="781" t="str">
        <f>IFERROR(__xludf.DUMMYFUNCTION("""COMPUTED_VALUE"""),"Langhorne, PA, 19047")</f>
        <v>Langhorne, PA, 19047</v>
      </c>
      <c r="L254" s="781" t="str">
        <f>IFERROR(__xludf.DUMMYFUNCTION("""COMPUTED_VALUE"""),"Sioux Falls, SD, 57104")</f>
        <v>Sioux Falls, SD, 57104</v>
      </c>
      <c r="M254" s="880">
        <f>IFERROR(__xludf.DUMMYFUNCTION("FILTER($I$3:$I$122,$L$3:$L$122=M252)"),2155.0)</f>
        <v>2155</v>
      </c>
      <c r="N254" s="781">
        <v>0.65</v>
      </c>
      <c r="O254" s="782">
        <f t="shared" ref="O254:O256" si="8">M254*N254</f>
        <v>1400.75</v>
      </c>
    </row>
    <row r="255">
      <c r="A255" s="780">
        <f>IFERROR(__xludf.DUMMYFUNCTION("""COMPUTED_VALUE"""),45987.0)</f>
        <v>45987</v>
      </c>
      <c r="B255" s="781" t="str">
        <f>IFERROR(__xludf.DUMMYFUNCTION("""COMPUTED_VALUE"""),"7291665166-1")</f>
        <v>7291665166-1</v>
      </c>
      <c r="C255" s="781" t="str">
        <f>IFERROR(__xludf.DUMMYFUNCTION("""COMPUTED_VALUE"""),"Langhorne, PA, 19047")</f>
        <v>Langhorne, PA, 19047</v>
      </c>
      <c r="D255" s="781" t="str">
        <f>IFERROR(__xludf.DUMMYFUNCTION("""COMPUTED_VALUE"""),"Aurora, CO, 80011")</f>
        <v>Aurora, CO, 80011</v>
      </c>
      <c r="E255" s="782">
        <f>IFERROR(__xludf.DUMMYFUNCTION("""COMPUTED_VALUE"""),1350.0)</f>
        <v>1350</v>
      </c>
      <c r="F255" s="783">
        <v>0.88</v>
      </c>
      <c r="G255" s="782">
        <f t="shared" si="7"/>
        <v>1188</v>
      </c>
      <c r="H255" s="283"/>
      <c r="I255" s="881">
        <f>IFERROR(__xludf.DUMMYFUNCTION("""COMPUTED_VALUE"""),45987.0)</f>
        <v>45987</v>
      </c>
      <c r="J255" s="882" t="str">
        <f>IFERROR(__xludf.DUMMYFUNCTION("""COMPUTED_VALUE"""),"7291665166-1")</f>
        <v>7291665166-1</v>
      </c>
      <c r="K255" s="882" t="str">
        <f>IFERROR(__xludf.DUMMYFUNCTION("""COMPUTED_VALUE"""),"Langhorne, PA, 19047")</f>
        <v>Langhorne, PA, 19047</v>
      </c>
      <c r="L255" s="882" t="str">
        <f>IFERROR(__xludf.DUMMYFUNCTION("""COMPUTED_VALUE"""),"Aurora, CO, 80011")</f>
        <v>Aurora, CO, 80011</v>
      </c>
      <c r="M255" s="880">
        <f>IFERROR(__xludf.DUMMYFUNCTION("""COMPUTED_VALUE"""),0.0)</f>
        <v>0</v>
      </c>
      <c r="N255" s="781">
        <v>0.65</v>
      </c>
      <c r="O255" s="782">
        <f t="shared" si="8"/>
        <v>0</v>
      </c>
    </row>
    <row r="256">
      <c r="A256" s="883">
        <f>IFERROR(__xludf.DUMMYFUNCTION("""COMPUTED_VALUE"""),45986.0)</f>
        <v>45986</v>
      </c>
      <c r="B256" s="786" t="str">
        <f>IFERROR(__xludf.DUMMYFUNCTION("""COMPUTED_VALUE"""),"7291665266-1")</f>
        <v>7291665266-1</v>
      </c>
      <c r="C256" s="786" t="str">
        <f>IFERROR(__xludf.DUMMYFUNCTION("""COMPUTED_VALUE"""),"Langhorne, PA, 19047")</f>
        <v>Langhorne, PA, 19047</v>
      </c>
      <c r="D256" s="786" t="str">
        <f>IFERROR(__xludf.DUMMYFUNCTION("""COMPUTED_VALUE"""),"Centennial, CO, 80112")</f>
        <v>Centennial, CO, 80112</v>
      </c>
      <c r="E256" s="884">
        <f>IFERROR(__xludf.DUMMYFUNCTION("""COMPUTED_VALUE"""),1425.0)</f>
        <v>1425</v>
      </c>
      <c r="F256" s="783">
        <v>0.88</v>
      </c>
      <c r="G256" s="782">
        <f t="shared" si="7"/>
        <v>1254</v>
      </c>
      <c r="H256" s="283"/>
      <c r="I256" s="883">
        <f>IFERROR(__xludf.DUMMYFUNCTION("""COMPUTED_VALUE"""),45986.0)</f>
        <v>45986</v>
      </c>
      <c r="J256" s="786" t="str">
        <f>IFERROR(__xludf.DUMMYFUNCTION("""COMPUTED_VALUE"""),"7291665266-1")</f>
        <v>7291665266-1</v>
      </c>
      <c r="K256" s="786" t="str">
        <f>IFERROR(__xludf.DUMMYFUNCTION("""COMPUTED_VALUE"""),"Langhorne, PA, 19047")</f>
        <v>Langhorne, PA, 19047</v>
      </c>
      <c r="L256" s="786" t="str">
        <f>IFERROR(__xludf.DUMMYFUNCTION("""COMPUTED_VALUE"""),"Centennial, CO, 80112")</f>
        <v>Centennial, CO, 80112</v>
      </c>
      <c r="M256" s="880">
        <f>IFERROR(__xludf.DUMMYFUNCTION("""COMPUTED_VALUE"""),0.0)</f>
        <v>0</v>
      </c>
      <c r="N256" s="781">
        <v>0.65</v>
      </c>
      <c r="O256" s="782">
        <f t="shared" si="8"/>
        <v>0</v>
      </c>
    </row>
    <row r="257">
      <c r="A257" s="785"/>
      <c r="B257" s="786"/>
      <c r="C257" s="786"/>
      <c r="D257" s="786"/>
      <c r="E257" s="785"/>
      <c r="F257" s="787"/>
      <c r="G257" s="788"/>
      <c r="H257" s="283"/>
      <c r="I257" s="785"/>
      <c r="J257" s="786"/>
      <c r="K257" s="786"/>
      <c r="L257" s="786"/>
      <c r="M257" s="785"/>
      <c r="N257" s="787"/>
      <c r="O257" s="789"/>
    </row>
    <row r="258">
      <c r="A258" s="785"/>
      <c r="B258" s="786"/>
      <c r="C258" s="786"/>
      <c r="D258" s="786"/>
      <c r="E258" s="785"/>
      <c r="F258" s="787"/>
      <c r="G258" s="788"/>
      <c r="H258" s="283"/>
      <c r="I258" s="785"/>
      <c r="J258" s="786"/>
      <c r="K258" s="786"/>
      <c r="L258" s="786"/>
      <c r="M258" s="785"/>
      <c r="N258" s="787"/>
      <c r="O258" s="789"/>
    </row>
    <row r="259">
      <c r="A259" s="785"/>
      <c r="B259" s="786"/>
      <c r="C259" s="786"/>
      <c r="D259" s="786"/>
      <c r="E259" s="785"/>
      <c r="F259" s="787"/>
      <c r="G259" s="788"/>
      <c r="H259" s="283"/>
      <c r="I259" s="785"/>
      <c r="J259" s="786"/>
      <c r="K259" s="786"/>
      <c r="L259" s="786"/>
      <c r="M259" s="785"/>
      <c r="N259" s="787"/>
      <c r="O259" s="789"/>
    </row>
    <row r="260">
      <c r="A260" s="790" t="s">
        <v>711</v>
      </c>
      <c r="B260" s="791"/>
      <c r="C260" s="791"/>
      <c r="D260" s="792"/>
      <c r="E260" s="793">
        <f>SUM(E254:E259)</f>
        <v>3800</v>
      </c>
      <c r="F260" s="794"/>
      <c r="G260" s="793">
        <f>SUM(G254:G259)</f>
        <v>3344</v>
      </c>
      <c r="H260" s="283"/>
      <c r="I260" s="790" t="s">
        <v>711</v>
      </c>
      <c r="J260" s="791"/>
      <c r="K260" s="791"/>
      <c r="L260" s="792"/>
      <c r="M260" s="877">
        <f>SUM(M254:M259)</f>
        <v>2155</v>
      </c>
      <c r="N260" s="794"/>
      <c r="O260" s="793">
        <f>SUM(O254:O259)</f>
        <v>1400.75</v>
      </c>
    </row>
    <row r="261">
      <c r="A261" s="796"/>
      <c r="D261" s="798"/>
      <c r="E261" s="798"/>
      <c r="F261" s="798"/>
      <c r="G261" s="878"/>
      <c r="H261" s="283"/>
      <c r="I261" s="796"/>
      <c r="L261" s="798"/>
      <c r="M261" s="798"/>
      <c r="N261" s="798"/>
      <c r="O261" s="878"/>
    </row>
    <row r="262">
      <c r="A262" s="800" t="s">
        <v>712</v>
      </c>
      <c r="B262" s="801"/>
      <c r="C262" s="802"/>
      <c r="D262" s="798"/>
      <c r="E262" s="798"/>
      <c r="F262" s="798"/>
      <c r="G262" s="878"/>
      <c r="H262" s="283"/>
      <c r="I262" s="800" t="s">
        <v>712</v>
      </c>
      <c r="J262" s="803"/>
      <c r="K262" s="804"/>
      <c r="L262" s="798"/>
      <c r="M262" s="798"/>
      <c r="N262" s="798"/>
      <c r="O262" s="878"/>
    </row>
    <row r="263">
      <c r="A263" s="805" t="s">
        <v>1179</v>
      </c>
      <c r="B263" s="806"/>
      <c r="C263" s="812">
        <v>250.0</v>
      </c>
      <c r="D263" s="798"/>
      <c r="E263" s="798"/>
      <c r="F263" s="798"/>
      <c r="G263" s="878"/>
      <c r="H263" s="283"/>
      <c r="I263" s="810" t="s">
        <v>1179</v>
      </c>
      <c r="J263" s="808"/>
      <c r="K263" s="809">
        <v>250.0</v>
      </c>
      <c r="L263" s="798"/>
      <c r="M263" s="798"/>
      <c r="N263" s="798"/>
      <c r="O263" s="878"/>
    </row>
    <row r="264">
      <c r="A264" s="868"/>
      <c r="B264" s="774"/>
      <c r="C264" s="816"/>
      <c r="D264" s="798"/>
      <c r="E264" s="798"/>
      <c r="F264" s="798"/>
      <c r="G264" s="878"/>
      <c r="H264" s="283"/>
      <c r="I264" s="868"/>
      <c r="J264" s="774"/>
      <c r="K264" s="816"/>
      <c r="L264" s="798"/>
      <c r="M264" s="798"/>
      <c r="N264" s="798"/>
      <c r="O264" s="878"/>
    </row>
    <row r="265">
      <c r="A265" s="815"/>
      <c r="B265" s="792"/>
      <c r="C265" s="816"/>
      <c r="D265" s="798"/>
      <c r="E265" s="798"/>
      <c r="F265" s="798"/>
      <c r="G265" s="878"/>
      <c r="H265" s="283"/>
      <c r="I265" s="815"/>
      <c r="J265" s="792"/>
      <c r="K265" s="816"/>
      <c r="L265" s="798"/>
      <c r="M265" s="798"/>
      <c r="N265" s="798"/>
      <c r="O265" s="878"/>
    </row>
    <row r="266">
      <c r="A266" s="817"/>
      <c r="B266" s="774"/>
      <c r="C266" s="818"/>
      <c r="D266" s="798"/>
      <c r="E266" s="798"/>
      <c r="F266" s="798"/>
      <c r="G266" s="878"/>
      <c r="H266" s="283"/>
      <c r="I266" s="817"/>
      <c r="J266" s="774"/>
      <c r="K266" s="818"/>
      <c r="L266" s="798"/>
      <c r="M266" s="798"/>
      <c r="N266" s="798"/>
      <c r="O266" s="878"/>
    </row>
    <row r="267">
      <c r="A267" s="817"/>
      <c r="B267" s="792"/>
      <c r="C267" s="818"/>
      <c r="D267" s="885" t="s">
        <v>1181</v>
      </c>
      <c r="E267" s="886">
        <v>650.75</v>
      </c>
      <c r="F267" s="798"/>
      <c r="G267" s="878"/>
      <c r="H267" s="283"/>
      <c r="I267" s="817"/>
      <c r="J267" s="792"/>
      <c r="K267" s="818"/>
      <c r="L267" s="798"/>
      <c r="M267" s="798"/>
      <c r="N267" s="798"/>
      <c r="O267" s="878"/>
    </row>
    <row r="268">
      <c r="A268" s="821" t="s">
        <v>714</v>
      </c>
      <c r="B268" s="822"/>
      <c r="C268" s="823">
        <f>SUM(C263:C267)</f>
        <v>250</v>
      </c>
      <c r="D268" s="798"/>
      <c r="E268" s="798"/>
      <c r="F268" s="798"/>
      <c r="G268" s="878"/>
      <c r="H268" s="283"/>
      <c r="I268" s="821" t="s">
        <v>714</v>
      </c>
      <c r="J268" s="826"/>
      <c r="K268" s="827">
        <f>SUM(K263:K267)</f>
        <v>250</v>
      </c>
      <c r="L268" s="798"/>
      <c r="M268" s="798"/>
      <c r="N268" s="798"/>
      <c r="O268" s="878"/>
    </row>
    <row r="269">
      <c r="A269" s="828"/>
      <c r="C269" s="829"/>
      <c r="D269" s="887" t="s">
        <v>657</v>
      </c>
      <c r="E269" s="888">
        <f>G272-E267</f>
        <v>786.43</v>
      </c>
      <c r="F269" s="798"/>
      <c r="G269" s="878"/>
      <c r="H269" s="283"/>
      <c r="I269" s="828"/>
      <c r="K269" s="829"/>
      <c r="L269" s="798"/>
      <c r="M269" s="798"/>
      <c r="N269" s="798"/>
      <c r="O269" s="878"/>
    </row>
    <row r="270">
      <c r="A270" s="830" t="s">
        <v>715</v>
      </c>
      <c r="B270" s="831"/>
      <c r="C270" s="832"/>
      <c r="D270" s="798"/>
      <c r="E270" s="798"/>
      <c r="F270" s="798"/>
      <c r="G270" s="878"/>
      <c r="H270" s="283"/>
      <c r="I270" s="833" t="s">
        <v>715</v>
      </c>
      <c r="J270" s="834"/>
      <c r="K270" s="835"/>
      <c r="L270" s="798"/>
      <c r="M270" s="798"/>
      <c r="N270" s="798"/>
      <c r="O270" s="878"/>
    </row>
    <row r="271">
      <c r="A271" s="836" t="s">
        <v>716</v>
      </c>
      <c r="B271" s="837"/>
      <c r="C271" s="838">
        <v>150.0</v>
      </c>
      <c r="D271" s="798"/>
      <c r="E271" s="798"/>
      <c r="F271" s="798"/>
      <c r="G271" s="878"/>
      <c r="H271" s="283"/>
      <c r="I271" s="889" t="s">
        <v>1186</v>
      </c>
      <c r="J271" s="851"/>
      <c r="K271" s="890">
        <v>1000.0</v>
      </c>
      <c r="L271" s="865" t="s">
        <v>1187</v>
      </c>
      <c r="M271" s="798"/>
      <c r="N271" s="798"/>
      <c r="O271" s="878"/>
    </row>
    <row r="272">
      <c r="A272" s="842" t="s">
        <v>717</v>
      </c>
      <c r="B272" s="843"/>
      <c r="C272" s="844">
        <v>400.0</v>
      </c>
      <c r="D272" s="891"/>
      <c r="E272" s="845" t="s">
        <v>1182</v>
      </c>
      <c r="G272" s="846">
        <f>G260+C268-C277</f>
        <v>1437.18</v>
      </c>
      <c r="H272" s="283"/>
      <c r="I272" s="847"/>
      <c r="J272" s="848"/>
      <c r="K272" s="849"/>
      <c r="L272" s="248"/>
      <c r="M272" s="845" t="s">
        <v>1183</v>
      </c>
      <c r="O272" s="846">
        <f>O260+K268-K277</f>
        <v>650.75</v>
      </c>
    </row>
    <row r="273">
      <c r="A273" s="836" t="s">
        <v>718</v>
      </c>
      <c r="B273" s="837"/>
      <c r="C273" s="838">
        <v>200.0</v>
      </c>
      <c r="D273" s="892"/>
      <c r="G273" s="799"/>
      <c r="H273" s="283"/>
      <c r="I273" s="847"/>
      <c r="J273" s="848"/>
      <c r="K273" s="849"/>
      <c r="O273" s="799"/>
    </row>
    <row r="274">
      <c r="A274" s="842" t="s">
        <v>656</v>
      </c>
      <c r="B274" s="843"/>
      <c r="C274" s="844">
        <f>IFERROR(__xludf.DUMMYFUNCTION("FILTER($C$4:$C$30,$B$4:$B$30=E252)"),1111.82)</f>
        <v>1111.82</v>
      </c>
      <c r="D274" s="891"/>
      <c r="G274" s="799"/>
      <c r="H274" s="283"/>
      <c r="I274" s="847"/>
      <c r="J274" s="848"/>
      <c r="K274" s="849"/>
      <c r="O274" s="799"/>
    </row>
    <row r="275">
      <c r="A275" s="850" t="s">
        <v>1184</v>
      </c>
      <c r="B275" s="851"/>
      <c r="C275" s="852">
        <v>295.0</v>
      </c>
      <c r="D275" s="893" t="s">
        <v>1188</v>
      </c>
      <c r="E275" s="248"/>
      <c r="G275" s="799"/>
      <c r="H275" s="283"/>
      <c r="I275" s="847"/>
      <c r="J275" s="848"/>
      <c r="K275" s="849"/>
      <c r="M275" s="248"/>
      <c r="O275" s="799"/>
    </row>
    <row r="276">
      <c r="A276" s="847"/>
      <c r="B276" s="848"/>
      <c r="C276" s="849"/>
      <c r="D276" s="248"/>
      <c r="G276" s="799"/>
      <c r="H276" s="283"/>
      <c r="I276" s="847"/>
      <c r="J276" s="848"/>
      <c r="K276" s="849"/>
      <c r="O276" s="799"/>
    </row>
    <row r="277">
      <c r="A277" s="853" t="s">
        <v>721</v>
      </c>
      <c r="B277" s="854"/>
      <c r="C277" s="855">
        <f>SUM(C271:C276)</f>
        <v>2156.82</v>
      </c>
      <c r="D277" s="248"/>
      <c r="G277" s="799"/>
      <c r="H277" s="283"/>
      <c r="I277" s="853" t="s">
        <v>721</v>
      </c>
      <c r="J277" s="854"/>
      <c r="K277" s="855">
        <f>SUM(K271:K276)</f>
        <v>1000</v>
      </c>
      <c r="O277" s="799"/>
    </row>
    <row r="278">
      <c r="A278" s="856"/>
      <c r="B278" s="857"/>
      <c r="C278" s="857"/>
      <c r="D278" s="894"/>
      <c r="E278" s="857"/>
      <c r="F278" s="857"/>
      <c r="G278" s="808"/>
      <c r="H278" s="283"/>
      <c r="I278" s="856"/>
      <c r="J278" s="857"/>
      <c r="K278" s="857"/>
      <c r="L278" s="857"/>
      <c r="M278" s="857"/>
      <c r="N278" s="857"/>
      <c r="O278" s="808"/>
    </row>
    <row r="281">
      <c r="A281" s="769"/>
      <c r="B281" s="770"/>
      <c r="C281" s="770"/>
      <c r="D281" s="771" t="s">
        <v>700</v>
      </c>
      <c r="E281" s="772" t="str">
        <f>E126</f>
        <v>11.24.2025-11.30.2025</v>
      </c>
      <c r="F281" s="773"/>
      <c r="G281" s="774"/>
      <c r="H281" s="879">
        <v>6.0</v>
      </c>
      <c r="I281" s="769"/>
      <c r="J281" s="770"/>
      <c r="K281" s="770"/>
      <c r="L281" s="771" t="s">
        <v>700</v>
      </c>
      <c r="M281" s="772" t="str">
        <f>E126</f>
        <v>11.24.2025-11.30.2025</v>
      </c>
      <c r="N281" s="773"/>
      <c r="O281" s="774"/>
    </row>
    <row r="282">
      <c r="A282" s="775"/>
      <c r="D282" s="771" t="s">
        <v>702</v>
      </c>
      <c r="E282" s="772" t="str">
        <f t="array" ref="E282">XLOOKUP(E283,$Q$973:$Q$1005,$R$973:$R$1005)</f>
        <v>Ada Fleet LLC</v>
      </c>
      <c r="F282" s="773"/>
      <c r="G282" s="774"/>
      <c r="H282" s="283"/>
      <c r="I282" s="775"/>
      <c r="L282" s="771" t="s">
        <v>351</v>
      </c>
      <c r="M282" s="772" t="str">
        <f t="array" ref="M282">XLOOKUP(M283,$L$1:$L$122,$K$1:$K$122)</f>
        <v>WOODBENS JOSIL</v>
      </c>
      <c r="N282" s="773"/>
      <c r="O282" s="774"/>
    </row>
    <row r="283">
      <c r="A283" s="775"/>
      <c r="D283" s="771" t="s">
        <v>703</v>
      </c>
      <c r="E283" s="772">
        <v>9348.0</v>
      </c>
      <c r="F283" s="773"/>
      <c r="G283" s="774"/>
      <c r="H283" s="283"/>
      <c r="I283" s="775"/>
      <c r="L283" s="771" t="s">
        <v>703</v>
      </c>
      <c r="M283" s="772">
        <f>E283</f>
        <v>9348</v>
      </c>
      <c r="N283" s="773"/>
      <c r="O283" s="774"/>
    </row>
    <row r="284">
      <c r="A284" s="779" t="s">
        <v>704</v>
      </c>
      <c r="B284" s="779" t="s">
        <v>5</v>
      </c>
      <c r="C284" s="779" t="s">
        <v>6</v>
      </c>
      <c r="D284" s="779" t="s">
        <v>7</v>
      </c>
      <c r="E284" s="779" t="s">
        <v>8</v>
      </c>
      <c r="F284" s="779" t="s">
        <v>706</v>
      </c>
      <c r="G284" s="779" t="s">
        <v>707</v>
      </c>
      <c r="H284" s="34"/>
      <c r="I284" s="779" t="s">
        <v>704</v>
      </c>
      <c r="J284" s="779" t="s">
        <v>5</v>
      </c>
      <c r="K284" s="779" t="s">
        <v>6</v>
      </c>
      <c r="L284" s="779" t="s">
        <v>7</v>
      </c>
      <c r="M284" s="779" t="s">
        <v>1178</v>
      </c>
      <c r="N284" s="779" t="s">
        <v>839</v>
      </c>
      <c r="O284" s="779" t="s">
        <v>707</v>
      </c>
    </row>
    <row r="285">
      <c r="A285" s="780">
        <f>IFERROR(__xludf.DUMMYFUNCTION("FILTER($D$3:$H$122,$L$3:$L$122=E283)"),45985.0)</f>
        <v>45985</v>
      </c>
      <c r="B285" s="781" t="str">
        <f>IFERROR(__xludf.DUMMYFUNCTION("""COMPUTED_VALUE"""),"6MT0940")</f>
        <v>6MT0940</v>
      </c>
      <c r="C285" s="781" t="str">
        <f>IFERROR(__xludf.DUMMYFUNCTION("""COMPUTED_VALUE"""),"Commerce City, CO, 80022")</f>
        <v>Commerce City, CO, 80022</v>
      </c>
      <c r="D285" s="781" t="str">
        <f>IFERROR(__xludf.DUMMYFUNCTION("""COMPUTED_VALUE"""),"Clinton, UT, 84015")</f>
        <v>Clinton, UT, 84015</v>
      </c>
      <c r="E285" s="782">
        <f>IFERROR(__xludf.DUMMYFUNCTION("""COMPUTED_VALUE"""),816.0)</f>
        <v>816</v>
      </c>
      <c r="F285" s="783">
        <v>0.88</v>
      </c>
      <c r="G285" s="782">
        <f t="shared" ref="G285:G287" si="9">E285*F285</f>
        <v>718.08</v>
      </c>
      <c r="H285" s="283"/>
      <c r="I285" s="895">
        <f>IFERROR(__xludf.DUMMYFUNCTION("FILTER($D$3:$G$122,$L$3:$L$122=M283)"),45985.0)</f>
        <v>45985</v>
      </c>
      <c r="J285" s="895" t="str">
        <f>IFERROR(__xludf.DUMMYFUNCTION("""COMPUTED_VALUE"""),"6MT0940")</f>
        <v>6MT0940</v>
      </c>
      <c r="K285" s="895" t="str">
        <f>IFERROR(__xludf.DUMMYFUNCTION("""COMPUTED_VALUE"""),"Commerce City, CO, 80022")</f>
        <v>Commerce City, CO, 80022</v>
      </c>
      <c r="L285" s="895" t="str">
        <f>IFERROR(__xludf.DUMMYFUNCTION("""COMPUTED_VALUE"""),"Clinton, UT, 84015")</f>
        <v>Clinton, UT, 84015</v>
      </c>
      <c r="M285" s="896">
        <f>IFERROR(__xludf.DUMMYFUNCTION("FILTER($I$3:$I$122,$L$3:$L$122=M283)"),562.0)</f>
        <v>562</v>
      </c>
      <c r="N285" s="861">
        <v>0.65</v>
      </c>
      <c r="O285" s="863">
        <f t="shared" ref="O285:O287" si="10">M285*N285</f>
        <v>365.3</v>
      </c>
    </row>
    <row r="286">
      <c r="A286" s="780">
        <f>IFERROR(__xludf.DUMMYFUNCTION("""COMPUTED_VALUE"""),45986.0)</f>
        <v>45986</v>
      </c>
      <c r="B286" s="781" t="str">
        <f>IFERROR(__xludf.DUMMYFUNCTION("""COMPUTED_VALUE"""),"3945526-1")</f>
        <v>3945526-1</v>
      </c>
      <c r="C286" s="781" t="str">
        <f>IFERROR(__xludf.DUMMYFUNCTION("""COMPUTED_VALUE"""),"Sugar City, ID, 83448")</f>
        <v>Sugar City, ID, 83448</v>
      </c>
      <c r="D286" s="781" t="str">
        <f>IFERROR(__xludf.DUMMYFUNCTION("""COMPUTED_VALUE"""),"Moro, OR, 97039")</f>
        <v>Moro, OR, 97039</v>
      </c>
      <c r="E286" s="782">
        <f>IFERROR(__xludf.DUMMYFUNCTION("""COMPUTED_VALUE"""),1650.0)</f>
        <v>1650</v>
      </c>
      <c r="F286" s="783">
        <v>0.88</v>
      </c>
      <c r="G286" s="782">
        <f t="shared" si="9"/>
        <v>1452</v>
      </c>
      <c r="H286" s="283"/>
      <c r="I286" s="895">
        <f>IFERROR(__xludf.DUMMYFUNCTION("""COMPUTED_VALUE"""),45986.0)</f>
        <v>45986</v>
      </c>
      <c r="J286" s="895" t="str">
        <f>IFERROR(__xludf.DUMMYFUNCTION("""COMPUTED_VALUE"""),"3945526-1")</f>
        <v>3945526-1</v>
      </c>
      <c r="K286" s="895" t="str">
        <f>IFERROR(__xludf.DUMMYFUNCTION("""COMPUTED_VALUE"""),"Sugar City, ID, 83448")</f>
        <v>Sugar City, ID, 83448</v>
      </c>
      <c r="L286" s="895" t="str">
        <f>IFERROR(__xludf.DUMMYFUNCTION("""COMPUTED_VALUE"""),"Moro, OR, 97039")</f>
        <v>Moro, OR, 97039</v>
      </c>
      <c r="M286" s="880">
        <f>IFERROR(__xludf.DUMMYFUNCTION("""COMPUTED_VALUE"""),871.0)</f>
        <v>871</v>
      </c>
      <c r="N286" s="861">
        <v>0.65</v>
      </c>
      <c r="O286" s="863">
        <f t="shared" si="10"/>
        <v>566.15</v>
      </c>
    </row>
    <row r="287">
      <c r="A287" s="883">
        <f>IFERROR(__xludf.DUMMYFUNCTION("""COMPUTED_VALUE"""),45987.0)</f>
        <v>45987</v>
      </c>
      <c r="B287" s="786">
        <f>IFERROR(__xludf.DUMMYFUNCTION("""COMPUTED_VALUE"""),1.5486212E7)</f>
        <v>15486212</v>
      </c>
      <c r="C287" s="786" t="str">
        <f>IFERROR(__xludf.DUMMYFUNCTION("""COMPUTED_VALUE"""),"Yakima, WA, 98902")</f>
        <v>Yakima, WA, 98902</v>
      </c>
      <c r="D287" s="786" t="str">
        <f>IFERROR(__xludf.DUMMYFUNCTION("""COMPUTED_VALUE"""),"Plainville, MA, 02762")</f>
        <v>Plainville, MA, 02762</v>
      </c>
      <c r="E287" s="884">
        <f>IFERROR(__xludf.DUMMYFUNCTION("""COMPUTED_VALUE"""),5700.0)</f>
        <v>5700</v>
      </c>
      <c r="F287" s="783">
        <v>0.88</v>
      </c>
      <c r="G287" s="782">
        <f t="shared" si="9"/>
        <v>5016</v>
      </c>
      <c r="H287" s="283"/>
      <c r="I287" s="895">
        <f>IFERROR(__xludf.DUMMYFUNCTION("""COMPUTED_VALUE"""),45987.0)</f>
        <v>45987</v>
      </c>
      <c r="J287" s="895">
        <f>IFERROR(__xludf.DUMMYFUNCTION("""COMPUTED_VALUE"""),1.5486212E7)</f>
        <v>15486212</v>
      </c>
      <c r="K287" s="895" t="str">
        <f>IFERROR(__xludf.DUMMYFUNCTION("""COMPUTED_VALUE"""),"Yakima, WA, 98902")</f>
        <v>Yakima, WA, 98902</v>
      </c>
      <c r="L287" s="895" t="str">
        <f>IFERROR(__xludf.DUMMYFUNCTION("""COMPUTED_VALUE"""),"Plainville, MA, 02762")</f>
        <v>Plainville, MA, 02762</v>
      </c>
      <c r="M287" s="895">
        <f>IFERROR(__xludf.DUMMYFUNCTION("""COMPUTED_VALUE"""),3029.0)</f>
        <v>3029</v>
      </c>
      <c r="N287" s="861">
        <v>0.65</v>
      </c>
      <c r="O287" s="863">
        <f t="shared" si="10"/>
        <v>1968.85</v>
      </c>
    </row>
    <row r="288">
      <c r="A288" s="785"/>
      <c r="B288" s="786"/>
      <c r="C288" s="786"/>
      <c r="D288" s="786"/>
      <c r="E288" s="785"/>
      <c r="F288" s="787"/>
      <c r="G288" s="788"/>
      <c r="H288" s="283"/>
      <c r="I288" s="785"/>
      <c r="J288" s="786"/>
      <c r="K288" s="786"/>
      <c r="L288" s="786"/>
      <c r="M288" s="785"/>
      <c r="N288" s="787"/>
      <c r="O288" s="789"/>
    </row>
    <row r="289">
      <c r="A289" s="785"/>
      <c r="B289" s="786"/>
      <c r="C289" s="786"/>
      <c r="D289" s="786"/>
      <c r="E289" s="785"/>
      <c r="F289" s="787"/>
      <c r="G289" s="788"/>
      <c r="H289" s="283"/>
      <c r="I289" s="785"/>
      <c r="J289" s="786"/>
      <c r="K289" s="786"/>
      <c r="L289" s="786"/>
      <c r="M289" s="785"/>
      <c r="N289" s="787"/>
      <c r="O289" s="789"/>
    </row>
    <row r="290">
      <c r="A290" s="785"/>
      <c r="B290" s="786"/>
      <c r="C290" s="786"/>
      <c r="D290" s="786"/>
      <c r="E290" s="785"/>
      <c r="F290" s="787"/>
      <c r="G290" s="788"/>
      <c r="H290" s="283"/>
      <c r="I290" s="785"/>
      <c r="J290" s="786"/>
      <c r="K290" s="786"/>
      <c r="L290" s="786"/>
      <c r="M290" s="785"/>
      <c r="N290" s="787"/>
      <c r="O290" s="789"/>
    </row>
    <row r="291">
      <c r="A291" s="790" t="s">
        <v>711</v>
      </c>
      <c r="B291" s="791"/>
      <c r="C291" s="791"/>
      <c r="D291" s="792"/>
      <c r="E291" s="793">
        <f>SUM(E285:E290)</f>
        <v>8166</v>
      </c>
      <c r="F291" s="794"/>
      <c r="G291" s="793">
        <f>SUM(G285:G290)</f>
        <v>7186.08</v>
      </c>
      <c r="H291" s="283"/>
      <c r="I291" s="790" t="s">
        <v>711</v>
      </c>
      <c r="J291" s="791"/>
      <c r="K291" s="791"/>
      <c r="L291" s="792"/>
      <c r="M291" s="877">
        <f>SUM(M285:M290)</f>
        <v>4462</v>
      </c>
      <c r="N291" s="794"/>
      <c r="O291" s="793">
        <f>SUM(O285:O290)</f>
        <v>2900.3</v>
      </c>
      <c r="Q291" s="897">
        <v>4506.0</v>
      </c>
      <c r="R291" s="669" t="s">
        <v>1189</v>
      </c>
    </row>
    <row r="292">
      <c r="A292" s="796"/>
      <c r="D292" s="798"/>
      <c r="E292" s="798"/>
      <c r="F292" s="798"/>
      <c r="G292" s="878"/>
      <c r="H292" s="283"/>
      <c r="I292" s="796"/>
      <c r="L292" s="798"/>
      <c r="O292" s="799"/>
    </row>
    <row r="293">
      <c r="A293" s="800" t="s">
        <v>712</v>
      </c>
      <c r="B293" s="801"/>
      <c r="C293" s="802"/>
      <c r="D293" s="798"/>
      <c r="E293" s="798"/>
      <c r="F293" s="798"/>
      <c r="G293" s="878"/>
      <c r="H293" s="283"/>
      <c r="I293" s="800" t="s">
        <v>712</v>
      </c>
      <c r="J293" s="803"/>
      <c r="K293" s="804"/>
      <c r="O293" s="799"/>
    </row>
    <row r="294">
      <c r="A294" s="805" t="s">
        <v>1179</v>
      </c>
      <c r="B294" s="806"/>
      <c r="C294" s="812">
        <v>250.0</v>
      </c>
      <c r="D294" s="798"/>
      <c r="E294" s="798"/>
      <c r="F294" s="798"/>
      <c r="G294" s="878"/>
      <c r="H294" s="283"/>
      <c r="I294" s="805" t="s">
        <v>1179</v>
      </c>
      <c r="J294" s="808"/>
      <c r="K294" s="812">
        <v>250.0</v>
      </c>
      <c r="O294" s="799"/>
    </row>
    <row r="295">
      <c r="A295" s="813" t="s">
        <v>1190</v>
      </c>
      <c r="B295" s="898"/>
      <c r="C295" s="899">
        <v>20.0</v>
      </c>
      <c r="D295" s="798"/>
      <c r="E295" s="798"/>
      <c r="F295" s="798"/>
      <c r="G295" s="878"/>
      <c r="H295" s="283"/>
      <c r="I295" s="813" t="s">
        <v>763</v>
      </c>
      <c r="J295" s="774"/>
      <c r="K295" s="816">
        <v>20.0</v>
      </c>
      <c r="O295" s="799"/>
    </row>
    <row r="296">
      <c r="A296" s="815"/>
      <c r="B296" s="792"/>
      <c r="C296" s="816"/>
      <c r="D296" s="798"/>
      <c r="E296" s="798"/>
      <c r="F296" s="798"/>
      <c r="G296" s="878"/>
      <c r="H296" s="283"/>
      <c r="I296" s="815"/>
      <c r="J296" s="792"/>
      <c r="K296" s="816"/>
      <c r="O296" s="799"/>
    </row>
    <row r="297">
      <c r="A297" s="817"/>
      <c r="B297" s="774"/>
      <c r="C297" s="818"/>
      <c r="D297" s="885" t="s">
        <v>1181</v>
      </c>
      <c r="E297" s="886">
        <v>3150.3</v>
      </c>
      <c r="F297" s="798"/>
      <c r="G297" s="878"/>
      <c r="H297" s="283"/>
      <c r="I297" s="817"/>
      <c r="J297" s="774"/>
      <c r="K297" s="818"/>
      <c r="O297" s="799"/>
    </row>
    <row r="298">
      <c r="A298" s="817"/>
      <c r="B298" s="792"/>
      <c r="C298" s="818"/>
      <c r="D298" s="798"/>
      <c r="E298" s="798"/>
      <c r="F298" s="798"/>
      <c r="G298" s="878"/>
      <c r="H298" s="283"/>
      <c r="I298" s="817"/>
      <c r="J298" s="792"/>
      <c r="K298" s="818"/>
      <c r="O298" s="799"/>
    </row>
    <row r="299">
      <c r="A299" s="821" t="s">
        <v>714</v>
      </c>
      <c r="B299" s="822"/>
      <c r="C299" s="823">
        <f>SUM(C294:C298)</f>
        <v>270</v>
      </c>
      <c r="D299" s="887" t="s">
        <v>657</v>
      </c>
      <c r="E299" s="888">
        <f>G303-O303</f>
        <v>1515.4</v>
      </c>
      <c r="F299" s="798"/>
      <c r="G299" s="878"/>
      <c r="H299" s="283"/>
      <c r="I299" s="821" t="s">
        <v>714</v>
      </c>
      <c r="J299" s="826"/>
      <c r="K299" s="827">
        <f>SUM(K294:K298)</f>
        <v>270</v>
      </c>
      <c r="O299" s="799"/>
    </row>
    <row r="300">
      <c r="A300" s="828"/>
      <c r="C300" s="829"/>
      <c r="D300" s="798"/>
      <c r="E300" s="798"/>
      <c r="F300" s="798"/>
      <c r="G300" s="878"/>
      <c r="H300" s="283"/>
      <c r="I300" s="828"/>
      <c r="K300" s="829"/>
      <c r="O300" s="799"/>
    </row>
    <row r="301">
      <c r="A301" s="830" t="s">
        <v>715</v>
      </c>
      <c r="B301" s="831"/>
      <c r="C301" s="832"/>
      <c r="D301" s="798"/>
      <c r="E301" s="798"/>
      <c r="F301" s="798"/>
      <c r="G301" s="878"/>
      <c r="H301" s="283"/>
      <c r="I301" s="833" t="s">
        <v>715</v>
      </c>
      <c r="J301" s="834"/>
      <c r="K301" s="835"/>
      <c r="O301" s="799"/>
    </row>
    <row r="302">
      <c r="A302" s="836" t="s">
        <v>716</v>
      </c>
      <c r="B302" s="837"/>
      <c r="C302" s="838"/>
      <c r="D302" s="798"/>
      <c r="E302" s="798"/>
      <c r="F302" s="798"/>
      <c r="G302" s="878"/>
      <c r="H302" s="283"/>
      <c r="I302" s="839"/>
      <c r="J302" s="840"/>
      <c r="K302" s="841"/>
      <c r="O302" s="799"/>
    </row>
    <row r="303">
      <c r="A303" s="842" t="s">
        <v>717</v>
      </c>
      <c r="B303" s="843"/>
      <c r="C303" s="844"/>
      <c r="D303" s="248"/>
      <c r="E303" s="845" t="s">
        <v>1182</v>
      </c>
      <c r="G303" s="846">
        <f>G291+C299-C308</f>
        <v>4685.7</v>
      </c>
      <c r="H303" s="283"/>
      <c r="I303" s="847"/>
      <c r="J303" s="848"/>
      <c r="K303" s="849"/>
      <c r="L303" s="248"/>
      <c r="M303" s="845" t="s">
        <v>1183</v>
      </c>
      <c r="O303" s="846">
        <f>O291+K299-K308</f>
        <v>3170.3</v>
      </c>
    </row>
    <row r="304">
      <c r="A304" s="836" t="s">
        <v>718</v>
      </c>
      <c r="B304" s="837"/>
      <c r="C304" s="838"/>
      <c r="G304" s="799"/>
      <c r="H304" s="283"/>
      <c r="I304" s="847"/>
      <c r="J304" s="848"/>
      <c r="K304" s="849"/>
      <c r="O304" s="799"/>
    </row>
    <row r="305">
      <c r="A305" s="842" t="s">
        <v>656</v>
      </c>
      <c r="B305" s="843"/>
      <c r="C305" s="844">
        <f>IFERROR(__xludf.DUMMYFUNCTION("FILTER($C$4:$C$30,$B$4:$B$30=E283)"),2770.38)</f>
        <v>2770.38</v>
      </c>
      <c r="G305" s="799"/>
      <c r="H305" s="283"/>
      <c r="I305" s="847"/>
      <c r="J305" s="848"/>
      <c r="K305" s="849"/>
      <c r="O305" s="799"/>
    </row>
    <row r="306">
      <c r="A306" s="850" t="s">
        <v>1184</v>
      </c>
      <c r="B306" s="851"/>
      <c r="C306" s="852"/>
      <c r="E306" s="248"/>
      <c r="G306" s="799"/>
      <c r="H306" s="283"/>
      <c r="I306" s="847"/>
      <c r="J306" s="848"/>
      <c r="K306" s="849"/>
      <c r="M306" s="248"/>
      <c r="O306" s="799"/>
    </row>
    <row r="307">
      <c r="A307" s="847"/>
      <c r="B307" s="848"/>
      <c r="C307" s="849"/>
      <c r="G307" s="799"/>
      <c r="H307" s="283"/>
      <c r="I307" s="847"/>
      <c r="J307" s="848"/>
      <c r="K307" s="849"/>
      <c r="O307" s="799"/>
    </row>
    <row r="308">
      <c r="A308" s="853" t="s">
        <v>721</v>
      </c>
      <c r="B308" s="854"/>
      <c r="C308" s="855">
        <f>SUM(C302:C307)</f>
        <v>2770.38</v>
      </c>
      <c r="G308" s="799"/>
      <c r="H308" s="283"/>
      <c r="I308" s="853" t="s">
        <v>721</v>
      </c>
      <c r="J308" s="854"/>
      <c r="K308" s="855"/>
      <c r="O308" s="799"/>
    </row>
    <row r="309">
      <c r="A309" s="856"/>
      <c r="B309" s="857"/>
      <c r="C309" s="857"/>
      <c r="D309" s="857"/>
      <c r="E309" s="857"/>
      <c r="F309" s="857"/>
      <c r="G309" s="808"/>
      <c r="H309" s="283"/>
      <c r="I309" s="856"/>
      <c r="J309" s="857"/>
      <c r="K309" s="857"/>
      <c r="L309" s="857"/>
      <c r="M309" s="857"/>
      <c r="N309" s="857"/>
      <c r="O309" s="808"/>
    </row>
    <row r="312">
      <c r="A312" s="769"/>
      <c r="B312" s="770"/>
      <c r="C312" s="770"/>
      <c r="D312" s="771" t="s">
        <v>700</v>
      </c>
      <c r="E312" s="772" t="str">
        <f>E126</f>
        <v>11.24.2025-11.30.2025</v>
      </c>
      <c r="F312" s="773"/>
      <c r="G312" s="774"/>
      <c r="H312" s="879">
        <v>7.0</v>
      </c>
      <c r="I312" s="769"/>
      <c r="J312" s="770"/>
      <c r="K312" s="770"/>
      <c r="L312" s="771" t="s">
        <v>700</v>
      </c>
      <c r="M312" s="772" t="str">
        <f>E126</f>
        <v>11.24.2025-11.30.2025</v>
      </c>
      <c r="N312" s="773"/>
      <c r="O312" s="774"/>
    </row>
    <row r="313">
      <c r="A313" s="775"/>
      <c r="D313" s="771" t="s">
        <v>702</v>
      </c>
      <c r="E313" s="772" t="str">
        <f t="array" ref="E313">XLOOKUP(E314,$Q$973:$Q$1005,$R$973:$R$1005)</f>
        <v>Komo Logistics LLC</v>
      </c>
      <c r="F313" s="773"/>
      <c r="G313" s="774"/>
      <c r="H313" s="283"/>
      <c r="I313" s="775"/>
      <c r="L313" s="771" t="s">
        <v>351</v>
      </c>
      <c r="M313" s="772" t="str">
        <f t="array" ref="M313">XLOOKUP(M314,$L$1:$L$122,$K$1:$K$122)</f>
        <v>TOUSSAINT BESANTO</v>
      </c>
      <c r="N313" s="773"/>
      <c r="O313" s="774"/>
    </row>
    <row r="314">
      <c r="A314" s="775"/>
      <c r="D314" s="771" t="s">
        <v>703</v>
      </c>
      <c r="E314" s="772">
        <v>7807.0</v>
      </c>
      <c r="F314" s="773"/>
      <c r="G314" s="774"/>
      <c r="H314" s="283"/>
      <c r="I314" s="775"/>
      <c r="L314" s="771" t="s">
        <v>703</v>
      </c>
      <c r="M314" s="772">
        <f>E314</f>
        <v>7807</v>
      </c>
      <c r="N314" s="773"/>
      <c r="O314" s="774"/>
    </row>
    <row r="315">
      <c r="A315" s="779" t="s">
        <v>704</v>
      </c>
      <c r="B315" s="779" t="s">
        <v>5</v>
      </c>
      <c r="C315" s="779" t="s">
        <v>6</v>
      </c>
      <c r="D315" s="779" t="s">
        <v>7</v>
      </c>
      <c r="E315" s="779" t="s">
        <v>8</v>
      </c>
      <c r="F315" s="779" t="s">
        <v>706</v>
      </c>
      <c r="G315" s="779" t="s">
        <v>707</v>
      </c>
      <c r="H315" s="34"/>
      <c r="I315" s="779" t="s">
        <v>704</v>
      </c>
      <c r="J315" s="779" t="s">
        <v>5</v>
      </c>
      <c r="K315" s="779" t="s">
        <v>6</v>
      </c>
      <c r="L315" s="779" t="s">
        <v>7</v>
      </c>
      <c r="M315" s="779" t="s">
        <v>1178</v>
      </c>
      <c r="N315" s="779" t="s">
        <v>839</v>
      </c>
      <c r="O315" s="779" t="s">
        <v>707</v>
      </c>
    </row>
    <row r="316">
      <c r="A316" s="780">
        <f>IFERROR(__xludf.DUMMYFUNCTION("FILTER($D$3:$H$122,$L$3:$L$122=E314)"),45985.0)</f>
        <v>45985</v>
      </c>
      <c r="B316" s="781">
        <f>IFERROR(__xludf.DUMMYFUNCTION("""COMPUTED_VALUE"""),794771.0)</f>
        <v>794771</v>
      </c>
      <c r="C316" s="781" t="str">
        <f>IFERROR(__xludf.DUMMYFUNCTION("""COMPUTED_VALUE"""),"East Hartford, CT, 06118")</f>
        <v>East Hartford, CT, 06118</v>
      </c>
      <c r="D316" s="781" t="str">
        <f>IFERROR(__xludf.DUMMYFUNCTION("""COMPUTED_VALUE"""),"Bedford Heights, OH, 44146")</f>
        <v>Bedford Heights, OH, 44146</v>
      </c>
      <c r="E316" s="782">
        <f>IFERROR(__xludf.DUMMYFUNCTION("""COMPUTED_VALUE"""),675.0)</f>
        <v>675</v>
      </c>
      <c r="F316" s="783">
        <v>0.88</v>
      </c>
      <c r="G316" s="782">
        <f t="shared" ref="G316:G317" si="11">E316*F316</f>
        <v>594</v>
      </c>
      <c r="H316" s="283"/>
      <c r="I316" s="780">
        <f>IFERROR(__xludf.DUMMYFUNCTION("FILTER($D$3:$G$122,$L$3:$L$122=M314)"),45985.0)</f>
        <v>45985</v>
      </c>
      <c r="J316" s="781">
        <f>IFERROR(__xludf.DUMMYFUNCTION("""COMPUTED_VALUE"""),794771.0)</f>
        <v>794771</v>
      </c>
      <c r="K316" s="781" t="str">
        <f>IFERROR(__xludf.DUMMYFUNCTION("""COMPUTED_VALUE"""),"East Hartford, CT, 06118")</f>
        <v>East Hartford, CT, 06118</v>
      </c>
      <c r="L316" s="781" t="str">
        <f>IFERROR(__xludf.DUMMYFUNCTION("""COMPUTED_VALUE"""),"Bedford Heights, OH, 44146")</f>
        <v>Bedford Heights, OH, 44146</v>
      </c>
      <c r="M316" s="896">
        <f>IFERROR(__xludf.DUMMYFUNCTION("FILTER($I$3:$I$122,$L$3:$L$122=M314)"),571.0)</f>
        <v>571</v>
      </c>
      <c r="N316" s="781">
        <v>0.65</v>
      </c>
      <c r="O316" s="782">
        <f t="shared" ref="O316:O317" si="12">M316*N316</f>
        <v>371.15</v>
      </c>
    </row>
    <row r="317">
      <c r="A317" s="780">
        <f>IFERROR(__xludf.DUMMYFUNCTION("""COMPUTED_VALUE"""),45986.0)</f>
        <v>45986</v>
      </c>
      <c r="B317" s="781">
        <f>IFERROR(__xludf.DUMMYFUNCTION("""COMPUTED_VALUE"""),393581.0)</f>
        <v>393581</v>
      </c>
      <c r="C317" s="781" t="str">
        <f>IFERROR(__xludf.DUMMYFUNCTION("""COMPUTED_VALUE"""),"Austintown, OH, 44509")</f>
        <v>Austintown, OH, 44509</v>
      </c>
      <c r="D317" s="781" t="str">
        <f>IFERROR(__xludf.DUMMYFUNCTION("""COMPUTED_VALUE"""),"Alachua, FL, 32615")</f>
        <v>Alachua, FL, 32615</v>
      </c>
      <c r="E317" s="782">
        <f>IFERROR(__xludf.DUMMYFUNCTION("""COMPUTED_VALUE"""),2350.0)</f>
        <v>2350</v>
      </c>
      <c r="F317" s="783">
        <v>0.88</v>
      </c>
      <c r="G317" s="782">
        <f t="shared" si="11"/>
        <v>2068</v>
      </c>
      <c r="H317" s="283"/>
      <c r="I317" s="881">
        <f>IFERROR(__xludf.DUMMYFUNCTION("""COMPUTED_VALUE"""),45986.0)</f>
        <v>45986</v>
      </c>
      <c r="J317" s="882">
        <f>IFERROR(__xludf.DUMMYFUNCTION("""COMPUTED_VALUE"""),393581.0)</f>
        <v>393581</v>
      </c>
      <c r="K317" s="882" t="str">
        <f>IFERROR(__xludf.DUMMYFUNCTION("""COMPUTED_VALUE"""),"Austintown, OH, 44509")</f>
        <v>Austintown, OH, 44509</v>
      </c>
      <c r="L317" s="882" t="str">
        <f>IFERROR(__xludf.DUMMYFUNCTION("""COMPUTED_VALUE"""),"Alachua, FL, 32615")</f>
        <v>Alachua, FL, 32615</v>
      </c>
      <c r="M317" s="880">
        <f>IFERROR(__xludf.DUMMYFUNCTION("""COMPUTED_VALUE"""),1025.0)</f>
        <v>1025</v>
      </c>
      <c r="N317" s="781">
        <v>0.65</v>
      </c>
      <c r="O317" s="782">
        <f t="shared" si="12"/>
        <v>666.25</v>
      </c>
    </row>
    <row r="318">
      <c r="A318" s="785"/>
      <c r="B318" s="786"/>
      <c r="C318" s="786"/>
      <c r="D318" s="786"/>
      <c r="E318" s="785"/>
      <c r="F318" s="787"/>
      <c r="G318" s="788"/>
      <c r="H318" s="283"/>
      <c r="I318" s="785"/>
      <c r="J318" s="786"/>
      <c r="K318" s="786"/>
      <c r="L318" s="786"/>
      <c r="M318" s="785"/>
      <c r="N318" s="787"/>
      <c r="O318" s="789"/>
    </row>
    <row r="319">
      <c r="A319" s="785"/>
      <c r="B319" s="786"/>
      <c r="C319" s="786"/>
      <c r="D319" s="786"/>
      <c r="E319" s="785"/>
      <c r="F319" s="787"/>
      <c r="G319" s="788"/>
      <c r="H319" s="283"/>
      <c r="I319" s="785"/>
      <c r="J319" s="786"/>
      <c r="K319" s="786"/>
      <c r="L319" s="786"/>
      <c r="M319" s="785"/>
      <c r="N319" s="787"/>
      <c r="O319" s="789"/>
    </row>
    <row r="320">
      <c r="A320" s="785"/>
      <c r="B320" s="786"/>
      <c r="C320" s="786"/>
      <c r="D320" s="786"/>
      <c r="E320" s="785"/>
      <c r="F320" s="787"/>
      <c r="G320" s="788"/>
      <c r="H320" s="283"/>
      <c r="I320" s="785"/>
      <c r="J320" s="786"/>
      <c r="K320" s="786"/>
      <c r="L320" s="786"/>
      <c r="M320" s="785"/>
      <c r="N320" s="787"/>
      <c r="O320" s="789"/>
    </row>
    <row r="321">
      <c r="A321" s="785"/>
      <c r="B321" s="786"/>
      <c r="C321" s="786"/>
      <c r="D321" s="786"/>
      <c r="E321" s="785"/>
      <c r="F321" s="787"/>
      <c r="G321" s="788"/>
      <c r="H321" s="283"/>
      <c r="I321" s="785"/>
      <c r="J321" s="786"/>
      <c r="K321" s="786"/>
      <c r="L321" s="786"/>
      <c r="M321" s="785"/>
      <c r="N321" s="787"/>
      <c r="O321" s="789"/>
    </row>
    <row r="322">
      <c r="A322" s="790" t="s">
        <v>711</v>
      </c>
      <c r="B322" s="791"/>
      <c r="C322" s="791"/>
      <c r="D322" s="792"/>
      <c r="E322" s="793">
        <f>SUM(E316:E321)</f>
        <v>3025</v>
      </c>
      <c r="F322" s="794"/>
      <c r="G322" s="793">
        <f>SUM(G316:G321)</f>
        <v>2662</v>
      </c>
      <c r="H322" s="283"/>
      <c r="I322" s="790" t="s">
        <v>711</v>
      </c>
      <c r="J322" s="791"/>
      <c r="K322" s="791"/>
      <c r="L322" s="792"/>
      <c r="M322" s="877">
        <f>SUM(M316:M321)</f>
        <v>1596</v>
      </c>
      <c r="N322" s="794"/>
      <c r="O322" s="793">
        <f>SUM(O316:O321)</f>
        <v>1037.4</v>
      </c>
      <c r="Q322" s="897">
        <v>1591.0</v>
      </c>
      <c r="R322" s="669" t="s">
        <v>1191</v>
      </c>
    </row>
    <row r="323">
      <c r="A323" s="796"/>
      <c r="D323" s="798"/>
      <c r="E323" s="798"/>
      <c r="F323" s="798"/>
      <c r="G323" s="878"/>
      <c r="H323" s="283"/>
      <c r="I323" s="796"/>
      <c r="L323" s="798"/>
      <c r="O323" s="799"/>
    </row>
    <row r="324">
      <c r="A324" s="800" t="s">
        <v>712</v>
      </c>
      <c r="B324" s="801"/>
      <c r="C324" s="802"/>
      <c r="D324" s="798"/>
      <c r="E324" s="798"/>
      <c r="F324" s="798"/>
      <c r="G324" s="878"/>
      <c r="H324" s="283"/>
      <c r="I324" s="800" t="s">
        <v>712</v>
      </c>
      <c r="J324" s="803"/>
      <c r="K324" s="804"/>
      <c r="O324" s="799"/>
    </row>
    <row r="325">
      <c r="A325" s="805" t="s">
        <v>1179</v>
      </c>
      <c r="B325" s="806"/>
      <c r="C325" s="900">
        <v>250.0</v>
      </c>
      <c r="D325" s="798"/>
      <c r="E325" s="798"/>
      <c r="F325" s="798"/>
      <c r="G325" s="878"/>
      <c r="H325" s="283"/>
      <c r="I325" s="805" t="s">
        <v>1179</v>
      </c>
      <c r="J325" s="808"/>
      <c r="K325" s="812">
        <v>250.0</v>
      </c>
      <c r="O325" s="799"/>
    </row>
    <row r="326">
      <c r="A326" s="868"/>
      <c r="B326" s="774"/>
      <c r="C326" s="816"/>
      <c r="D326" s="798"/>
      <c r="E326" s="798"/>
      <c r="F326" s="798"/>
      <c r="G326" s="878"/>
      <c r="H326" s="283"/>
      <c r="I326" s="868"/>
      <c r="J326" s="774"/>
      <c r="K326" s="816"/>
      <c r="O326" s="799"/>
    </row>
    <row r="327">
      <c r="A327" s="815"/>
      <c r="B327" s="792"/>
      <c r="C327" s="816"/>
      <c r="D327" s="798"/>
      <c r="E327" s="798"/>
      <c r="F327" s="798"/>
      <c r="G327" s="878"/>
      <c r="H327" s="283"/>
      <c r="I327" s="815"/>
      <c r="J327" s="792"/>
      <c r="K327" s="816"/>
      <c r="O327" s="799"/>
    </row>
    <row r="328">
      <c r="A328" s="817"/>
      <c r="B328" s="774"/>
      <c r="C328" s="818"/>
      <c r="D328" s="798"/>
      <c r="E328" s="798"/>
      <c r="F328" s="798"/>
      <c r="G328" s="878"/>
      <c r="H328" s="283"/>
      <c r="I328" s="817"/>
      <c r="J328" s="774"/>
      <c r="K328" s="818"/>
      <c r="O328" s="799"/>
    </row>
    <row r="329">
      <c r="A329" s="817"/>
      <c r="B329" s="792"/>
      <c r="C329" s="818"/>
      <c r="D329" s="885" t="s">
        <v>1181</v>
      </c>
      <c r="E329" s="886">
        <f>O334</f>
        <v>1037.4</v>
      </c>
      <c r="F329" s="798"/>
      <c r="G329" s="878"/>
      <c r="H329" s="283"/>
      <c r="I329" s="817"/>
      <c r="J329" s="792"/>
      <c r="K329" s="818"/>
      <c r="O329" s="799"/>
    </row>
    <row r="330">
      <c r="A330" s="821" t="s">
        <v>714</v>
      </c>
      <c r="B330" s="822"/>
      <c r="C330" s="823">
        <f>SUM(C325:C329)</f>
        <v>250</v>
      </c>
      <c r="D330" s="798"/>
      <c r="E330" s="798"/>
      <c r="F330" s="798"/>
      <c r="G330" s="878"/>
      <c r="H330" s="283"/>
      <c r="I330" s="821" t="s">
        <v>714</v>
      </c>
      <c r="J330" s="826"/>
      <c r="K330" s="827"/>
      <c r="O330" s="799"/>
    </row>
    <row r="331">
      <c r="A331" s="828"/>
      <c r="C331" s="829"/>
      <c r="D331" s="887" t="s">
        <v>657</v>
      </c>
      <c r="E331" s="888">
        <f>G334-E329</f>
        <v>743.52</v>
      </c>
      <c r="F331" s="798"/>
      <c r="G331" s="878"/>
      <c r="H331" s="283"/>
      <c r="I331" s="828"/>
      <c r="K331" s="829"/>
      <c r="O331" s="799"/>
    </row>
    <row r="332">
      <c r="A332" s="830" t="s">
        <v>715</v>
      </c>
      <c r="B332" s="831"/>
      <c r="C332" s="832"/>
      <c r="D332" s="798"/>
      <c r="E332" s="798"/>
      <c r="F332" s="798"/>
      <c r="G332" s="878"/>
      <c r="H332" s="283"/>
      <c r="I332" s="833" t="s">
        <v>715</v>
      </c>
      <c r="J332" s="834"/>
      <c r="K332" s="835"/>
      <c r="O332" s="799"/>
    </row>
    <row r="333">
      <c r="A333" s="836" t="s">
        <v>716</v>
      </c>
      <c r="B333" s="837"/>
      <c r="C333" s="838"/>
      <c r="D333" s="798"/>
      <c r="E333" s="798"/>
      <c r="F333" s="798"/>
      <c r="G333" s="878"/>
      <c r="H333" s="283"/>
      <c r="I333" s="839"/>
      <c r="J333" s="840"/>
      <c r="K333" s="841"/>
      <c r="O333" s="799"/>
    </row>
    <row r="334">
      <c r="A334" s="842" t="s">
        <v>717</v>
      </c>
      <c r="B334" s="843"/>
      <c r="C334" s="844"/>
      <c r="D334" s="248"/>
      <c r="E334" s="845" t="s">
        <v>1182</v>
      </c>
      <c r="G334" s="846">
        <f>G322+C330-C339</f>
        <v>1780.92</v>
      </c>
      <c r="H334" s="283"/>
      <c r="I334" s="847"/>
      <c r="J334" s="848"/>
      <c r="K334" s="849"/>
      <c r="L334" s="248"/>
      <c r="M334" s="845" t="s">
        <v>1183</v>
      </c>
      <c r="O334" s="846">
        <f>O322+K330-K339</f>
        <v>1037.4</v>
      </c>
    </row>
    <row r="335">
      <c r="A335" s="836" t="s">
        <v>718</v>
      </c>
      <c r="B335" s="837"/>
      <c r="C335" s="838"/>
      <c r="G335" s="799"/>
      <c r="H335" s="283"/>
      <c r="I335" s="847"/>
      <c r="J335" s="848"/>
      <c r="K335" s="849"/>
      <c r="O335" s="799"/>
    </row>
    <row r="336">
      <c r="A336" s="842" t="s">
        <v>656</v>
      </c>
      <c r="B336" s="843"/>
      <c r="C336" s="844">
        <f>IFERROR(__xludf.DUMMYFUNCTION("FILTER($C$4:$C$30,$B$4:$B$30=E314)"),1131.08)</f>
        <v>1131.08</v>
      </c>
      <c r="G336" s="799"/>
      <c r="H336" s="283"/>
      <c r="I336" s="847"/>
      <c r="J336" s="848"/>
      <c r="K336" s="849"/>
      <c r="O336" s="799"/>
    </row>
    <row r="337">
      <c r="A337" s="850" t="s">
        <v>1184</v>
      </c>
      <c r="B337" s="851"/>
      <c r="C337" s="852"/>
      <c r="E337" s="248"/>
      <c r="G337" s="799"/>
      <c r="H337" s="283"/>
      <c r="I337" s="847"/>
      <c r="J337" s="848"/>
      <c r="K337" s="849"/>
      <c r="M337" s="248"/>
      <c r="O337" s="799"/>
    </row>
    <row r="338">
      <c r="A338" s="847"/>
      <c r="B338" s="848"/>
      <c r="C338" s="849"/>
      <c r="G338" s="799"/>
      <c r="H338" s="283"/>
      <c r="I338" s="847"/>
      <c r="J338" s="848"/>
      <c r="K338" s="849"/>
      <c r="O338" s="799"/>
    </row>
    <row r="339">
      <c r="A339" s="853" t="s">
        <v>721</v>
      </c>
      <c r="B339" s="854"/>
      <c r="C339" s="855">
        <f>SUM(C333:C338)</f>
        <v>1131.08</v>
      </c>
      <c r="G339" s="799"/>
      <c r="H339" s="283"/>
      <c r="I339" s="853" t="s">
        <v>721</v>
      </c>
      <c r="J339" s="854"/>
      <c r="K339" s="855"/>
      <c r="O339" s="799"/>
    </row>
    <row r="340">
      <c r="A340" s="856"/>
      <c r="B340" s="857"/>
      <c r="C340" s="857"/>
      <c r="D340" s="857"/>
      <c r="E340" s="857"/>
      <c r="F340" s="857"/>
      <c r="G340" s="808"/>
      <c r="H340" s="283"/>
      <c r="I340" s="856"/>
      <c r="J340" s="857"/>
      <c r="K340" s="857"/>
      <c r="L340" s="857"/>
      <c r="M340" s="857"/>
      <c r="N340" s="857"/>
      <c r="O340" s="808"/>
    </row>
    <row r="343">
      <c r="A343" s="769"/>
      <c r="B343" s="770"/>
      <c r="C343" s="770"/>
      <c r="D343" s="771" t="s">
        <v>700</v>
      </c>
      <c r="E343" s="772" t="str">
        <f>E126</f>
        <v>11.24.2025-11.30.2025</v>
      </c>
      <c r="F343" s="773"/>
      <c r="G343" s="774"/>
      <c r="H343" s="901">
        <v>8.0</v>
      </c>
      <c r="I343" s="769"/>
      <c r="J343" s="770"/>
      <c r="K343" s="770"/>
      <c r="L343" s="771" t="s">
        <v>700</v>
      </c>
      <c r="M343" s="772" t="str">
        <f>E126</f>
        <v>11.24.2025-11.30.2025</v>
      </c>
      <c r="N343" s="773"/>
      <c r="O343" s="774"/>
    </row>
    <row r="344">
      <c r="A344" s="775"/>
      <c r="D344" s="771" t="s">
        <v>702</v>
      </c>
      <c r="E344" s="772" t="str">
        <f t="array" ref="E344">XLOOKUP(E345,$Q$973:$Q$1005,$R$973:$R$1005)</f>
        <v>US Ela Logistic LLC</v>
      </c>
      <c r="F344" s="773"/>
      <c r="G344" s="774"/>
      <c r="H344" s="283"/>
      <c r="I344" s="775"/>
      <c r="L344" s="771" t="s">
        <v>351</v>
      </c>
      <c r="M344" s="772" t="str">
        <f t="array" ref="M344">XLOOKUP(M345,$L$1:$L$122,$K$1:$K$122)</f>
        <v>JOSEPH JOSEPH HYVENS</v>
      </c>
      <c r="N344" s="773"/>
      <c r="O344" s="774"/>
    </row>
    <row r="345">
      <c r="A345" s="775"/>
      <c r="D345" s="771" t="s">
        <v>703</v>
      </c>
      <c r="E345" s="772">
        <v>2693.0</v>
      </c>
      <c r="F345" s="773"/>
      <c r="G345" s="774"/>
      <c r="H345" s="283"/>
      <c r="I345" s="775"/>
      <c r="L345" s="771" t="s">
        <v>703</v>
      </c>
      <c r="M345" s="772">
        <f>E345</f>
        <v>2693</v>
      </c>
      <c r="N345" s="773"/>
      <c r="O345" s="774"/>
    </row>
    <row r="346">
      <c r="A346" s="779" t="s">
        <v>704</v>
      </c>
      <c r="B346" s="779" t="s">
        <v>5</v>
      </c>
      <c r="C346" s="779" t="s">
        <v>6</v>
      </c>
      <c r="D346" s="779" t="s">
        <v>7</v>
      </c>
      <c r="E346" s="779" t="s">
        <v>8</v>
      </c>
      <c r="F346" s="779" t="s">
        <v>706</v>
      </c>
      <c r="G346" s="779" t="s">
        <v>707</v>
      </c>
      <c r="H346" s="34"/>
      <c r="I346" s="779" t="s">
        <v>704</v>
      </c>
      <c r="J346" s="779" t="s">
        <v>5</v>
      </c>
      <c r="K346" s="779" t="s">
        <v>6</v>
      </c>
      <c r="L346" s="779" t="s">
        <v>7</v>
      </c>
      <c r="M346" s="779" t="s">
        <v>1178</v>
      </c>
      <c r="N346" s="779" t="s">
        <v>839</v>
      </c>
      <c r="O346" s="779" t="s">
        <v>707</v>
      </c>
    </row>
    <row r="347">
      <c r="A347" s="780">
        <f>IFERROR(__xludf.DUMMYFUNCTION("FILTER($D$3:$H$122,$L$3:$L$122=E345)"),45986.0)</f>
        <v>45986</v>
      </c>
      <c r="B347" s="781">
        <f>IFERROR(__xludf.DUMMYFUNCTION("""COMPUTED_VALUE"""),2884255.0)</f>
        <v>2884255</v>
      </c>
      <c r="C347" s="781" t="str">
        <f>IFERROR(__xludf.DUMMYFUNCTION("""COMPUTED_VALUE"""),"Belcamp, MD, 21017")</f>
        <v>Belcamp, MD, 21017</v>
      </c>
      <c r="D347" s="781" t="str">
        <f>IFERROR(__xludf.DUMMYFUNCTION("""COMPUTED_VALUE"""),"Mars Hill, ME, 04758")</f>
        <v>Mars Hill, ME, 04758</v>
      </c>
      <c r="E347" s="782">
        <f>IFERROR(__xludf.DUMMYFUNCTION("""COMPUTED_VALUE"""),2185.0)</f>
        <v>2185</v>
      </c>
      <c r="F347" s="783">
        <v>0.88</v>
      </c>
      <c r="G347" s="782">
        <f t="shared" ref="G347:G349" si="13">E347*F347</f>
        <v>1922.8</v>
      </c>
      <c r="H347" s="283"/>
      <c r="I347" s="880">
        <f>IFERROR(__xludf.DUMMYFUNCTION("FILTER($D$3:$G$122,$L$3:$L$122=M345)"),45986.0)</f>
        <v>45986</v>
      </c>
      <c r="J347" s="880">
        <f>IFERROR(__xludf.DUMMYFUNCTION("""COMPUTED_VALUE"""),2884255.0)</f>
        <v>2884255</v>
      </c>
      <c r="K347" s="880" t="str">
        <f>IFERROR(__xludf.DUMMYFUNCTION("""COMPUTED_VALUE"""),"Belcamp, MD, 21017")</f>
        <v>Belcamp, MD, 21017</v>
      </c>
      <c r="L347" s="880" t="str">
        <f>IFERROR(__xludf.DUMMYFUNCTION("""COMPUTED_VALUE"""),"Mars Hill, ME, 04758")</f>
        <v>Mars Hill, ME, 04758</v>
      </c>
      <c r="M347" s="880">
        <f>IFERROR(__xludf.DUMMYFUNCTION("FILTER($I$3:$I$122,$L$3:$L$122=M345)"),847.0)</f>
        <v>847</v>
      </c>
      <c r="N347" s="861">
        <v>0.65</v>
      </c>
      <c r="O347" s="863">
        <f t="shared" ref="O347:O349" si="14">M347*N347</f>
        <v>550.55</v>
      </c>
    </row>
    <row r="348">
      <c r="A348" s="780">
        <f>IFERROR(__xludf.DUMMYFUNCTION("""COMPUTED_VALUE"""),45987.0)</f>
        <v>45987</v>
      </c>
      <c r="B348" s="781">
        <f>IFERROR(__xludf.DUMMYFUNCTION("""COMPUTED_VALUE"""),1.26138229E8)</f>
        <v>126138229</v>
      </c>
      <c r="C348" s="781" t="str">
        <f>IFERROR(__xludf.DUMMYFUNCTION("""COMPUTED_VALUE"""),"Fort Fairfield, ME, 04742")</f>
        <v>Fort Fairfield, ME, 04742</v>
      </c>
      <c r="D348" s="781" t="str">
        <f>IFERROR(__xludf.DUMMYFUNCTION("""COMPUTED_VALUE"""),", SC, 29455")</f>
        <v>, SC, 29455</v>
      </c>
      <c r="E348" s="782">
        <f>IFERROR(__xludf.DUMMYFUNCTION("""COMPUTED_VALUE"""),2500.0)</f>
        <v>2500</v>
      </c>
      <c r="F348" s="783">
        <v>0.88</v>
      </c>
      <c r="G348" s="782">
        <f t="shared" si="13"/>
        <v>2200</v>
      </c>
      <c r="H348" s="283"/>
      <c r="I348" s="880">
        <f>IFERROR(__xludf.DUMMYFUNCTION("""COMPUTED_VALUE"""),45987.0)</f>
        <v>45987</v>
      </c>
      <c r="J348" s="880">
        <f>IFERROR(__xludf.DUMMYFUNCTION("""COMPUTED_VALUE"""),1.26138229E8)</f>
        <v>126138229</v>
      </c>
      <c r="K348" s="880" t="str">
        <f>IFERROR(__xludf.DUMMYFUNCTION("""COMPUTED_VALUE"""),"Fort Fairfield, ME, 04742")</f>
        <v>Fort Fairfield, ME, 04742</v>
      </c>
      <c r="L348" s="880" t="str">
        <f>IFERROR(__xludf.DUMMYFUNCTION("""COMPUTED_VALUE"""),", SC, 29455")</f>
        <v>, SC, 29455</v>
      </c>
      <c r="M348" s="880">
        <f>IFERROR(__xludf.DUMMYFUNCTION("""COMPUTED_VALUE"""),1361.0)</f>
        <v>1361</v>
      </c>
      <c r="N348" s="861">
        <v>0.65</v>
      </c>
      <c r="O348" s="863">
        <f t="shared" si="14"/>
        <v>884.65</v>
      </c>
    </row>
    <row r="349">
      <c r="A349" s="883">
        <f>IFERROR(__xludf.DUMMYFUNCTION("""COMPUTED_VALUE"""),45990.0)</f>
        <v>45990</v>
      </c>
      <c r="B349" s="786" t="str">
        <f>IFERROR(__xludf.DUMMYFUNCTION("""COMPUTED_VALUE"""),"M282847")</f>
        <v>M282847</v>
      </c>
      <c r="C349" s="786" t="str">
        <f>IFERROR(__xludf.DUMMYFUNCTION("""COMPUTED_VALUE"""),"Clarkton, NC, 28433")</f>
        <v>Clarkton, NC, 28433</v>
      </c>
      <c r="D349" s="786" t="str">
        <f>IFERROR(__xludf.DUMMYFUNCTION("""COMPUTED_VALUE"""),"Spokane, WA, 99224")</f>
        <v>Spokane, WA, 99224</v>
      </c>
      <c r="E349" s="884">
        <f>IFERROR(__xludf.DUMMYFUNCTION("""COMPUTED_VALUE"""),5500.0)</f>
        <v>5500</v>
      </c>
      <c r="F349" s="783">
        <v>0.88</v>
      </c>
      <c r="G349" s="782">
        <f t="shared" si="13"/>
        <v>4840</v>
      </c>
      <c r="H349" s="283"/>
      <c r="I349" s="883">
        <f>IFERROR(__xludf.DUMMYFUNCTION("""COMPUTED_VALUE"""),45990.0)</f>
        <v>45990</v>
      </c>
      <c r="J349" s="786" t="str">
        <f>IFERROR(__xludf.DUMMYFUNCTION("""COMPUTED_VALUE"""),"M282847")</f>
        <v>M282847</v>
      </c>
      <c r="K349" s="786" t="str">
        <f>IFERROR(__xludf.DUMMYFUNCTION("""COMPUTED_VALUE"""),"Clarkton, NC, 28433")</f>
        <v>Clarkton, NC, 28433</v>
      </c>
      <c r="L349" s="786" t="str">
        <f>IFERROR(__xludf.DUMMYFUNCTION("""COMPUTED_VALUE"""),"Spokane, WA, 99224")</f>
        <v>Spokane, WA, 99224</v>
      </c>
      <c r="M349" s="785">
        <f>IFERROR(__xludf.DUMMYFUNCTION("""COMPUTED_VALUE"""),2810.0)</f>
        <v>2810</v>
      </c>
      <c r="N349" s="861">
        <v>0.65</v>
      </c>
      <c r="O349" s="863">
        <f t="shared" si="14"/>
        <v>1826.5</v>
      </c>
    </row>
    <row r="350">
      <c r="A350" s="785"/>
      <c r="B350" s="786"/>
      <c r="C350" s="786"/>
      <c r="D350" s="786"/>
      <c r="E350" s="785"/>
      <c r="F350" s="787"/>
      <c r="G350" s="788"/>
      <c r="H350" s="283"/>
      <c r="I350" s="785"/>
      <c r="J350" s="786"/>
      <c r="K350" s="786"/>
      <c r="L350" s="786"/>
      <c r="M350" s="785"/>
      <c r="N350" s="787"/>
      <c r="O350" s="789"/>
    </row>
    <row r="351">
      <c r="A351" s="785"/>
      <c r="B351" s="786"/>
      <c r="C351" s="786"/>
      <c r="D351" s="786"/>
      <c r="E351" s="785"/>
      <c r="F351" s="787"/>
      <c r="G351" s="788"/>
      <c r="H351" s="283"/>
      <c r="I351" s="785"/>
      <c r="J351" s="786"/>
      <c r="K351" s="786"/>
      <c r="L351" s="786"/>
      <c r="M351" s="785"/>
      <c r="N351" s="787"/>
      <c r="O351" s="789"/>
    </row>
    <row r="352">
      <c r="A352" s="785"/>
      <c r="B352" s="786"/>
      <c r="C352" s="786"/>
      <c r="D352" s="786"/>
      <c r="E352" s="785"/>
      <c r="F352" s="787"/>
      <c r="G352" s="788"/>
      <c r="H352" s="283"/>
      <c r="I352" s="785"/>
      <c r="J352" s="786"/>
      <c r="K352" s="786"/>
      <c r="L352" s="786"/>
      <c r="M352" s="785"/>
      <c r="N352" s="787"/>
      <c r="O352" s="789"/>
    </row>
    <row r="353">
      <c r="A353" s="790" t="s">
        <v>711</v>
      </c>
      <c r="B353" s="791"/>
      <c r="C353" s="791"/>
      <c r="D353" s="792"/>
      <c r="E353" s="793">
        <f>SUM(E347:E352)</f>
        <v>10185</v>
      </c>
      <c r="F353" s="794"/>
      <c r="G353" s="793">
        <f>SUM(G347:G352)</f>
        <v>8962.8</v>
      </c>
      <c r="H353" s="283"/>
      <c r="I353" s="790" t="s">
        <v>711</v>
      </c>
      <c r="J353" s="791"/>
      <c r="K353" s="791"/>
      <c r="L353" s="792"/>
      <c r="M353" s="877">
        <f>SUM(M347:M352)</f>
        <v>5018</v>
      </c>
      <c r="N353" s="794"/>
      <c r="O353" s="793">
        <f>SUM(O347:O352)</f>
        <v>3261.7</v>
      </c>
    </row>
    <row r="354">
      <c r="A354" s="796"/>
      <c r="D354" s="798"/>
      <c r="E354" s="798"/>
      <c r="F354" s="798"/>
      <c r="G354" s="878"/>
      <c r="H354" s="283"/>
      <c r="I354" s="796"/>
      <c r="L354" s="798"/>
      <c r="O354" s="799"/>
    </row>
    <row r="355">
      <c r="A355" s="800" t="s">
        <v>712</v>
      </c>
      <c r="B355" s="801"/>
      <c r="C355" s="802"/>
      <c r="D355" s="798"/>
      <c r="E355" s="798"/>
      <c r="F355" s="798"/>
      <c r="G355" s="878"/>
      <c r="H355" s="283"/>
      <c r="I355" s="800" t="s">
        <v>712</v>
      </c>
      <c r="J355" s="803"/>
      <c r="K355" s="804"/>
      <c r="O355" s="799"/>
    </row>
    <row r="356">
      <c r="A356" s="805" t="s">
        <v>1179</v>
      </c>
      <c r="B356" s="806"/>
      <c r="C356" s="900">
        <v>250.0</v>
      </c>
      <c r="D356" s="798"/>
      <c r="E356" s="798"/>
      <c r="F356" s="798"/>
      <c r="G356" s="878"/>
      <c r="H356" s="283"/>
      <c r="I356" s="805" t="s">
        <v>1179</v>
      </c>
      <c r="J356" s="808"/>
      <c r="K356" s="900">
        <v>250.0</v>
      </c>
      <c r="O356" s="799"/>
    </row>
    <row r="357">
      <c r="A357" s="868"/>
      <c r="B357" s="774"/>
      <c r="C357" s="816"/>
      <c r="D357" s="798"/>
      <c r="E357" s="798"/>
      <c r="F357" s="798"/>
      <c r="G357" s="878"/>
      <c r="H357" s="283"/>
      <c r="I357" s="868"/>
      <c r="J357" s="774"/>
      <c r="K357" s="816"/>
      <c r="O357" s="799"/>
    </row>
    <row r="358">
      <c r="A358" s="815"/>
      <c r="B358" s="792"/>
      <c r="C358" s="816"/>
      <c r="D358" s="798"/>
      <c r="E358" s="798"/>
      <c r="F358" s="798"/>
      <c r="G358" s="878"/>
      <c r="H358" s="283"/>
      <c r="I358" s="815"/>
      <c r="J358" s="792"/>
      <c r="K358" s="816"/>
      <c r="O358" s="799"/>
    </row>
    <row r="359">
      <c r="A359" s="817"/>
      <c r="B359" s="774"/>
      <c r="C359" s="818"/>
      <c r="D359" s="798"/>
      <c r="E359" s="798"/>
      <c r="F359" s="798"/>
      <c r="G359" s="878"/>
      <c r="H359" s="283"/>
      <c r="I359" s="817"/>
      <c r="J359" s="774"/>
      <c r="K359" s="818"/>
      <c r="O359" s="799"/>
    </row>
    <row r="360">
      <c r="A360" s="817"/>
      <c r="B360" s="792"/>
      <c r="C360" s="818"/>
      <c r="D360" s="885" t="s">
        <v>1181</v>
      </c>
      <c r="E360" s="886">
        <f>O365</f>
        <v>3261.7</v>
      </c>
      <c r="F360" s="798"/>
      <c r="G360" s="878"/>
      <c r="H360" s="283"/>
      <c r="I360" s="817"/>
      <c r="J360" s="792"/>
      <c r="K360" s="818"/>
      <c r="O360" s="799"/>
    </row>
    <row r="361">
      <c r="A361" s="821" t="s">
        <v>714</v>
      </c>
      <c r="B361" s="822"/>
      <c r="C361" s="823">
        <f>SUM(C356:C360)</f>
        <v>250</v>
      </c>
      <c r="D361" s="798"/>
      <c r="E361" s="798"/>
      <c r="F361" s="798"/>
      <c r="G361" s="878"/>
      <c r="H361" s="283"/>
      <c r="I361" s="821" t="s">
        <v>714</v>
      </c>
      <c r="J361" s="826"/>
      <c r="K361" s="827"/>
      <c r="O361" s="799"/>
    </row>
    <row r="362">
      <c r="A362" s="828"/>
      <c r="C362" s="829"/>
      <c r="D362" s="887" t="s">
        <v>657</v>
      </c>
      <c r="E362" s="888">
        <f>G365-E360</f>
        <v>1813.5</v>
      </c>
      <c r="F362" s="798"/>
      <c r="G362" s="878"/>
      <c r="H362" s="283"/>
      <c r="I362" s="828"/>
      <c r="K362" s="829"/>
      <c r="O362" s="799"/>
    </row>
    <row r="363">
      <c r="A363" s="830" t="s">
        <v>715</v>
      </c>
      <c r="B363" s="831"/>
      <c r="C363" s="832"/>
      <c r="D363" s="798"/>
      <c r="E363" s="798"/>
      <c r="F363" s="798"/>
      <c r="G363" s="878"/>
      <c r="H363" s="283"/>
      <c r="I363" s="833" t="s">
        <v>715</v>
      </c>
      <c r="J363" s="834"/>
      <c r="K363" s="835"/>
      <c r="O363" s="799"/>
    </row>
    <row r="364">
      <c r="A364" s="836" t="s">
        <v>716</v>
      </c>
      <c r="B364" s="837"/>
      <c r="C364" s="838">
        <v>150.0</v>
      </c>
      <c r="D364" s="798"/>
      <c r="E364" s="798"/>
      <c r="F364" s="798"/>
      <c r="G364" s="878"/>
      <c r="H364" s="283"/>
      <c r="I364" s="839"/>
      <c r="J364" s="840"/>
      <c r="K364" s="841"/>
      <c r="O364" s="799"/>
    </row>
    <row r="365">
      <c r="A365" s="842" t="s">
        <v>717</v>
      </c>
      <c r="B365" s="843"/>
      <c r="C365" s="844">
        <v>400.0</v>
      </c>
      <c r="D365" s="248"/>
      <c r="E365" s="845" t="s">
        <v>1182</v>
      </c>
      <c r="G365" s="846">
        <f>G353+C361-C370</f>
        <v>5075.2</v>
      </c>
      <c r="H365" s="283"/>
      <c r="I365" s="847"/>
      <c r="J365" s="848"/>
      <c r="K365" s="849"/>
      <c r="L365" s="248"/>
      <c r="M365" s="845" t="s">
        <v>1183</v>
      </c>
      <c r="O365" s="846">
        <f>O353+K361-K370</f>
        <v>3261.7</v>
      </c>
    </row>
    <row r="366">
      <c r="A366" s="836" t="s">
        <v>718</v>
      </c>
      <c r="B366" s="837"/>
      <c r="C366" s="838">
        <v>200.0</v>
      </c>
      <c r="G366" s="799"/>
      <c r="H366" s="283"/>
      <c r="I366" s="847"/>
      <c r="J366" s="848"/>
      <c r="K366" s="849"/>
      <c r="O366" s="799"/>
    </row>
    <row r="367">
      <c r="A367" s="842" t="s">
        <v>656</v>
      </c>
      <c r="B367" s="843"/>
      <c r="C367" s="844">
        <f>IFERROR(__xludf.DUMMYFUNCTION("FILTER($C$4:$C$30,$B$4:$B$30=E345)"),3387.6)</f>
        <v>3387.6</v>
      </c>
      <c r="G367" s="799"/>
      <c r="H367" s="283"/>
      <c r="I367" s="847"/>
      <c r="J367" s="848"/>
      <c r="K367" s="849"/>
      <c r="O367" s="799"/>
    </row>
    <row r="368">
      <c r="A368" s="850" t="s">
        <v>1184</v>
      </c>
      <c r="B368" s="851"/>
      <c r="C368" s="852"/>
      <c r="E368" s="248"/>
      <c r="G368" s="799"/>
      <c r="H368" s="283"/>
      <c r="I368" s="847"/>
      <c r="J368" s="848"/>
      <c r="K368" s="849"/>
      <c r="M368" s="248"/>
      <c r="O368" s="799"/>
    </row>
    <row r="369">
      <c r="A369" s="847"/>
      <c r="B369" s="848"/>
      <c r="C369" s="849"/>
      <c r="G369" s="799"/>
      <c r="H369" s="283"/>
      <c r="I369" s="847"/>
      <c r="J369" s="848"/>
      <c r="K369" s="849"/>
      <c r="O369" s="799"/>
    </row>
    <row r="370">
      <c r="A370" s="853" t="s">
        <v>721</v>
      </c>
      <c r="B370" s="854"/>
      <c r="C370" s="855">
        <f>SUM(C364:C369)</f>
        <v>4137.6</v>
      </c>
      <c r="G370" s="799"/>
      <c r="H370" s="283"/>
      <c r="I370" s="853" t="s">
        <v>721</v>
      </c>
      <c r="J370" s="854"/>
      <c r="K370" s="855"/>
      <c r="O370" s="799"/>
    </row>
    <row r="371">
      <c r="A371" s="856"/>
      <c r="B371" s="857"/>
      <c r="C371" s="857"/>
      <c r="D371" s="857"/>
      <c r="E371" s="857"/>
      <c r="F371" s="857"/>
      <c r="G371" s="808"/>
      <c r="H371" s="283"/>
      <c r="I371" s="856"/>
      <c r="J371" s="857"/>
      <c r="K371" s="857"/>
      <c r="L371" s="857"/>
      <c r="M371" s="857"/>
      <c r="N371" s="857"/>
      <c r="O371" s="808"/>
    </row>
    <row r="374">
      <c r="A374" s="769"/>
      <c r="B374" s="770"/>
      <c r="C374" s="770"/>
      <c r="D374" s="771" t="s">
        <v>700</v>
      </c>
      <c r="E374" s="772" t="str">
        <f>E126</f>
        <v>11.24.2025-11.30.2025</v>
      </c>
      <c r="F374" s="773"/>
      <c r="G374" s="774"/>
      <c r="H374" s="305">
        <v>9.0</v>
      </c>
      <c r="I374" s="769"/>
      <c r="J374" s="770"/>
      <c r="K374" s="770"/>
      <c r="L374" s="771" t="s">
        <v>700</v>
      </c>
      <c r="M374" s="772" t="str">
        <f>E126</f>
        <v>11.24.2025-11.30.2025</v>
      </c>
      <c r="N374" s="773"/>
      <c r="O374" s="774"/>
    </row>
    <row r="375">
      <c r="A375" s="775"/>
      <c r="D375" s="771" t="s">
        <v>702</v>
      </c>
      <c r="E375" s="772" t="str">
        <f t="array" ref="E375">XLOOKUP(E376,$Q$973:$Q$1005,$R$973:$R$1005)</f>
        <v>Neta Global Logistic LLC</v>
      </c>
      <c r="F375" s="773"/>
      <c r="G375" s="774"/>
      <c r="H375" s="776"/>
      <c r="I375" s="775"/>
      <c r="L375" s="771" t="s">
        <v>351</v>
      </c>
      <c r="M375" s="772" t="str">
        <f t="array" ref="M375">XLOOKUP(M376,$L$1:$L$122,$K$1:$K$122)</f>
        <v>BELLANE STENDER</v>
      </c>
      <c r="N375" s="773"/>
      <c r="O375" s="774"/>
    </row>
    <row r="376">
      <c r="A376" s="775"/>
      <c r="D376" s="771" t="s">
        <v>703</v>
      </c>
      <c r="E376" s="772">
        <v>9334.0</v>
      </c>
      <c r="F376" s="773"/>
      <c r="G376" s="774"/>
      <c r="H376" s="283"/>
      <c r="I376" s="775"/>
      <c r="L376" s="771" t="s">
        <v>703</v>
      </c>
      <c r="M376" s="772">
        <f>E376</f>
        <v>9334</v>
      </c>
      <c r="N376" s="773"/>
      <c r="O376" s="774"/>
    </row>
    <row r="377">
      <c r="A377" s="779" t="s">
        <v>704</v>
      </c>
      <c r="B377" s="779" t="s">
        <v>5</v>
      </c>
      <c r="C377" s="779" t="s">
        <v>6</v>
      </c>
      <c r="D377" s="779" t="s">
        <v>7</v>
      </c>
      <c r="E377" s="779" t="s">
        <v>8</v>
      </c>
      <c r="F377" s="779" t="s">
        <v>706</v>
      </c>
      <c r="G377" s="779" t="s">
        <v>707</v>
      </c>
      <c r="H377" s="34"/>
      <c r="I377" s="779" t="s">
        <v>704</v>
      </c>
      <c r="J377" s="779" t="s">
        <v>5</v>
      </c>
      <c r="K377" s="779" t="s">
        <v>6</v>
      </c>
      <c r="L377" s="779" t="s">
        <v>7</v>
      </c>
      <c r="M377" s="779" t="s">
        <v>1178</v>
      </c>
      <c r="N377" s="779" t="s">
        <v>839</v>
      </c>
      <c r="O377" s="779" t="s">
        <v>707</v>
      </c>
    </row>
    <row r="378">
      <c r="A378" s="780">
        <f>IFERROR(__xludf.DUMMYFUNCTION("FILTER($D$3:$H$122,$L$3:$L$122=E376)"),45985.0)</f>
        <v>45985</v>
      </c>
      <c r="B378" s="781">
        <f>IFERROR(__xludf.DUMMYFUNCTION("""COMPUTED_VALUE"""),1259248.0)</f>
        <v>1259248</v>
      </c>
      <c r="C378" s="781" t="str">
        <f>IFERROR(__xludf.DUMMYFUNCTION("""COMPUTED_VALUE"""),"Fort Worth, TX, 76131")</f>
        <v>Fort Worth, TX, 76131</v>
      </c>
      <c r="D378" s="781" t="str">
        <f>IFERROR(__xludf.DUMMYFUNCTION("""COMPUTED_VALUE"""),"Fountain, CO, 80817")</f>
        <v>Fountain, CO, 80817</v>
      </c>
      <c r="E378" s="782">
        <f>IFERROR(__xludf.DUMMYFUNCTION("""COMPUTED_VALUE"""),2000.0)</f>
        <v>2000</v>
      </c>
      <c r="F378" s="783">
        <v>0.88</v>
      </c>
      <c r="G378" s="782">
        <f t="shared" ref="G378:G380" si="15">E378*F378</f>
        <v>1760</v>
      </c>
      <c r="H378" s="283"/>
      <c r="I378" s="780">
        <f>IFERROR(__xludf.DUMMYFUNCTION("FILTER($D$3:$G$122,$L$3:$L$122=M376)"),45985.0)</f>
        <v>45985</v>
      </c>
      <c r="J378" s="781">
        <f>IFERROR(__xludf.DUMMYFUNCTION("""COMPUTED_VALUE"""),1259248.0)</f>
        <v>1259248</v>
      </c>
      <c r="K378" s="781" t="str">
        <f>IFERROR(__xludf.DUMMYFUNCTION("""COMPUTED_VALUE"""),"Fort Worth, TX, 76131")</f>
        <v>Fort Worth, TX, 76131</v>
      </c>
      <c r="L378" s="781" t="str">
        <f>IFERROR(__xludf.DUMMYFUNCTION("""COMPUTED_VALUE"""),"Fountain, CO, 80817")</f>
        <v>Fountain, CO, 80817</v>
      </c>
      <c r="M378" s="896">
        <f>IFERROR(__xludf.DUMMYFUNCTION("FILTER($I$3:$I$122,$L$3:$L$122=M376)"),774.0)</f>
        <v>774</v>
      </c>
      <c r="N378" s="781">
        <v>0.65</v>
      </c>
      <c r="O378" s="782">
        <f t="shared" ref="O378:O380" si="16">M378*N378</f>
        <v>503.1</v>
      </c>
    </row>
    <row r="379">
      <c r="A379" s="780">
        <f>IFERROR(__xludf.DUMMYFUNCTION("""COMPUTED_VALUE"""),45986.0)</f>
        <v>45986</v>
      </c>
      <c r="B379" s="781">
        <f>IFERROR(__xludf.DUMMYFUNCTION("""COMPUTED_VALUE"""),2026142.0)</f>
        <v>2026142</v>
      </c>
      <c r="C379" s="781" t="str">
        <f>IFERROR(__xludf.DUMMYFUNCTION("""COMPUTED_VALUE"""),"Lakewood, CO, 80215")</f>
        <v>Lakewood, CO, 80215</v>
      </c>
      <c r="D379" s="781" t="str">
        <f>IFERROR(__xludf.DUMMYFUNCTION("""COMPUTED_VALUE"""),"Salt Lake City, UT, 84116")</f>
        <v>Salt Lake City, UT, 84116</v>
      </c>
      <c r="E379" s="782">
        <f>IFERROR(__xludf.DUMMYFUNCTION("""COMPUTED_VALUE"""),750.0)</f>
        <v>750</v>
      </c>
      <c r="F379" s="783">
        <v>0.88</v>
      </c>
      <c r="G379" s="782">
        <f t="shared" si="15"/>
        <v>660</v>
      </c>
      <c r="H379" s="283"/>
      <c r="I379" s="881">
        <f>IFERROR(__xludf.DUMMYFUNCTION("""COMPUTED_VALUE"""),45986.0)</f>
        <v>45986</v>
      </c>
      <c r="J379" s="882">
        <f>IFERROR(__xludf.DUMMYFUNCTION("""COMPUTED_VALUE"""),2026142.0)</f>
        <v>2026142</v>
      </c>
      <c r="K379" s="882" t="str">
        <f>IFERROR(__xludf.DUMMYFUNCTION("""COMPUTED_VALUE"""),"Lakewood, CO, 80215")</f>
        <v>Lakewood, CO, 80215</v>
      </c>
      <c r="L379" s="882" t="str">
        <f>IFERROR(__xludf.DUMMYFUNCTION("""COMPUTED_VALUE"""),"Salt Lake City, UT, 84116")</f>
        <v>Salt Lake City, UT, 84116</v>
      </c>
      <c r="M379" s="880">
        <f>IFERROR(__xludf.DUMMYFUNCTION("""COMPUTED_VALUE"""),531.0)</f>
        <v>531</v>
      </c>
      <c r="N379" s="781">
        <v>0.65</v>
      </c>
      <c r="O379" s="782">
        <f t="shared" si="16"/>
        <v>345.15</v>
      </c>
    </row>
    <row r="380">
      <c r="A380" s="883">
        <f>IFERROR(__xludf.DUMMYFUNCTION("""COMPUTED_VALUE"""),45987.0)</f>
        <v>45987</v>
      </c>
      <c r="B380" s="786" t="str">
        <f>IFERROR(__xludf.DUMMYFUNCTION("""COMPUTED_VALUE"""),"EXP541159")</f>
        <v>EXP541159</v>
      </c>
      <c r="C380" s="786" t="str">
        <f>IFERROR(__xludf.DUMMYFUNCTION("""COMPUTED_VALUE"""),"Spanish Fork, UT, 84660")</f>
        <v>Spanish Fork, UT, 84660</v>
      </c>
      <c r="D380" s="786" t="str">
        <f>IFERROR(__xludf.DUMMYFUNCTION("""COMPUTED_VALUE"""),"Henderson, NC, 27537")</f>
        <v>Henderson, NC, 27537</v>
      </c>
      <c r="E380" s="884">
        <f>IFERROR(__xludf.DUMMYFUNCTION("""COMPUTED_VALUE"""),4100.0)</f>
        <v>4100</v>
      </c>
      <c r="F380" s="783">
        <v>0.88</v>
      </c>
      <c r="G380" s="782">
        <f t="shared" si="15"/>
        <v>3608</v>
      </c>
      <c r="H380" s="283"/>
      <c r="I380" s="883">
        <f>IFERROR(__xludf.DUMMYFUNCTION("""COMPUTED_VALUE"""),45987.0)</f>
        <v>45987</v>
      </c>
      <c r="J380" s="786" t="str">
        <f>IFERROR(__xludf.DUMMYFUNCTION("""COMPUTED_VALUE"""),"EXP541159")</f>
        <v>EXP541159</v>
      </c>
      <c r="K380" s="786" t="str">
        <f>IFERROR(__xludf.DUMMYFUNCTION("""COMPUTED_VALUE"""),"Spanish Fork, UT, 84660")</f>
        <v>Spanish Fork, UT, 84660</v>
      </c>
      <c r="L380" s="786" t="str">
        <f>IFERROR(__xludf.DUMMYFUNCTION("""COMPUTED_VALUE"""),"Henderson, NC, 27537")</f>
        <v>Henderson, NC, 27537</v>
      </c>
      <c r="M380" s="880">
        <f>IFERROR(__xludf.DUMMYFUNCTION("""COMPUTED_VALUE"""),2263.0)</f>
        <v>2263</v>
      </c>
      <c r="N380" s="781">
        <v>0.65</v>
      </c>
      <c r="O380" s="782">
        <f t="shared" si="16"/>
        <v>1470.95</v>
      </c>
    </row>
    <row r="381">
      <c r="A381" s="785"/>
      <c r="B381" s="786"/>
      <c r="C381" s="786"/>
      <c r="D381" s="786"/>
      <c r="E381" s="785"/>
      <c r="F381" s="787"/>
      <c r="G381" s="788"/>
      <c r="H381" s="283"/>
      <c r="I381" s="785"/>
      <c r="J381" s="786"/>
      <c r="K381" s="786"/>
      <c r="L381" s="786"/>
      <c r="M381" s="785"/>
      <c r="N381" s="787"/>
      <c r="O381" s="789"/>
    </row>
    <row r="382">
      <c r="A382" s="785"/>
      <c r="B382" s="786"/>
      <c r="C382" s="786"/>
      <c r="D382" s="786"/>
      <c r="E382" s="785"/>
      <c r="F382" s="787"/>
      <c r="G382" s="788"/>
      <c r="H382" s="283"/>
      <c r="I382" s="785"/>
      <c r="J382" s="786"/>
      <c r="K382" s="786"/>
      <c r="L382" s="786"/>
      <c r="M382" s="785"/>
      <c r="N382" s="787"/>
      <c r="O382" s="789"/>
    </row>
    <row r="383">
      <c r="A383" s="785"/>
      <c r="B383" s="786"/>
      <c r="C383" s="786"/>
      <c r="D383" s="786"/>
      <c r="E383" s="785"/>
      <c r="F383" s="787"/>
      <c r="G383" s="788"/>
      <c r="H383" s="283"/>
      <c r="I383" s="785"/>
      <c r="J383" s="786"/>
      <c r="K383" s="786"/>
      <c r="L383" s="786"/>
      <c r="M383" s="785"/>
      <c r="N383" s="787"/>
      <c r="O383" s="789"/>
    </row>
    <row r="384">
      <c r="A384" s="790" t="s">
        <v>711</v>
      </c>
      <c r="B384" s="791"/>
      <c r="C384" s="791"/>
      <c r="D384" s="792"/>
      <c r="E384" s="793">
        <f>SUM(E378:E383)</f>
        <v>6850</v>
      </c>
      <c r="F384" s="794"/>
      <c r="G384" s="793">
        <f>SUM(G378:G383)</f>
        <v>6028</v>
      </c>
      <c r="H384" s="283"/>
      <c r="I384" s="790" t="s">
        <v>711</v>
      </c>
      <c r="J384" s="791"/>
      <c r="K384" s="791"/>
      <c r="L384" s="792"/>
      <c r="M384" s="877">
        <f>SUM(M378:M383)</f>
        <v>3568</v>
      </c>
      <c r="N384" s="794"/>
      <c r="O384" s="793">
        <f>SUM(O378:O383)</f>
        <v>2319.2</v>
      </c>
      <c r="Q384" s="676">
        <v>3524.0</v>
      </c>
      <c r="R384" s="669" t="s">
        <v>1192</v>
      </c>
    </row>
    <row r="385">
      <c r="A385" s="796"/>
      <c r="D385" s="798"/>
      <c r="G385" s="799"/>
      <c r="H385" s="283"/>
      <c r="I385" s="796"/>
      <c r="L385" s="798"/>
      <c r="O385" s="799"/>
    </row>
    <row r="386">
      <c r="A386" s="800" t="s">
        <v>712</v>
      </c>
      <c r="B386" s="801"/>
      <c r="C386" s="802"/>
      <c r="G386" s="799"/>
      <c r="H386" s="283"/>
      <c r="I386" s="800" t="s">
        <v>712</v>
      </c>
      <c r="J386" s="803"/>
      <c r="K386" s="804"/>
      <c r="O386" s="799"/>
    </row>
    <row r="387">
      <c r="A387" s="902" t="s">
        <v>1179</v>
      </c>
      <c r="B387" s="806"/>
      <c r="C387" s="812">
        <v>250.0</v>
      </c>
      <c r="G387" s="799"/>
      <c r="H387" s="283"/>
      <c r="I387" s="902" t="s">
        <v>1179</v>
      </c>
      <c r="J387" s="808"/>
      <c r="K387" s="812">
        <v>250.0</v>
      </c>
      <c r="O387" s="799"/>
    </row>
    <row r="388">
      <c r="A388" s="868"/>
      <c r="B388" s="774"/>
      <c r="C388" s="816"/>
      <c r="G388" s="799"/>
      <c r="H388" s="283"/>
      <c r="I388" s="868"/>
      <c r="J388" s="774"/>
      <c r="K388" s="816"/>
      <c r="O388" s="799"/>
    </row>
    <row r="389">
      <c r="A389" s="815"/>
      <c r="B389" s="792"/>
      <c r="C389" s="816"/>
      <c r="G389" s="799"/>
      <c r="H389" s="283"/>
      <c r="I389" s="815"/>
      <c r="J389" s="792"/>
      <c r="K389" s="816"/>
      <c r="O389" s="799"/>
    </row>
    <row r="390">
      <c r="A390" s="817"/>
      <c r="B390" s="774"/>
      <c r="C390" s="818"/>
      <c r="G390" s="799"/>
      <c r="H390" s="283"/>
      <c r="I390" s="817"/>
      <c r="J390" s="774"/>
      <c r="K390" s="818"/>
      <c r="O390" s="799"/>
    </row>
    <row r="391">
      <c r="A391" s="817"/>
      <c r="B391" s="792"/>
      <c r="C391" s="818"/>
      <c r="G391" s="799"/>
      <c r="H391" s="283"/>
      <c r="I391" s="817"/>
      <c r="J391" s="792"/>
      <c r="K391" s="818"/>
      <c r="O391" s="799"/>
    </row>
    <row r="392">
      <c r="A392" s="821" t="s">
        <v>714</v>
      </c>
      <c r="B392" s="822"/>
      <c r="C392" s="823">
        <f>SUM(C387:C391)</f>
        <v>250</v>
      </c>
      <c r="G392" s="799"/>
      <c r="H392" s="283"/>
      <c r="I392" s="821" t="s">
        <v>714</v>
      </c>
      <c r="J392" s="826"/>
      <c r="K392" s="827">
        <f>SUM(K387:K391)</f>
        <v>250</v>
      </c>
      <c r="O392" s="799"/>
    </row>
    <row r="393">
      <c r="A393" s="828"/>
      <c r="C393" s="829"/>
      <c r="G393" s="799"/>
      <c r="H393" s="283"/>
      <c r="I393" s="828"/>
      <c r="K393" s="829"/>
      <c r="O393" s="799"/>
    </row>
    <row r="394">
      <c r="A394" s="830" t="s">
        <v>715</v>
      </c>
      <c r="B394" s="831"/>
      <c r="C394" s="832"/>
      <c r="G394" s="799"/>
      <c r="H394" s="283"/>
      <c r="I394" s="833" t="s">
        <v>715</v>
      </c>
      <c r="J394" s="834"/>
      <c r="K394" s="835"/>
      <c r="O394" s="799"/>
    </row>
    <row r="395">
      <c r="A395" s="836" t="s">
        <v>716</v>
      </c>
      <c r="B395" s="837"/>
      <c r="C395" s="838">
        <v>150.0</v>
      </c>
      <c r="G395" s="799"/>
      <c r="H395" s="283"/>
      <c r="I395" s="839"/>
      <c r="J395" s="840"/>
      <c r="K395" s="841"/>
      <c r="O395" s="799"/>
    </row>
    <row r="396">
      <c r="A396" s="842" t="s">
        <v>717</v>
      </c>
      <c r="B396" s="843"/>
      <c r="C396" s="844">
        <v>400.0</v>
      </c>
      <c r="D396" s="248"/>
      <c r="E396" s="845" t="s">
        <v>1182</v>
      </c>
      <c r="G396" s="846">
        <f>G384+C392-C401</f>
        <v>3593.59</v>
      </c>
      <c r="H396" s="283"/>
      <c r="I396" s="847"/>
      <c r="J396" s="848"/>
      <c r="K396" s="849"/>
      <c r="L396" s="248"/>
      <c r="M396" s="845" t="s">
        <v>1183</v>
      </c>
      <c r="O396" s="846">
        <f>O384+K392-K401</f>
        <v>2569.2</v>
      </c>
    </row>
    <row r="397">
      <c r="A397" s="836" t="s">
        <v>718</v>
      </c>
      <c r="B397" s="837"/>
      <c r="C397" s="838">
        <v>200.0</v>
      </c>
      <c r="G397" s="799"/>
      <c r="H397" s="283"/>
      <c r="I397" s="847"/>
      <c r="J397" s="848"/>
      <c r="K397" s="849"/>
      <c r="O397" s="799"/>
    </row>
    <row r="398">
      <c r="A398" s="842" t="s">
        <v>656</v>
      </c>
      <c r="B398" s="843"/>
      <c r="C398" s="844">
        <f>IFERROR(__xludf.DUMMYFUNCTION("FILTER($C$4:$C$30,$B$4:$B$30=E376)"),1934.41)</f>
        <v>1934.41</v>
      </c>
      <c r="G398" s="799"/>
      <c r="H398" s="283"/>
      <c r="I398" s="847"/>
      <c r="J398" s="848"/>
      <c r="K398" s="849"/>
      <c r="O398" s="799"/>
    </row>
    <row r="399">
      <c r="A399" s="850" t="s">
        <v>1184</v>
      </c>
      <c r="B399" s="851"/>
      <c r="C399" s="852"/>
      <c r="E399" s="248"/>
      <c r="G399" s="799"/>
      <c r="H399" s="283"/>
      <c r="I399" s="847"/>
      <c r="J399" s="848"/>
      <c r="K399" s="849"/>
      <c r="M399" s="248"/>
      <c r="O399" s="799"/>
    </row>
    <row r="400">
      <c r="A400" s="847"/>
      <c r="B400" s="848"/>
      <c r="C400" s="849"/>
      <c r="G400" s="799"/>
      <c r="H400" s="283"/>
      <c r="I400" s="847"/>
      <c r="J400" s="848"/>
      <c r="K400" s="849"/>
      <c r="O400" s="799"/>
    </row>
    <row r="401">
      <c r="A401" s="853" t="s">
        <v>721</v>
      </c>
      <c r="B401" s="854"/>
      <c r="C401" s="855">
        <f>SUM(C395:C400)</f>
        <v>2684.41</v>
      </c>
      <c r="G401" s="799"/>
      <c r="H401" s="283"/>
      <c r="I401" s="853" t="s">
        <v>721</v>
      </c>
      <c r="J401" s="854"/>
      <c r="K401" s="855"/>
      <c r="O401" s="799"/>
    </row>
    <row r="402">
      <c r="A402" s="856"/>
      <c r="B402" s="857"/>
      <c r="C402" s="857"/>
      <c r="D402" s="857"/>
      <c r="E402" s="857"/>
      <c r="F402" s="857"/>
      <c r="G402" s="808"/>
      <c r="H402" s="283"/>
      <c r="I402" s="856"/>
      <c r="J402" s="857"/>
      <c r="K402" s="857"/>
      <c r="L402" s="857"/>
      <c r="M402" s="857"/>
      <c r="N402" s="857"/>
      <c r="O402" s="808"/>
    </row>
    <row r="405">
      <c r="A405" s="769"/>
      <c r="B405" s="770"/>
      <c r="C405" s="770"/>
      <c r="D405" s="771" t="s">
        <v>700</v>
      </c>
      <c r="E405" s="772" t="str">
        <f>E126</f>
        <v>11.24.2025-11.30.2025</v>
      </c>
      <c r="F405" s="773"/>
      <c r="G405" s="774"/>
      <c r="H405" s="305">
        <v>10.0</v>
      </c>
      <c r="I405" s="769"/>
      <c r="J405" s="770"/>
      <c r="K405" s="770"/>
      <c r="L405" s="771" t="s">
        <v>700</v>
      </c>
      <c r="M405" s="772" t="str">
        <f>E126</f>
        <v>11.24.2025-11.30.2025</v>
      </c>
      <c r="N405" s="773"/>
      <c r="O405" s="774"/>
    </row>
    <row r="406">
      <c r="A406" s="775"/>
      <c r="D406" s="771" t="s">
        <v>702</v>
      </c>
      <c r="E406" s="772" t="str">
        <f t="array" ref="E406">XLOOKUP(E407,$Q$973:$Q$1005,$R$973:$R$1005)</f>
        <v>Skyhill LLC</v>
      </c>
      <c r="F406" s="773"/>
      <c r="G406" s="774"/>
      <c r="H406" s="776"/>
      <c r="I406" s="775"/>
      <c r="L406" s="771" t="s">
        <v>351</v>
      </c>
      <c r="M406" s="772" t="str">
        <f t="array" ref="M406">XLOOKUP(M407,$L$1:$L$122,$K$1:$K$122)</f>
        <v>KESNY METELUS</v>
      </c>
      <c r="N406" s="773"/>
      <c r="O406" s="774"/>
    </row>
    <row r="407">
      <c r="A407" s="775"/>
      <c r="D407" s="771" t="s">
        <v>703</v>
      </c>
      <c r="E407" s="772">
        <v>2890.0</v>
      </c>
      <c r="F407" s="773"/>
      <c r="G407" s="774"/>
      <c r="H407" s="283"/>
      <c r="I407" s="775"/>
      <c r="L407" s="771" t="s">
        <v>703</v>
      </c>
      <c r="M407" s="772">
        <f>E407</f>
        <v>2890</v>
      </c>
      <c r="N407" s="773"/>
      <c r="O407" s="774"/>
    </row>
    <row r="408">
      <c r="A408" s="779" t="s">
        <v>704</v>
      </c>
      <c r="B408" s="779" t="s">
        <v>5</v>
      </c>
      <c r="C408" s="779" t="s">
        <v>6</v>
      </c>
      <c r="D408" s="779" t="s">
        <v>7</v>
      </c>
      <c r="E408" s="779" t="s">
        <v>8</v>
      </c>
      <c r="F408" s="779" t="s">
        <v>706</v>
      </c>
      <c r="G408" s="779" t="s">
        <v>707</v>
      </c>
      <c r="H408" s="34"/>
      <c r="I408" s="779" t="s">
        <v>704</v>
      </c>
      <c r="J408" s="779" t="s">
        <v>5</v>
      </c>
      <c r="K408" s="779" t="s">
        <v>6</v>
      </c>
      <c r="L408" s="779" t="s">
        <v>7</v>
      </c>
      <c r="M408" s="779" t="s">
        <v>1178</v>
      </c>
      <c r="N408" s="779" t="s">
        <v>839</v>
      </c>
      <c r="O408" s="779" t="s">
        <v>707</v>
      </c>
    </row>
    <row r="409">
      <c r="A409" s="780">
        <f>IFERROR(__xludf.DUMMYFUNCTION("FILTER($D$3:$H$122,$L$3:$L$122=E407)"),45986.0)</f>
        <v>45986</v>
      </c>
      <c r="B409" s="781">
        <f>IFERROR(__xludf.DUMMYFUNCTION("""COMPUTED_VALUE"""),170800.0)</f>
        <v>170800</v>
      </c>
      <c r="C409" s="781" t="str">
        <f>IFERROR(__xludf.DUMMYFUNCTION("""COMPUTED_VALUE"""),"Lancaster, PA, 17601")</f>
        <v>Lancaster, PA, 17601</v>
      </c>
      <c r="D409" s="781" t="str">
        <f>IFERROR(__xludf.DUMMYFUNCTION("""COMPUTED_VALUE"""),"Fort Pierce, FL, 34981")</f>
        <v>Fort Pierce, FL, 34981</v>
      </c>
      <c r="E409" s="782">
        <f>IFERROR(__xludf.DUMMYFUNCTION("""COMPUTED_VALUE"""),2300.0)</f>
        <v>2300</v>
      </c>
      <c r="F409" s="783">
        <v>0.88</v>
      </c>
      <c r="G409" s="782">
        <f>E409*F409</f>
        <v>2024</v>
      </c>
      <c r="H409" s="283"/>
      <c r="I409" s="860">
        <f>IFERROR(__xludf.DUMMYFUNCTION("FILTER($D$3:$G$122,$L$3:$L$122=M407)"),45986.0)</f>
        <v>45986</v>
      </c>
      <c r="J409" s="861">
        <f>IFERROR(__xludf.DUMMYFUNCTION("""COMPUTED_VALUE"""),170800.0)</f>
        <v>170800</v>
      </c>
      <c r="K409" s="861" t="str">
        <f>IFERROR(__xludf.DUMMYFUNCTION("""COMPUTED_VALUE"""),"Lancaster, PA, 17601")</f>
        <v>Lancaster, PA, 17601</v>
      </c>
      <c r="L409" s="861" t="str">
        <f>IFERROR(__xludf.DUMMYFUNCTION("""COMPUTED_VALUE"""),"Fort Pierce, FL, 34981")</f>
        <v>Fort Pierce, FL, 34981</v>
      </c>
      <c r="M409" s="784">
        <f>IFERROR(__xludf.DUMMYFUNCTION("FILTER($I$3:$I$122,$L$3:$L$122=M407)"),1079.0)</f>
        <v>1079</v>
      </c>
      <c r="N409" s="861">
        <v>0.65</v>
      </c>
      <c r="O409" s="863">
        <f>M409*N409</f>
        <v>701.35</v>
      </c>
    </row>
    <row r="410">
      <c r="A410" s="780"/>
      <c r="B410" s="781"/>
      <c r="C410" s="781"/>
      <c r="D410" s="781"/>
      <c r="E410" s="782"/>
      <c r="F410" s="783"/>
      <c r="G410" s="782"/>
      <c r="H410" s="283"/>
      <c r="I410" s="780"/>
      <c r="J410" s="781"/>
      <c r="K410" s="781"/>
      <c r="L410" s="781"/>
      <c r="M410" s="782"/>
      <c r="N410" s="783"/>
      <c r="O410" s="789"/>
    </row>
    <row r="411">
      <c r="A411" s="785"/>
      <c r="B411" s="786"/>
      <c r="C411" s="786"/>
      <c r="D411" s="786"/>
      <c r="E411" s="785"/>
      <c r="F411" s="787"/>
      <c r="G411" s="788"/>
      <c r="H411" s="283"/>
      <c r="I411" s="785"/>
      <c r="J411" s="786"/>
      <c r="K411" s="786"/>
      <c r="L411" s="786"/>
      <c r="M411" s="785"/>
      <c r="N411" s="787"/>
      <c r="O411" s="789"/>
    </row>
    <row r="412">
      <c r="A412" s="785"/>
      <c r="B412" s="786"/>
      <c r="C412" s="786"/>
      <c r="D412" s="786"/>
      <c r="E412" s="785"/>
      <c r="F412" s="787"/>
      <c r="G412" s="788"/>
      <c r="H412" s="283"/>
      <c r="I412" s="785"/>
      <c r="J412" s="786"/>
      <c r="K412" s="786"/>
      <c r="L412" s="786"/>
      <c r="M412" s="785"/>
      <c r="N412" s="787"/>
      <c r="O412" s="789"/>
    </row>
    <row r="413">
      <c r="A413" s="785"/>
      <c r="B413" s="786"/>
      <c r="C413" s="786"/>
      <c r="D413" s="786"/>
      <c r="E413" s="785"/>
      <c r="F413" s="787"/>
      <c r="G413" s="788"/>
      <c r="H413" s="283"/>
      <c r="I413" s="785"/>
      <c r="J413" s="786"/>
      <c r="K413" s="786"/>
      <c r="L413" s="786"/>
      <c r="M413" s="785"/>
      <c r="N413" s="787"/>
      <c r="O413" s="789"/>
    </row>
    <row r="414">
      <c r="A414" s="785"/>
      <c r="B414" s="786"/>
      <c r="C414" s="786"/>
      <c r="D414" s="786"/>
      <c r="E414" s="785"/>
      <c r="F414" s="787"/>
      <c r="G414" s="788"/>
      <c r="H414" s="283"/>
      <c r="I414" s="785"/>
      <c r="J414" s="786"/>
      <c r="K414" s="786"/>
      <c r="L414" s="786"/>
      <c r="M414" s="785"/>
      <c r="N414" s="787"/>
      <c r="O414" s="789"/>
    </row>
    <row r="415">
      <c r="A415" s="790" t="s">
        <v>711</v>
      </c>
      <c r="B415" s="791"/>
      <c r="C415" s="791"/>
      <c r="D415" s="792"/>
      <c r="E415" s="793">
        <f>SUM(E409:E414)</f>
        <v>2300</v>
      </c>
      <c r="F415" s="794"/>
      <c r="G415" s="793">
        <f>SUM(G409:G414)</f>
        <v>2024</v>
      </c>
      <c r="H415" s="283"/>
      <c r="I415" s="790" t="s">
        <v>711</v>
      </c>
      <c r="J415" s="791"/>
      <c r="K415" s="791"/>
      <c r="L415" s="792"/>
      <c r="M415" s="877">
        <f>SUM(M409:M414)</f>
        <v>1079</v>
      </c>
      <c r="N415" s="794"/>
      <c r="O415" s="793">
        <f>SUM(O409:O414)</f>
        <v>701.35</v>
      </c>
      <c r="Q415" s="676">
        <v>1080.0</v>
      </c>
      <c r="R415" s="669" t="s">
        <v>1192</v>
      </c>
    </row>
    <row r="416">
      <c r="A416" s="796"/>
      <c r="D416" s="798"/>
      <c r="G416" s="799"/>
      <c r="H416" s="283"/>
      <c r="I416" s="796"/>
      <c r="L416" s="798"/>
      <c r="O416" s="799"/>
    </row>
    <row r="417">
      <c r="A417" s="800" t="s">
        <v>712</v>
      </c>
      <c r="B417" s="801"/>
      <c r="C417" s="802"/>
      <c r="G417" s="799"/>
      <c r="H417" s="283"/>
      <c r="I417" s="800" t="s">
        <v>712</v>
      </c>
      <c r="J417" s="803"/>
      <c r="K417" s="804"/>
      <c r="O417" s="799"/>
    </row>
    <row r="418">
      <c r="A418" s="902" t="s">
        <v>1179</v>
      </c>
      <c r="B418" s="806"/>
      <c r="C418" s="807">
        <v>250.0</v>
      </c>
      <c r="G418" s="799"/>
      <c r="H418" s="283"/>
      <c r="I418" s="902" t="s">
        <v>1179</v>
      </c>
      <c r="J418" s="808"/>
      <c r="K418" s="903">
        <v>250.0</v>
      </c>
      <c r="O418" s="799"/>
    </row>
    <row r="419">
      <c r="A419" s="868"/>
      <c r="B419" s="774"/>
      <c r="C419" s="816"/>
      <c r="G419" s="799"/>
      <c r="H419" s="283"/>
      <c r="I419" s="868"/>
      <c r="J419" s="774"/>
      <c r="K419" s="816"/>
      <c r="O419" s="799"/>
    </row>
    <row r="420">
      <c r="A420" s="815"/>
      <c r="B420" s="792"/>
      <c r="C420" s="816"/>
      <c r="G420" s="799"/>
      <c r="H420" s="283"/>
      <c r="I420" s="815"/>
      <c r="J420" s="792"/>
      <c r="K420" s="816"/>
      <c r="O420" s="799"/>
    </row>
    <row r="421">
      <c r="A421" s="817"/>
      <c r="B421" s="774"/>
      <c r="C421" s="818"/>
      <c r="G421" s="799"/>
      <c r="H421" s="283"/>
      <c r="I421" s="817"/>
      <c r="J421" s="774"/>
      <c r="K421" s="818"/>
      <c r="O421" s="799"/>
    </row>
    <row r="422">
      <c r="A422" s="817"/>
      <c r="B422" s="792"/>
      <c r="C422" s="818"/>
      <c r="G422" s="799"/>
      <c r="H422" s="283"/>
      <c r="I422" s="817"/>
      <c r="J422" s="792"/>
      <c r="K422" s="818"/>
      <c r="O422" s="799"/>
    </row>
    <row r="423">
      <c r="A423" s="821" t="s">
        <v>714</v>
      </c>
      <c r="B423" s="822"/>
      <c r="C423" s="823">
        <f>SUM(C418:C422)</f>
        <v>250</v>
      </c>
      <c r="G423" s="799"/>
      <c r="H423" s="283"/>
      <c r="I423" s="821" t="s">
        <v>714</v>
      </c>
      <c r="J423" s="826"/>
      <c r="K423" s="823">
        <f>SUM(K418:K422)</f>
        <v>250</v>
      </c>
      <c r="O423" s="799"/>
    </row>
    <row r="424">
      <c r="A424" s="828"/>
      <c r="C424" s="829"/>
      <c r="G424" s="799"/>
      <c r="H424" s="283"/>
      <c r="I424" s="828"/>
      <c r="K424" s="829"/>
      <c r="O424" s="799"/>
    </row>
    <row r="425">
      <c r="A425" s="830" t="s">
        <v>715</v>
      </c>
      <c r="B425" s="831"/>
      <c r="C425" s="832"/>
      <c r="G425" s="799"/>
      <c r="H425" s="283"/>
      <c r="I425" s="833" t="s">
        <v>715</v>
      </c>
      <c r="J425" s="834"/>
      <c r="K425" s="835"/>
      <c r="O425" s="799"/>
    </row>
    <row r="426">
      <c r="A426" s="836" t="s">
        <v>716</v>
      </c>
      <c r="B426" s="837"/>
      <c r="C426" s="838">
        <v>150.0</v>
      </c>
      <c r="G426" s="799"/>
      <c r="H426" s="283"/>
      <c r="I426" s="839"/>
      <c r="J426" s="840"/>
      <c r="K426" s="841"/>
      <c r="O426" s="799"/>
    </row>
    <row r="427">
      <c r="A427" s="842" t="s">
        <v>717</v>
      </c>
      <c r="B427" s="843"/>
      <c r="C427" s="844">
        <v>400.0</v>
      </c>
      <c r="D427" s="248"/>
      <c r="E427" s="845" t="s">
        <v>1182</v>
      </c>
      <c r="G427" s="846">
        <f>G415+C423-C432</f>
        <v>163.4</v>
      </c>
      <c r="H427" s="283"/>
      <c r="I427" s="847"/>
      <c r="J427" s="848"/>
      <c r="K427" s="849"/>
      <c r="L427" s="248"/>
      <c r="M427" s="845" t="s">
        <v>1183</v>
      </c>
      <c r="O427" s="846">
        <f>O415+K423-K432</f>
        <v>951.35</v>
      </c>
    </row>
    <row r="428">
      <c r="A428" s="836" t="s">
        <v>718</v>
      </c>
      <c r="B428" s="837"/>
      <c r="C428" s="838">
        <v>200.0</v>
      </c>
      <c r="G428" s="799"/>
      <c r="H428" s="283"/>
      <c r="I428" s="847"/>
      <c r="J428" s="848"/>
      <c r="K428" s="849"/>
      <c r="O428" s="799"/>
    </row>
    <row r="429">
      <c r="A429" s="842" t="s">
        <v>656</v>
      </c>
      <c r="B429" s="843"/>
      <c r="C429" s="844">
        <f>IFERROR(__xludf.DUMMYFUNCTION("FILTER($C$4:$C$30,$B$4:$B$30=E407)"),1094.4)</f>
        <v>1094.4</v>
      </c>
      <c r="G429" s="799"/>
      <c r="H429" s="283"/>
      <c r="I429" s="847"/>
      <c r="J429" s="848"/>
      <c r="K429" s="849"/>
      <c r="O429" s="799"/>
    </row>
    <row r="430">
      <c r="A430" s="850" t="s">
        <v>1184</v>
      </c>
      <c r="B430" s="851"/>
      <c r="C430" s="852"/>
      <c r="E430" s="248"/>
      <c r="G430" s="799"/>
      <c r="H430" s="283"/>
      <c r="I430" s="847"/>
      <c r="J430" s="848"/>
      <c r="K430" s="849"/>
      <c r="M430" s="248"/>
      <c r="O430" s="799"/>
    </row>
    <row r="431">
      <c r="A431" s="904" t="s">
        <v>1193</v>
      </c>
      <c r="B431" s="905"/>
      <c r="C431" s="906">
        <v>266.2</v>
      </c>
      <c r="G431" s="799"/>
      <c r="H431" s="283"/>
      <c r="I431" s="847"/>
      <c r="J431" s="848"/>
      <c r="K431" s="849"/>
      <c r="O431" s="799"/>
    </row>
    <row r="432">
      <c r="A432" s="853" t="s">
        <v>721</v>
      </c>
      <c r="B432" s="854"/>
      <c r="C432" s="855">
        <f>SUM(C426:C431)</f>
        <v>2110.6</v>
      </c>
      <c r="G432" s="799"/>
      <c r="H432" s="283"/>
      <c r="I432" s="853" t="s">
        <v>721</v>
      </c>
      <c r="J432" s="854"/>
      <c r="K432" s="855"/>
      <c r="O432" s="799"/>
    </row>
    <row r="433">
      <c r="A433" s="856"/>
      <c r="B433" s="857"/>
      <c r="C433" s="857"/>
      <c r="D433" s="857"/>
      <c r="E433" s="857"/>
      <c r="F433" s="857"/>
      <c r="G433" s="808"/>
      <c r="H433" s="283"/>
      <c r="I433" s="856"/>
      <c r="J433" s="857"/>
      <c r="K433" s="857"/>
      <c r="L433" s="857"/>
      <c r="M433" s="857"/>
      <c r="N433" s="857"/>
      <c r="O433" s="808"/>
    </row>
    <row r="436">
      <c r="A436" s="769"/>
      <c r="B436" s="770"/>
      <c r="C436" s="770"/>
      <c r="D436" s="771" t="s">
        <v>700</v>
      </c>
      <c r="E436" s="772" t="str">
        <f>E126</f>
        <v>11.24.2025-11.30.2025</v>
      </c>
      <c r="F436" s="773"/>
      <c r="G436" s="774"/>
      <c r="H436" s="305">
        <v>11.0</v>
      </c>
      <c r="I436" s="769"/>
      <c r="J436" s="770"/>
      <c r="K436" s="770"/>
      <c r="L436" s="771" t="s">
        <v>700</v>
      </c>
      <c r="M436" s="772" t="str">
        <f>E126</f>
        <v>11.24.2025-11.30.2025</v>
      </c>
      <c r="N436" s="773"/>
      <c r="O436" s="774"/>
    </row>
    <row r="437">
      <c r="A437" s="775"/>
      <c r="D437" s="771" t="s">
        <v>702</v>
      </c>
      <c r="E437" s="772" t="str">
        <f t="array" ref="E437">XLOOKUP(E438,$Q$973:$Q$1005,$R$973:$R$1005)</f>
        <v>Skyhill LLC</v>
      </c>
      <c r="F437" s="773"/>
      <c r="G437" s="774"/>
      <c r="H437" s="858"/>
      <c r="I437" s="775"/>
      <c r="L437" s="771" t="s">
        <v>351</v>
      </c>
      <c r="M437" s="772" t="str">
        <f t="array" ref="M437">XLOOKUP(M438,$L$1:$L$122,$K$1:$K$122)</f>
        <v>WILLIAMSON MONCHERY</v>
      </c>
      <c r="N437" s="773"/>
      <c r="O437" s="774"/>
    </row>
    <row r="438">
      <c r="A438" s="775"/>
      <c r="D438" s="771" t="s">
        <v>703</v>
      </c>
      <c r="E438" s="772">
        <v>2316.0</v>
      </c>
      <c r="F438" s="773"/>
      <c r="G438" s="774"/>
      <c r="H438" s="283"/>
      <c r="I438" s="775"/>
      <c r="L438" s="771" t="s">
        <v>703</v>
      </c>
      <c r="M438" s="772">
        <f>E438</f>
        <v>2316</v>
      </c>
      <c r="N438" s="773"/>
      <c r="O438" s="774"/>
    </row>
    <row r="439">
      <c r="A439" s="779" t="s">
        <v>704</v>
      </c>
      <c r="B439" s="779" t="s">
        <v>5</v>
      </c>
      <c r="C439" s="779" t="s">
        <v>6</v>
      </c>
      <c r="D439" s="779" t="s">
        <v>7</v>
      </c>
      <c r="E439" s="779" t="s">
        <v>8</v>
      </c>
      <c r="F439" s="779" t="s">
        <v>706</v>
      </c>
      <c r="G439" s="779" t="s">
        <v>707</v>
      </c>
      <c r="H439" s="34"/>
      <c r="I439" s="779" t="s">
        <v>704</v>
      </c>
      <c r="J439" s="779" t="s">
        <v>5</v>
      </c>
      <c r="K439" s="779" t="s">
        <v>6</v>
      </c>
      <c r="L439" s="779" t="s">
        <v>7</v>
      </c>
      <c r="M439" s="779" t="s">
        <v>1178</v>
      </c>
      <c r="N439" s="779" t="s">
        <v>839</v>
      </c>
      <c r="O439" s="779" t="s">
        <v>707</v>
      </c>
    </row>
    <row r="440">
      <c r="A440" s="780">
        <f>IFERROR(__xludf.DUMMYFUNCTION("FILTER($D$3:$H$122,$L$3:$L$122=E438)"),45987.0)</f>
        <v>45987</v>
      </c>
      <c r="B440" s="781">
        <f>IFERROR(__xludf.DUMMYFUNCTION("""COMPUTED_VALUE"""),6.5171572E7)</f>
        <v>65171572</v>
      </c>
      <c r="C440" s="781" t="str">
        <f>IFERROR(__xludf.DUMMYFUNCTION("""COMPUTED_VALUE"""),"Portland, OR, 97217")</f>
        <v>Portland, OR, 97217</v>
      </c>
      <c r="D440" s="781" t="str">
        <f>IFERROR(__xludf.DUMMYFUNCTION("""COMPUTED_VALUE"""),"Colonial Heights, VA, 23834")</f>
        <v>Colonial Heights, VA, 23834</v>
      </c>
      <c r="E440" s="782">
        <f>IFERROR(__xludf.DUMMYFUNCTION("""COMPUTED_VALUE"""),4700.0)</f>
        <v>4700</v>
      </c>
      <c r="F440" s="783">
        <v>0.88</v>
      </c>
      <c r="G440" s="782">
        <f>E440*F440</f>
        <v>4136</v>
      </c>
      <c r="H440" s="283"/>
      <c r="I440" s="780">
        <f>IFERROR(__xludf.DUMMYFUNCTION("FILTER($D$3:$G$122,$L$3:$L$122=M438)"),45987.0)</f>
        <v>45987</v>
      </c>
      <c r="J440" s="781">
        <f>IFERROR(__xludf.DUMMYFUNCTION("""COMPUTED_VALUE"""),6.5171572E7)</f>
        <v>65171572</v>
      </c>
      <c r="K440" s="781" t="str">
        <f>IFERROR(__xludf.DUMMYFUNCTION("""COMPUTED_VALUE"""),"Portland, OR, 97217")</f>
        <v>Portland, OR, 97217</v>
      </c>
      <c r="L440" s="781" t="str">
        <f>IFERROR(__xludf.DUMMYFUNCTION("""COMPUTED_VALUE"""),"Colonial Heights, VA, 23834")</f>
        <v>Colonial Heights, VA, 23834</v>
      </c>
      <c r="M440" s="784">
        <f>IFERROR(__xludf.DUMMYFUNCTION("FILTER($I$3:$I$122,$L$3:$L$122=M438)"),2887.0)</f>
        <v>2887</v>
      </c>
      <c r="N440" s="781">
        <v>0.65</v>
      </c>
      <c r="O440" s="782">
        <f>M440*N440</f>
        <v>1876.55</v>
      </c>
    </row>
    <row r="441">
      <c r="A441" s="780"/>
      <c r="B441" s="781"/>
      <c r="C441" s="781"/>
      <c r="D441" s="781"/>
      <c r="E441" s="782"/>
      <c r="F441" s="783"/>
      <c r="G441" s="782"/>
      <c r="H441" s="283"/>
      <c r="I441" s="780"/>
      <c r="J441" s="781"/>
      <c r="K441" s="781"/>
      <c r="L441" s="781"/>
      <c r="M441" s="782"/>
      <c r="N441" s="783"/>
      <c r="O441" s="789"/>
    </row>
    <row r="442">
      <c r="A442" s="785"/>
      <c r="B442" s="786"/>
      <c r="C442" s="786"/>
      <c r="D442" s="786"/>
      <c r="E442" s="785"/>
      <c r="F442" s="787"/>
      <c r="G442" s="788"/>
      <c r="H442" s="283"/>
      <c r="I442" s="785"/>
      <c r="J442" s="786"/>
      <c r="K442" s="786"/>
      <c r="L442" s="786"/>
      <c r="M442" s="785"/>
      <c r="N442" s="787"/>
      <c r="O442" s="789"/>
    </row>
    <row r="443">
      <c r="A443" s="785"/>
      <c r="B443" s="786"/>
      <c r="C443" s="786"/>
      <c r="D443" s="786"/>
      <c r="E443" s="785"/>
      <c r="F443" s="787"/>
      <c r="G443" s="788"/>
      <c r="H443" s="283"/>
      <c r="I443" s="785"/>
      <c r="J443" s="786"/>
      <c r="K443" s="786"/>
      <c r="L443" s="786"/>
      <c r="M443" s="785"/>
      <c r="N443" s="787"/>
      <c r="O443" s="789"/>
    </row>
    <row r="444">
      <c r="A444" s="785"/>
      <c r="B444" s="786"/>
      <c r="C444" s="786"/>
      <c r="D444" s="786"/>
      <c r="E444" s="785"/>
      <c r="F444" s="787"/>
      <c r="G444" s="788"/>
      <c r="H444" s="283"/>
      <c r="I444" s="785"/>
      <c r="J444" s="786"/>
      <c r="K444" s="786"/>
      <c r="L444" s="786"/>
      <c r="M444" s="785"/>
      <c r="N444" s="787"/>
      <c r="O444" s="789"/>
    </row>
    <row r="445">
      <c r="A445" s="785"/>
      <c r="B445" s="786"/>
      <c r="C445" s="786"/>
      <c r="D445" s="786"/>
      <c r="E445" s="785"/>
      <c r="F445" s="787"/>
      <c r="G445" s="788"/>
      <c r="H445" s="283"/>
      <c r="I445" s="785"/>
      <c r="J445" s="786"/>
      <c r="K445" s="786"/>
      <c r="L445" s="786"/>
      <c r="M445" s="785"/>
      <c r="N445" s="787"/>
      <c r="O445" s="789"/>
    </row>
    <row r="446">
      <c r="A446" s="790" t="s">
        <v>711</v>
      </c>
      <c r="B446" s="791"/>
      <c r="C446" s="791"/>
      <c r="D446" s="792"/>
      <c r="E446" s="793">
        <f>SUM(E440:E445)</f>
        <v>4700</v>
      </c>
      <c r="F446" s="794"/>
      <c r="G446" s="793">
        <f>SUM(G440:G445)</f>
        <v>4136</v>
      </c>
      <c r="H446" s="283"/>
      <c r="I446" s="790" t="s">
        <v>711</v>
      </c>
      <c r="J446" s="791"/>
      <c r="K446" s="791"/>
      <c r="L446" s="792"/>
      <c r="M446" s="877">
        <f>SUM(M440:M445)</f>
        <v>2887</v>
      </c>
      <c r="N446" s="794"/>
      <c r="O446" s="793">
        <f>SUM(O440:O445)</f>
        <v>1876.55</v>
      </c>
    </row>
    <row r="447">
      <c r="A447" s="796"/>
      <c r="D447" s="798"/>
      <c r="G447" s="799"/>
      <c r="H447" s="283"/>
      <c r="I447" s="796"/>
      <c r="L447" s="798"/>
      <c r="O447" s="799"/>
    </row>
    <row r="448">
      <c r="A448" s="800" t="s">
        <v>712</v>
      </c>
      <c r="B448" s="801"/>
      <c r="C448" s="802"/>
      <c r="G448" s="799"/>
      <c r="H448" s="283"/>
      <c r="I448" s="800" t="s">
        <v>712</v>
      </c>
      <c r="J448" s="803"/>
      <c r="K448" s="804"/>
      <c r="O448" s="799"/>
    </row>
    <row r="449">
      <c r="A449" s="902" t="s">
        <v>1179</v>
      </c>
      <c r="B449" s="806"/>
      <c r="C449" s="807">
        <v>250.0</v>
      </c>
      <c r="G449" s="799"/>
      <c r="H449" s="283"/>
      <c r="I449" s="902" t="s">
        <v>1179</v>
      </c>
      <c r="J449" s="808"/>
      <c r="K449" s="903">
        <v>250.0</v>
      </c>
      <c r="O449" s="799"/>
    </row>
    <row r="450">
      <c r="A450" s="868"/>
      <c r="B450" s="774"/>
      <c r="C450" s="816"/>
      <c r="G450" s="799"/>
      <c r="H450" s="283"/>
      <c r="I450" s="868"/>
      <c r="J450" s="774"/>
      <c r="K450" s="816"/>
      <c r="O450" s="799"/>
    </row>
    <row r="451">
      <c r="A451" s="815"/>
      <c r="B451" s="792"/>
      <c r="C451" s="816"/>
      <c r="G451" s="799"/>
      <c r="H451" s="283"/>
      <c r="I451" s="815"/>
      <c r="J451" s="792"/>
      <c r="K451" s="816"/>
      <c r="O451" s="799"/>
    </row>
    <row r="452">
      <c r="A452" s="817"/>
      <c r="B452" s="774"/>
      <c r="C452" s="818"/>
      <c r="G452" s="799"/>
      <c r="H452" s="283"/>
      <c r="I452" s="817"/>
      <c r="J452" s="774"/>
      <c r="K452" s="818"/>
      <c r="O452" s="799"/>
    </row>
    <row r="453">
      <c r="A453" s="817"/>
      <c r="B453" s="792"/>
      <c r="C453" s="818"/>
      <c r="G453" s="799"/>
      <c r="H453" s="283"/>
      <c r="I453" s="817"/>
      <c r="J453" s="792"/>
      <c r="K453" s="818"/>
      <c r="O453" s="799"/>
    </row>
    <row r="454">
      <c r="A454" s="821" t="s">
        <v>714</v>
      </c>
      <c r="B454" s="822"/>
      <c r="C454" s="823">
        <f>SUM(C449:C453)</f>
        <v>250</v>
      </c>
      <c r="G454" s="799"/>
      <c r="H454" s="283"/>
      <c r="I454" s="821" t="s">
        <v>714</v>
      </c>
      <c r="J454" s="826"/>
      <c r="K454" s="823">
        <f>SUM(K449:K453)</f>
        <v>250</v>
      </c>
      <c r="O454" s="799"/>
    </row>
    <row r="455">
      <c r="A455" s="828"/>
      <c r="C455" s="829"/>
      <c r="G455" s="799"/>
      <c r="H455" s="283"/>
      <c r="I455" s="828"/>
      <c r="K455" s="829"/>
      <c r="O455" s="799"/>
    </row>
    <row r="456">
      <c r="A456" s="830" t="s">
        <v>715</v>
      </c>
      <c r="B456" s="831"/>
      <c r="C456" s="832"/>
      <c r="G456" s="799"/>
      <c r="H456" s="283"/>
      <c r="I456" s="833" t="s">
        <v>715</v>
      </c>
      <c r="J456" s="834"/>
      <c r="K456" s="835"/>
      <c r="O456" s="799"/>
    </row>
    <row r="457">
      <c r="A457" s="836" t="s">
        <v>716</v>
      </c>
      <c r="B457" s="837"/>
      <c r="C457" s="838">
        <v>150.0</v>
      </c>
      <c r="G457" s="799"/>
      <c r="H457" s="283"/>
      <c r="I457" s="839"/>
      <c r="J457" s="840"/>
      <c r="K457" s="841"/>
      <c r="O457" s="799"/>
    </row>
    <row r="458">
      <c r="A458" s="842" t="s">
        <v>717</v>
      </c>
      <c r="B458" s="843"/>
      <c r="C458" s="844">
        <v>400.0</v>
      </c>
      <c r="D458" s="248"/>
      <c r="E458" s="845" t="s">
        <v>1182</v>
      </c>
      <c r="G458" s="846">
        <f>G446+C454-C463</f>
        <v>906.37</v>
      </c>
      <c r="H458" s="283"/>
      <c r="I458" s="847"/>
      <c r="J458" s="848"/>
      <c r="K458" s="849"/>
      <c r="L458" s="248"/>
      <c r="M458" s="845" t="s">
        <v>1183</v>
      </c>
      <c r="O458" s="846">
        <f>O446+K454-K463</f>
        <v>2126.55</v>
      </c>
    </row>
    <row r="459">
      <c r="A459" s="836" t="s">
        <v>718</v>
      </c>
      <c r="B459" s="837"/>
      <c r="C459" s="838">
        <v>200.0</v>
      </c>
      <c r="G459" s="799"/>
      <c r="H459" s="283"/>
      <c r="I459" s="847"/>
      <c r="J459" s="848"/>
      <c r="K459" s="849"/>
      <c r="O459" s="799"/>
    </row>
    <row r="460">
      <c r="A460" s="842" t="s">
        <v>656</v>
      </c>
      <c r="B460" s="843"/>
      <c r="C460" s="844">
        <f>IFERROR(__xludf.DUMMYFUNCTION("FILTER($C$4:$C$30,$B$4:$B$30=E438)"),2729.63)</f>
        <v>2729.63</v>
      </c>
      <c r="G460" s="799"/>
      <c r="H460" s="283"/>
      <c r="I460" s="847"/>
      <c r="J460" s="848"/>
      <c r="K460" s="849"/>
      <c r="O460" s="799"/>
    </row>
    <row r="461">
      <c r="A461" s="850" t="s">
        <v>1184</v>
      </c>
      <c r="B461" s="851"/>
      <c r="C461" s="852"/>
      <c r="E461" s="248"/>
      <c r="G461" s="799"/>
      <c r="H461" s="283"/>
      <c r="I461" s="847"/>
      <c r="J461" s="848"/>
      <c r="K461" s="849"/>
      <c r="M461" s="248"/>
      <c r="O461" s="799"/>
    </row>
    <row r="462">
      <c r="A462" s="847"/>
      <c r="B462" s="848"/>
      <c r="C462" s="849"/>
      <c r="G462" s="799"/>
      <c r="H462" s="283"/>
      <c r="I462" s="847"/>
      <c r="J462" s="848"/>
      <c r="K462" s="849"/>
      <c r="O462" s="799"/>
    </row>
    <row r="463">
      <c r="A463" s="853" t="s">
        <v>721</v>
      </c>
      <c r="B463" s="854"/>
      <c r="C463" s="855">
        <f>SUM(C457:C462)</f>
        <v>3479.63</v>
      </c>
      <c r="G463" s="799"/>
      <c r="H463" s="283"/>
      <c r="I463" s="853" t="s">
        <v>721</v>
      </c>
      <c r="J463" s="854"/>
      <c r="K463" s="855"/>
      <c r="O463" s="799"/>
    </row>
    <row r="464">
      <c r="A464" s="856"/>
      <c r="B464" s="857"/>
      <c r="C464" s="857"/>
      <c r="D464" s="857"/>
      <c r="E464" s="857"/>
      <c r="F464" s="857"/>
      <c r="G464" s="808"/>
      <c r="H464" s="283"/>
      <c r="I464" s="856"/>
      <c r="J464" s="857"/>
      <c r="K464" s="857"/>
      <c r="L464" s="857"/>
      <c r="M464" s="857"/>
      <c r="N464" s="857"/>
      <c r="O464" s="808"/>
    </row>
    <row r="467">
      <c r="A467" s="769"/>
      <c r="B467" s="770"/>
      <c r="C467" s="770"/>
      <c r="D467" s="771" t="s">
        <v>700</v>
      </c>
      <c r="E467" s="772" t="str">
        <f>E126</f>
        <v>11.24.2025-11.30.2025</v>
      </c>
      <c r="F467" s="773"/>
      <c r="G467" s="774"/>
      <c r="H467" s="305">
        <v>12.0</v>
      </c>
      <c r="I467" s="769"/>
      <c r="J467" s="770"/>
      <c r="K467" s="770"/>
      <c r="L467" s="771" t="s">
        <v>700</v>
      </c>
      <c r="M467" s="772" t="str">
        <f>E126</f>
        <v>11.24.2025-11.30.2025</v>
      </c>
      <c r="N467" s="773"/>
      <c r="O467" s="774"/>
    </row>
    <row r="468">
      <c r="A468" s="775"/>
      <c r="D468" s="771" t="s">
        <v>702</v>
      </c>
      <c r="E468" s="772" t="str">
        <f t="array" ref="E468">XLOOKUP(E469,$Q$973:$Q$1005,$R$973:$R$1005)</f>
        <v>EDT Logistics LLC</v>
      </c>
      <c r="F468" s="773"/>
      <c r="G468" s="774"/>
      <c r="H468" s="858"/>
      <c r="I468" s="775"/>
      <c r="L468" s="771" t="s">
        <v>351</v>
      </c>
      <c r="M468" s="772" t="str">
        <f t="array" ref="M468">XLOOKUP(M469,$L$1:$L$122,$K$1:$K$122)</f>
        <v>CHRISTOPHER ELIOTT NUNEZ</v>
      </c>
      <c r="N468" s="773"/>
      <c r="O468" s="774"/>
    </row>
    <row r="469">
      <c r="A469" s="775"/>
      <c r="D469" s="771" t="s">
        <v>703</v>
      </c>
      <c r="E469" s="772">
        <v>2774.0</v>
      </c>
      <c r="F469" s="773"/>
      <c r="G469" s="774"/>
      <c r="H469" s="283"/>
      <c r="I469" s="775"/>
      <c r="L469" s="771" t="s">
        <v>703</v>
      </c>
      <c r="M469" s="772">
        <f>E469</f>
        <v>2774</v>
      </c>
      <c r="N469" s="773"/>
      <c r="O469" s="774"/>
    </row>
    <row r="470">
      <c r="A470" s="779" t="s">
        <v>704</v>
      </c>
      <c r="B470" s="779" t="s">
        <v>5</v>
      </c>
      <c r="C470" s="779" t="s">
        <v>6</v>
      </c>
      <c r="D470" s="779" t="s">
        <v>7</v>
      </c>
      <c r="E470" s="779" t="s">
        <v>8</v>
      </c>
      <c r="F470" s="779" t="s">
        <v>706</v>
      </c>
      <c r="G470" s="779" t="s">
        <v>707</v>
      </c>
      <c r="H470" s="34"/>
      <c r="I470" s="779" t="s">
        <v>704</v>
      </c>
      <c r="J470" s="779" t="s">
        <v>5</v>
      </c>
      <c r="K470" s="779" t="s">
        <v>6</v>
      </c>
      <c r="L470" s="779" t="s">
        <v>7</v>
      </c>
      <c r="M470" s="779" t="s">
        <v>1178</v>
      </c>
      <c r="N470" s="779" t="s">
        <v>839</v>
      </c>
      <c r="O470" s="779" t="s">
        <v>707</v>
      </c>
    </row>
    <row r="471">
      <c r="A471" s="780">
        <f>IFERROR(__xludf.DUMMYFUNCTION("FILTER($D$3:$H$122,$L$3:$L$122=E469)"),45989.0)</f>
        <v>45989</v>
      </c>
      <c r="B471" s="781">
        <f>IFERROR(__xludf.DUMMYFUNCTION("""COMPUTED_VALUE"""),5.35457817E8)</f>
        <v>535457817</v>
      </c>
      <c r="C471" s="781" t="str">
        <f>IFERROR(__xludf.DUMMYFUNCTION("""COMPUTED_VALUE"""),"Pine Hill, AL, 36769")</f>
        <v>Pine Hill, AL, 36769</v>
      </c>
      <c r="D471" s="781" t="str">
        <f>IFERROR(__xludf.DUMMYFUNCTION("""COMPUTED_VALUE"""),"Shillington, PA, 19607")</f>
        <v>Shillington, PA, 19607</v>
      </c>
      <c r="E471" s="782">
        <f>IFERROR(__xludf.DUMMYFUNCTION("""COMPUTED_VALUE"""),2350.0)</f>
        <v>2350</v>
      </c>
      <c r="F471" s="783">
        <v>0.88</v>
      </c>
      <c r="G471" s="782">
        <f>E471*F471</f>
        <v>2068</v>
      </c>
      <c r="H471" s="283"/>
      <c r="I471" s="860">
        <f>IFERROR(__xludf.DUMMYFUNCTION("FILTER($D$3:$G$122,$L$3:$L$122=M469)"),45989.0)</f>
        <v>45989</v>
      </c>
      <c r="J471" s="861">
        <f>IFERROR(__xludf.DUMMYFUNCTION("""COMPUTED_VALUE"""),5.35457817E8)</f>
        <v>535457817</v>
      </c>
      <c r="K471" s="861" t="str">
        <f>IFERROR(__xludf.DUMMYFUNCTION("""COMPUTED_VALUE"""),"Pine Hill, AL, 36769")</f>
        <v>Pine Hill, AL, 36769</v>
      </c>
      <c r="L471" s="861" t="str">
        <f>IFERROR(__xludf.DUMMYFUNCTION("""COMPUTED_VALUE"""),"Shillington, PA, 19607")</f>
        <v>Shillington, PA, 19607</v>
      </c>
      <c r="M471" s="784">
        <f>IFERROR(__xludf.DUMMYFUNCTION("FILTER($I$3:$I$122,$L$3:$L$122=M469)"),1254.0)</f>
        <v>1254</v>
      </c>
      <c r="N471" s="861">
        <v>0.65</v>
      </c>
      <c r="O471" s="863">
        <f>M471*N471</f>
        <v>815.1</v>
      </c>
    </row>
    <row r="472">
      <c r="A472" s="780"/>
      <c r="B472" s="781"/>
      <c r="C472" s="781"/>
      <c r="D472" s="781"/>
      <c r="E472" s="782"/>
      <c r="F472" s="783"/>
      <c r="G472" s="782"/>
      <c r="H472" s="283"/>
      <c r="I472" s="907"/>
      <c r="J472" s="908"/>
      <c r="K472" s="908"/>
      <c r="L472" s="908"/>
      <c r="M472" s="909"/>
      <c r="N472" s="908"/>
      <c r="O472" s="910"/>
    </row>
    <row r="473">
      <c r="A473" s="785"/>
      <c r="B473" s="786"/>
      <c r="C473" s="786"/>
      <c r="D473" s="786"/>
      <c r="E473" s="785"/>
      <c r="F473" s="783"/>
      <c r="G473" s="782"/>
      <c r="H473" s="283"/>
      <c r="I473" s="911"/>
      <c r="J473" s="861"/>
      <c r="K473" s="861"/>
      <c r="L473" s="861"/>
      <c r="M473" s="911"/>
      <c r="N473" s="861"/>
      <c r="O473" s="863"/>
    </row>
    <row r="474">
      <c r="A474" s="785"/>
      <c r="B474" s="786"/>
      <c r="C474" s="786"/>
      <c r="D474" s="786"/>
      <c r="E474" s="785"/>
      <c r="F474" s="787"/>
      <c r="G474" s="788"/>
      <c r="H474" s="283"/>
      <c r="I474" s="785"/>
      <c r="J474" s="786"/>
      <c r="K474" s="786"/>
      <c r="L474" s="786"/>
      <c r="M474" s="785"/>
      <c r="N474" s="787"/>
      <c r="O474" s="789"/>
    </row>
    <row r="475">
      <c r="A475" s="785"/>
      <c r="B475" s="786"/>
      <c r="C475" s="786"/>
      <c r="D475" s="786"/>
      <c r="E475" s="785"/>
      <c r="F475" s="787"/>
      <c r="G475" s="788"/>
      <c r="H475" s="283"/>
      <c r="I475" s="785"/>
      <c r="J475" s="786"/>
      <c r="K475" s="786"/>
      <c r="L475" s="786"/>
      <c r="M475" s="785"/>
      <c r="N475" s="787"/>
      <c r="O475" s="789"/>
    </row>
    <row r="476">
      <c r="A476" s="785"/>
      <c r="B476" s="786"/>
      <c r="C476" s="786"/>
      <c r="D476" s="786"/>
      <c r="E476" s="785"/>
      <c r="F476" s="787"/>
      <c r="G476" s="788"/>
      <c r="H476" s="283"/>
      <c r="I476" s="785"/>
      <c r="J476" s="786"/>
      <c r="K476" s="786"/>
      <c r="L476" s="786"/>
      <c r="M476" s="785"/>
      <c r="N476" s="787"/>
      <c r="O476" s="789"/>
    </row>
    <row r="477">
      <c r="A477" s="790" t="s">
        <v>711</v>
      </c>
      <c r="B477" s="791"/>
      <c r="C477" s="791"/>
      <c r="D477" s="792"/>
      <c r="E477" s="793">
        <f>SUM(E471:E476)</f>
        <v>2350</v>
      </c>
      <c r="F477" s="794"/>
      <c r="G477" s="793">
        <f>SUM(G471:G476)</f>
        <v>2068</v>
      </c>
      <c r="H477" s="283"/>
      <c r="I477" s="790" t="s">
        <v>711</v>
      </c>
      <c r="J477" s="791"/>
      <c r="K477" s="791"/>
      <c r="L477" s="792"/>
      <c r="M477" s="877">
        <f>SUM(M471:M476)</f>
        <v>1254</v>
      </c>
      <c r="N477" s="794"/>
      <c r="O477" s="793">
        <f>SUM(O471:O476)</f>
        <v>815.1</v>
      </c>
    </row>
    <row r="478">
      <c r="A478" s="796"/>
      <c r="D478" s="798"/>
      <c r="G478" s="799"/>
      <c r="H478" s="283"/>
      <c r="I478" s="796"/>
      <c r="L478" s="798"/>
      <c r="O478" s="799"/>
    </row>
    <row r="479">
      <c r="A479" s="800" t="s">
        <v>712</v>
      </c>
      <c r="B479" s="801"/>
      <c r="C479" s="802"/>
      <c r="G479" s="799"/>
      <c r="H479" s="283"/>
      <c r="I479" s="800" t="s">
        <v>712</v>
      </c>
      <c r="J479" s="803"/>
      <c r="K479" s="804"/>
      <c r="O479" s="799"/>
    </row>
    <row r="480">
      <c r="A480" s="902" t="s">
        <v>1179</v>
      </c>
      <c r="B480" s="806"/>
      <c r="C480" s="807">
        <v>250.0</v>
      </c>
      <c r="G480" s="799"/>
      <c r="H480" s="283"/>
      <c r="I480" s="902" t="s">
        <v>1179</v>
      </c>
      <c r="J480" s="808"/>
      <c r="K480" s="903">
        <v>250.0</v>
      </c>
      <c r="O480" s="799"/>
    </row>
    <row r="481">
      <c r="A481" s="868"/>
      <c r="B481" s="774"/>
      <c r="C481" s="816"/>
      <c r="G481" s="799"/>
      <c r="H481" s="283"/>
      <c r="I481" s="868"/>
      <c r="J481" s="774"/>
      <c r="K481" s="816"/>
      <c r="O481" s="799"/>
    </row>
    <row r="482">
      <c r="A482" s="815"/>
      <c r="B482" s="792"/>
      <c r="C482" s="816"/>
      <c r="G482" s="799"/>
      <c r="H482" s="283"/>
      <c r="I482" s="815"/>
      <c r="J482" s="792"/>
      <c r="K482" s="816"/>
      <c r="O482" s="799"/>
    </row>
    <row r="483">
      <c r="A483" s="817"/>
      <c r="B483" s="774"/>
      <c r="C483" s="818"/>
      <c r="G483" s="799"/>
      <c r="H483" s="283"/>
      <c r="I483" s="817"/>
      <c r="J483" s="774"/>
      <c r="K483" s="818"/>
      <c r="O483" s="799"/>
    </row>
    <row r="484">
      <c r="A484" s="817"/>
      <c r="B484" s="792"/>
      <c r="C484" s="818"/>
      <c r="G484" s="799"/>
      <c r="H484" s="283"/>
      <c r="I484" s="817"/>
      <c r="J484" s="792"/>
      <c r="K484" s="818"/>
      <c r="O484" s="799"/>
    </row>
    <row r="485">
      <c r="A485" s="821" t="s">
        <v>714</v>
      </c>
      <c r="B485" s="822"/>
      <c r="C485" s="823">
        <f>SUM(C480:C484)</f>
        <v>250</v>
      </c>
      <c r="G485" s="799"/>
      <c r="H485" s="283"/>
      <c r="I485" s="821" t="s">
        <v>714</v>
      </c>
      <c r="J485" s="826"/>
      <c r="K485" s="823">
        <f>SUM(K480:K484)</f>
        <v>250</v>
      </c>
      <c r="O485" s="799"/>
    </row>
    <row r="486">
      <c r="A486" s="828"/>
      <c r="C486" s="829"/>
      <c r="G486" s="799"/>
      <c r="H486" s="283"/>
      <c r="I486" s="828"/>
      <c r="K486" s="829"/>
      <c r="O486" s="799"/>
    </row>
    <row r="487">
      <c r="A487" s="830" t="s">
        <v>715</v>
      </c>
      <c r="B487" s="831"/>
      <c r="C487" s="832"/>
      <c r="G487" s="799"/>
      <c r="H487" s="283"/>
      <c r="I487" s="833" t="s">
        <v>715</v>
      </c>
      <c r="J487" s="834"/>
      <c r="K487" s="835"/>
      <c r="O487" s="799"/>
    </row>
    <row r="488">
      <c r="A488" s="836" t="s">
        <v>716</v>
      </c>
      <c r="B488" s="837"/>
      <c r="C488" s="838">
        <v>150.0</v>
      </c>
      <c r="G488" s="799"/>
      <c r="H488" s="283"/>
      <c r="I488" s="839"/>
      <c r="J488" s="840"/>
      <c r="K488" s="841"/>
      <c r="O488" s="799"/>
    </row>
    <row r="489">
      <c r="A489" s="842" t="s">
        <v>717</v>
      </c>
      <c r="B489" s="843"/>
      <c r="C489" s="844">
        <v>400.0</v>
      </c>
      <c r="D489" s="248"/>
      <c r="E489" s="845" t="s">
        <v>1182</v>
      </c>
      <c r="G489" s="846">
        <f>G477+C485-C494</f>
        <v>594.18</v>
      </c>
      <c r="H489" s="283"/>
      <c r="I489" s="847"/>
      <c r="J489" s="848"/>
      <c r="K489" s="849"/>
      <c r="L489" s="248"/>
      <c r="M489" s="845" t="s">
        <v>1183</v>
      </c>
      <c r="O489" s="846">
        <f>O477+K485-K494</f>
        <v>1065.1</v>
      </c>
    </row>
    <row r="490">
      <c r="A490" s="836" t="s">
        <v>718</v>
      </c>
      <c r="B490" s="837"/>
      <c r="C490" s="838">
        <v>200.0</v>
      </c>
      <c r="G490" s="799"/>
      <c r="H490" s="283"/>
      <c r="I490" s="847"/>
      <c r="J490" s="848"/>
      <c r="K490" s="849"/>
      <c r="O490" s="799"/>
    </row>
    <row r="491">
      <c r="A491" s="842" t="s">
        <v>656</v>
      </c>
      <c r="B491" s="843"/>
      <c r="C491" s="844">
        <f>IFERROR(__xludf.DUMMYFUNCTION("FILTER($C$4:$C$30,$B$4:$B$30=E469)"),973.82)</f>
        <v>973.82</v>
      </c>
      <c r="G491" s="799"/>
      <c r="H491" s="283"/>
      <c r="I491" s="847"/>
      <c r="J491" s="848"/>
      <c r="K491" s="849"/>
      <c r="O491" s="799"/>
    </row>
    <row r="492">
      <c r="A492" s="850" t="s">
        <v>1184</v>
      </c>
      <c r="B492" s="851"/>
      <c r="C492" s="852"/>
      <c r="E492" s="248"/>
      <c r="G492" s="799"/>
      <c r="H492" s="283"/>
      <c r="I492" s="847"/>
      <c r="J492" s="848"/>
      <c r="K492" s="849"/>
      <c r="M492" s="248"/>
      <c r="O492" s="799"/>
    </row>
    <row r="493">
      <c r="A493" s="847"/>
      <c r="B493" s="848"/>
      <c r="C493" s="849"/>
      <c r="G493" s="799"/>
      <c r="H493" s="283"/>
      <c r="I493" s="847"/>
      <c r="J493" s="848"/>
      <c r="K493" s="849"/>
      <c r="O493" s="799"/>
    </row>
    <row r="494">
      <c r="A494" s="853" t="s">
        <v>721</v>
      </c>
      <c r="B494" s="854"/>
      <c r="C494" s="855">
        <f>SUM(C488:C493)</f>
        <v>1723.82</v>
      </c>
      <c r="G494" s="799"/>
      <c r="H494" s="283"/>
      <c r="I494" s="853" t="s">
        <v>721</v>
      </c>
      <c r="J494" s="854"/>
      <c r="K494" s="855"/>
      <c r="O494" s="799"/>
    </row>
    <row r="495">
      <c r="A495" s="856"/>
      <c r="B495" s="857"/>
      <c r="C495" s="857"/>
      <c r="D495" s="857"/>
      <c r="E495" s="857"/>
      <c r="F495" s="857"/>
      <c r="G495" s="808"/>
      <c r="H495" s="283"/>
      <c r="I495" s="856"/>
      <c r="J495" s="857"/>
      <c r="K495" s="857"/>
      <c r="L495" s="857"/>
      <c r="M495" s="857"/>
      <c r="N495" s="857"/>
      <c r="O495" s="808"/>
    </row>
    <row r="498">
      <c r="A498" s="769"/>
      <c r="B498" s="770"/>
      <c r="C498" s="770"/>
      <c r="D498" s="771" t="s">
        <v>700</v>
      </c>
      <c r="E498" s="772" t="str">
        <f>E126</f>
        <v>11.24.2025-11.30.2025</v>
      </c>
      <c r="F498" s="773"/>
      <c r="G498" s="774"/>
      <c r="H498" s="305">
        <v>13.0</v>
      </c>
      <c r="I498" s="769"/>
      <c r="J498" s="770"/>
      <c r="K498" s="770"/>
      <c r="L498" s="771" t="s">
        <v>700</v>
      </c>
      <c r="M498" s="772" t="str">
        <f>E126</f>
        <v>11.24.2025-11.30.2025</v>
      </c>
      <c r="N498" s="773"/>
      <c r="O498" s="774"/>
    </row>
    <row r="499">
      <c r="A499" s="775"/>
      <c r="D499" s="771" t="s">
        <v>702</v>
      </c>
      <c r="E499" s="772" t="str">
        <f t="array" ref="E499">XLOOKUP(E500,$Q$973:$Q$1005,$R$973:$R$1005)</f>
        <v>EDT Logistics LLC</v>
      </c>
      <c r="F499" s="773"/>
      <c r="G499" s="774"/>
      <c r="H499" s="858"/>
      <c r="I499" s="775"/>
      <c r="L499" s="771" t="s">
        <v>351</v>
      </c>
      <c r="M499" s="772" t="str">
        <f t="array" ref="M499">XLOOKUP(M500,$L$1:$L$122,$K$1:$K$122)</f>
        <v>GLADIMY JULME</v>
      </c>
      <c r="N499" s="773"/>
      <c r="O499" s="774"/>
    </row>
    <row r="500">
      <c r="A500" s="775"/>
      <c r="D500" s="771" t="s">
        <v>703</v>
      </c>
      <c r="E500" s="778" t="s">
        <v>973</v>
      </c>
      <c r="F500" s="773"/>
      <c r="G500" s="774"/>
      <c r="H500" s="283"/>
      <c r="I500" s="775"/>
      <c r="L500" s="771" t="s">
        <v>703</v>
      </c>
      <c r="M500" s="772" t="str">
        <f>E500</f>
        <v>0659</v>
      </c>
      <c r="N500" s="773"/>
      <c r="O500" s="774"/>
    </row>
    <row r="501">
      <c r="A501" s="779" t="s">
        <v>704</v>
      </c>
      <c r="B501" s="779" t="s">
        <v>5</v>
      </c>
      <c r="C501" s="779" t="s">
        <v>6</v>
      </c>
      <c r="D501" s="779" t="s">
        <v>7</v>
      </c>
      <c r="E501" s="779" t="s">
        <v>8</v>
      </c>
      <c r="F501" s="779" t="s">
        <v>706</v>
      </c>
      <c r="G501" s="779" t="s">
        <v>707</v>
      </c>
      <c r="H501" s="34"/>
      <c r="I501" s="779" t="s">
        <v>704</v>
      </c>
      <c r="J501" s="779" t="s">
        <v>5</v>
      </c>
      <c r="K501" s="779" t="s">
        <v>6</v>
      </c>
      <c r="L501" s="779" t="s">
        <v>7</v>
      </c>
      <c r="M501" s="779" t="s">
        <v>1178</v>
      </c>
      <c r="N501" s="779" t="s">
        <v>839</v>
      </c>
      <c r="O501" s="779" t="s">
        <v>707</v>
      </c>
    </row>
    <row r="502">
      <c r="A502" s="780">
        <f>IFERROR(__xludf.DUMMYFUNCTION("FILTER($D$3:$H$122,$L$3:$L$122=E500)"),45986.0)</f>
        <v>45986</v>
      </c>
      <c r="B502" s="781">
        <f>IFERROR(__xludf.DUMMYFUNCTION("""COMPUTED_VALUE"""),5.35758159E8)</f>
        <v>535758159</v>
      </c>
      <c r="C502" s="781" t="str">
        <f>IFERROR(__xludf.DUMMYFUNCTION("""COMPUTED_VALUE"""),"Shafter, CA, 93263")</f>
        <v>Shafter, CA, 93263</v>
      </c>
      <c r="D502" s="781" t="str">
        <f>IFERROR(__xludf.DUMMYFUNCTION("""COMPUTED_VALUE"""),"Fremont, CA, 94538")</f>
        <v>Fremont, CA, 94538</v>
      </c>
      <c r="E502" s="782">
        <f>IFERROR(__xludf.DUMMYFUNCTION("""COMPUTED_VALUE"""),708.8)</f>
        <v>708.8</v>
      </c>
      <c r="F502" s="783">
        <v>0.88</v>
      </c>
      <c r="G502" s="782">
        <f t="shared" ref="G502:G504" si="17">E502*F502</f>
        <v>623.744</v>
      </c>
      <c r="H502" s="283"/>
      <c r="I502" s="780">
        <f>IFERROR(__xludf.DUMMYFUNCTION("FILTER($D$3:$G$122,$L$3:$L$122=M500)"),45986.0)</f>
        <v>45986</v>
      </c>
      <c r="J502" s="781">
        <f>IFERROR(__xludf.DUMMYFUNCTION("""COMPUTED_VALUE"""),5.35758159E8)</f>
        <v>535758159</v>
      </c>
      <c r="K502" s="781" t="str">
        <f>IFERROR(__xludf.DUMMYFUNCTION("""COMPUTED_VALUE"""),"Shafter, CA, 93263")</f>
        <v>Shafter, CA, 93263</v>
      </c>
      <c r="L502" s="781" t="str">
        <f>IFERROR(__xludf.DUMMYFUNCTION("""COMPUTED_VALUE"""),"Fremont, CA, 94538")</f>
        <v>Fremont, CA, 94538</v>
      </c>
      <c r="M502" s="880">
        <f>IFERROR(__xludf.DUMMYFUNCTION("FILTER($I$3:$I$122,$L$3:$L$122=M500)"),352.0)</f>
        <v>352</v>
      </c>
      <c r="N502" s="781">
        <v>0.65</v>
      </c>
      <c r="O502" s="782">
        <f t="shared" ref="O502:O504" si="18">M502*N502</f>
        <v>228.8</v>
      </c>
    </row>
    <row r="503">
      <c r="A503" s="780">
        <f>IFERROR(__xludf.DUMMYFUNCTION("""COMPUTED_VALUE"""),45987.0)</f>
        <v>45987</v>
      </c>
      <c r="B503" s="781">
        <f>IFERROR(__xludf.DUMMYFUNCTION("""COMPUTED_VALUE"""),2.0714865E7)</f>
        <v>20714865</v>
      </c>
      <c r="C503" s="781" t="str">
        <f>IFERROR(__xludf.DUMMYFUNCTION("""COMPUTED_VALUE"""),"Salinas, CA, 93901")</f>
        <v>Salinas, CA, 93901</v>
      </c>
      <c r="D503" s="781" t="str">
        <f>IFERROR(__xludf.DUMMYFUNCTION("""COMPUTED_VALUE"""),"Apple Valley, CA, 92307")</f>
        <v>Apple Valley, CA, 92307</v>
      </c>
      <c r="E503" s="782">
        <f>IFERROR(__xludf.DUMMYFUNCTION("""COMPUTED_VALUE"""),800.0)</f>
        <v>800</v>
      </c>
      <c r="F503" s="783">
        <v>0.88</v>
      </c>
      <c r="G503" s="782">
        <f t="shared" si="17"/>
        <v>704</v>
      </c>
      <c r="H503" s="283"/>
      <c r="I503" s="881">
        <f>IFERROR(__xludf.DUMMYFUNCTION("""COMPUTED_VALUE"""),45987.0)</f>
        <v>45987</v>
      </c>
      <c r="J503" s="882">
        <f>IFERROR(__xludf.DUMMYFUNCTION("""COMPUTED_VALUE"""),2.0714865E7)</f>
        <v>20714865</v>
      </c>
      <c r="K503" s="882" t="str">
        <f>IFERROR(__xludf.DUMMYFUNCTION("""COMPUTED_VALUE"""),"Salinas, CA, 93901")</f>
        <v>Salinas, CA, 93901</v>
      </c>
      <c r="L503" s="882" t="str">
        <f>IFERROR(__xludf.DUMMYFUNCTION("""COMPUTED_VALUE"""),"Apple Valley, CA, 92307")</f>
        <v>Apple Valley, CA, 92307</v>
      </c>
      <c r="M503" s="896">
        <f>IFERROR(__xludf.DUMMYFUNCTION("""COMPUTED_VALUE"""),430.0)</f>
        <v>430</v>
      </c>
      <c r="N503" s="781">
        <v>0.65</v>
      </c>
      <c r="O503" s="782">
        <f t="shared" si="18"/>
        <v>279.5</v>
      </c>
    </row>
    <row r="504">
      <c r="A504" s="883">
        <f>IFERROR(__xludf.DUMMYFUNCTION("""COMPUTED_VALUE"""),45989.0)</f>
        <v>45989</v>
      </c>
      <c r="B504" s="786" t="str">
        <f>IFERROR(__xludf.DUMMYFUNCTION("""COMPUTED_VALUE"""),"OR463319")</f>
        <v>OR463319</v>
      </c>
      <c r="C504" s="786" t="str">
        <f>IFERROR(__xludf.DUMMYFUNCTION("""COMPUTED_VALUE"""),"Ontario, CA, 91761")</f>
        <v>Ontario, CA, 91761</v>
      </c>
      <c r="D504" s="786" t="str">
        <f>IFERROR(__xludf.DUMMYFUNCTION("""COMPUTED_VALUE"""),"Charlotte, NC, 28214")</f>
        <v>Charlotte, NC, 28214</v>
      </c>
      <c r="E504" s="884">
        <f>IFERROR(__xludf.DUMMYFUNCTION("""COMPUTED_VALUE"""),6535.0)</f>
        <v>6535</v>
      </c>
      <c r="F504" s="783">
        <v>0.88</v>
      </c>
      <c r="G504" s="782">
        <f t="shared" si="17"/>
        <v>5750.8</v>
      </c>
      <c r="H504" s="283"/>
      <c r="I504" s="883">
        <f>IFERROR(__xludf.DUMMYFUNCTION("""COMPUTED_VALUE"""),45989.0)</f>
        <v>45989</v>
      </c>
      <c r="J504" s="786" t="str">
        <f>IFERROR(__xludf.DUMMYFUNCTION("""COMPUTED_VALUE"""),"OR463319")</f>
        <v>OR463319</v>
      </c>
      <c r="K504" s="786" t="str">
        <f>IFERROR(__xludf.DUMMYFUNCTION("""COMPUTED_VALUE"""),"Ontario, CA, 91761")</f>
        <v>Ontario, CA, 91761</v>
      </c>
      <c r="L504" s="786" t="str">
        <f>IFERROR(__xludf.DUMMYFUNCTION("""COMPUTED_VALUE"""),"Charlotte, NC, 28214")</f>
        <v>Charlotte, NC, 28214</v>
      </c>
      <c r="M504" s="880">
        <f>IFERROR(__xludf.DUMMYFUNCTION("""COMPUTED_VALUE"""),2663.0)</f>
        <v>2663</v>
      </c>
      <c r="N504" s="781">
        <v>0.65</v>
      </c>
      <c r="O504" s="782">
        <f t="shared" si="18"/>
        <v>1730.95</v>
      </c>
    </row>
    <row r="505">
      <c r="A505" s="785"/>
      <c r="B505" s="786"/>
      <c r="C505" s="786"/>
      <c r="D505" s="786"/>
      <c r="E505" s="785"/>
      <c r="F505" s="787"/>
      <c r="G505" s="782"/>
      <c r="H505" s="283"/>
      <c r="I505" s="785"/>
      <c r="J505" s="786"/>
      <c r="K505" s="786"/>
      <c r="L505" s="786"/>
      <c r="M505" s="785"/>
      <c r="N505" s="787"/>
      <c r="O505" s="789"/>
    </row>
    <row r="506">
      <c r="A506" s="785"/>
      <c r="B506" s="786"/>
      <c r="C506" s="786"/>
      <c r="D506" s="786"/>
      <c r="E506" s="785"/>
      <c r="F506" s="787"/>
      <c r="G506" s="788"/>
      <c r="H506" s="283"/>
      <c r="I506" s="785"/>
      <c r="J506" s="786"/>
      <c r="K506" s="786"/>
      <c r="L506" s="786"/>
      <c r="M506" s="785"/>
      <c r="N506" s="787"/>
      <c r="O506" s="789"/>
    </row>
    <row r="507">
      <c r="A507" s="785"/>
      <c r="B507" s="786"/>
      <c r="C507" s="786"/>
      <c r="D507" s="786"/>
      <c r="E507" s="785"/>
      <c r="F507" s="787"/>
      <c r="G507" s="788"/>
      <c r="H507" s="283"/>
      <c r="I507" s="785"/>
      <c r="J507" s="786"/>
      <c r="K507" s="786"/>
      <c r="L507" s="786"/>
      <c r="M507" s="785"/>
      <c r="N507" s="787"/>
      <c r="O507" s="789"/>
    </row>
    <row r="508">
      <c r="A508" s="790" t="s">
        <v>711</v>
      </c>
      <c r="B508" s="791"/>
      <c r="C508" s="791"/>
      <c r="D508" s="792"/>
      <c r="E508" s="793">
        <f>SUM(E502:E507)</f>
        <v>8043.8</v>
      </c>
      <c r="F508" s="794"/>
      <c r="G508" s="793">
        <f>SUM(G502:G507)</f>
        <v>7078.544</v>
      </c>
      <c r="H508" s="283"/>
      <c r="I508" s="790" t="s">
        <v>711</v>
      </c>
      <c r="J508" s="791"/>
      <c r="K508" s="791"/>
      <c r="L508" s="792"/>
      <c r="M508" s="877">
        <f>SUM(M502:M507)</f>
        <v>3445</v>
      </c>
      <c r="N508" s="794"/>
      <c r="O508" s="793">
        <f>SUM(O502:O507)</f>
        <v>2239.25</v>
      </c>
    </row>
    <row r="509">
      <c r="A509" s="796"/>
      <c r="D509" s="798"/>
      <c r="G509" s="799"/>
      <c r="H509" s="283"/>
      <c r="I509" s="796"/>
      <c r="L509" s="798"/>
      <c r="O509" s="799"/>
    </row>
    <row r="510">
      <c r="A510" s="800" t="s">
        <v>712</v>
      </c>
      <c r="B510" s="801"/>
      <c r="C510" s="802"/>
      <c r="G510" s="799"/>
      <c r="H510" s="283"/>
      <c r="I510" s="800" t="s">
        <v>712</v>
      </c>
      <c r="J510" s="803"/>
      <c r="K510" s="804"/>
      <c r="O510" s="799"/>
    </row>
    <row r="511">
      <c r="A511" s="902" t="s">
        <v>1194</v>
      </c>
      <c r="B511" s="806"/>
      <c r="C511" s="812">
        <v>250.0</v>
      </c>
      <c r="G511" s="799"/>
      <c r="H511" s="283"/>
      <c r="I511" s="902" t="s">
        <v>1194</v>
      </c>
      <c r="J511" s="808"/>
      <c r="K511" s="809">
        <v>250.0</v>
      </c>
      <c r="O511" s="799"/>
    </row>
    <row r="512">
      <c r="A512" s="813" t="s">
        <v>763</v>
      </c>
      <c r="B512" s="898"/>
      <c r="C512" s="899">
        <v>20.0</v>
      </c>
      <c r="G512" s="799"/>
      <c r="H512" s="283"/>
      <c r="I512" s="813" t="s">
        <v>1195</v>
      </c>
      <c r="J512" s="774"/>
      <c r="K512" s="816">
        <v>318.95</v>
      </c>
      <c r="O512" s="799"/>
    </row>
    <row r="513">
      <c r="A513" s="815"/>
      <c r="B513" s="792"/>
      <c r="C513" s="816"/>
      <c r="G513" s="799"/>
      <c r="H513" s="283"/>
      <c r="I513" s="912" t="s">
        <v>1196</v>
      </c>
      <c r="J513" s="792"/>
      <c r="K513" s="814">
        <v>20.0</v>
      </c>
      <c r="O513" s="799"/>
    </row>
    <row r="514">
      <c r="A514" s="817"/>
      <c r="B514" s="774"/>
      <c r="C514" s="818"/>
      <c r="G514" s="799"/>
      <c r="H514" s="283"/>
      <c r="I514" s="817"/>
      <c r="J514" s="774"/>
      <c r="K514" s="818"/>
      <c r="O514" s="799"/>
    </row>
    <row r="515">
      <c r="A515" s="817"/>
      <c r="B515" s="792"/>
      <c r="C515" s="818"/>
      <c r="G515" s="799"/>
      <c r="H515" s="283"/>
      <c r="I515" s="817"/>
      <c r="J515" s="792"/>
      <c r="K515" s="818"/>
      <c r="O515" s="799"/>
    </row>
    <row r="516">
      <c r="A516" s="821" t="s">
        <v>714</v>
      </c>
      <c r="B516" s="822"/>
      <c r="C516" s="823">
        <f>SUM(C511:C515)</f>
        <v>270</v>
      </c>
      <c r="G516" s="799"/>
      <c r="H516" s="283"/>
      <c r="I516" s="821" t="s">
        <v>714</v>
      </c>
      <c r="J516" s="826"/>
      <c r="K516" s="827">
        <f>SUM(K511:K515)</f>
        <v>588.95</v>
      </c>
      <c r="O516" s="799"/>
    </row>
    <row r="517">
      <c r="A517" s="828"/>
      <c r="C517" s="829"/>
      <c r="G517" s="799"/>
      <c r="H517" s="283"/>
      <c r="I517" s="828"/>
      <c r="K517" s="829"/>
      <c r="O517" s="799"/>
    </row>
    <row r="518">
      <c r="A518" s="830" t="s">
        <v>715</v>
      </c>
      <c r="B518" s="831"/>
      <c r="C518" s="832"/>
      <c r="G518" s="799"/>
      <c r="H518" s="283"/>
      <c r="I518" s="833" t="s">
        <v>715</v>
      </c>
      <c r="J518" s="834"/>
      <c r="K518" s="835"/>
      <c r="O518" s="799"/>
    </row>
    <row r="519">
      <c r="A519" s="836" t="s">
        <v>716</v>
      </c>
      <c r="B519" s="837"/>
      <c r="C519" s="838">
        <v>150.0</v>
      </c>
      <c r="G519" s="799"/>
      <c r="H519" s="283"/>
      <c r="I519" s="839"/>
      <c r="J519" s="840"/>
      <c r="K519" s="841"/>
      <c r="O519" s="799"/>
    </row>
    <row r="520">
      <c r="A520" s="842" t="s">
        <v>717</v>
      </c>
      <c r="B520" s="843"/>
      <c r="C520" s="844">
        <v>400.0</v>
      </c>
      <c r="D520" s="248"/>
      <c r="E520" s="845" t="s">
        <v>1182</v>
      </c>
      <c r="G520" s="846">
        <f>G508+C516-C525</f>
        <v>3925.424</v>
      </c>
      <c r="H520" s="283"/>
      <c r="I520" s="847"/>
      <c r="J520" s="848"/>
      <c r="K520" s="849"/>
      <c r="L520" s="248"/>
      <c r="M520" s="845" t="s">
        <v>1183</v>
      </c>
      <c r="O520" s="846">
        <f>O508+K516-K525</f>
        <v>2828.2</v>
      </c>
    </row>
    <row r="521">
      <c r="A521" s="836" t="s">
        <v>718</v>
      </c>
      <c r="B521" s="837"/>
      <c r="C521" s="838">
        <v>200.0</v>
      </c>
      <c r="G521" s="799"/>
      <c r="H521" s="283"/>
      <c r="I521" s="847"/>
      <c r="J521" s="848"/>
      <c r="K521" s="849"/>
      <c r="O521" s="799"/>
    </row>
    <row r="522">
      <c r="A522" s="842" t="s">
        <v>656</v>
      </c>
      <c r="B522" s="843"/>
      <c r="C522" s="844">
        <f>IFERROR(__xludf.DUMMYFUNCTION("FILTER($C$4:$C$30,$B$4:$B$30=E500)"),2673.12)</f>
        <v>2673.12</v>
      </c>
      <c r="G522" s="799"/>
      <c r="H522" s="283"/>
      <c r="I522" s="847"/>
      <c r="J522" s="848"/>
      <c r="K522" s="849"/>
      <c r="O522" s="799"/>
    </row>
    <row r="523">
      <c r="A523" s="850" t="s">
        <v>1184</v>
      </c>
      <c r="B523" s="851"/>
      <c r="C523" s="852"/>
      <c r="E523" s="248"/>
      <c r="G523" s="799"/>
      <c r="H523" s="283"/>
      <c r="I523" s="847"/>
      <c r="J523" s="848"/>
      <c r="K523" s="849"/>
      <c r="M523" s="248"/>
      <c r="O523" s="799"/>
    </row>
    <row r="524">
      <c r="A524" s="847"/>
      <c r="B524" s="848"/>
      <c r="C524" s="849"/>
      <c r="G524" s="799"/>
      <c r="H524" s="283"/>
      <c r="I524" s="847"/>
      <c r="J524" s="848"/>
      <c r="K524" s="849"/>
      <c r="O524" s="799"/>
    </row>
    <row r="525">
      <c r="A525" s="853" t="s">
        <v>721</v>
      </c>
      <c r="B525" s="854"/>
      <c r="C525" s="855">
        <f>SUM(C519:C524)</f>
        <v>3423.12</v>
      </c>
      <c r="G525" s="799"/>
      <c r="H525" s="283"/>
      <c r="I525" s="853" t="s">
        <v>721</v>
      </c>
      <c r="J525" s="854"/>
      <c r="K525" s="855"/>
      <c r="O525" s="799"/>
    </row>
    <row r="526">
      <c r="A526" s="856"/>
      <c r="B526" s="857"/>
      <c r="C526" s="857"/>
      <c r="D526" s="857"/>
      <c r="E526" s="857"/>
      <c r="F526" s="857"/>
      <c r="G526" s="808"/>
      <c r="H526" s="283"/>
      <c r="I526" s="856"/>
      <c r="J526" s="857"/>
      <c r="K526" s="857"/>
      <c r="L526" s="857"/>
      <c r="M526" s="857"/>
      <c r="N526" s="857"/>
      <c r="O526" s="808"/>
    </row>
    <row r="529">
      <c r="A529" s="769"/>
      <c r="B529" s="770"/>
      <c r="C529" s="770"/>
      <c r="D529" s="771" t="s">
        <v>700</v>
      </c>
      <c r="E529" s="772" t="str">
        <f>E126</f>
        <v>11.24.2025-11.30.2025</v>
      </c>
      <c r="F529" s="773"/>
      <c r="G529" s="774"/>
      <c r="H529" s="305">
        <v>14.0</v>
      </c>
      <c r="I529" s="769"/>
      <c r="J529" s="770"/>
      <c r="K529" s="770"/>
      <c r="L529" s="771" t="s">
        <v>700</v>
      </c>
      <c r="M529" s="772" t="str">
        <f>E126</f>
        <v>11.24.2025-11.30.2025</v>
      </c>
      <c r="N529" s="773"/>
      <c r="O529" s="774"/>
    </row>
    <row r="530">
      <c r="A530" s="775"/>
      <c r="D530" s="771" t="s">
        <v>702</v>
      </c>
      <c r="E530" s="772" t="str">
        <f t="array" ref="E530">XLOOKUP(E531,$Q$973:$Q$1005,$R$973:$R$1005)</f>
        <v>Beycan LLC</v>
      </c>
      <c r="F530" s="773"/>
      <c r="G530" s="774"/>
      <c r="H530" s="858"/>
      <c r="I530" s="775"/>
      <c r="L530" s="771" t="s">
        <v>351</v>
      </c>
      <c r="M530" s="772" t="str">
        <f t="array" ref="M530">XLOOKUP(M531,$L$1:$L$122,$K$1:$K$122)</f>
        <v>YVENSO BOSQUET</v>
      </c>
      <c r="N530" s="773"/>
      <c r="O530" s="774"/>
    </row>
    <row r="531">
      <c r="A531" s="775"/>
      <c r="D531" s="771" t="s">
        <v>703</v>
      </c>
      <c r="E531" s="772">
        <v>3301.0</v>
      </c>
      <c r="F531" s="773"/>
      <c r="G531" s="774"/>
      <c r="H531" s="283"/>
      <c r="I531" s="775"/>
      <c r="L531" s="771" t="s">
        <v>703</v>
      </c>
      <c r="M531" s="772">
        <f>E531</f>
        <v>3301</v>
      </c>
      <c r="N531" s="773"/>
      <c r="O531" s="774"/>
    </row>
    <row r="532">
      <c r="A532" s="779" t="s">
        <v>704</v>
      </c>
      <c r="B532" s="779" t="s">
        <v>5</v>
      </c>
      <c r="C532" s="779" t="s">
        <v>6</v>
      </c>
      <c r="D532" s="779" t="s">
        <v>7</v>
      </c>
      <c r="E532" s="779" t="s">
        <v>8</v>
      </c>
      <c r="F532" s="779" t="s">
        <v>706</v>
      </c>
      <c r="G532" s="779" t="s">
        <v>707</v>
      </c>
      <c r="H532" s="34"/>
      <c r="I532" s="779" t="s">
        <v>704</v>
      </c>
      <c r="J532" s="779" t="s">
        <v>5</v>
      </c>
      <c r="K532" s="779" t="s">
        <v>6</v>
      </c>
      <c r="L532" s="779" t="s">
        <v>7</v>
      </c>
      <c r="M532" s="779" t="s">
        <v>1178</v>
      </c>
      <c r="N532" s="779" t="s">
        <v>839</v>
      </c>
      <c r="O532" s="779" t="s">
        <v>707</v>
      </c>
    </row>
    <row r="533">
      <c r="A533" s="780">
        <f>IFERROR(__xludf.DUMMYFUNCTION("FILTER($D$3:$H$122,$L$3:$L$122=E531)"),45985.0)</f>
        <v>45985</v>
      </c>
      <c r="B533" s="781">
        <f>IFERROR(__xludf.DUMMYFUNCTION("""COMPUTED_VALUE"""),5.3548805E8)</f>
        <v>535488050</v>
      </c>
      <c r="C533" s="781" t="str">
        <f>IFERROR(__xludf.DUMMYFUNCTION("""COMPUTED_VALUE"""),"Philadelphia, PA, 19134")</f>
        <v>Philadelphia, PA, 19134</v>
      </c>
      <c r="D533" s="781" t="str">
        <f>IFERROR(__xludf.DUMMYFUNCTION("""COMPUTED_VALUE"""),"Circleville, OH, 43113")</f>
        <v>Circleville, OH, 43113</v>
      </c>
      <c r="E533" s="782">
        <f>IFERROR(__xludf.DUMMYFUNCTION("""COMPUTED_VALUE"""),820.0)</f>
        <v>820</v>
      </c>
      <c r="F533" s="783">
        <v>0.88</v>
      </c>
      <c r="G533" s="782">
        <f t="shared" ref="G533:G537" si="19">E533*F533</f>
        <v>721.6</v>
      </c>
      <c r="H533" s="283"/>
      <c r="I533" s="883">
        <f>IFERROR(__xludf.DUMMYFUNCTION("FILTER($D$3:$G$122,$L$3:$L$122=M531)"),45985.0)</f>
        <v>45985</v>
      </c>
      <c r="J533" s="786">
        <f>IFERROR(__xludf.DUMMYFUNCTION("""COMPUTED_VALUE"""),5.3548805E8)</f>
        <v>535488050</v>
      </c>
      <c r="K533" s="786" t="str">
        <f>IFERROR(__xludf.DUMMYFUNCTION("""COMPUTED_VALUE"""),"Philadelphia, PA, 19134")</f>
        <v>Philadelphia, PA, 19134</v>
      </c>
      <c r="L533" s="786" t="str">
        <f>IFERROR(__xludf.DUMMYFUNCTION("""COMPUTED_VALUE"""),"Circleville, OH, 43113")</f>
        <v>Circleville, OH, 43113</v>
      </c>
      <c r="M533" s="880">
        <f>IFERROR(__xludf.DUMMYFUNCTION("FILTER($I$3:$I$122,$L$3:$L$122=M531)"),498.0)</f>
        <v>498</v>
      </c>
      <c r="N533" s="861">
        <v>0.65</v>
      </c>
      <c r="O533" s="863">
        <f t="shared" ref="O533:O537" si="20">M533*N533</f>
        <v>323.7</v>
      </c>
    </row>
    <row r="534">
      <c r="A534" s="780">
        <f>IFERROR(__xludf.DUMMYFUNCTION("""COMPUTED_VALUE"""),45986.0)</f>
        <v>45986</v>
      </c>
      <c r="B534" s="781" t="str">
        <f>IFERROR(__xludf.DUMMYFUNCTION("""COMPUTED_VALUE"""),"TR-0000464066-01")</f>
        <v>TR-0000464066-01</v>
      </c>
      <c r="C534" s="781" t="str">
        <f>IFERROR(__xludf.DUMMYFUNCTION("""COMPUTED_VALUE"""),"New Concord, OH, 43762")</f>
        <v>New Concord, OH, 43762</v>
      </c>
      <c r="D534" s="781" t="str">
        <f>IFERROR(__xludf.DUMMYFUNCTION("""COMPUTED_VALUE"""),"Front Royal, VA, 22630")</f>
        <v>Front Royal, VA, 22630</v>
      </c>
      <c r="E534" s="782">
        <f>IFERROR(__xludf.DUMMYFUNCTION("""COMPUTED_VALUE"""),1600.0)</f>
        <v>1600</v>
      </c>
      <c r="F534" s="783">
        <v>0.88</v>
      </c>
      <c r="G534" s="782">
        <f t="shared" si="19"/>
        <v>1408</v>
      </c>
      <c r="H534" s="283"/>
      <c r="I534" s="883">
        <f>IFERROR(__xludf.DUMMYFUNCTION("""COMPUTED_VALUE"""),45986.0)</f>
        <v>45986</v>
      </c>
      <c r="J534" s="786" t="str">
        <f>IFERROR(__xludf.DUMMYFUNCTION("""COMPUTED_VALUE"""),"TR-0000464066-01")</f>
        <v>TR-0000464066-01</v>
      </c>
      <c r="K534" s="786" t="str">
        <f>IFERROR(__xludf.DUMMYFUNCTION("""COMPUTED_VALUE"""),"New Concord, OH, 43762")</f>
        <v>New Concord, OH, 43762</v>
      </c>
      <c r="L534" s="786" t="str">
        <f>IFERROR(__xludf.DUMMYFUNCTION("""COMPUTED_VALUE"""),"Front Royal, VA, 22630")</f>
        <v>Front Royal, VA, 22630</v>
      </c>
      <c r="M534" s="880">
        <f>IFERROR(__xludf.DUMMYFUNCTION("""COMPUTED_VALUE"""),357.0)</f>
        <v>357</v>
      </c>
      <c r="N534" s="861">
        <v>0.65</v>
      </c>
      <c r="O534" s="863">
        <f t="shared" si="20"/>
        <v>232.05</v>
      </c>
    </row>
    <row r="535">
      <c r="A535" s="883">
        <f>IFERROR(__xludf.DUMMYFUNCTION("""COMPUTED_VALUE"""),45987.0)</f>
        <v>45987</v>
      </c>
      <c r="B535" s="786" t="str">
        <f>IFERROR(__xludf.DUMMYFUNCTION("""COMPUTED_VALUE"""),"TR-0000464915-01")</f>
        <v>TR-0000464915-01</v>
      </c>
      <c r="C535" s="786" t="str">
        <f>IFERROR(__xludf.DUMMYFUNCTION("""COMPUTED_VALUE"""),"Inwood, WV, 25405")</f>
        <v>Inwood, WV, 25405</v>
      </c>
      <c r="D535" s="786" t="str">
        <f>IFERROR(__xludf.DUMMYFUNCTION("""COMPUTED_VALUE"""),"Wilmer, TX, 75172")</f>
        <v>Wilmer, TX, 75172</v>
      </c>
      <c r="E535" s="884">
        <f>IFERROR(__xludf.DUMMYFUNCTION("""COMPUTED_VALUE"""),1900.0)</f>
        <v>1900</v>
      </c>
      <c r="F535" s="783">
        <v>0.88</v>
      </c>
      <c r="G535" s="782">
        <f t="shared" si="19"/>
        <v>1672</v>
      </c>
      <c r="H535" s="283"/>
      <c r="I535" s="883">
        <f>IFERROR(__xludf.DUMMYFUNCTION("""COMPUTED_VALUE"""),45987.0)</f>
        <v>45987</v>
      </c>
      <c r="J535" s="786" t="str">
        <f>IFERROR(__xludf.DUMMYFUNCTION("""COMPUTED_VALUE"""),"TR-0000464915-01")</f>
        <v>TR-0000464915-01</v>
      </c>
      <c r="K535" s="786" t="str">
        <f>IFERROR(__xludf.DUMMYFUNCTION("""COMPUTED_VALUE"""),"Inwood, WV, 25405")</f>
        <v>Inwood, WV, 25405</v>
      </c>
      <c r="L535" s="786" t="str">
        <f>IFERROR(__xludf.DUMMYFUNCTION("""COMPUTED_VALUE"""),"Wilmer, TX, 75172")</f>
        <v>Wilmer, TX, 75172</v>
      </c>
      <c r="M535" s="880">
        <f>IFERROR(__xludf.DUMMYFUNCTION("""COMPUTED_VALUE"""),1346.0)</f>
        <v>1346</v>
      </c>
      <c r="N535" s="861">
        <v>0.65</v>
      </c>
      <c r="O535" s="863">
        <f t="shared" si="20"/>
        <v>874.9</v>
      </c>
    </row>
    <row r="536">
      <c r="A536" s="883">
        <f>IFERROR(__xludf.DUMMYFUNCTION("""COMPUTED_VALUE"""),45989.0)</f>
        <v>45989</v>
      </c>
      <c r="B536" s="786">
        <f>IFERROR(__xludf.DUMMYFUNCTION("""COMPUTED_VALUE"""),396969.0)</f>
        <v>396969</v>
      </c>
      <c r="C536" s="786" t="str">
        <f>IFERROR(__xludf.DUMMYFUNCTION("""COMPUTED_VALUE"""),"Fort Worth, TX, 76140")</f>
        <v>Fort Worth, TX, 76140</v>
      </c>
      <c r="D536" s="786" t="str">
        <f>IFERROR(__xludf.DUMMYFUNCTION("""COMPUTED_VALUE"""),"Clarksville, AR, 72830")</f>
        <v>Clarksville, AR, 72830</v>
      </c>
      <c r="E536" s="884">
        <f>IFERROR(__xludf.DUMMYFUNCTION("""COMPUTED_VALUE"""),870.0)</f>
        <v>870</v>
      </c>
      <c r="F536" s="783">
        <v>0.88</v>
      </c>
      <c r="G536" s="782">
        <f t="shared" si="19"/>
        <v>765.6</v>
      </c>
      <c r="H536" s="283"/>
      <c r="I536" s="883">
        <f>IFERROR(__xludf.DUMMYFUNCTION("""COMPUTED_VALUE"""),45989.0)</f>
        <v>45989</v>
      </c>
      <c r="J536" s="786">
        <f>IFERROR(__xludf.DUMMYFUNCTION("""COMPUTED_VALUE"""),396969.0)</f>
        <v>396969</v>
      </c>
      <c r="K536" s="786" t="str">
        <f>IFERROR(__xludf.DUMMYFUNCTION("""COMPUTED_VALUE"""),"Fort Worth, TX, 76140")</f>
        <v>Fort Worth, TX, 76140</v>
      </c>
      <c r="L536" s="786" t="str">
        <f>IFERROR(__xludf.DUMMYFUNCTION("""COMPUTED_VALUE"""),"Clarksville, AR, 72830")</f>
        <v>Clarksville, AR, 72830</v>
      </c>
      <c r="M536" s="880">
        <f>IFERROR(__xludf.DUMMYFUNCTION("""COMPUTED_VALUE"""),397.0)</f>
        <v>397</v>
      </c>
      <c r="N536" s="861">
        <v>0.65</v>
      </c>
      <c r="O536" s="863">
        <f t="shared" si="20"/>
        <v>258.05</v>
      </c>
    </row>
    <row r="537">
      <c r="A537" s="883">
        <f>IFERROR(__xludf.DUMMYFUNCTION("""COMPUTED_VALUE"""),45990.0)</f>
        <v>45990</v>
      </c>
      <c r="B537" s="786" t="str">
        <f>IFERROR(__xludf.DUMMYFUNCTION("""COMPUTED_VALUE"""),"TR-0000465566-01")</f>
        <v>TR-0000465566-01</v>
      </c>
      <c r="C537" s="786" t="str">
        <f>IFERROR(__xludf.DUMMYFUNCTION("""COMPUTED_VALUE"""),"Piney, AR, 71913")</f>
        <v>Piney, AR, 71913</v>
      </c>
      <c r="D537" s="786" t="str">
        <f>IFERROR(__xludf.DUMMYFUNCTION("""COMPUTED_VALUE"""),"Vermont Heights, FL, 32033")</f>
        <v>Vermont Heights, FL, 32033</v>
      </c>
      <c r="E537" s="884">
        <f>IFERROR(__xludf.DUMMYFUNCTION("""COMPUTED_VALUE"""),2100.0)</f>
        <v>2100</v>
      </c>
      <c r="F537" s="783">
        <v>0.88</v>
      </c>
      <c r="G537" s="782">
        <f t="shared" si="19"/>
        <v>1848</v>
      </c>
      <c r="H537" s="283"/>
      <c r="I537" s="883">
        <f>IFERROR(__xludf.DUMMYFUNCTION("""COMPUTED_VALUE"""),45990.0)</f>
        <v>45990</v>
      </c>
      <c r="J537" s="786" t="str">
        <f>IFERROR(__xludf.DUMMYFUNCTION("""COMPUTED_VALUE"""),"TR-0000465566-01")</f>
        <v>TR-0000465566-01</v>
      </c>
      <c r="K537" s="786" t="str">
        <f>IFERROR(__xludf.DUMMYFUNCTION("""COMPUTED_VALUE"""),"Piney, AR, 71913")</f>
        <v>Piney, AR, 71913</v>
      </c>
      <c r="L537" s="786" t="str">
        <f>IFERROR(__xludf.DUMMYFUNCTION("""COMPUTED_VALUE"""),"Vermont Heights, FL, 32033")</f>
        <v>Vermont Heights, FL, 32033</v>
      </c>
      <c r="M537" s="880">
        <f>IFERROR(__xludf.DUMMYFUNCTION("""COMPUTED_VALUE"""),1012.0)</f>
        <v>1012</v>
      </c>
      <c r="N537" s="861">
        <v>0.65</v>
      </c>
      <c r="O537" s="863">
        <f t="shared" si="20"/>
        <v>657.8</v>
      </c>
    </row>
    <row r="538">
      <c r="A538" s="785"/>
      <c r="B538" s="786"/>
      <c r="C538" s="786"/>
      <c r="D538" s="786"/>
      <c r="E538" s="785"/>
      <c r="F538" s="787"/>
      <c r="G538" s="788"/>
      <c r="H538" s="283"/>
      <c r="I538" s="785"/>
      <c r="J538" s="786"/>
      <c r="K538" s="786"/>
      <c r="L538" s="786"/>
      <c r="M538" s="785"/>
      <c r="N538" s="787"/>
      <c r="O538" s="789"/>
    </row>
    <row r="539">
      <c r="A539" s="790" t="s">
        <v>711</v>
      </c>
      <c r="B539" s="791"/>
      <c r="C539" s="791"/>
      <c r="D539" s="792"/>
      <c r="E539" s="793">
        <f>SUM(E533:E538)</f>
        <v>7290</v>
      </c>
      <c r="F539" s="794"/>
      <c r="G539" s="793">
        <f>SUM(G533:G538)</f>
        <v>6415.2</v>
      </c>
      <c r="H539" s="283"/>
      <c r="I539" s="790" t="s">
        <v>711</v>
      </c>
      <c r="J539" s="791"/>
      <c r="K539" s="791"/>
      <c r="L539" s="792"/>
      <c r="M539" s="877">
        <f>SUM(M533:M538)</f>
        <v>3610</v>
      </c>
      <c r="N539" s="794"/>
      <c r="O539" s="793">
        <f>SUM(O533:O538)</f>
        <v>2346.5</v>
      </c>
    </row>
    <row r="540">
      <c r="A540" s="796"/>
      <c r="D540" s="798"/>
      <c r="G540" s="799"/>
      <c r="H540" s="283"/>
      <c r="I540" s="796"/>
      <c r="L540" s="798"/>
      <c r="M540" s="798"/>
      <c r="N540" s="798"/>
      <c r="O540" s="878"/>
    </row>
    <row r="541">
      <c r="A541" s="800" t="s">
        <v>712</v>
      </c>
      <c r="B541" s="801"/>
      <c r="C541" s="802"/>
      <c r="G541" s="799"/>
      <c r="H541" s="283"/>
      <c r="I541" s="800" t="s">
        <v>712</v>
      </c>
      <c r="J541" s="803"/>
      <c r="K541" s="804"/>
      <c r="L541" s="798"/>
      <c r="M541" s="798"/>
      <c r="N541" s="798"/>
      <c r="O541" s="878"/>
    </row>
    <row r="542">
      <c r="A542" s="902" t="s">
        <v>1194</v>
      </c>
      <c r="B542" s="806"/>
      <c r="C542" s="807">
        <v>250.0</v>
      </c>
      <c r="G542" s="799"/>
      <c r="H542" s="283"/>
      <c r="I542" s="902" t="s">
        <v>1194</v>
      </c>
      <c r="J542" s="808"/>
      <c r="K542" s="903">
        <v>250.0</v>
      </c>
      <c r="L542" s="798"/>
      <c r="M542" s="798"/>
      <c r="N542" s="798"/>
      <c r="O542" s="878"/>
    </row>
    <row r="543">
      <c r="A543" s="868"/>
      <c r="B543" s="774"/>
      <c r="C543" s="816"/>
      <c r="G543" s="799"/>
      <c r="H543" s="283"/>
      <c r="I543" s="868"/>
      <c r="J543" s="774"/>
      <c r="K543" s="816"/>
      <c r="L543" s="798"/>
      <c r="M543" s="798"/>
      <c r="N543" s="798"/>
      <c r="O543" s="878"/>
    </row>
    <row r="544">
      <c r="A544" s="815"/>
      <c r="B544" s="792"/>
      <c r="C544" s="816"/>
      <c r="G544" s="799"/>
      <c r="H544" s="283"/>
      <c r="I544" s="815"/>
      <c r="J544" s="792"/>
      <c r="K544" s="816"/>
      <c r="L544" s="798"/>
      <c r="M544" s="798"/>
      <c r="N544" s="798"/>
      <c r="O544" s="878"/>
    </row>
    <row r="545">
      <c r="A545" s="817"/>
      <c r="B545" s="774"/>
      <c r="C545" s="818"/>
      <c r="G545" s="799"/>
      <c r="H545" s="283"/>
      <c r="I545" s="817"/>
      <c r="J545" s="774"/>
      <c r="K545" s="818"/>
      <c r="L545" s="798"/>
      <c r="M545" s="798"/>
      <c r="N545" s="798"/>
      <c r="O545" s="878"/>
    </row>
    <row r="546">
      <c r="A546" s="817"/>
      <c r="B546" s="792"/>
      <c r="C546" s="818"/>
      <c r="G546" s="799"/>
      <c r="H546" s="283"/>
      <c r="I546" s="817"/>
      <c r="J546" s="792"/>
      <c r="K546" s="818"/>
      <c r="L546" s="798"/>
      <c r="M546" s="798"/>
      <c r="N546" s="798"/>
      <c r="O546" s="878"/>
    </row>
    <row r="547">
      <c r="A547" s="821" t="s">
        <v>714</v>
      </c>
      <c r="B547" s="822"/>
      <c r="C547" s="823">
        <f>SUM(C542:C546)</f>
        <v>250</v>
      </c>
      <c r="G547" s="799"/>
      <c r="H547" s="283"/>
      <c r="I547" s="821" t="s">
        <v>714</v>
      </c>
      <c r="J547" s="826"/>
      <c r="K547" s="823">
        <f>SUM(K542:K546)</f>
        <v>250</v>
      </c>
      <c r="L547" s="798"/>
      <c r="M547" s="798"/>
      <c r="N547" s="798"/>
      <c r="O547" s="878"/>
    </row>
    <row r="548">
      <c r="A548" s="828"/>
      <c r="C548" s="829"/>
      <c r="G548" s="799"/>
      <c r="H548" s="283"/>
      <c r="I548" s="828"/>
      <c r="K548" s="829"/>
      <c r="L548" s="248"/>
      <c r="M548" s="798"/>
      <c r="N548" s="798"/>
      <c r="O548" s="878"/>
    </row>
    <row r="549">
      <c r="A549" s="830" t="s">
        <v>715</v>
      </c>
      <c r="B549" s="831"/>
      <c r="C549" s="832"/>
      <c r="G549" s="799"/>
      <c r="H549" s="283"/>
      <c r="I549" s="833" t="s">
        <v>715</v>
      </c>
      <c r="J549" s="834"/>
      <c r="K549" s="835"/>
      <c r="L549" s="892"/>
      <c r="M549" s="798"/>
      <c r="N549" s="798"/>
      <c r="O549" s="878"/>
    </row>
    <row r="550">
      <c r="A550" s="836" t="s">
        <v>716</v>
      </c>
      <c r="B550" s="837"/>
      <c r="C550" s="838">
        <v>150.0</v>
      </c>
      <c r="G550" s="799"/>
      <c r="H550" s="283"/>
      <c r="I550" s="850" t="s">
        <v>1184</v>
      </c>
      <c r="J550" s="851"/>
      <c r="K550" s="852">
        <v>294.92</v>
      </c>
      <c r="L550" s="913" t="s">
        <v>1197</v>
      </c>
      <c r="M550" s="798"/>
      <c r="N550" s="798"/>
      <c r="O550" s="878"/>
    </row>
    <row r="551">
      <c r="A551" s="842" t="s">
        <v>717</v>
      </c>
      <c r="B551" s="843"/>
      <c r="C551" s="844">
        <v>400.0</v>
      </c>
      <c r="D551" s="891"/>
      <c r="E551" s="845" t="s">
        <v>1182</v>
      </c>
      <c r="G551" s="846">
        <f>G539+C547-C556</f>
        <v>3102.48</v>
      </c>
      <c r="H551" s="283"/>
      <c r="I551" s="847"/>
      <c r="J551" s="848"/>
      <c r="K551" s="849"/>
      <c r="L551" s="849" t="s">
        <v>1198</v>
      </c>
      <c r="M551" s="845" t="s">
        <v>1183</v>
      </c>
      <c r="O551" s="846">
        <f>O539+K547-K556</f>
        <v>1790.53</v>
      </c>
    </row>
    <row r="552">
      <c r="A552" s="836" t="s">
        <v>718</v>
      </c>
      <c r="B552" s="837"/>
      <c r="C552" s="838">
        <v>200.0</v>
      </c>
      <c r="D552" s="892"/>
      <c r="G552" s="799"/>
      <c r="H552" s="283"/>
      <c r="I552" s="850" t="s">
        <v>1184</v>
      </c>
      <c r="J552" s="851"/>
      <c r="K552" s="852">
        <v>511.05</v>
      </c>
      <c r="L552" s="913" t="s">
        <v>1199</v>
      </c>
      <c r="O552" s="799"/>
    </row>
    <row r="553">
      <c r="A553" s="842" t="s">
        <v>656</v>
      </c>
      <c r="B553" s="843"/>
      <c r="C553" s="844">
        <f>IFERROR(__xludf.DUMMYFUNCTION("FILTER($C$4:$C$30,$B$4:$B$30=E531)"),2517.8)</f>
        <v>2517.8</v>
      </c>
      <c r="D553" s="891"/>
      <c r="G553" s="799"/>
      <c r="H553" s="283"/>
      <c r="I553" s="914"/>
      <c r="J553" s="905"/>
      <c r="K553" s="906"/>
      <c r="L553" s="849" t="s">
        <v>1200</v>
      </c>
      <c r="O553" s="799"/>
    </row>
    <row r="554">
      <c r="A554" s="850" t="s">
        <v>1184</v>
      </c>
      <c r="B554" s="851"/>
      <c r="C554" s="852">
        <v>294.92</v>
      </c>
      <c r="D554" s="913" t="s">
        <v>1197</v>
      </c>
      <c r="E554" s="248"/>
      <c r="G554" s="799"/>
      <c r="H554" s="283"/>
      <c r="I554" s="847"/>
      <c r="J554" s="848"/>
      <c r="K554" s="849"/>
      <c r="L554" s="248"/>
      <c r="M554" s="248"/>
      <c r="O554" s="799"/>
    </row>
    <row r="555">
      <c r="A555" s="914"/>
      <c r="B555" s="905"/>
      <c r="C555" s="906"/>
      <c r="D555" s="915" t="s">
        <v>1198</v>
      </c>
      <c r="G555" s="799"/>
      <c r="H555" s="283"/>
      <c r="I555" s="847"/>
      <c r="J555" s="848"/>
      <c r="K555" s="849"/>
      <c r="L555" s="248"/>
      <c r="O555" s="799"/>
    </row>
    <row r="556">
      <c r="A556" s="853" t="s">
        <v>721</v>
      </c>
      <c r="B556" s="854"/>
      <c r="C556" s="855">
        <f>SUM(C550:C555)</f>
        <v>3562.72</v>
      </c>
      <c r="D556" s="248"/>
      <c r="G556" s="799"/>
      <c r="H556" s="283"/>
      <c r="I556" s="853" t="s">
        <v>721</v>
      </c>
      <c r="J556" s="854"/>
      <c r="K556" s="855">
        <f>SUM(K550:K555)</f>
        <v>805.97</v>
      </c>
      <c r="L556" s="248"/>
      <c r="O556" s="799"/>
    </row>
    <row r="557">
      <c r="A557" s="856"/>
      <c r="B557" s="857"/>
      <c r="C557" s="857"/>
      <c r="D557" s="894"/>
      <c r="E557" s="857"/>
      <c r="F557" s="857"/>
      <c r="G557" s="808"/>
      <c r="H557" s="283"/>
      <c r="I557" s="856"/>
      <c r="J557" s="857"/>
      <c r="K557" s="857"/>
      <c r="L557" s="894"/>
      <c r="M557" s="857"/>
      <c r="N557" s="857"/>
      <c r="O557" s="808"/>
    </row>
    <row r="560">
      <c r="A560" s="769"/>
      <c r="B560" s="770"/>
      <c r="C560" s="770"/>
      <c r="D560" s="771" t="s">
        <v>700</v>
      </c>
      <c r="E560" s="772" t="str">
        <f>E126</f>
        <v>11.24.2025-11.30.2025</v>
      </c>
      <c r="F560" s="773"/>
      <c r="G560" s="774"/>
      <c r="H560" s="305">
        <v>15.0</v>
      </c>
      <c r="I560" s="769"/>
      <c r="J560" s="770"/>
      <c r="K560" s="770"/>
      <c r="L560" s="771" t="s">
        <v>700</v>
      </c>
      <c r="M560" s="772" t="str">
        <f>E126</f>
        <v>11.24.2025-11.30.2025</v>
      </c>
      <c r="N560" s="773"/>
      <c r="O560" s="774"/>
    </row>
    <row r="561">
      <c r="A561" s="775"/>
      <c r="D561" s="771" t="s">
        <v>702</v>
      </c>
      <c r="E561" s="772" t="str">
        <f t="array" ref="E561">XLOOKUP(E562,$Q$973:$Q$1005,$R$973:$R$1005)</f>
        <v>Perlivion LLC</v>
      </c>
      <c r="F561" s="773"/>
      <c r="G561" s="774"/>
      <c r="H561" s="776"/>
      <c r="I561" s="775"/>
      <c r="L561" s="771" t="s">
        <v>351</v>
      </c>
      <c r="M561" s="772" t="str">
        <f t="array" ref="M561">XLOOKUP(M562,$L$1:$L$122,$K$1:$K$122)</f>
        <v>JEREMY POTTER</v>
      </c>
      <c r="N561" s="773"/>
      <c r="O561" s="774"/>
    </row>
    <row r="562">
      <c r="A562" s="775"/>
      <c r="D562" s="771" t="s">
        <v>703</v>
      </c>
      <c r="E562" s="778" t="s">
        <v>513</v>
      </c>
      <c r="F562" s="773"/>
      <c r="G562" s="774"/>
      <c r="H562" s="283"/>
      <c r="I562" s="775"/>
      <c r="L562" s="771" t="s">
        <v>703</v>
      </c>
      <c r="M562" s="772" t="str">
        <f>E562</f>
        <v>0913</v>
      </c>
      <c r="N562" s="773"/>
      <c r="O562" s="774"/>
    </row>
    <row r="563">
      <c r="A563" s="779" t="s">
        <v>704</v>
      </c>
      <c r="B563" s="779" t="s">
        <v>5</v>
      </c>
      <c r="C563" s="779" t="s">
        <v>6</v>
      </c>
      <c r="D563" s="779" t="s">
        <v>7</v>
      </c>
      <c r="E563" s="779" t="s">
        <v>8</v>
      </c>
      <c r="F563" s="779" t="s">
        <v>706</v>
      </c>
      <c r="G563" s="779" t="s">
        <v>707</v>
      </c>
      <c r="H563" s="34"/>
      <c r="I563" s="779" t="s">
        <v>704</v>
      </c>
      <c r="J563" s="779" t="s">
        <v>5</v>
      </c>
      <c r="K563" s="779" t="s">
        <v>6</v>
      </c>
      <c r="L563" s="779" t="s">
        <v>7</v>
      </c>
      <c r="M563" s="779" t="s">
        <v>1178</v>
      </c>
      <c r="N563" s="779" t="s">
        <v>839</v>
      </c>
      <c r="O563" s="779" t="s">
        <v>707</v>
      </c>
    </row>
    <row r="564">
      <c r="A564" s="780">
        <f>IFERROR(__xludf.DUMMYFUNCTION("FILTER($D$3:$H$122,$L$3:$L$122=E562)"),45986.0)</f>
        <v>45986</v>
      </c>
      <c r="B564" s="781">
        <f>IFERROR(__xludf.DUMMYFUNCTION("""COMPUTED_VALUE"""),642799.0)</f>
        <v>642799</v>
      </c>
      <c r="C564" s="781" t="str">
        <f>IFERROR(__xludf.DUMMYFUNCTION("""COMPUTED_VALUE"""),"North East, MD, 21901")</f>
        <v>North East, MD, 21901</v>
      </c>
      <c r="D564" s="781" t="str">
        <f>IFERROR(__xludf.DUMMYFUNCTION("""COMPUTED_VALUE"""),"Lithia Springs, GA, 30122")</f>
        <v>Lithia Springs, GA, 30122</v>
      </c>
      <c r="E564" s="782">
        <f>IFERROR(__xludf.DUMMYFUNCTION("""COMPUTED_VALUE"""),1300.0)</f>
        <v>1300</v>
      </c>
      <c r="F564" s="783">
        <v>0.88</v>
      </c>
      <c r="G564" s="782">
        <f t="shared" ref="G564:G565" si="21">E564*F564</f>
        <v>1144</v>
      </c>
      <c r="H564" s="283"/>
      <c r="I564" s="780">
        <f>IFERROR(__xludf.DUMMYFUNCTION("FILTER($D$3:$G$122,$L$3:$L$122=M562)"),45986.0)</f>
        <v>45986</v>
      </c>
      <c r="J564" s="781">
        <f>IFERROR(__xludf.DUMMYFUNCTION("""COMPUTED_VALUE"""),642799.0)</f>
        <v>642799</v>
      </c>
      <c r="K564" s="781" t="str">
        <f>IFERROR(__xludf.DUMMYFUNCTION("""COMPUTED_VALUE"""),"North East, MD, 21901")</f>
        <v>North East, MD, 21901</v>
      </c>
      <c r="L564" s="781" t="str">
        <f>IFERROR(__xludf.DUMMYFUNCTION("""COMPUTED_VALUE"""),"Lithia Springs, GA, 30122")</f>
        <v>Lithia Springs, GA, 30122</v>
      </c>
      <c r="M564" s="880">
        <f>IFERROR(__xludf.DUMMYFUNCTION("FILTER($I$3:$I$122,$L$3:$L$122=M562)"),727.0)</f>
        <v>727</v>
      </c>
      <c r="N564" s="781">
        <v>0.65</v>
      </c>
      <c r="O564" s="782">
        <f t="shared" ref="O564:O565" si="22">M564*N564</f>
        <v>472.55</v>
      </c>
    </row>
    <row r="565">
      <c r="A565" s="780">
        <f>IFERROR(__xludf.DUMMYFUNCTION("""COMPUTED_VALUE"""),45987.0)</f>
        <v>45987</v>
      </c>
      <c r="B565" s="781">
        <f>IFERROR(__xludf.DUMMYFUNCTION("""COMPUTED_VALUE"""),5.36172052E8)</f>
        <v>536172052</v>
      </c>
      <c r="C565" s="781" t="str">
        <f>IFERROR(__xludf.DUMMYFUNCTION("""COMPUTED_VALUE"""),"Atlanta, GA, 30336")</f>
        <v>Atlanta, GA, 30336</v>
      </c>
      <c r="D565" s="781" t="str">
        <f>IFERROR(__xludf.DUMMYFUNCTION("""COMPUTED_VALUE"""),"Newburgh, NY, 12550")</f>
        <v>Newburgh, NY, 12550</v>
      </c>
      <c r="E565" s="782">
        <f>IFERROR(__xludf.DUMMYFUNCTION("""COMPUTED_VALUE"""),2400.0)</f>
        <v>2400</v>
      </c>
      <c r="F565" s="783">
        <v>0.88</v>
      </c>
      <c r="G565" s="782">
        <f t="shared" si="21"/>
        <v>2112</v>
      </c>
      <c r="H565" s="283"/>
      <c r="I565" s="881">
        <f>IFERROR(__xludf.DUMMYFUNCTION("""COMPUTED_VALUE"""),45987.0)</f>
        <v>45987</v>
      </c>
      <c r="J565" s="882">
        <f>IFERROR(__xludf.DUMMYFUNCTION("""COMPUTED_VALUE"""),5.36172052E8)</f>
        <v>536172052</v>
      </c>
      <c r="K565" s="882" t="str">
        <f>IFERROR(__xludf.DUMMYFUNCTION("""COMPUTED_VALUE"""),"Atlanta, GA, 30336")</f>
        <v>Atlanta, GA, 30336</v>
      </c>
      <c r="L565" s="882" t="str">
        <f>IFERROR(__xludf.DUMMYFUNCTION("""COMPUTED_VALUE"""),"Newburgh, NY, 12550")</f>
        <v>Newburgh, NY, 12550</v>
      </c>
      <c r="M565" s="880">
        <f>IFERROR(__xludf.DUMMYFUNCTION("""COMPUTED_VALUE"""),930.0)</f>
        <v>930</v>
      </c>
      <c r="N565" s="781">
        <v>0.65</v>
      </c>
      <c r="O565" s="782">
        <f t="shared" si="22"/>
        <v>604.5</v>
      </c>
    </row>
    <row r="566">
      <c r="A566" s="785"/>
      <c r="B566" s="786"/>
      <c r="C566" s="786"/>
      <c r="D566" s="786"/>
      <c r="E566" s="785"/>
      <c r="F566" s="787"/>
      <c r="G566" s="788"/>
      <c r="H566" s="283"/>
      <c r="I566" s="785"/>
      <c r="J566" s="786"/>
      <c r="K566" s="786"/>
      <c r="L566" s="786"/>
      <c r="M566" s="785"/>
      <c r="N566" s="787"/>
      <c r="O566" s="789"/>
    </row>
    <row r="567">
      <c r="A567" s="785"/>
      <c r="B567" s="786"/>
      <c r="C567" s="786"/>
      <c r="D567" s="786"/>
      <c r="E567" s="785"/>
      <c r="F567" s="787"/>
      <c r="G567" s="788"/>
      <c r="H567" s="283"/>
      <c r="I567" s="785"/>
      <c r="J567" s="786"/>
      <c r="K567" s="786"/>
      <c r="L567" s="786"/>
      <c r="M567" s="785"/>
      <c r="N567" s="787"/>
      <c r="O567" s="789"/>
    </row>
    <row r="568">
      <c r="A568" s="785"/>
      <c r="B568" s="786"/>
      <c r="C568" s="786"/>
      <c r="D568" s="786"/>
      <c r="E568" s="785"/>
      <c r="F568" s="787"/>
      <c r="G568" s="788"/>
      <c r="H568" s="283"/>
      <c r="I568" s="785"/>
      <c r="J568" s="786"/>
      <c r="K568" s="786"/>
      <c r="L568" s="786"/>
      <c r="M568" s="785"/>
      <c r="N568" s="787"/>
      <c r="O568" s="789"/>
    </row>
    <row r="569">
      <c r="A569" s="785"/>
      <c r="B569" s="786"/>
      <c r="C569" s="786"/>
      <c r="D569" s="786"/>
      <c r="E569" s="785"/>
      <c r="F569" s="787"/>
      <c r="G569" s="788"/>
      <c r="H569" s="283"/>
      <c r="I569" s="785"/>
      <c r="J569" s="786"/>
      <c r="K569" s="786"/>
      <c r="L569" s="786"/>
      <c r="M569" s="785"/>
      <c r="N569" s="787"/>
      <c r="O569" s="789"/>
    </row>
    <row r="570">
      <c r="A570" s="790" t="s">
        <v>711</v>
      </c>
      <c r="B570" s="791"/>
      <c r="C570" s="791"/>
      <c r="D570" s="792"/>
      <c r="E570" s="793">
        <f>SUM(E564:E569)</f>
        <v>3700</v>
      </c>
      <c r="F570" s="794"/>
      <c r="G570" s="793">
        <f>SUM(G564:G569)</f>
        <v>3256</v>
      </c>
      <c r="H570" s="283"/>
      <c r="I570" s="790" t="s">
        <v>711</v>
      </c>
      <c r="J570" s="791"/>
      <c r="K570" s="791"/>
      <c r="L570" s="792"/>
      <c r="M570" s="877">
        <f>SUM(M564:M569)</f>
        <v>1657</v>
      </c>
      <c r="N570" s="794"/>
      <c r="O570" s="793">
        <f>SUM(O564:O569)</f>
        <v>1077.05</v>
      </c>
    </row>
    <row r="571">
      <c r="A571" s="796"/>
      <c r="D571" s="798"/>
      <c r="E571" s="798"/>
      <c r="F571" s="798"/>
      <c r="G571" s="878"/>
      <c r="H571" s="283"/>
      <c r="I571" s="796"/>
      <c r="L571" s="798"/>
      <c r="O571" s="799"/>
    </row>
    <row r="572">
      <c r="A572" s="800" t="s">
        <v>712</v>
      </c>
      <c r="B572" s="801"/>
      <c r="C572" s="802"/>
      <c r="D572" s="798"/>
      <c r="E572" s="798"/>
      <c r="F572" s="798"/>
      <c r="G572" s="878"/>
      <c r="H572" s="283"/>
      <c r="I572" s="800" t="s">
        <v>712</v>
      </c>
      <c r="J572" s="803"/>
      <c r="K572" s="804"/>
      <c r="O572" s="799"/>
    </row>
    <row r="573">
      <c r="A573" s="902" t="s">
        <v>1194</v>
      </c>
      <c r="B573" s="806"/>
      <c r="C573" s="807">
        <v>250.0</v>
      </c>
      <c r="D573" s="798"/>
      <c r="E573" s="798"/>
      <c r="F573" s="798"/>
      <c r="G573" s="878"/>
      <c r="H573" s="283"/>
      <c r="I573" s="902" t="s">
        <v>1194</v>
      </c>
      <c r="J573" s="808"/>
      <c r="K573" s="903">
        <v>250.0</v>
      </c>
      <c r="O573" s="799"/>
    </row>
    <row r="574">
      <c r="A574" s="868"/>
      <c r="B574" s="774"/>
      <c r="C574" s="816"/>
      <c r="D574" s="798"/>
      <c r="E574" s="798"/>
      <c r="F574" s="798"/>
      <c r="G574" s="878"/>
      <c r="H574" s="283"/>
      <c r="I574" s="868"/>
      <c r="J574" s="774"/>
      <c r="K574" s="816"/>
      <c r="O574" s="799"/>
    </row>
    <row r="575">
      <c r="A575" s="815"/>
      <c r="B575" s="792"/>
      <c r="C575" s="816"/>
      <c r="D575" s="798"/>
      <c r="E575" s="798"/>
      <c r="F575" s="798"/>
      <c r="G575" s="878"/>
      <c r="H575" s="283"/>
      <c r="I575" s="815"/>
      <c r="J575" s="792"/>
      <c r="K575" s="816"/>
      <c r="O575" s="799"/>
    </row>
    <row r="576">
      <c r="A576" s="817"/>
      <c r="B576" s="774"/>
      <c r="C576" s="818"/>
      <c r="D576" s="798"/>
      <c r="E576" s="798"/>
      <c r="F576" s="798"/>
      <c r="G576" s="878"/>
      <c r="H576" s="283"/>
      <c r="I576" s="817"/>
      <c r="J576" s="774"/>
      <c r="K576" s="818"/>
      <c r="O576" s="799"/>
    </row>
    <row r="577">
      <c r="A577" s="817"/>
      <c r="B577" s="792"/>
      <c r="C577" s="818"/>
      <c r="D577" s="885" t="s">
        <v>1181</v>
      </c>
      <c r="E577" s="886">
        <f>O582</f>
        <v>1327.05</v>
      </c>
      <c r="F577" s="798"/>
      <c r="G577" s="878"/>
      <c r="H577" s="283"/>
      <c r="I577" s="817"/>
      <c r="J577" s="792"/>
      <c r="K577" s="818"/>
      <c r="O577" s="799"/>
    </row>
    <row r="578">
      <c r="A578" s="821" t="s">
        <v>714</v>
      </c>
      <c r="B578" s="822"/>
      <c r="C578" s="823">
        <f>SUM(C573:C577)</f>
        <v>250</v>
      </c>
      <c r="D578" s="798"/>
      <c r="E578" s="798"/>
      <c r="F578" s="798"/>
      <c r="G578" s="878"/>
      <c r="H578" s="283"/>
      <c r="I578" s="821" t="s">
        <v>714</v>
      </c>
      <c r="J578" s="826"/>
      <c r="K578" s="827">
        <f>SUM(K573:K577)</f>
        <v>250</v>
      </c>
      <c r="O578" s="799"/>
    </row>
    <row r="579">
      <c r="A579" s="828"/>
      <c r="C579" s="829"/>
      <c r="D579" s="887" t="s">
        <v>657</v>
      </c>
      <c r="E579" s="888">
        <f>G582-E577</f>
        <v>1116.14</v>
      </c>
      <c r="F579" s="798"/>
      <c r="G579" s="878"/>
      <c r="H579" s="283"/>
      <c r="I579" s="828"/>
      <c r="K579" s="829"/>
      <c r="O579" s="799"/>
    </row>
    <row r="580">
      <c r="A580" s="830" t="s">
        <v>715</v>
      </c>
      <c r="B580" s="831"/>
      <c r="C580" s="832"/>
      <c r="D580" s="798"/>
      <c r="E580" s="798"/>
      <c r="F580" s="798"/>
      <c r="G580" s="878"/>
      <c r="H580" s="283"/>
      <c r="I580" s="833" t="s">
        <v>715</v>
      </c>
      <c r="J580" s="834"/>
      <c r="K580" s="835"/>
      <c r="O580" s="799"/>
    </row>
    <row r="581">
      <c r="A581" s="836" t="s">
        <v>716</v>
      </c>
      <c r="B581" s="837"/>
      <c r="C581" s="838"/>
      <c r="D581" s="798"/>
      <c r="E581" s="798"/>
      <c r="F581" s="798"/>
      <c r="G581" s="878"/>
      <c r="H581" s="283"/>
      <c r="I581" s="839"/>
      <c r="J581" s="840"/>
      <c r="K581" s="841"/>
      <c r="O581" s="799"/>
    </row>
    <row r="582">
      <c r="A582" s="842" t="s">
        <v>717</v>
      </c>
      <c r="B582" s="843"/>
      <c r="C582" s="844"/>
      <c r="D582" s="248"/>
      <c r="E582" s="845" t="s">
        <v>1182</v>
      </c>
      <c r="G582" s="846">
        <f>G570+C578-C587</f>
        <v>2443.19</v>
      </c>
      <c r="H582" s="283"/>
      <c r="I582" s="847"/>
      <c r="J582" s="848"/>
      <c r="K582" s="849"/>
      <c r="L582" s="248"/>
      <c r="M582" s="845" t="s">
        <v>1183</v>
      </c>
      <c r="O582" s="846">
        <f>O570+K578-K587</f>
        <v>1327.05</v>
      </c>
    </row>
    <row r="583">
      <c r="A583" s="836" t="s">
        <v>718</v>
      </c>
      <c r="B583" s="837"/>
      <c r="C583" s="838"/>
      <c r="G583" s="799"/>
      <c r="H583" s="283"/>
      <c r="I583" s="847"/>
      <c r="J583" s="848"/>
      <c r="K583" s="849"/>
      <c r="O583" s="799"/>
    </row>
    <row r="584">
      <c r="A584" s="842" t="s">
        <v>656</v>
      </c>
      <c r="B584" s="843"/>
      <c r="C584" s="844">
        <f>IFERROR(__xludf.DUMMYFUNCTION("FILTER($C$4:$C$30,$B$4:$B$30=E562)"),1062.81)</f>
        <v>1062.81</v>
      </c>
      <c r="G584" s="799"/>
      <c r="H584" s="283"/>
      <c r="I584" s="847"/>
      <c r="J584" s="848"/>
      <c r="K584" s="849"/>
      <c r="O584" s="799"/>
    </row>
    <row r="585">
      <c r="A585" s="850" t="s">
        <v>1184</v>
      </c>
      <c r="B585" s="851"/>
      <c r="C585" s="852"/>
      <c r="E585" s="248"/>
      <c r="G585" s="799"/>
      <c r="H585" s="283"/>
      <c r="I585" s="847"/>
      <c r="J585" s="848"/>
      <c r="K585" s="849"/>
      <c r="M585" s="248"/>
      <c r="O585" s="799"/>
    </row>
    <row r="586">
      <c r="A586" s="847"/>
      <c r="B586" s="848"/>
      <c r="C586" s="849"/>
      <c r="G586" s="799"/>
      <c r="H586" s="283"/>
      <c r="I586" s="847"/>
      <c r="J586" s="848"/>
      <c r="K586" s="849"/>
      <c r="O586" s="799"/>
    </row>
    <row r="587">
      <c r="A587" s="853" t="s">
        <v>721</v>
      </c>
      <c r="B587" s="854"/>
      <c r="C587" s="855">
        <f>SUM(C581:C586)</f>
        <v>1062.81</v>
      </c>
      <c r="G587" s="799"/>
      <c r="H587" s="283"/>
      <c r="I587" s="853" t="s">
        <v>721</v>
      </c>
      <c r="J587" s="854"/>
      <c r="K587" s="855">
        <f>SUM(K581:K586)</f>
        <v>0</v>
      </c>
      <c r="O587" s="799"/>
    </row>
    <row r="588">
      <c r="A588" s="856"/>
      <c r="B588" s="857"/>
      <c r="C588" s="857"/>
      <c r="D588" s="857"/>
      <c r="E588" s="857"/>
      <c r="F588" s="857"/>
      <c r="G588" s="808"/>
      <c r="H588" s="283"/>
      <c r="I588" s="856"/>
      <c r="J588" s="857"/>
      <c r="K588" s="857"/>
      <c r="L588" s="857"/>
      <c r="M588" s="857"/>
      <c r="N588" s="857"/>
      <c r="O588" s="808"/>
    </row>
    <row r="591">
      <c r="A591" s="769"/>
      <c r="B591" s="770"/>
      <c r="C591" s="770"/>
      <c r="D591" s="771" t="s">
        <v>700</v>
      </c>
      <c r="E591" s="772" t="str">
        <f>E126</f>
        <v>11.24.2025-11.30.2025</v>
      </c>
      <c r="F591" s="773"/>
      <c r="G591" s="774"/>
      <c r="H591" s="305">
        <v>16.0</v>
      </c>
      <c r="I591" s="769"/>
      <c r="J591" s="770"/>
      <c r="K591" s="770"/>
      <c r="L591" s="771" t="s">
        <v>700</v>
      </c>
      <c r="M591" s="772" t="str">
        <f>E126</f>
        <v>11.24.2025-11.30.2025</v>
      </c>
      <c r="N591" s="773"/>
      <c r="O591" s="774"/>
    </row>
    <row r="592">
      <c r="A592" s="775"/>
      <c r="D592" s="771" t="s">
        <v>702</v>
      </c>
      <c r="E592" s="772" t="str">
        <f t="array" ref="E592">XLOOKUP(E593,$Q$973:$Q$1005,$R$973:$R$1005)</f>
        <v>Careway Logistic LLC</v>
      </c>
      <c r="F592" s="773"/>
      <c r="G592" s="774"/>
      <c r="H592" s="858"/>
      <c r="I592" s="775"/>
      <c r="L592" s="771" t="s">
        <v>351</v>
      </c>
      <c r="M592" s="772" t="str">
        <f t="array" ref="M592">XLOOKUP(M593,$L$1:$L$122,$K$1:$K$122)</f>
        <v>RICHARD FLORESTAL</v>
      </c>
      <c r="N592" s="773"/>
      <c r="O592" s="774"/>
    </row>
    <row r="593">
      <c r="A593" s="775"/>
      <c r="D593" s="771" t="s">
        <v>703</v>
      </c>
      <c r="E593" s="772">
        <v>2516.0</v>
      </c>
      <c r="F593" s="773"/>
      <c r="G593" s="774"/>
      <c r="H593" s="283"/>
      <c r="I593" s="775"/>
      <c r="L593" s="771" t="s">
        <v>703</v>
      </c>
      <c r="M593" s="772">
        <f>E593</f>
        <v>2516</v>
      </c>
      <c r="N593" s="773"/>
      <c r="O593" s="774"/>
    </row>
    <row r="594">
      <c r="A594" s="779" t="s">
        <v>704</v>
      </c>
      <c r="B594" s="779" t="s">
        <v>5</v>
      </c>
      <c r="C594" s="779" t="s">
        <v>6</v>
      </c>
      <c r="D594" s="779" t="s">
        <v>7</v>
      </c>
      <c r="E594" s="779" t="s">
        <v>8</v>
      </c>
      <c r="F594" s="779" t="s">
        <v>706</v>
      </c>
      <c r="G594" s="779" t="s">
        <v>707</v>
      </c>
      <c r="H594" s="34"/>
      <c r="I594" s="779" t="s">
        <v>704</v>
      </c>
      <c r="J594" s="779" t="s">
        <v>5</v>
      </c>
      <c r="K594" s="779" t="s">
        <v>6</v>
      </c>
      <c r="L594" s="779" t="s">
        <v>7</v>
      </c>
      <c r="M594" s="779" t="s">
        <v>1178</v>
      </c>
      <c r="N594" s="779" t="s">
        <v>839</v>
      </c>
      <c r="O594" s="779" t="s">
        <v>707</v>
      </c>
    </row>
    <row r="595">
      <c r="A595" s="780">
        <f>IFERROR(__xludf.DUMMYFUNCTION("FILTER($D$3:$H$122,$L$3:$L$122=E593)"),45985.0)</f>
        <v>45985</v>
      </c>
      <c r="B595" s="781" t="str">
        <f>IFERROR(__xludf.DUMMYFUNCTION("""COMPUTED_VALUE"""),"Trip-14626")</f>
        <v>Trip-14626</v>
      </c>
      <c r="C595" s="781" t="str">
        <f>IFERROR(__xludf.DUMMYFUNCTION("""COMPUTED_VALUE"""),"Waterford, PA, 16441")</f>
        <v>Waterford, PA, 16441</v>
      </c>
      <c r="D595" s="781" t="str">
        <f>IFERROR(__xludf.DUMMYFUNCTION("""COMPUTED_VALUE"""),"Daytona Beach, FL, 32117")</f>
        <v>Daytona Beach, FL, 32117</v>
      </c>
      <c r="E595" s="782">
        <f>IFERROR(__xludf.DUMMYFUNCTION("""COMPUTED_VALUE"""),2800.0)</f>
        <v>2800</v>
      </c>
      <c r="F595" s="783">
        <v>0.88</v>
      </c>
      <c r="G595" s="782">
        <f>E595*F595</f>
        <v>2464</v>
      </c>
      <c r="H595" s="283"/>
      <c r="I595" s="780">
        <f>IFERROR(__xludf.DUMMYFUNCTION("FILTER($D$3:$G$122,$L$3:$L$122=M593)"),45985.0)</f>
        <v>45985</v>
      </c>
      <c r="J595" s="781" t="str">
        <f>IFERROR(__xludf.DUMMYFUNCTION("""COMPUTED_VALUE"""),"Trip-14626")</f>
        <v>Trip-14626</v>
      </c>
      <c r="K595" s="781" t="str">
        <f>IFERROR(__xludf.DUMMYFUNCTION("""COMPUTED_VALUE"""),"Waterford, PA, 16441")</f>
        <v>Waterford, PA, 16441</v>
      </c>
      <c r="L595" s="781" t="str">
        <f>IFERROR(__xludf.DUMMYFUNCTION("""COMPUTED_VALUE"""),"Daytona Beach, FL, 32117")</f>
        <v>Daytona Beach, FL, 32117</v>
      </c>
      <c r="M595" s="896">
        <f>IFERROR(__xludf.DUMMYFUNCTION("FILTER($I$3:$I$122,$L$3:$L$122=M593)"),1218.0)</f>
        <v>1218</v>
      </c>
      <c r="N595" s="781">
        <v>0.65</v>
      </c>
      <c r="O595" s="782">
        <f>M595*N595</f>
        <v>791.7</v>
      </c>
    </row>
    <row r="596">
      <c r="A596" s="780"/>
      <c r="B596" s="781"/>
      <c r="C596" s="781"/>
      <c r="D596" s="781"/>
      <c r="E596" s="782"/>
      <c r="F596" s="783"/>
      <c r="G596" s="782"/>
      <c r="H596" s="283"/>
      <c r="I596" s="780"/>
      <c r="J596" s="781"/>
      <c r="K596" s="781"/>
      <c r="L596" s="781"/>
      <c r="M596" s="782"/>
      <c r="N596" s="783"/>
      <c r="O596" s="789"/>
    </row>
    <row r="597">
      <c r="A597" s="785"/>
      <c r="B597" s="786"/>
      <c r="C597" s="786"/>
      <c r="D597" s="786"/>
      <c r="E597" s="785"/>
      <c r="F597" s="787"/>
      <c r="G597" s="788"/>
      <c r="H597" s="283"/>
      <c r="I597" s="785"/>
      <c r="J597" s="786"/>
      <c r="K597" s="786"/>
      <c r="L597" s="786"/>
      <c r="M597" s="785"/>
      <c r="N597" s="787"/>
      <c r="O597" s="789"/>
    </row>
    <row r="598">
      <c r="A598" s="785"/>
      <c r="B598" s="786"/>
      <c r="C598" s="786"/>
      <c r="D598" s="786"/>
      <c r="E598" s="785"/>
      <c r="F598" s="787"/>
      <c r="G598" s="788"/>
      <c r="H598" s="283"/>
      <c r="I598" s="785"/>
      <c r="J598" s="786"/>
      <c r="K598" s="786"/>
      <c r="L598" s="786"/>
      <c r="M598" s="785"/>
      <c r="N598" s="787"/>
      <c r="O598" s="789"/>
    </row>
    <row r="599">
      <c r="A599" s="785"/>
      <c r="B599" s="786"/>
      <c r="C599" s="786"/>
      <c r="D599" s="786"/>
      <c r="E599" s="785"/>
      <c r="F599" s="787"/>
      <c r="G599" s="788"/>
      <c r="H599" s="283"/>
      <c r="I599" s="785"/>
      <c r="J599" s="786"/>
      <c r="K599" s="786"/>
      <c r="L599" s="786"/>
      <c r="M599" s="785"/>
      <c r="N599" s="787"/>
      <c r="O599" s="789"/>
    </row>
    <row r="600">
      <c r="A600" s="785"/>
      <c r="B600" s="786"/>
      <c r="C600" s="786"/>
      <c r="D600" s="786"/>
      <c r="E600" s="785"/>
      <c r="F600" s="787"/>
      <c r="G600" s="788"/>
      <c r="H600" s="283"/>
      <c r="I600" s="785"/>
      <c r="J600" s="786"/>
      <c r="K600" s="786"/>
      <c r="L600" s="786"/>
      <c r="M600" s="785"/>
      <c r="N600" s="787"/>
      <c r="O600" s="789"/>
    </row>
    <row r="601">
      <c r="A601" s="790" t="s">
        <v>711</v>
      </c>
      <c r="B601" s="791"/>
      <c r="C601" s="791"/>
      <c r="D601" s="792"/>
      <c r="E601" s="793">
        <f>SUM(E595:E600)</f>
        <v>2800</v>
      </c>
      <c r="F601" s="794"/>
      <c r="G601" s="793">
        <f>SUM(G595:G600)</f>
        <v>2464</v>
      </c>
      <c r="H601" s="283"/>
      <c r="I601" s="790" t="s">
        <v>711</v>
      </c>
      <c r="J601" s="791"/>
      <c r="K601" s="791"/>
      <c r="L601" s="792"/>
      <c r="M601" s="877">
        <f>SUM(M595:M600)</f>
        <v>1218</v>
      </c>
      <c r="N601" s="794"/>
      <c r="O601" s="793">
        <f>SUM(O595:O600)</f>
        <v>791.7</v>
      </c>
    </row>
    <row r="602">
      <c r="A602" s="796"/>
      <c r="D602" s="798"/>
      <c r="G602" s="799"/>
      <c r="H602" s="283"/>
      <c r="I602" s="796"/>
      <c r="L602" s="798"/>
      <c r="O602" s="799"/>
    </row>
    <row r="603">
      <c r="A603" s="800" t="s">
        <v>712</v>
      </c>
      <c r="B603" s="801"/>
      <c r="C603" s="802"/>
      <c r="G603" s="799"/>
      <c r="H603" s="283"/>
      <c r="I603" s="800" t="s">
        <v>712</v>
      </c>
      <c r="J603" s="803"/>
      <c r="K603" s="804"/>
      <c r="O603" s="799"/>
    </row>
    <row r="604">
      <c r="A604" s="902" t="s">
        <v>1194</v>
      </c>
      <c r="B604" s="806"/>
      <c r="C604" s="807">
        <v>250.0</v>
      </c>
      <c r="G604" s="799"/>
      <c r="H604" s="283"/>
      <c r="I604" s="902" t="s">
        <v>1194</v>
      </c>
      <c r="J604" s="808"/>
      <c r="K604" s="903">
        <v>250.0</v>
      </c>
      <c r="O604" s="799"/>
    </row>
    <row r="605">
      <c r="A605" s="868"/>
      <c r="B605" s="774"/>
      <c r="C605" s="816"/>
      <c r="G605" s="799"/>
      <c r="H605" s="283"/>
      <c r="I605" s="868"/>
      <c r="J605" s="774"/>
      <c r="K605" s="816"/>
      <c r="O605" s="799"/>
    </row>
    <row r="606">
      <c r="A606" s="815"/>
      <c r="B606" s="792"/>
      <c r="C606" s="816"/>
      <c r="G606" s="799"/>
      <c r="H606" s="283"/>
      <c r="I606" s="815"/>
      <c r="J606" s="792"/>
      <c r="K606" s="816"/>
      <c r="O606" s="799"/>
    </row>
    <row r="607">
      <c r="A607" s="817"/>
      <c r="B607" s="774"/>
      <c r="C607" s="818"/>
      <c r="G607" s="799"/>
      <c r="H607" s="283"/>
      <c r="I607" s="817"/>
      <c r="J607" s="774"/>
      <c r="K607" s="818"/>
      <c r="O607" s="799"/>
    </row>
    <row r="608">
      <c r="A608" s="817"/>
      <c r="B608" s="792"/>
      <c r="C608" s="818"/>
      <c r="G608" s="799"/>
      <c r="H608" s="283"/>
      <c r="I608" s="817"/>
      <c r="J608" s="792"/>
      <c r="K608" s="818"/>
      <c r="O608" s="799"/>
    </row>
    <row r="609">
      <c r="A609" s="821" t="s">
        <v>714</v>
      </c>
      <c r="B609" s="822"/>
      <c r="C609" s="823">
        <f>SUM(C604:C608)</f>
        <v>250</v>
      </c>
      <c r="G609" s="799"/>
      <c r="H609" s="283"/>
      <c r="I609" s="821" t="s">
        <v>714</v>
      </c>
      <c r="J609" s="826"/>
      <c r="K609" s="823">
        <f>SUM(K604:K608)</f>
        <v>250</v>
      </c>
      <c r="O609" s="799"/>
    </row>
    <row r="610">
      <c r="A610" s="828"/>
      <c r="C610" s="829"/>
      <c r="G610" s="799"/>
      <c r="H610" s="283"/>
      <c r="I610" s="828"/>
      <c r="K610" s="829"/>
      <c r="O610" s="799"/>
    </row>
    <row r="611">
      <c r="A611" s="830" t="s">
        <v>715</v>
      </c>
      <c r="B611" s="831"/>
      <c r="C611" s="832"/>
      <c r="G611" s="799"/>
      <c r="H611" s="283"/>
      <c r="I611" s="833" t="s">
        <v>715</v>
      </c>
      <c r="J611" s="834"/>
      <c r="K611" s="835"/>
      <c r="O611" s="799"/>
    </row>
    <row r="612">
      <c r="A612" s="836" t="s">
        <v>716</v>
      </c>
      <c r="B612" s="837"/>
      <c r="C612" s="838">
        <v>150.0</v>
      </c>
      <c r="G612" s="799"/>
      <c r="H612" s="283"/>
      <c r="I612" s="839"/>
      <c r="J612" s="840"/>
      <c r="K612" s="841"/>
      <c r="O612" s="799"/>
    </row>
    <row r="613">
      <c r="A613" s="842" t="s">
        <v>717</v>
      </c>
      <c r="B613" s="843"/>
      <c r="C613" s="844">
        <v>400.0</v>
      </c>
      <c r="D613" s="248"/>
      <c r="E613" s="845" t="s">
        <v>1182</v>
      </c>
      <c r="G613" s="846">
        <f>G601+C609-C618</f>
        <v>1216.83</v>
      </c>
      <c r="H613" s="283"/>
      <c r="I613" s="847"/>
      <c r="J613" s="848"/>
      <c r="K613" s="849"/>
      <c r="L613" s="248"/>
      <c r="M613" s="845" t="s">
        <v>1183</v>
      </c>
      <c r="O613" s="846">
        <f>O601+K609-K618</f>
        <v>1041.7</v>
      </c>
    </row>
    <row r="614">
      <c r="A614" s="836" t="s">
        <v>718</v>
      </c>
      <c r="B614" s="837"/>
      <c r="C614" s="838">
        <v>200.0</v>
      </c>
      <c r="G614" s="799"/>
      <c r="H614" s="283"/>
      <c r="I614" s="847"/>
      <c r="J614" s="848"/>
      <c r="K614" s="849"/>
      <c r="O614" s="799"/>
    </row>
    <row r="615">
      <c r="A615" s="842" t="s">
        <v>656</v>
      </c>
      <c r="B615" s="843"/>
      <c r="C615" s="844">
        <f>IFERROR(__xludf.DUMMYFUNCTION("FILTER($C$4:$C$30,$B$4:$B$30=E593)"),747.17)</f>
        <v>747.17</v>
      </c>
      <c r="G615" s="799"/>
      <c r="H615" s="283"/>
      <c r="I615" s="847"/>
      <c r="J615" s="848"/>
      <c r="K615" s="849"/>
      <c r="O615" s="799"/>
    </row>
    <row r="616">
      <c r="A616" s="850" t="s">
        <v>1184</v>
      </c>
      <c r="B616" s="851"/>
      <c r="C616" s="852"/>
      <c r="E616" s="248"/>
      <c r="G616" s="799"/>
      <c r="H616" s="283"/>
      <c r="I616" s="847"/>
      <c r="J616" s="848"/>
      <c r="K616" s="849"/>
      <c r="M616" s="248"/>
      <c r="O616" s="799"/>
    </row>
    <row r="617">
      <c r="A617" s="847"/>
      <c r="B617" s="848"/>
      <c r="C617" s="849"/>
      <c r="G617" s="799"/>
      <c r="H617" s="283"/>
      <c r="I617" s="847"/>
      <c r="J617" s="848"/>
      <c r="K617" s="849"/>
      <c r="O617" s="799"/>
    </row>
    <row r="618">
      <c r="A618" s="853" t="s">
        <v>721</v>
      </c>
      <c r="B618" s="854"/>
      <c r="C618" s="855">
        <f>SUM(C612:C617)</f>
        <v>1497.17</v>
      </c>
      <c r="G618" s="799"/>
      <c r="H618" s="283"/>
      <c r="I618" s="853" t="s">
        <v>721</v>
      </c>
      <c r="J618" s="854"/>
      <c r="K618" s="855">
        <f>SUM(K612:K617)</f>
        <v>0</v>
      </c>
      <c r="O618" s="799"/>
    </row>
    <row r="619">
      <c r="A619" s="856"/>
      <c r="B619" s="857"/>
      <c r="C619" s="857"/>
      <c r="D619" s="857"/>
      <c r="E619" s="857"/>
      <c r="F619" s="857"/>
      <c r="G619" s="808"/>
      <c r="H619" s="283"/>
      <c r="I619" s="856"/>
      <c r="J619" s="857"/>
      <c r="K619" s="857"/>
      <c r="L619" s="857"/>
      <c r="M619" s="857"/>
      <c r="N619" s="857"/>
      <c r="O619" s="808"/>
    </row>
    <row r="622">
      <c r="A622" s="769"/>
      <c r="B622" s="770"/>
      <c r="C622" s="770"/>
      <c r="D622" s="771" t="s">
        <v>700</v>
      </c>
      <c r="E622" s="772" t="str">
        <f>E126</f>
        <v>11.24.2025-11.30.2025</v>
      </c>
      <c r="F622" s="773"/>
      <c r="G622" s="774"/>
      <c r="H622" s="305">
        <v>17.0</v>
      </c>
      <c r="I622" s="769"/>
      <c r="J622" s="770"/>
      <c r="K622" s="770"/>
      <c r="L622" s="771" t="s">
        <v>700</v>
      </c>
      <c r="M622" s="772" t="str">
        <f>E126</f>
        <v>11.24.2025-11.30.2025</v>
      </c>
      <c r="N622" s="773"/>
      <c r="O622" s="774"/>
    </row>
    <row r="623">
      <c r="A623" s="775"/>
      <c r="D623" s="771" t="s">
        <v>702</v>
      </c>
      <c r="E623" s="772" t="str">
        <f t="array" ref="E623">XLOOKUP(E624,$Q$973:$Q$1005,$R$973:$R$1005)</f>
        <v>Careway Logistic LLC</v>
      </c>
      <c r="F623" s="773"/>
      <c r="G623" s="774"/>
      <c r="H623" s="858"/>
      <c r="I623" s="775"/>
      <c r="L623" s="771" t="s">
        <v>351</v>
      </c>
      <c r="M623" s="772" t="str">
        <f t="array" ref="M623">XLOOKUP(M624,$L$1:$L$122,$K$1:$K$122)</f>
        <v>Marco Cayo Cayo</v>
      </c>
      <c r="N623" s="773"/>
      <c r="O623" s="774"/>
    </row>
    <row r="624">
      <c r="A624" s="775"/>
      <c r="D624" s="771" t="s">
        <v>703</v>
      </c>
      <c r="E624" s="778" t="s">
        <v>982</v>
      </c>
      <c r="F624" s="773"/>
      <c r="G624" s="774"/>
      <c r="H624" s="283"/>
      <c r="I624" s="775"/>
      <c r="L624" s="771" t="s">
        <v>703</v>
      </c>
      <c r="M624" s="772" t="str">
        <f>E624</f>
        <v>0997</v>
      </c>
      <c r="N624" s="773"/>
      <c r="O624" s="774"/>
    </row>
    <row r="625">
      <c r="A625" s="779" t="s">
        <v>704</v>
      </c>
      <c r="B625" s="779" t="s">
        <v>5</v>
      </c>
      <c r="C625" s="779" t="s">
        <v>6</v>
      </c>
      <c r="D625" s="779" t="s">
        <v>7</v>
      </c>
      <c r="E625" s="779" t="s">
        <v>8</v>
      </c>
      <c r="F625" s="779" t="s">
        <v>706</v>
      </c>
      <c r="G625" s="779" t="s">
        <v>707</v>
      </c>
      <c r="H625" s="34"/>
      <c r="I625" s="779" t="s">
        <v>704</v>
      </c>
      <c r="J625" s="779" t="s">
        <v>5</v>
      </c>
      <c r="K625" s="779" t="s">
        <v>6</v>
      </c>
      <c r="L625" s="779" t="s">
        <v>7</v>
      </c>
      <c r="M625" s="779" t="s">
        <v>1178</v>
      </c>
      <c r="N625" s="779" t="s">
        <v>839</v>
      </c>
      <c r="O625" s="779" t="s">
        <v>707</v>
      </c>
    </row>
    <row r="626">
      <c r="A626" s="780">
        <f>IFERROR(__xludf.DUMMYFUNCTION("FILTER($D$3:$H$122,$L$3:$L$122=E624)"),45986.0)</f>
        <v>45986</v>
      </c>
      <c r="B626" s="781">
        <f>IFERROR(__xludf.DUMMYFUNCTION("""COMPUTED_VALUE"""),5542555.0)</f>
        <v>5542555</v>
      </c>
      <c r="C626" s="781" t="str">
        <f>IFERROR(__xludf.DUMMYFUNCTION("""COMPUTED_VALUE"""),"Woodburn, OR, 97071")</f>
        <v>Woodburn, OR, 97071</v>
      </c>
      <c r="D626" s="781" t="str">
        <f>IFERROR(__xludf.DUMMYFUNCTION("""COMPUTED_VALUE"""),"Brawley, CA, 92227")</f>
        <v>Brawley, CA, 92227</v>
      </c>
      <c r="E626" s="782">
        <f>IFERROR(__xludf.DUMMYFUNCTION("""COMPUTED_VALUE"""),2000.0)</f>
        <v>2000</v>
      </c>
      <c r="F626" s="783">
        <v>0.88</v>
      </c>
      <c r="G626" s="782">
        <f>E626*F626</f>
        <v>1760</v>
      </c>
      <c r="H626" s="283"/>
      <c r="I626" s="780">
        <f>IFERROR(__xludf.DUMMYFUNCTION("FILTER($D$3:$G$122,$L$3:$L$122=M624)"),45986.0)</f>
        <v>45986</v>
      </c>
      <c r="J626" s="781">
        <f>IFERROR(__xludf.DUMMYFUNCTION("""COMPUTED_VALUE"""),5542555.0)</f>
        <v>5542555</v>
      </c>
      <c r="K626" s="781" t="str">
        <f>IFERROR(__xludf.DUMMYFUNCTION("""COMPUTED_VALUE"""),"Woodburn, OR, 97071")</f>
        <v>Woodburn, OR, 97071</v>
      </c>
      <c r="L626" s="781" t="str">
        <f>IFERROR(__xludf.DUMMYFUNCTION("""COMPUTED_VALUE"""),"Brawley, CA, 92227")</f>
        <v>Brawley, CA, 92227</v>
      </c>
      <c r="M626" s="880">
        <f>IFERROR(__xludf.DUMMYFUNCTION("FILTER($I$3:$I$122,$L$3:$L$122=M624)"),1175.0)</f>
        <v>1175</v>
      </c>
      <c r="N626" s="781">
        <v>0.65</v>
      </c>
      <c r="O626" s="782">
        <f>M626*N626</f>
        <v>763.75</v>
      </c>
    </row>
    <row r="627">
      <c r="A627" s="780"/>
      <c r="B627" s="781"/>
      <c r="C627" s="781"/>
      <c r="D627" s="781"/>
      <c r="E627" s="782"/>
      <c r="F627" s="783"/>
      <c r="G627" s="782"/>
      <c r="H627" s="283"/>
      <c r="I627" s="780"/>
      <c r="J627" s="781"/>
      <c r="K627" s="781"/>
      <c r="L627" s="781"/>
      <c r="M627" s="782"/>
      <c r="N627" s="783"/>
      <c r="O627" s="789"/>
    </row>
    <row r="628">
      <c r="A628" s="785"/>
      <c r="B628" s="786"/>
      <c r="C628" s="786"/>
      <c r="D628" s="786"/>
      <c r="E628" s="785"/>
      <c r="F628" s="787"/>
      <c r="G628" s="788"/>
      <c r="H628" s="283"/>
      <c r="I628" s="785"/>
      <c r="J628" s="786"/>
      <c r="K628" s="786"/>
      <c r="L628" s="786"/>
      <c r="M628" s="785"/>
      <c r="N628" s="787"/>
      <c r="O628" s="789"/>
    </row>
    <row r="629">
      <c r="A629" s="785"/>
      <c r="B629" s="786"/>
      <c r="C629" s="786"/>
      <c r="D629" s="786"/>
      <c r="E629" s="785"/>
      <c r="F629" s="787"/>
      <c r="G629" s="788"/>
      <c r="H629" s="283"/>
      <c r="I629" s="785"/>
      <c r="J629" s="786"/>
      <c r="K629" s="786"/>
      <c r="L629" s="786"/>
      <c r="M629" s="785"/>
      <c r="N629" s="787"/>
      <c r="O629" s="789"/>
    </row>
    <row r="630">
      <c r="A630" s="785"/>
      <c r="B630" s="786"/>
      <c r="C630" s="786"/>
      <c r="D630" s="786"/>
      <c r="E630" s="785"/>
      <c r="F630" s="787"/>
      <c r="G630" s="788"/>
      <c r="H630" s="283"/>
      <c r="I630" s="785"/>
      <c r="J630" s="786"/>
      <c r="K630" s="786"/>
      <c r="L630" s="786"/>
      <c r="M630" s="785"/>
      <c r="N630" s="787"/>
      <c r="O630" s="789"/>
    </row>
    <row r="631">
      <c r="A631" s="785"/>
      <c r="B631" s="786"/>
      <c r="C631" s="786"/>
      <c r="D631" s="786"/>
      <c r="E631" s="785"/>
      <c r="F631" s="787"/>
      <c r="G631" s="788"/>
      <c r="H631" s="283"/>
      <c r="I631" s="785"/>
      <c r="J631" s="786"/>
      <c r="K631" s="786"/>
      <c r="L631" s="786"/>
      <c r="M631" s="785"/>
      <c r="N631" s="787"/>
      <c r="O631" s="789"/>
    </row>
    <row r="632">
      <c r="A632" s="790" t="s">
        <v>711</v>
      </c>
      <c r="B632" s="791"/>
      <c r="C632" s="791"/>
      <c r="D632" s="792"/>
      <c r="E632" s="793">
        <f>SUM(E626:E631)</f>
        <v>2000</v>
      </c>
      <c r="F632" s="794"/>
      <c r="G632" s="793">
        <f>SUM(G626:G631)</f>
        <v>1760</v>
      </c>
      <c r="H632" s="283"/>
      <c r="I632" s="790" t="s">
        <v>711</v>
      </c>
      <c r="J632" s="791"/>
      <c r="K632" s="791"/>
      <c r="L632" s="792"/>
      <c r="M632" s="877">
        <f>SUM(M626:M631)</f>
        <v>1175</v>
      </c>
      <c r="N632" s="794"/>
      <c r="O632" s="793">
        <f>SUM(O626:O631)</f>
        <v>763.75</v>
      </c>
    </row>
    <row r="633">
      <c r="A633" s="796"/>
      <c r="D633" s="798"/>
      <c r="G633" s="799"/>
      <c r="H633" s="283"/>
      <c r="I633" s="796"/>
      <c r="L633" s="798"/>
      <c r="O633" s="799"/>
    </row>
    <row r="634">
      <c r="A634" s="800" t="s">
        <v>712</v>
      </c>
      <c r="B634" s="801"/>
      <c r="C634" s="802"/>
      <c r="G634" s="799"/>
      <c r="H634" s="283"/>
      <c r="I634" s="800" t="s">
        <v>712</v>
      </c>
      <c r="J634" s="803"/>
      <c r="K634" s="804"/>
      <c r="O634" s="799"/>
    </row>
    <row r="635">
      <c r="A635" s="902" t="s">
        <v>1194</v>
      </c>
      <c r="B635" s="806"/>
      <c r="C635" s="807">
        <v>250.0</v>
      </c>
      <c r="G635" s="799"/>
      <c r="H635" s="283"/>
      <c r="I635" s="902" t="s">
        <v>1194</v>
      </c>
      <c r="J635" s="808"/>
      <c r="K635" s="903">
        <v>250.0</v>
      </c>
      <c r="O635" s="799"/>
    </row>
    <row r="636">
      <c r="A636" s="868"/>
      <c r="B636" s="774"/>
      <c r="C636" s="816"/>
      <c r="G636" s="799"/>
      <c r="H636" s="283"/>
      <c r="I636" s="813" t="s">
        <v>1201</v>
      </c>
      <c r="J636" s="774"/>
      <c r="K636" s="916">
        <v>61.75</v>
      </c>
      <c r="O636" s="799"/>
    </row>
    <row r="637">
      <c r="A637" s="815"/>
      <c r="B637" s="792"/>
      <c r="C637" s="816"/>
      <c r="G637" s="799"/>
      <c r="H637" s="283"/>
      <c r="I637" s="815"/>
      <c r="J637" s="792"/>
      <c r="K637" s="816"/>
      <c r="O637" s="799"/>
    </row>
    <row r="638">
      <c r="A638" s="817"/>
      <c r="B638" s="774"/>
      <c r="C638" s="818"/>
      <c r="G638" s="799"/>
      <c r="H638" s="283"/>
      <c r="I638" s="817"/>
      <c r="J638" s="774"/>
      <c r="K638" s="818"/>
      <c r="O638" s="799"/>
    </row>
    <row r="639">
      <c r="A639" s="817"/>
      <c r="B639" s="792"/>
      <c r="C639" s="818"/>
      <c r="G639" s="799"/>
      <c r="H639" s="283"/>
      <c r="I639" s="817"/>
      <c r="J639" s="792"/>
      <c r="K639" s="818"/>
      <c r="O639" s="799"/>
    </row>
    <row r="640">
      <c r="A640" s="821" t="s">
        <v>714</v>
      </c>
      <c r="B640" s="822"/>
      <c r="C640" s="823">
        <f>SUM(C635:C639)</f>
        <v>250</v>
      </c>
      <c r="G640" s="799"/>
      <c r="H640" s="283"/>
      <c r="I640" s="821" t="s">
        <v>714</v>
      </c>
      <c r="J640" s="826"/>
      <c r="K640" s="823">
        <f>SUM(K635:K639)</f>
        <v>311.75</v>
      </c>
      <c r="O640" s="799"/>
    </row>
    <row r="641">
      <c r="A641" s="828"/>
      <c r="C641" s="829"/>
      <c r="G641" s="799"/>
      <c r="H641" s="283"/>
      <c r="I641" s="828"/>
      <c r="K641" s="829"/>
      <c r="O641" s="799"/>
    </row>
    <row r="642">
      <c r="A642" s="830" t="s">
        <v>715</v>
      </c>
      <c r="B642" s="831"/>
      <c r="C642" s="832"/>
      <c r="G642" s="799"/>
      <c r="H642" s="283"/>
      <c r="I642" s="833" t="s">
        <v>715</v>
      </c>
      <c r="J642" s="834"/>
      <c r="K642" s="835"/>
      <c r="O642" s="799"/>
    </row>
    <row r="643">
      <c r="A643" s="836" t="s">
        <v>716</v>
      </c>
      <c r="B643" s="837"/>
      <c r="C643" s="838">
        <v>150.0</v>
      </c>
      <c r="G643" s="799"/>
      <c r="H643" s="283"/>
      <c r="I643" s="839"/>
      <c r="J643" s="840"/>
      <c r="K643" s="841"/>
      <c r="O643" s="799"/>
    </row>
    <row r="644">
      <c r="A644" s="842" t="s">
        <v>717</v>
      </c>
      <c r="B644" s="843"/>
      <c r="C644" s="844">
        <v>400.0</v>
      </c>
      <c r="D644" s="891"/>
      <c r="E644" s="845" t="s">
        <v>1182</v>
      </c>
      <c r="G644" s="846">
        <f>G632+C640-C649</f>
        <v>-811.98</v>
      </c>
      <c r="H644" s="283"/>
      <c r="I644" s="847"/>
      <c r="J644" s="848"/>
      <c r="K644" s="849"/>
      <c r="L644" s="248"/>
      <c r="M644" s="845" t="s">
        <v>1183</v>
      </c>
      <c r="O644" s="846">
        <f>O632+K640-K649</f>
        <v>1075.5</v>
      </c>
    </row>
    <row r="645">
      <c r="A645" s="836" t="s">
        <v>718</v>
      </c>
      <c r="B645" s="837"/>
      <c r="C645" s="838">
        <v>200.0</v>
      </c>
      <c r="D645" s="892"/>
      <c r="G645" s="799"/>
      <c r="H645" s="283"/>
      <c r="I645" s="847"/>
      <c r="J645" s="848"/>
      <c r="K645" s="849"/>
      <c r="O645" s="799"/>
    </row>
    <row r="646">
      <c r="A646" s="842" t="s">
        <v>656</v>
      </c>
      <c r="B646" s="843"/>
      <c r="C646" s="844">
        <f>IFERROR(__xludf.DUMMYFUNCTION("FILTER($C$4:$C$30,$B$4:$B$30=E624)"),1731.16)</f>
        <v>1731.16</v>
      </c>
      <c r="D646" s="891"/>
      <c r="G646" s="799"/>
      <c r="H646" s="283"/>
      <c r="I646" s="847"/>
      <c r="J646" s="848"/>
      <c r="K646" s="849"/>
      <c r="O646" s="799"/>
    </row>
    <row r="647">
      <c r="A647" s="850" t="s">
        <v>1184</v>
      </c>
      <c r="B647" s="851"/>
      <c r="C647" s="852">
        <f>258.82+82</f>
        <v>340.82</v>
      </c>
      <c r="D647" s="917" t="s">
        <v>1202</v>
      </c>
      <c r="E647" s="248"/>
      <c r="G647" s="799"/>
      <c r="H647" s="283"/>
      <c r="I647" s="847"/>
      <c r="J647" s="848"/>
      <c r="K647" s="849"/>
      <c r="M647" s="248"/>
      <c r="O647" s="799"/>
    </row>
    <row r="648">
      <c r="A648" s="914"/>
      <c r="B648" s="905"/>
      <c r="C648" s="906"/>
      <c r="D648" s="915" t="s">
        <v>1203</v>
      </c>
      <c r="G648" s="799"/>
      <c r="H648" s="283"/>
      <c r="I648" s="847"/>
      <c r="J648" s="848"/>
      <c r="K648" s="849"/>
      <c r="O648" s="799"/>
    </row>
    <row r="649">
      <c r="A649" s="853" t="s">
        <v>721</v>
      </c>
      <c r="B649" s="854"/>
      <c r="C649" s="855">
        <f>SUM(C643:C648)</f>
        <v>2821.98</v>
      </c>
      <c r="D649" s="248"/>
      <c r="G649" s="799"/>
      <c r="H649" s="283"/>
      <c r="I649" s="853" t="s">
        <v>721</v>
      </c>
      <c r="J649" s="854"/>
      <c r="K649" s="855">
        <f>SUM(K643:K648)</f>
        <v>0</v>
      </c>
      <c r="O649" s="799"/>
    </row>
    <row r="650">
      <c r="A650" s="856"/>
      <c r="B650" s="857"/>
      <c r="C650" s="857"/>
      <c r="D650" s="894"/>
      <c r="E650" s="857"/>
      <c r="F650" s="857"/>
      <c r="G650" s="808"/>
      <c r="H650" s="283"/>
      <c r="I650" s="856"/>
      <c r="J650" s="857"/>
      <c r="K650" s="857"/>
      <c r="L650" s="857"/>
      <c r="M650" s="857"/>
      <c r="N650" s="857"/>
      <c r="O650" s="808"/>
    </row>
    <row r="653">
      <c r="A653" s="769"/>
      <c r="B653" s="770"/>
      <c r="C653" s="770"/>
      <c r="D653" s="771" t="s">
        <v>700</v>
      </c>
      <c r="E653" s="772" t="str">
        <f>E126</f>
        <v>11.24.2025-11.30.2025</v>
      </c>
      <c r="F653" s="773"/>
      <c r="G653" s="774"/>
      <c r="H653" s="305">
        <v>18.0</v>
      </c>
      <c r="I653" s="769"/>
      <c r="J653" s="770"/>
      <c r="K653" s="770"/>
      <c r="L653" s="771" t="s">
        <v>700</v>
      </c>
      <c r="M653" s="772" t="str">
        <f>E653</f>
        <v>11.24.2025-11.30.2025</v>
      </c>
      <c r="N653" s="773"/>
      <c r="O653" s="774"/>
    </row>
    <row r="654">
      <c r="A654" s="775"/>
      <c r="D654" s="771" t="s">
        <v>702</v>
      </c>
      <c r="E654" s="772" t="str">
        <f t="array" ref="E654">XLOOKUP(E655,$Q$973:$Q$1005,$R$973:$R$1005)</f>
        <v>FERHAT BAL</v>
      </c>
      <c r="F654" s="773"/>
      <c r="G654" s="774"/>
      <c r="H654" s="858"/>
      <c r="I654" s="775"/>
      <c r="L654" s="771" t="s">
        <v>702</v>
      </c>
      <c r="M654" s="772" t="s">
        <v>693</v>
      </c>
      <c r="N654" s="773"/>
      <c r="O654" s="774"/>
    </row>
    <row r="655">
      <c r="A655" s="775"/>
      <c r="D655" s="771" t="s">
        <v>703</v>
      </c>
      <c r="E655" s="772">
        <v>6643.0</v>
      </c>
      <c r="F655" s="773"/>
      <c r="G655" s="774"/>
      <c r="H655" s="283"/>
      <c r="I655" s="775"/>
      <c r="L655" s="771" t="s">
        <v>703</v>
      </c>
      <c r="M655" s="772">
        <v>6643.0</v>
      </c>
      <c r="N655" s="773"/>
      <c r="O655" s="774"/>
    </row>
    <row r="656">
      <c r="A656" s="779" t="s">
        <v>704</v>
      </c>
      <c r="B656" s="779" t="s">
        <v>5</v>
      </c>
      <c r="C656" s="779" t="s">
        <v>6</v>
      </c>
      <c r="D656" s="779" t="s">
        <v>7</v>
      </c>
      <c r="E656" s="779" t="s">
        <v>8</v>
      </c>
      <c r="F656" s="779" t="s">
        <v>706</v>
      </c>
      <c r="G656" s="779" t="s">
        <v>707</v>
      </c>
      <c r="H656" s="34"/>
      <c r="I656" s="779"/>
      <c r="J656" s="779"/>
      <c r="K656" s="779"/>
      <c r="L656" s="779"/>
      <c r="M656" s="779" t="s">
        <v>1204</v>
      </c>
      <c r="N656" s="779"/>
      <c r="O656" s="779"/>
    </row>
    <row r="657">
      <c r="A657" s="780">
        <f>IFERROR(__xludf.DUMMYFUNCTION("FILTER($D$3:$H$122,$L$3:$L$122=E655)"),45985.0)</f>
        <v>45985</v>
      </c>
      <c r="B657" s="781">
        <f>IFERROR(__xludf.DUMMYFUNCTION("""COMPUTED_VALUE"""),2.0638176E7)</f>
        <v>20638176</v>
      </c>
      <c r="C657" s="781" t="str">
        <f>IFERROR(__xludf.DUMMYFUNCTION("""COMPUTED_VALUE"""),"Lemont, IL, 60439")</f>
        <v>Lemont, IL, 60439</v>
      </c>
      <c r="D657" s="781" t="str">
        <f>IFERROR(__xludf.DUMMYFUNCTION("""COMPUTED_VALUE"""),"North Kansas City, MO, 64116")</f>
        <v>North Kansas City, MO, 64116</v>
      </c>
      <c r="E657" s="782">
        <f>IFERROR(__xludf.DUMMYFUNCTION("""COMPUTED_VALUE"""),1400.0)</f>
        <v>1400</v>
      </c>
      <c r="F657" s="783">
        <v>0.88</v>
      </c>
      <c r="G657" s="782">
        <f t="shared" ref="G657:G659" si="23">E657*F657</f>
        <v>1232</v>
      </c>
      <c r="H657" s="283"/>
      <c r="I657" s="780"/>
      <c r="J657" s="781"/>
      <c r="K657" s="781"/>
      <c r="L657" s="781"/>
      <c r="M657" s="880">
        <f>IFERROR(__xludf.DUMMYFUNCTION("FILTER($I$3:$I$122,$L$3:$L$122=M655)"),598.0)</f>
        <v>598</v>
      </c>
      <c r="N657" s="781"/>
      <c r="O657" s="782"/>
    </row>
    <row r="658">
      <c r="A658" s="780">
        <f>IFERROR(__xludf.DUMMYFUNCTION("""COMPUTED_VALUE"""),45986.0)</f>
        <v>45986</v>
      </c>
      <c r="B658" s="781">
        <f>IFERROR(__xludf.DUMMYFUNCTION("""COMPUTED_VALUE"""),2174307.0)</f>
        <v>2174307</v>
      </c>
      <c r="C658" s="781" t="str">
        <f>IFERROR(__xludf.DUMMYFUNCTION("""COMPUTED_VALUE"""),"Olathe, KS, 66062")</f>
        <v>Olathe, KS, 66062</v>
      </c>
      <c r="D658" s="781" t="str">
        <f>IFERROR(__xludf.DUMMYFUNCTION("""COMPUTED_VALUE"""),"Champaign, IL, 61822")</f>
        <v>Champaign, IL, 61822</v>
      </c>
      <c r="E658" s="782">
        <f>IFERROR(__xludf.DUMMYFUNCTION("""COMPUTED_VALUE"""),1550.0)</f>
        <v>1550</v>
      </c>
      <c r="F658" s="783">
        <v>0.88</v>
      </c>
      <c r="G658" s="782">
        <f t="shared" si="23"/>
        <v>1364</v>
      </c>
      <c r="H658" s="283"/>
      <c r="I658" s="780"/>
      <c r="J658" s="781"/>
      <c r="K658" s="781"/>
      <c r="L658" s="781"/>
      <c r="M658" s="880">
        <f>IFERROR(__xludf.DUMMYFUNCTION("""COMPUTED_VALUE"""),411.0)</f>
        <v>411</v>
      </c>
      <c r="N658" s="781"/>
      <c r="O658" s="782"/>
    </row>
    <row r="659">
      <c r="A659" s="883">
        <f>IFERROR(__xludf.DUMMYFUNCTION("""COMPUTED_VALUE"""),45987.0)</f>
        <v>45987</v>
      </c>
      <c r="B659" s="786">
        <f>IFERROR(__xludf.DUMMYFUNCTION("""COMPUTED_VALUE"""),2177290.0)</f>
        <v>2177290</v>
      </c>
      <c r="C659" s="786" t="str">
        <f>IFERROR(__xludf.DUMMYFUNCTION("""COMPUTED_VALUE"""),"Mattoon, IL, 61938")</f>
        <v>Mattoon, IL, 61938</v>
      </c>
      <c r="D659" s="786" t="str">
        <f>IFERROR(__xludf.DUMMYFUNCTION("""COMPUTED_VALUE"""),"Columbia, SC, 29209")</f>
        <v>Columbia, SC, 29209</v>
      </c>
      <c r="E659" s="884">
        <f>IFERROR(__xludf.DUMMYFUNCTION("""COMPUTED_VALUE"""),2500.0)</f>
        <v>2500</v>
      </c>
      <c r="F659" s="783">
        <v>0.88</v>
      </c>
      <c r="G659" s="782">
        <f t="shared" si="23"/>
        <v>2200</v>
      </c>
      <c r="H659" s="283"/>
      <c r="I659" s="780"/>
      <c r="J659" s="781"/>
      <c r="K659" s="781"/>
      <c r="L659" s="781"/>
      <c r="M659" s="880">
        <f>IFERROR(__xludf.DUMMYFUNCTION("""COMPUTED_VALUE"""),782.0)</f>
        <v>782</v>
      </c>
      <c r="N659" s="781"/>
      <c r="O659" s="782"/>
    </row>
    <row r="660">
      <c r="A660" s="785"/>
      <c r="B660" s="786"/>
      <c r="C660" s="786"/>
      <c r="D660" s="786"/>
      <c r="E660" s="785"/>
      <c r="F660" s="787"/>
      <c r="G660" s="788"/>
      <c r="H660" s="283"/>
      <c r="I660" s="785"/>
      <c r="J660" s="786"/>
      <c r="K660" s="786"/>
      <c r="L660" s="786"/>
      <c r="M660" s="785"/>
      <c r="N660" s="787"/>
      <c r="O660" s="789"/>
    </row>
    <row r="661">
      <c r="A661" s="785"/>
      <c r="B661" s="786"/>
      <c r="C661" s="786"/>
      <c r="D661" s="786"/>
      <c r="E661" s="785"/>
      <c r="F661" s="787"/>
      <c r="G661" s="788"/>
      <c r="H661" s="283"/>
      <c r="I661" s="785"/>
      <c r="J661" s="786"/>
      <c r="K661" s="786"/>
      <c r="L661" s="786"/>
      <c r="M661" s="785"/>
      <c r="N661" s="787"/>
      <c r="O661" s="789"/>
    </row>
    <row r="662">
      <c r="A662" s="785"/>
      <c r="B662" s="786"/>
      <c r="C662" s="786"/>
      <c r="D662" s="786"/>
      <c r="E662" s="785"/>
      <c r="F662" s="787"/>
      <c r="G662" s="788"/>
      <c r="H662" s="283"/>
      <c r="I662" s="785"/>
      <c r="J662" s="786"/>
      <c r="K662" s="786"/>
      <c r="L662" s="786"/>
      <c r="M662" s="785"/>
      <c r="N662" s="787"/>
      <c r="O662" s="789"/>
    </row>
    <row r="663">
      <c r="A663" s="790" t="s">
        <v>711</v>
      </c>
      <c r="B663" s="791"/>
      <c r="C663" s="791"/>
      <c r="D663" s="792"/>
      <c r="E663" s="793">
        <f>SUM(E657:E662)</f>
        <v>5450</v>
      </c>
      <c r="F663" s="794"/>
      <c r="G663" s="793">
        <f>SUM(G657:G662)</f>
        <v>4796</v>
      </c>
      <c r="H663" s="283"/>
      <c r="I663" s="790"/>
      <c r="J663" s="791"/>
      <c r="K663" s="791"/>
      <c r="L663" s="792"/>
      <c r="M663" s="877">
        <f>SUM(M657:M662)</f>
        <v>1791</v>
      </c>
      <c r="N663" s="794"/>
      <c r="O663" s="793"/>
    </row>
    <row r="664">
      <c r="A664" s="796"/>
      <c r="D664" s="798"/>
      <c r="G664" s="799"/>
      <c r="H664" s="283"/>
      <c r="I664" s="796"/>
      <c r="L664" s="798"/>
      <c r="O664" s="799"/>
    </row>
    <row r="665">
      <c r="A665" s="800" t="s">
        <v>712</v>
      </c>
      <c r="B665" s="801"/>
      <c r="C665" s="802"/>
      <c r="G665" s="799"/>
      <c r="H665" s="283"/>
      <c r="I665" s="800"/>
      <c r="J665" s="803"/>
      <c r="K665" s="804"/>
      <c r="O665" s="799"/>
    </row>
    <row r="666">
      <c r="A666" s="902"/>
      <c r="B666" s="806"/>
      <c r="C666" s="807"/>
      <c r="G666" s="799"/>
      <c r="H666" s="283"/>
      <c r="I666" s="902" t="s">
        <v>1194</v>
      </c>
      <c r="J666" s="808"/>
      <c r="K666" s="809"/>
      <c r="O666" s="799"/>
    </row>
    <row r="667">
      <c r="A667" s="868"/>
      <c r="B667" s="774"/>
      <c r="C667" s="816"/>
      <c r="G667" s="799"/>
      <c r="H667" s="283"/>
      <c r="I667" s="868"/>
      <c r="J667" s="774"/>
      <c r="K667" s="816"/>
      <c r="O667" s="799"/>
    </row>
    <row r="668">
      <c r="A668" s="815"/>
      <c r="B668" s="792"/>
      <c r="C668" s="816"/>
      <c r="G668" s="799"/>
      <c r="H668" s="283"/>
      <c r="I668" s="815"/>
      <c r="J668" s="792"/>
      <c r="K668" s="816"/>
      <c r="O668" s="799"/>
    </row>
    <row r="669">
      <c r="A669" s="817"/>
      <c r="B669" s="774"/>
      <c r="C669" s="818"/>
      <c r="G669" s="799"/>
      <c r="H669" s="283"/>
      <c r="I669" s="817"/>
      <c r="J669" s="774"/>
      <c r="K669" s="818"/>
      <c r="O669" s="799"/>
    </row>
    <row r="670">
      <c r="A670" s="817"/>
      <c r="B670" s="792"/>
      <c r="C670" s="818"/>
      <c r="G670" s="799"/>
      <c r="H670" s="283"/>
      <c r="I670" s="817"/>
      <c r="J670" s="792"/>
      <c r="K670" s="818"/>
      <c r="O670" s="799"/>
    </row>
    <row r="671">
      <c r="A671" s="821" t="s">
        <v>714</v>
      </c>
      <c r="B671" s="822"/>
      <c r="C671" s="823">
        <f>SUM(C666:C670)</f>
        <v>0</v>
      </c>
      <c r="G671" s="799"/>
      <c r="H671" s="283"/>
      <c r="I671" s="821"/>
      <c r="J671" s="826"/>
      <c r="K671" s="827"/>
      <c r="O671" s="799"/>
    </row>
    <row r="672">
      <c r="A672" s="828"/>
      <c r="C672" s="829"/>
      <c r="G672" s="799"/>
      <c r="H672" s="283"/>
      <c r="I672" s="828"/>
      <c r="K672" s="829"/>
      <c r="O672" s="799"/>
    </row>
    <row r="673">
      <c r="A673" s="830" t="s">
        <v>715</v>
      </c>
      <c r="B673" s="831"/>
      <c r="C673" s="832"/>
      <c r="G673" s="799"/>
      <c r="H673" s="283"/>
      <c r="I673" s="833"/>
      <c r="J673" s="834"/>
      <c r="K673" s="835"/>
      <c r="O673" s="799"/>
    </row>
    <row r="674">
      <c r="A674" s="836" t="s">
        <v>716</v>
      </c>
      <c r="B674" s="837"/>
      <c r="C674" s="838">
        <v>150.0</v>
      </c>
      <c r="G674" s="799"/>
      <c r="H674" s="283"/>
      <c r="I674" s="839"/>
      <c r="J674" s="840"/>
      <c r="K674" s="841"/>
      <c r="O674" s="799"/>
    </row>
    <row r="675">
      <c r="A675" s="842" t="s">
        <v>717</v>
      </c>
      <c r="B675" s="843"/>
      <c r="C675" s="844">
        <v>400.0</v>
      </c>
      <c r="D675" s="248"/>
      <c r="E675" s="845" t="s">
        <v>1182</v>
      </c>
      <c r="G675" s="846">
        <f>G663+C671-C680</f>
        <v>2582.78</v>
      </c>
      <c r="H675" s="283"/>
      <c r="I675" s="847"/>
      <c r="J675" s="848"/>
      <c r="K675" s="849"/>
      <c r="L675" s="248"/>
      <c r="M675" s="845"/>
      <c r="O675" s="846"/>
    </row>
    <row r="676">
      <c r="A676" s="836" t="s">
        <v>718</v>
      </c>
      <c r="B676" s="837"/>
      <c r="C676" s="838"/>
      <c r="G676" s="799"/>
      <c r="H676" s="283"/>
      <c r="I676" s="847"/>
      <c r="J676" s="848"/>
      <c r="K676" s="849"/>
      <c r="O676" s="799"/>
    </row>
    <row r="677">
      <c r="A677" s="842" t="s">
        <v>656</v>
      </c>
      <c r="B677" s="843"/>
      <c r="C677" s="844">
        <f>IFERROR(__xludf.DUMMYFUNCTION("FILTER($C$4:$C$30,$B$4:$B$30=E655)"),1663.22)</f>
        <v>1663.22</v>
      </c>
      <c r="G677" s="799"/>
      <c r="H677" s="283"/>
      <c r="I677" s="847"/>
      <c r="J677" s="848"/>
      <c r="K677" s="849"/>
      <c r="O677" s="799"/>
    </row>
    <row r="678">
      <c r="A678" s="850" t="s">
        <v>1184</v>
      </c>
      <c r="B678" s="851"/>
      <c r="C678" s="852"/>
      <c r="E678" s="248"/>
      <c r="G678" s="799"/>
      <c r="H678" s="283"/>
      <c r="I678" s="847"/>
      <c r="J678" s="848"/>
      <c r="K678" s="849"/>
      <c r="M678" s="248"/>
      <c r="O678" s="799"/>
    </row>
    <row r="679">
      <c r="A679" s="847"/>
      <c r="B679" s="848"/>
      <c r="C679" s="849"/>
      <c r="G679" s="799"/>
      <c r="H679" s="283"/>
      <c r="I679" s="847"/>
      <c r="J679" s="848"/>
      <c r="K679" s="849"/>
      <c r="O679" s="799"/>
    </row>
    <row r="680">
      <c r="A680" s="853" t="s">
        <v>721</v>
      </c>
      <c r="B680" s="854"/>
      <c r="C680" s="855">
        <f>SUM(C674:C679)</f>
        <v>2213.22</v>
      </c>
      <c r="G680" s="799"/>
      <c r="H680" s="283"/>
      <c r="I680" s="853"/>
      <c r="J680" s="854"/>
      <c r="K680" s="855"/>
      <c r="O680" s="799"/>
    </row>
    <row r="681">
      <c r="A681" s="856"/>
      <c r="B681" s="857"/>
      <c r="C681" s="857"/>
      <c r="D681" s="857"/>
      <c r="E681" s="857"/>
      <c r="F681" s="857"/>
      <c r="G681" s="808"/>
      <c r="H681" s="283"/>
      <c r="I681" s="856"/>
      <c r="J681" s="857"/>
      <c r="K681" s="857"/>
      <c r="L681" s="857"/>
      <c r="M681" s="857"/>
      <c r="N681" s="857"/>
      <c r="O681" s="808"/>
    </row>
    <row r="684">
      <c r="A684" s="769"/>
      <c r="B684" s="770"/>
      <c r="C684" s="770"/>
      <c r="D684" s="771" t="s">
        <v>700</v>
      </c>
      <c r="E684" s="772" t="str">
        <f>E126</f>
        <v>11.24.2025-11.30.2025</v>
      </c>
      <c r="F684" s="773"/>
      <c r="G684" s="774"/>
      <c r="H684" s="305">
        <v>19.0</v>
      </c>
      <c r="I684" s="769"/>
      <c r="J684" s="770"/>
      <c r="K684" s="770"/>
      <c r="L684" s="771" t="s">
        <v>700</v>
      </c>
      <c r="M684" s="772" t="str">
        <f>E126</f>
        <v>11.24.2025-11.30.2025</v>
      </c>
      <c r="N684" s="773"/>
      <c r="O684" s="774"/>
    </row>
    <row r="685">
      <c r="A685" s="775"/>
      <c r="D685" s="771" t="s">
        <v>702</v>
      </c>
      <c r="E685" s="772" t="s">
        <v>682</v>
      </c>
      <c r="F685" s="773"/>
      <c r="G685" s="774"/>
      <c r="H685" s="776"/>
      <c r="I685" s="775"/>
      <c r="L685" s="771" t="s">
        <v>351</v>
      </c>
      <c r="M685" s="772" t="str">
        <f t="array" ref="M685">XLOOKUP(M686,$L$1:$L$122,$K$1:$K$122)</f>
        <v>JEAN SONNY</v>
      </c>
      <c r="N685" s="773"/>
      <c r="O685" s="774"/>
    </row>
    <row r="686">
      <c r="A686" s="775"/>
      <c r="D686" s="771" t="s">
        <v>703</v>
      </c>
      <c r="E686" s="772">
        <v>7352.0</v>
      </c>
      <c r="F686" s="773"/>
      <c r="G686" s="774"/>
      <c r="H686" s="283"/>
      <c r="I686" s="775"/>
      <c r="L686" s="771" t="s">
        <v>703</v>
      </c>
      <c r="M686" s="772">
        <f>E686</f>
        <v>7352</v>
      </c>
      <c r="N686" s="773"/>
      <c r="O686" s="774"/>
    </row>
    <row r="687">
      <c r="A687" s="779" t="s">
        <v>704</v>
      </c>
      <c r="B687" s="779" t="s">
        <v>5</v>
      </c>
      <c r="C687" s="779" t="s">
        <v>6</v>
      </c>
      <c r="D687" s="779" t="s">
        <v>7</v>
      </c>
      <c r="E687" s="779" t="s">
        <v>8</v>
      </c>
      <c r="F687" s="779" t="s">
        <v>706</v>
      </c>
      <c r="G687" s="779" t="s">
        <v>707</v>
      </c>
      <c r="H687" s="34"/>
      <c r="I687" s="779" t="s">
        <v>704</v>
      </c>
      <c r="J687" s="779" t="s">
        <v>5</v>
      </c>
      <c r="K687" s="779" t="s">
        <v>6</v>
      </c>
      <c r="L687" s="779" t="s">
        <v>7</v>
      </c>
      <c r="M687" s="779" t="s">
        <v>1178</v>
      </c>
      <c r="N687" s="779" t="s">
        <v>839</v>
      </c>
      <c r="O687" s="779" t="s">
        <v>707</v>
      </c>
    </row>
    <row r="688">
      <c r="A688" s="780">
        <f>IFERROR(__xludf.DUMMYFUNCTION("FILTER($D$3:$H$122,$L$3:$L$122=E686)"),45985.0)</f>
        <v>45985</v>
      </c>
      <c r="B688" s="781">
        <f>IFERROR(__xludf.DUMMYFUNCTION("""COMPUTED_VALUE"""),5.34890703E8)</f>
        <v>534890703</v>
      </c>
      <c r="C688" s="781" t="str">
        <f>IFERROR(__xludf.DUMMYFUNCTION("""COMPUTED_VALUE"""),"Ripon, CA, 95366")</f>
        <v>Ripon, CA, 95366</v>
      </c>
      <c r="D688" s="781" t="str">
        <f>IFERROR(__xludf.DUMMYFUNCTION("""COMPUTED_VALUE"""),"Goleta, CA, 93117")</f>
        <v>Goleta, CA, 93117</v>
      </c>
      <c r="E688" s="782">
        <f>IFERROR(__xludf.DUMMYFUNCTION("""COMPUTED_VALUE"""),1000.0)</f>
        <v>1000</v>
      </c>
      <c r="F688" s="783">
        <v>0.88</v>
      </c>
      <c r="G688" s="782">
        <f t="shared" ref="G688:G689" si="24">E688*F688</f>
        <v>880</v>
      </c>
      <c r="H688" s="283"/>
      <c r="I688" s="780">
        <f>IFERROR(__xludf.DUMMYFUNCTION("FILTER($D$3:$G$122,$L$3:$L$122=M686)"),45985.0)</f>
        <v>45985</v>
      </c>
      <c r="J688" s="781">
        <f>IFERROR(__xludf.DUMMYFUNCTION("""COMPUTED_VALUE"""),5.34890703E8)</f>
        <v>534890703</v>
      </c>
      <c r="K688" s="781" t="str">
        <f>IFERROR(__xludf.DUMMYFUNCTION("""COMPUTED_VALUE"""),"Ripon, CA, 95366")</f>
        <v>Ripon, CA, 95366</v>
      </c>
      <c r="L688" s="781" t="str">
        <f>IFERROR(__xludf.DUMMYFUNCTION("""COMPUTED_VALUE"""),"Goleta, CA, 93117")</f>
        <v>Goleta, CA, 93117</v>
      </c>
      <c r="M688" s="880">
        <f>IFERROR(__xludf.DUMMYFUNCTION("FILTER($I$3:$I$122,$L$3:$L$122=M686)"),391.0)</f>
        <v>391</v>
      </c>
      <c r="N688" s="781">
        <v>0.65</v>
      </c>
      <c r="O688" s="782">
        <f t="shared" ref="O688:O689" si="25">M688*N688</f>
        <v>254.15</v>
      </c>
    </row>
    <row r="689">
      <c r="A689" s="780">
        <f>IFERROR(__xludf.DUMMYFUNCTION("""COMPUTED_VALUE"""),45987.0)</f>
        <v>45987</v>
      </c>
      <c r="B689" s="781">
        <f>IFERROR(__xludf.DUMMYFUNCTION("""COMPUTED_VALUE"""),1243985.0)</f>
        <v>1243985</v>
      </c>
      <c r="C689" s="781" t="str">
        <f>IFERROR(__xludf.DUMMYFUNCTION("""COMPUTED_VALUE"""),"Vernon, CA, 90058")</f>
        <v>Vernon, CA, 90058</v>
      </c>
      <c r="D689" s="781" t="str">
        <f>IFERROR(__xludf.DUMMYFUNCTION("""COMPUTED_VALUE"""),"Mechanicsburg, PA, 17055")</f>
        <v>Mechanicsburg, PA, 17055</v>
      </c>
      <c r="E689" s="782">
        <f>IFERROR(__xludf.DUMMYFUNCTION("""COMPUTED_VALUE"""),6100.0)</f>
        <v>6100</v>
      </c>
      <c r="F689" s="783">
        <v>0.88</v>
      </c>
      <c r="G689" s="782">
        <f t="shared" si="24"/>
        <v>5368</v>
      </c>
      <c r="H689" s="283"/>
      <c r="I689" s="780">
        <f>IFERROR(__xludf.DUMMYFUNCTION("""COMPUTED_VALUE"""),45987.0)</f>
        <v>45987</v>
      </c>
      <c r="J689" s="781">
        <f>IFERROR(__xludf.DUMMYFUNCTION("""COMPUTED_VALUE"""),1243985.0)</f>
        <v>1243985</v>
      </c>
      <c r="K689" s="781" t="str">
        <f>IFERROR(__xludf.DUMMYFUNCTION("""COMPUTED_VALUE"""),"Vernon, CA, 90058")</f>
        <v>Vernon, CA, 90058</v>
      </c>
      <c r="L689" s="781" t="str">
        <f>IFERROR(__xludf.DUMMYFUNCTION("""COMPUTED_VALUE"""),"Mechanicsburg, PA, 17055")</f>
        <v>Mechanicsburg, PA, 17055</v>
      </c>
      <c r="M689" s="880">
        <f>IFERROR(__xludf.DUMMYFUNCTION("""COMPUTED_VALUE"""),2823.0)</f>
        <v>2823</v>
      </c>
      <c r="N689" s="781">
        <v>0.65</v>
      </c>
      <c r="O689" s="782">
        <f t="shared" si="25"/>
        <v>1834.95</v>
      </c>
    </row>
    <row r="690">
      <c r="A690" s="785"/>
      <c r="B690" s="786"/>
      <c r="C690" s="786"/>
      <c r="D690" s="786"/>
      <c r="E690" s="785"/>
      <c r="F690" s="787"/>
      <c r="G690" s="788"/>
      <c r="H690" s="283"/>
      <c r="I690" s="780"/>
      <c r="J690" s="781"/>
      <c r="K690" s="781"/>
      <c r="L690" s="781"/>
      <c r="M690" s="880"/>
      <c r="N690" s="781"/>
      <c r="O690" s="782"/>
    </row>
    <row r="691">
      <c r="A691" s="785"/>
      <c r="B691" s="786"/>
      <c r="C691" s="786"/>
      <c r="D691" s="786"/>
      <c r="E691" s="785"/>
      <c r="F691" s="787"/>
      <c r="G691" s="788"/>
      <c r="H691" s="283"/>
      <c r="I691" s="785"/>
      <c r="J691" s="786"/>
      <c r="K691" s="786"/>
      <c r="L691" s="786"/>
      <c r="M691" s="785"/>
      <c r="N691" s="787"/>
      <c r="O691" s="789"/>
    </row>
    <row r="692">
      <c r="A692" s="785"/>
      <c r="B692" s="786"/>
      <c r="C692" s="786"/>
      <c r="D692" s="786"/>
      <c r="E692" s="785"/>
      <c r="F692" s="787"/>
      <c r="G692" s="788"/>
      <c r="H692" s="283"/>
      <c r="I692" s="785"/>
      <c r="J692" s="786"/>
      <c r="K692" s="786"/>
      <c r="L692" s="786"/>
      <c r="M692" s="785"/>
      <c r="N692" s="787"/>
      <c r="O692" s="789"/>
      <c r="T692" s="29"/>
      <c r="U692" s="918"/>
    </row>
    <row r="693">
      <c r="A693" s="785"/>
      <c r="B693" s="786"/>
      <c r="C693" s="786"/>
      <c r="D693" s="786"/>
      <c r="E693" s="785"/>
      <c r="F693" s="787"/>
      <c r="G693" s="788"/>
      <c r="H693" s="283"/>
      <c r="I693" s="785"/>
      <c r="J693" s="786"/>
      <c r="K693" s="786"/>
      <c r="L693" s="786"/>
      <c r="M693" s="785"/>
      <c r="N693" s="787"/>
      <c r="O693" s="789"/>
      <c r="T693" s="29"/>
      <c r="U693" s="918"/>
    </row>
    <row r="694">
      <c r="A694" s="790" t="s">
        <v>711</v>
      </c>
      <c r="B694" s="791"/>
      <c r="C694" s="791"/>
      <c r="D694" s="792"/>
      <c r="E694" s="793">
        <f>SUM(E688:E693)</f>
        <v>7100</v>
      </c>
      <c r="F694" s="794"/>
      <c r="G694" s="793">
        <f>SUM(G688:G693)</f>
        <v>6248</v>
      </c>
      <c r="H694" s="283"/>
      <c r="I694" s="790" t="s">
        <v>711</v>
      </c>
      <c r="J694" s="791"/>
      <c r="K694" s="791"/>
      <c r="L694" s="792"/>
      <c r="M694" s="877">
        <f>SUM(M688:M693)</f>
        <v>3214</v>
      </c>
      <c r="N694" s="794"/>
      <c r="O694" s="793">
        <f>SUM(O688:O693)</f>
        <v>2089.1</v>
      </c>
      <c r="T694" s="29"/>
      <c r="U694" s="918"/>
    </row>
    <row r="695">
      <c r="A695" s="796"/>
      <c r="D695" s="798"/>
      <c r="G695" s="799"/>
      <c r="H695" s="283"/>
      <c r="I695" s="796"/>
      <c r="L695" s="798"/>
      <c r="O695" s="799"/>
      <c r="T695" s="29"/>
      <c r="U695" s="918"/>
    </row>
    <row r="696">
      <c r="A696" s="800" t="s">
        <v>712</v>
      </c>
      <c r="B696" s="801"/>
      <c r="C696" s="802"/>
      <c r="G696" s="799"/>
      <c r="H696" s="283"/>
      <c r="I696" s="800" t="s">
        <v>712</v>
      </c>
      <c r="J696" s="803"/>
      <c r="K696" s="804"/>
      <c r="O696" s="799"/>
      <c r="T696" s="29"/>
      <c r="U696" s="918"/>
    </row>
    <row r="697">
      <c r="A697" s="902" t="s">
        <v>1194</v>
      </c>
      <c r="B697" s="806"/>
      <c r="C697" s="807">
        <v>250.0</v>
      </c>
      <c r="G697" s="799"/>
      <c r="H697" s="283"/>
      <c r="I697" s="902" t="s">
        <v>1194</v>
      </c>
      <c r="J697" s="808"/>
      <c r="K697" s="903">
        <v>250.0</v>
      </c>
      <c r="O697" s="799"/>
      <c r="T697" s="29"/>
      <c r="U697" s="918"/>
    </row>
    <row r="698">
      <c r="A698" s="868"/>
      <c r="B698" s="774"/>
      <c r="C698" s="816"/>
      <c r="G698" s="799"/>
      <c r="H698" s="283"/>
      <c r="I698" s="868"/>
      <c r="J698" s="774"/>
      <c r="K698" s="816"/>
      <c r="O698" s="799"/>
      <c r="T698" s="29"/>
      <c r="U698" s="918"/>
    </row>
    <row r="699">
      <c r="A699" s="815"/>
      <c r="B699" s="792"/>
      <c r="C699" s="816"/>
      <c r="G699" s="799"/>
      <c r="H699" s="283"/>
      <c r="I699" s="815"/>
      <c r="J699" s="792"/>
      <c r="K699" s="816"/>
      <c r="O699" s="799"/>
      <c r="T699" s="29"/>
      <c r="U699" s="918"/>
    </row>
    <row r="700">
      <c r="A700" s="817"/>
      <c r="B700" s="774"/>
      <c r="C700" s="818"/>
      <c r="G700" s="799"/>
      <c r="H700" s="283"/>
      <c r="I700" s="817"/>
      <c r="J700" s="774"/>
      <c r="K700" s="818"/>
      <c r="O700" s="799"/>
      <c r="T700" s="29"/>
      <c r="U700" s="918"/>
    </row>
    <row r="701">
      <c r="A701" s="817"/>
      <c r="B701" s="792"/>
      <c r="C701" s="818"/>
      <c r="G701" s="799"/>
      <c r="H701" s="283"/>
      <c r="I701" s="817"/>
      <c r="J701" s="792"/>
      <c r="K701" s="818"/>
      <c r="O701" s="799"/>
      <c r="T701" s="29"/>
      <c r="U701" s="918"/>
    </row>
    <row r="702">
      <c r="A702" s="821" t="s">
        <v>714</v>
      </c>
      <c r="B702" s="822"/>
      <c r="C702" s="823">
        <f>SUM(C697:C701)</f>
        <v>250</v>
      </c>
      <c r="G702" s="799"/>
      <c r="H702" s="283"/>
      <c r="I702" s="821" t="s">
        <v>714</v>
      </c>
      <c r="J702" s="826"/>
      <c r="K702" s="823">
        <f>SUM(K697:K701)</f>
        <v>250</v>
      </c>
      <c r="O702" s="799"/>
      <c r="T702" s="29"/>
      <c r="U702" s="918"/>
    </row>
    <row r="703">
      <c r="A703" s="828"/>
      <c r="C703" s="829"/>
      <c r="G703" s="799"/>
      <c r="H703" s="283"/>
      <c r="I703" s="828"/>
      <c r="K703" s="829"/>
      <c r="O703" s="799"/>
      <c r="T703" s="29"/>
      <c r="U703" s="918"/>
    </row>
    <row r="704">
      <c r="A704" s="830" t="s">
        <v>715</v>
      </c>
      <c r="B704" s="831"/>
      <c r="C704" s="832"/>
      <c r="G704" s="799"/>
      <c r="H704" s="283"/>
      <c r="I704" s="833" t="s">
        <v>715</v>
      </c>
      <c r="J704" s="834"/>
      <c r="K704" s="835"/>
      <c r="O704" s="799"/>
      <c r="T704" s="29"/>
      <c r="U704" s="918"/>
    </row>
    <row r="705">
      <c r="A705" s="836" t="s">
        <v>716</v>
      </c>
      <c r="B705" s="837"/>
      <c r="C705" s="838">
        <v>150.0</v>
      </c>
      <c r="G705" s="799"/>
      <c r="H705" s="283"/>
      <c r="I705" s="839"/>
      <c r="J705" s="840"/>
      <c r="K705" s="841"/>
      <c r="O705" s="799"/>
      <c r="T705" s="29"/>
      <c r="U705" s="918"/>
    </row>
    <row r="706">
      <c r="A706" s="842" t="s">
        <v>717</v>
      </c>
      <c r="B706" s="843"/>
      <c r="C706" s="844">
        <v>400.0</v>
      </c>
      <c r="D706" s="891"/>
      <c r="E706" s="845" t="s">
        <v>1182</v>
      </c>
      <c r="G706" s="846">
        <f>G694+C702-C711</f>
        <v>-106.5</v>
      </c>
      <c r="H706" s="283"/>
      <c r="I706" s="847"/>
      <c r="J706" s="848"/>
      <c r="K706" s="849"/>
      <c r="L706" s="248"/>
      <c r="M706" s="845" t="s">
        <v>1183</v>
      </c>
      <c r="O706" s="846">
        <f>O694+K702-K711</f>
        <v>2339.1</v>
      </c>
      <c r="Q706" s="897" t="s">
        <v>1205</v>
      </c>
      <c r="T706" s="29"/>
      <c r="U706" s="918"/>
    </row>
    <row r="707">
      <c r="A707" s="836" t="s">
        <v>718</v>
      </c>
      <c r="B707" s="837"/>
      <c r="C707" s="838">
        <v>200.0</v>
      </c>
      <c r="D707" s="892"/>
      <c r="G707" s="799"/>
      <c r="H707" s="283"/>
      <c r="I707" s="847"/>
      <c r="J707" s="848"/>
      <c r="K707" s="849"/>
      <c r="O707" s="799"/>
      <c r="T707" s="29"/>
      <c r="U707" s="918"/>
    </row>
    <row r="708">
      <c r="A708" s="842" t="s">
        <v>656</v>
      </c>
      <c r="B708" s="843"/>
      <c r="C708" s="844">
        <f>IFERROR(__xludf.DUMMYFUNCTION("FILTER($C$4:$C$30,$B$4:$B$30=E686)"),2392.39)</f>
        <v>2392.39</v>
      </c>
      <c r="D708" s="891"/>
      <c r="G708" s="799"/>
      <c r="H708" s="283"/>
      <c r="I708" s="847"/>
      <c r="J708" s="848"/>
      <c r="K708" s="849"/>
      <c r="O708" s="799"/>
      <c r="T708" s="29"/>
      <c r="U708" s="918"/>
    </row>
    <row r="709">
      <c r="A709" s="850" t="s">
        <v>1184</v>
      </c>
      <c r="B709" s="851"/>
      <c r="C709" s="852">
        <f>523.44+344.36</f>
        <v>867.8</v>
      </c>
      <c r="D709" s="919" t="s">
        <v>1206</v>
      </c>
      <c r="G709" s="799"/>
      <c r="H709" s="283"/>
      <c r="I709" s="847"/>
      <c r="J709" s="848"/>
      <c r="K709" s="849"/>
      <c r="M709" s="248"/>
      <c r="O709" s="799"/>
      <c r="T709" s="29"/>
      <c r="U709" s="918"/>
    </row>
    <row r="710">
      <c r="A710" s="904" t="s">
        <v>1207</v>
      </c>
      <c r="B710" s="905"/>
      <c r="C710" s="906">
        <v>2594.31</v>
      </c>
      <c r="D710" s="920"/>
      <c r="E710" s="248"/>
      <c r="F710" s="248"/>
      <c r="G710" s="797"/>
      <c r="H710" s="283"/>
      <c r="I710" s="847"/>
      <c r="J710" s="848"/>
      <c r="K710" s="849"/>
      <c r="O710" s="799"/>
      <c r="T710" s="29"/>
      <c r="U710" s="918"/>
    </row>
    <row r="711">
      <c r="A711" s="853" t="s">
        <v>721</v>
      </c>
      <c r="B711" s="854"/>
      <c r="C711" s="855">
        <f>SUM(C705:C710)</f>
        <v>6604.5</v>
      </c>
      <c r="D711" s="248"/>
      <c r="E711" s="248"/>
      <c r="F711" s="248"/>
      <c r="G711" s="797"/>
      <c r="H711" s="283"/>
      <c r="I711" s="853" t="s">
        <v>721</v>
      </c>
      <c r="J711" s="854"/>
      <c r="K711" s="855">
        <f>SUM(K705:K710)</f>
        <v>0</v>
      </c>
      <c r="O711" s="799"/>
      <c r="T711" s="29"/>
      <c r="U711" s="918"/>
    </row>
    <row r="712">
      <c r="A712" s="856"/>
      <c r="B712" s="857"/>
      <c r="C712" s="857"/>
      <c r="D712" s="894"/>
      <c r="E712" s="894"/>
      <c r="F712" s="894"/>
      <c r="G712" s="921"/>
      <c r="H712" s="283"/>
      <c r="I712" s="856"/>
      <c r="J712" s="857"/>
      <c r="K712" s="857"/>
      <c r="L712" s="857"/>
      <c r="M712" s="857"/>
      <c r="N712" s="857"/>
      <c r="O712" s="808"/>
      <c r="T712" s="29"/>
      <c r="U712" s="918"/>
    </row>
    <row r="713">
      <c r="T713" s="29"/>
      <c r="U713" s="918"/>
    </row>
    <row r="714">
      <c r="T714" s="29"/>
      <c r="U714" s="918"/>
    </row>
    <row r="715">
      <c r="A715" s="769"/>
      <c r="B715" s="770"/>
      <c r="C715" s="770"/>
      <c r="D715" s="771" t="s">
        <v>700</v>
      </c>
      <c r="E715" s="772" t="str">
        <f>E126</f>
        <v>11.24.2025-11.30.2025</v>
      </c>
      <c r="F715" s="773"/>
      <c r="G715" s="774"/>
      <c r="H715" s="305">
        <v>20.0</v>
      </c>
      <c r="I715" s="769"/>
      <c r="J715" s="770"/>
      <c r="K715" s="770"/>
      <c r="L715" s="771" t="s">
        <v>700</v>
      </c>
      <c r="M715" s="772" t="str">
        <f>E126</f>
        <v>11.24.2025-11.30.2025</v>
      </c>
      <c r="N715" s="773"/>
      <c r="O715" s="774"/>
      <c r="T715" s="29"/>
      <c r="U715" s="918"/>
    </row>
    <row r="716">
      <c r="A716" s="775"/>
      <c r="D716" s="771" t="s">
        <v>702</v>
      </c>
      <c r="E716" s="772" t="s">
        <v>1208</v>
      </c>
      <c r="F716" s="773"/>
      <c r="G716" s="774"/>
      <c r="H716" s="858"/>
      <c r="I716" s="775"/>
      <c r="L716" s="771" t="s">
        <v>351</v>
      </c>
      <c r="M716" s="772" t="str">
        <f t="array" ref="M716">XLOOKUP(M717,$L$1:$L$122,$K$1:$K$122)</f>
        <v>FENEL EDME</v>
      </c>
      <c r="N716" s="773"/>
      <c r="O716" s="774"/>
      <c r="T716" s="29"/>
      <c r="U716" s="918"/>
    </row>
    <row r="717">
      <c r="A717" s="775"/>
      <c r="D717" s="771" t="s">
        <v>703</v>
      </c>
      <c r="E717" s="772">
        <v>3881.0</v>
      </c>
      <c r="F717" s="773"/>
      <c r="G717" s="774"/>
      <c r="H717" s="283"/>
      <c r="I717" s="775"/>
      <c r="L717" s="771" t="s">
        <v>703</v>
      </c>
      <c r="M717" s="772">
        <f>E717</f>
        <v>3881</v>
      </c>
      <c r="N717" s="773"/>
      <c r="O717" s="774"/>
      <c r="T717" s="29"/>
      <c r="U717" s="918"/>
    </row>
    <row r="718">
      <c r="A718" s="779" t="s">
        <v>704</v>
      </c>
      <c r="B718" s="779" t="s">
        <v>5</v>
      </c>
      <c r="C718" s="779" t="s">
        <v>6</v>
      </c>
      <c r="D718" s="779" t="s">
        <v>7</v>
      </c>
      <c r="E718" s="779" t="s">
        <v>8</v>
      </c>
      <c r="F718" s="779" t="s">
        <v>706</v>
      </c>
      <c r="G718" s="779" t="s">
        <v>707</v>
      </c>
      <c r="H718" s="34"/>
      <c r="I718" s="779" t="s">
        <v>704</v>
      </c>
      <c r="J718" s="779" t="s">
        <v>5</v>
      </c>
      <c r="K718" s="779" t="s">
        <v>6</v>
      </c>
      <c r="L718" s="779" t="s">
        <v>7</v>
      </c>
      <c r="M718" s="779" t="s">
        <v>1178</v>
      </c>
      <c r="N718" s="779" t="s">
        <v>839</v>
      </c>
      <c r="O718" s="779" t="s">
        <v>707</v>
      </c>
      <c r="T718" s="29"/>
      <c r="U718" s="918"/>
    </row>
    <row r="719">
      <c r="A719" s="780">
        <f>IFERROR(__xludf.DUMMYFUNCTION("FILTER($D$3:$H$122,$L$3:$L$122=E717)"),45985.0)</f>
        <v>45985</v>
      </c>
      <c r="B719" s="781">
        <f>IFERROR(__xludf.DUMMYFUNCTION("""COMPUTED_VALUE"""),5.35801219E8)</f>
        <v>535801219</v>
      </c>
      <c r="C719" s="781" t="str">
        <f>IFERROR(__xludf.DUMMYFUNCTION("""COMPUTED_VALUE"""),"Buford, GA, 30518")</f>
        <v>Buford, GA, 30518</v>
      </c>
      <c r="D719" s="781" t="str">
        <f>IFERROR(__xludf.DUMMYFUNCTION("""COMPUTED_VALUE"""),"Fairfield, NJ, 07004")</f>
        <v>Fairfield, NJ, 07004</v>
      </c>
      <c r="E719" s="782">
        <f>IFERROR(__xludf.DUMMYFUNCTION("""COMPUTED_VALUE"""),250.0)</f>
        <v>250</v>
      </c>
      <c r="F719" s="783">
        <v>0.88</v>
      </c>
      <c r="G719" s="782">
        <f t="shared" ref="G719:G723" si="26">E719*F719</f>
        <v>220</v>
      </c>
      <c r="H719" s="283"/>
      <c r="I719" s="780">
        <f>IFERROR(__xludf.DUMMYFUNCTION("FILTER($D$3:$G$122,$L$3:$L$122=M717)"),45985.0)</f>
        <v>45985</v>
      </c>
      <c r="J719" s="781">
        <f>IFERROR(__xludf.DUMMYFUNCTION("""COMPUTED_VALUE"""),5.35801219E8)</f>
        <v>535801219</v>
      </c>
      <c r="K719" s="781" t="str">
        <f>IFERROR(__xludf.DUMMYFUNCTION("""COMPUTED_VALUE"""),"Buford, GA, 30518")</f>
        <v>Buford, GA, 30518</v>
      </c>
      <c r="L719" s="781" t="str">
        <f>IFERROR(__xludf.DUMMYFUNCTION("""COMPUTED_VALUE"""),"Fairfield, NJ, 07004")</f>
        <v>Fairfield, NJ, 07004</v>
      </c>
      <c r="M719" s="896">
        <f>IFERROR(__xludf.DUMMYFUNCTION("FILTER($I$3:$I$122,$L$3:$L$122=M717)"),0.0)</f>
        <v>0</v>
      </c>
      <c r="N719" s="781">
        <v>0.65</v>
      </c>
      <c r="O719" s="782">
        <f t="shared" ref="O719:O723" si="27">M719*N719</f>
        <v>0</v>
      </c>
      <c r="T719" s="922"/>
      <c r="U719" s="923"/>
    </row>
    <row r="720">
      <c r="A720" s="780">
        <f>IFERROR(__xludf.DUMMYFUNCTION("""COMPUTED_VALUE"""),45985.0)</f>
        <v>45985</v>
      </c>
      <c r="B720" s="781">
        <f>IFERROR(__xludf.DUMMYFUNCTION("""COMPUTED_VALUE"""),5.35295368E8)</f>
        <v>535295368</v>
      </c>
      <c r="C720" s="781" t="str">
        <f>IFERROR(__xludf.DUMMYFUNCTION("""COMPUTED_VALUE"""),"Chattanooga, TN, 37406")</f>
        <v>Chattanooga, TN, 37406</v>
      </c>
      <c r="D720" s="781" t="str">
        <f>IFERROR(__xludf.DUMMYFUNCTION("""COMPUTED_VALUE"""),"Enfield, CT, 06082")</f>
        <v>Enfield, CT, 06082</v>
      </c>
      <c r="E720" s="782">
        <f>IFERROR(__xludf.DUMMYFUNCTION("""COMPUTED_VALUE"""),2300.0)</f>
        <v>2300</v>
      </c>
      <c r="F720" s="783">
        <v>0.88</v>
      </c>
      <c r="G720" s="782">
        <f t="shared" si="26"/>
        <v>2024</v>
      </c>
      <c r="H720" s="283"/>
      <c r="I720" s="780">
        <f>IFERROR(__xludf.DUMMYFUNCTION("""COMPUTED_VALUE"""),45985.0)</f>
        <v>45985</v>
      </c>
      <c r="J720" s="781">
        <f>IFERROR(__xludf.DUMMYFUNCTION("""COMPUTED_VALUE"""),5.35295368E8)</f>
        <v>535295368</v>
      </c>
      <c r="K720" s="781" t="str">
        <f>IFERROR(__xludf.DUMMYFUNCTION("""COMPUTED_VALUE"""),"Chattanooga, TN, 37406")</f>
        <v>Chattanooga, TN, 37406</v>
      </c>
      <c r="L720" s="781" t="str">
        <f>IFERROR(__xludf.DUMMYFUNCTION("""COMPUTED_VALUE"""),"Enfield, CT, 06082")</f>
        <v>Enfield, CT, 06082</v>
      </c>
      <c r="M720" s="896">
        <f>IFERROR(__xludf.DUMMYFUNCTION("""COMPUTED_VALUE"""),1155.0)</f>
        <v>1155</v>
      </c>
      <c r="N720" s="781">
        <v>0.65</v>
      </c>
      <c r="O720" s="782">
        <f t="shared" si="27"/>
        <v>750.75</v>
      </c>
    </row>
    <row r="721">
      <c r="A721" s="883">
        <f>IFERROR(__xludf.DUMMYFUNCTION("""COMPUTED_VALUE"""),45987.0)</f>
        <v>45987</v>
      </c>
      <c r="B721" s="786">
        <f>IFERROR(__xludf.DUMMYFUNCTION("""COMPUTED_VALUE"""),5.34524106E8)</f>
        <v>534524106</v>
      </c>
      <c r="C721" s="786" t="str">
        <f>IFERROR(__xludf.DUMMYFUNCTION("""COMPUTED_VALUE"""),"Ellington, CT, 06029")</f>
        <v>Ellington, CT, 06029</v>
      </c>
      <c r="D721" s="786" t="str">
        <f>IFERROR(__xludf.DUMMYFUNCTION("""COMPUTED_VALUE"""),"Abingdon, VA, 24210")</f>
        <v>Abingdon, VA, 24210</v>
      </c>
      <c r="E721" s="884">
        <f>IFERROR(__xludf.DUMMYFUNCTION("""COMPUTED_VALUE"""),1440.0)</f>
        <v>1440</v>
      </c>
      <c r="F721" s="783">
        <v>0.88</v>
      </c>
      <c r="G721" s="782">
        <f t="shared" si="26"/>
        <v>1267.2</v>
      </c>
      <c r="H721" s="283"/>
      <c r="I721" s="780">
        <f>IFERROR(__xludf.DUMMYFUNCTION("""COMPUTED_VALUE"""),45987.0)</f>
        <v>45987</v>
      </c>
      <c r="J721" s="781">
        <f>IFERROR(__xludf.DUMMYFUNCTION("""COMPUTED_VALUE"""),5.34524106E8)</f>
        <v>534524106</v>
      </c>
      <c r="K721" s="781" t="str">
        <f>IFERROR(__xludf.DUMMYFUNCTION("""COMPUTED_VALUE"""),"Ellington, CT, 06029")</f>
        <v>Ellington, CT, 06029</v>
      </c>
      <c r="L721" s="781" t="str">
        <f>IFERROR(__xludf.DUMMYFUNCTION("""COMPUTED_VALUE"""),"Abingdon, VA, 24210")</f>
        <v>Abingdon, VA, 24210</v>
      </c>
      <c r="M721" s="880">
        <f>IFERROR(__xludf.DUMMYFUNCTION("""COMPUTED_VALUE"""),733.0)</f>
        <v>733</v>
      </c>
      <c r="N721" s="781">
        <v>0.65</v>
      </c>
      <c r="O721" s="782">
        <f t="shared" si="27"/>
        <v>476.45</v>
      </c>
    </row>
    <row r="722">
      <c r="A722" s="883">
        <f>IFERROR(__xludf.DUMMYFUNCTION("""COMPUTED_VALUE"""),45989.0)</f>
        <v>45989</v>
      </c>
      <c r="B722" s="786">
        <f>IFERROR(__xludf.DUMMYFUNCTION("""COMPUTED_VALUE"""),2795724.0)</f>
        <v>2795724</v>
      </c>
      <c r="C722" s="786" t="str">
        <f>IFERROR(__xludf.DUMMYFUNCTION("""COMPUTED_VALUE"""),"Siler City, NC, 27344")</f>
        <v>Siler City, NC, 27344</v>
      </c>
      <c r="D722" s="786" t="str">
        <f>IFERROR(__xludf.DUMMYFUNCTION("""COMPUTED_VALUE"""),"Taunton, MA, 02780")</f>
        <v>Taunton, MA, 02780</v>
      </c>
      <c r="E722" s="884">
        <f>IFERROR(__xludf.DUMMYFUNCTION("""COMPUTED_VALUE"""),2200.0)</f>
        <v>2200</v>
      </c>
      <c r="F722" s="783">
        <v>0.88</v>
      </c>
      <c r="G722" s="782">
        <f t="shared" si="26"/>
        <v>1936</v>
      </c>
      <c r="H722" s="283"/>
      <c r="I722" s="924">
        <f>IFERROR(__xludf.DUMMYFUNCTION("""COMPUTED_VALUE"""),45989.0)</f>
        <v>45989</v>
      </c>
      <c r="J722" s="882">
        <f>IFERROR(__xludf.DUMMYFUNCTION("""COMPUTED_VALUE"""),2795724.0)</f>
        <v>2795724</v>
      </c>
      <c r="K722" s="882" t="str">
        <f>IFERROR(__xludf.DUMMYFUNCTION("""COMPUTED_VALUE"""),"Siler City, NC, 27344")</f>
        <v>Siler City, NC, 27344</v>
      </c>
      <c r="L722" s="882" t="str">
        <f>IFERROR(__xludf.DUMMYFUNCTION("""COMPUTED_VALUE"""),"Taunton, MA, 02780")</f>
        <v>Taunton, MA, 02780</v>
      </c>
      <c r="M722" s="895">
        <f>IFERROR(__xludf.DUMMYFUNCTION("""COMPUTED_VALUE"""),958.0)</f>
        <v>958</v>
      </c>
      <c r="N722" s="781">
        <v>0.65</v>
      </c>
      <c r="O722" s="782">
        <f t="shared" si="27"/>
        <v>622.7</v>
      </c>
    </row>
    <row r="723">
      <c r="A723" s="883">
        <f>IFERROR(__xludf.DUMMYFUNCTION("""COMPUTED_VALUE"""),45991.0)</f>
        <v>45991</v>
      </c>
      <c r="B723" s="786">
        <f>IFERROR(__xludf.DUMMYFUNCTION("""COMPUTED_VALUE"""),5.35039164E8)</f>
        <v>535039164</v>
      </c>
      <c r="C723" s="786" t="str">
        <f>IFERROR(__xludf.DUMMYFUNCTION("""COMPUTED_VALUE"""),"Hollis, ME, 04042")</f>
        <v>Hollis, ME, 04042</v>
      </c>
      <c r="D723" s="786" t="str">
        <f>IFERROR(__xludf.DUMMYFUNCTION("""COMPUTED_VALUE"""),"Seekonk, MA, 02771")</f>
        <v>Seekonk, MA, 02771</v>
      </c>
      <c r="E723" s="884">
        <f>IFERROR(__xludf.DUMMYFUNCTION("""COMPUTED_VALUE"""),735.0)</f>
        <v>735</v>
      </c>
      <c r="F723" s="783">
        <v>0.88</v>
      </c>
      <c r="G723" s="782">
        <f t="shared" si="26"/>
        <v>646.8</v>
      </c>
      <c r="H723" s="283"/>
      <c r="I723" s="924">
        <f>IFERROR(__xludf.DUMMYFUNCTION("""COMPUTED_VALUE"""),45991.0)</f>
        <v>45991</v>
      </c>
      <c r="J723" s="882">
        <f>IFERROR(__xludf.DUMMYFUNCTION("""COMPUTED_VALUE"""),5.35039164E8)</f>
        <v>535039164</v>
      </c>
      <c r="K723" s="882" t="str">
        <f>IFERROR(__xludf.DUMMYFUNCTION("""COMPUTED_VALUE"""),"Hollis, ME, 04042")</f>
        <v>Hollis, ME, 04042</v>
      </c>
      <c r="L723" s="882" t="str">
        <f>IFERROR(__xludf.DUMMYFUNCTION("""COMPUTED_VALUE"""),"Seekonk, MA, 02771")</f>
        <v>Seekonk, MA, 02771</v>
      </c>
      <c r="M723" s="925">
        <f>IFERROR(__xludf.DUMMYFUNCTION("""COMPUTED_VALUE"""),334.0)</f>
        <v>334</v>
      </c>
      <c r="N723" s="781">
        <v>0.65</v>
      </c>
      <c r="O723" s="782">
        <f t="shared" si="27"/>
        <v>217.1</v>
      </c>
    </row>
    <row r="724">
      <c r="A724" s="785"/>
      <c r="B724" s="786"/>
      <c r="C724" s="786"/>
      <c r="D724" s="786"/>
      <c r="E724" s="785"/>
      <c r="F724" s="787"/>
      <c r="G724" s="788"/>
      <c r="H724" s="283"/>
      <c r="I724" s="785"/>
      <c r="J724" s="786"/>
      <c r="K724" s="786"/>
      <c r="L724" s="786"/>
      <c r="M724" s="785"/>
      <c r="N724" s="787"/>
      <c r="O724" s="789"/>
    </row>
    <row r="725">
      <c r="A725" s="790" t="s">
        <v>711</v>
      </c>
      <c r="B725" s="791"/>
      <c r="C725" s="791"/>
      <c r="D725" s="792"/>
      <c r="E725" s="793">
        <f>SUM(E719:E724)</f>
        <v>6925</v>
      </c>
      <c r="F725" s="794"/>
      <c r="G725" s="793">
        <f>SUM(G719:G724)</f>
        <v>6094</v>
      </c>
      <c r="H725" s="283"/>
      <c r="I725" s="790" t="s">
        <v>711</v>
      </c>
      <c r="J725" s="791"/>
      <c r="K725" s="791"/>
      <c r="L725" s="792"/>
      <c r="M725" s="877">
        <f>SUM(M719:M724)</f>
        <v>3180</v>
      </c>
      <c r="N725" s="794"/>
      <c r="O725" s="793">
        <f>SUM(O719:O724)</f>
        <v>2067</v>
      </c>
    </row>
    <row r="726">
      <c r="A726" s="796"/>
      <c r="D726" s="798"/>
      <c r="G726" s="799"/>
      <c r="H726" s="283"/>
      <c r="I726" s="796"/>
      <c r="L726" s="798"/>
      <c r="O726" s="799"/>
    </row>
    <row r="727">
      <c r="A727" s="800" t="s">
        <v>712</v>
      </c>
      <c r="B727" s="801"/>
      <c r="C727" s="802"/>
      <c r="G727" s="799"/>
      <c r="H727" s="283"/>
      <c r="I727" s="800" t="s">
        <v>712</v>
      </c>
      <c r="J727" s="803"/>
      <c r="K727" s="804"/>
      <c r="O727" s="799"/>
    </row>
    <row r="728">
      <c r="A728" s="902" t="s">
        <v>1194</v>
      </c>
      <c r="B728" s="806"/>
      <c r="C728" s="807">
        <v>250.0</v>
      </c>
      <c r="G728" s="799"/>
      <c r="H728" s="283"/>
      <c r="I728" s="902" t="s">
        <v>1194</v>
      </c>
      <c r="J728" s="808"/>
      <c r="K728" s="903">
        <v>250.0</v>
      </c>
      <c r="O728" s="799"/>
    </row>
    <row r="729">
      <c r="A729" s="813" t="s">
        <v>885</v>
      </c>
      <c r="B729" s="898"/>
      <c r="C729" s="926">
        <v>250.0</v>
      </c>
      <c r="G729" s="799"/>
      <c r="H729" s="283"/>
      <c r="I729" s="868"/>
      <c r="J729" s="774"/>
      <c r="K729" s="816"/>
      <c r="O729" s="799"/>
    </row>
    <row r="730">
      <c r="A730" s="815"/>
      <c r="B730" s="792"/>
      <c r="C730" s="816"/>
      <c r="G730" s="799"/>
      <c r="H730" s="283"/>
      <c r="I730" s="815"/>
      <c r="J730" s="792"/>
      <c r="K730" s="816"/>
      <c r="O730" s="799"/>
    </row>
    <row r="731">
      <c r="A731" s="817"/>
      <c r="B731" s="774"/>
      <c r="C731" s="818"/>
      <c r="G731" s="799"/>
      <c r="H731" s="283"/>
      <c r="I731" s="817"/>
      <c r="J731" s="774"/>
      <c r="K731" s="818"/>
      <c r="O731" s="799"/>
    </row>
    <row r="732">
      <c r="A732" s="817"/>
      <c r="B732" s="792"/>
      <c r="C732" s="818"/>
      <c r="G732" s="799"/>
      <c r="H732" s="283"/>
      <c r="I732" s="817"/>
      <c r="J732" s="792"/>
      <c r="K732" s="818"/>
      <c r="O732" s="799"/>
    </row>
    <row r="733">
      <c r="A733" s="821" t="s">
        <v>714</v>
      </c>
      <c r="B733" s="822"/>
      <c r="C733" s="823">
        <f>SUM(C728:C732)</f>
        <v>500</v>
      </c>
      <c r="G733" s="799"/>
      <c r="H733" s="283"/>
      <c r="I733" s="821" t="s">
        <v>714</v>
      </c>
      <c r="J733" s="826"/>
      <c r="K733" s="823">
        <f>SUM(K728:K732)</f>
        <v>250</v>
      </c>
      <c r="O733" s="799"/>
    </row>
    <row r="734">
      <c r="A734" s="828"/>
      <c r="C734" s="829"/>
      <c r="G734" s="799"/>
      <c r="H734" s="283"/>
      <c r="I734" s="828"/>
      <c r="K734" s="829"/>
      <c r="O734" s="799"/>
    </row>
    <row r="735">
      <c r="A735" s="830" t="s">
        <v>715</v>
      </c>
      <c r="B735" s="831"/>
      <c r="C735" s="832"/>
      <c r="G735" s="799"/>
      <c r="H735" s="283"/>
      <c r="I735" s="833" t="s">
        <v>715</v>
      </c>
      <c r="J735" s="834"/>
      <c r="K735" s="835"/>
      <c r="O735" s="799"/>
    </row>
    <row r="736">
      <c r="A736" s="836" t="s">
        <v>716</v>
      </c>
      <c r="B736" s="837"/>
      <c r="C736" s="838">
        <v>150.0</v>
      </c>
      <c r="G736" s="799"/>
      <c r="H736" s="283"/>
      <c r="I736" s="839"/>
      <c r="J736" s="840"/>
      <c r="K736" s="841"/>
      <c r="O736" s="799"/>
    </row>
    <row r="737">
      <c r="A737" s="842" t="s">
        <v>717</v>
      </c>
      <c r="B737" s="843"/>
      <c r="C737" s="844">
        <v>400.0</v>
      </c>
      <c r="D737" s="248"/>
      <c r="E737" s="845" t="s">
        <v>1182</v>
      </c>
      <c r="G737" s="846">
        <f>G725+C733-C742</f>
        <v>3933.8</v>
      </c>
      <c r="H737" s="283"/>
      <c r="I737" s="847"/>
      <c r="J737" s="848"/>
      <c r="K737" s="849"/>
      <c r="L737" s="248"/>
      <c r="M737" s="845" t="s">
        <v>1183</v>
      </c>
      <c r="O737" s="846">
        <f>O725+K733-K742</f>
        <v>2317</v>
      </c>
    </row>
    <row r="738">
      <c r="A738" s="836" t="s">
        <v>718</v>
      </c>
      <c r="B738" s="837"/>
      <c r="C738" s="838"/>
      <c r="G738" s="799"/>
      <c r="H738" s="283"/>
      <c r="I738" s="847"/>
      <c r="J738" s="848"/>
      <c r="K738" s="849"/>
      <c r="O738" s="799"/>
    </row>
    <row r="739">
      <c r="A739" s="842" t="s">
        <v>656</v>
      </c>
      <c r="B739" s="843"/>
      <c r="C739" s="844">
        <f>IFERROR(__xludf.DUMMYFUNCTION("FILTER($C$4:$C$30,$B$4:$B$30=E717)"),2110.2)</f>
        <v>2110.2</v>
      </c>
      <c r="G739" s="799"/>
      <c r="H739" s="283"/>
      <c r="I739" s="847"/>
      <c r="J739" s="848"/>
      <c r="K739" s="849"/>
      <c r="O739" s="799"/>
    </row>
    <row r="740">
      <c r="A740" s="850" t="s">
        <v>1184</v>
      </c>
      <c r="B740" s="851"/>
      <c r="C740" s="852"/>
      <c r="E740" s="248"/>
      <c r="G740" s="799"/>
      <c r="H740" s="283"/>
      <c r="I740" s="847"/>
      <c r="J740" s="848"/>
      <c r="K740" s="849"/>
      <c r="M740" s="248"/>
      <c r="O740" s="799"/>
    </row>
    <row r="741">
      <c r="A741" s="847"/>
      <c r="B741" s="848"/>
      <c r="C741" s="849"/>
      <c r="G741" s="799"/>
      <c r="H741" s="283"/>
      <c r="I741" s="847"/>
      <c r="J741" s="848"/>
      <c r="K741" s="849"/>
      <c r="O741" s="799"/>
    </row>
    <row r="742">
      <c r="A742" s="853" t="s">
        <v>721</v>
      </c>
      <c r="B742" s="854"/>
      <c r="C742" s="855">
        <f>SUM(C736:C741)</f>
        <v>2660.2</v>
      </c>
      <c r="G742" s="799"/>
      <c r="H742" s="283"/>
      <c r="I742" s="853" t="s">
        <v>721</v>
      </c>
      <c r="J742" s="854"/>
      <c r="K742" s="855">
        <f>SUM(K736:K741)</f>
        <v>0</v>
      </c>
      <c r="O742" s="799"/>
    </row>
    <row r="743">
      <c r="A743" s="856"/>
      <c r="B743" s="857"/>
      <c r="C743" s="857"/>
      <c r="D743" s="857"/>
      <c r="E743" s="857"/>
      <c r="F743" s="857"/>
      <c r="G743" s="808"/>
      <c r="H743" s="283"/>
      <c r="I743" s="856"/>
      <c r="J743" s="857"/>
      <c r="K743" s="857"/>
      <c r="L743" s="857"/>
      <c r="M743" s="857"/>
      <c r="N743" s="857"/>
      <c r="O743" s="808"/>
    </row>
    <row r="744">
      <c r="A744" s="199"/>
      <c r="B744" s="199"/>
      <c r="C744" s="199"/>
      <c r="D744" s="248"/>
      <c r="E744" s="248"/>
      <c r="F744" s="248"/>
      <c r="G744" s="248"/>
      <c r="H744" s="283"/>
      <c r="I744" s="199"/>
      <c r="J744" s="199"/>
      <c r="K744" s="199"/>
      <c r="L744" s="248"/>
      <c r="M744" s="248"/>
      <c r="N744" s="248"/>
      <c r="O744" s="248"/>
    </row>
    <row r="745">
      <c r="A745" s="199"/>
      <c r="B745" s="199"/>
      <c r="C745" s="199"/>
      <c r="D745" s="248"/>
      <c r="E745" s="248"/>
      <c r="F745" s="248"/>
      <c r="G745" s="248"/>
      <c r="H745" s="283"/>
      <c r="I745" s="199"/>
      <c r="J745" s="199"/>
      <c r="K745" s="199"/>
      <c r="L745" s="248"/>
      <c r="M745" s="248"/>
      <c r="N745" s="248"/>
      <c r="O745" s="248"/>
    </row>
    <row r="746">
      <c r="A746" s="769"/>
      <c r="B746" s="770"/>
      <c r="C746" s="770"/>
      <c r="D746" s="771" t="s">
        <v>700</v>
      </c>
      <c r="E746" s="772" t="str">
        <f>E126</f>
        <v>11.24.2025-11.30.2025</v>
      </c>
      <c r="F746" s="773"/>
      <c r="G746" s="774"/>
      <c r="H746" s="305">
        <v>21.0</v>
      </c>
      <c r="I746" s="769"/>
      <c r="J746" s="770"/>
      <c r="K746" s="770"/>
      <c r="L746" s="771" t="s">
        <v>700</v>
      </c>
      <c r="M746" s="772" t="str">
        <f>E126</f>
        <v>11.24.2025-11.30.2025</v>
      </c>
      <c r="N746" s="773"/>
      <c r="O746" s="774"/>
    </row>
    <row r="747">
      <c r="A747" s="775"/>
      <c r="D747" s="771" t="s">
        <v>702</v>
      </c>
      <c r="E747" s="772" t="s">
        <v>825</v>
      </c>
      <c r="F747" s="773"/>
      <c r="G747" s="774"/>
      <c r="H747" s="858"/>
      <c r="I747" s="775"/>
      <c r="L747" s="771" t="s">
        <v>351</v>
      </c>
      <c r="M747" s="772" t="str">
        <f t="array" ref="M747">XLOOKUP(M748,$L$1:$L$122,$K$1:$K$122)</f>
        <v>MARVIN CREARY</v>
      </c>
      <c r="N747" s="773"/>
      <c r="O747" s="774"/>
    </row>
    <row r="748">
      <c r="A748" s="775"/>
      <c r="D748" s="771" t="s">
        <v>703</v>
      </c>
      <c r="E748" s="772">
        <v>3866.0</v>
      </c>
      <c r="F748" s="773"/>
      <c r="G748" s="774"/>
      <c r="H748" s="283"/>
      <c r="I748" s="775"/>
      <c r="L748" s="771" t="s">
        <v>703</v>
      </c>
      <c r="M748" s="772">
        <f>E748</f>
        <v>3866</v>
      </c>
      <c r="N748" s="773"/>
      <c r="O748" s="774"/>
    </row>
    <row r="749">
      <c r="A749" s="779" t="s">
        <v>704</v>
      </c>
      <c r="B749" s="779" t="s">
        <v>5</v>
      </c>
      <c r="C749" s="779" t="s">
        <v>6</v>
      </c>
      <c r="D749" s="779" t="s">
        <v>7</v>
      </c>
      <c r="E749" s="779" t="s">
        <v>8</v>
      </c>
      <c r="F749" s="779" t="s">
        <v>706</v>
      </c>
      <c r="G749" s="779" t="s">
        <v>707</v>
      </c>
      <c r="H749" s="34"/>
      <c r="I749" s="779" t="s">
        <v>704</v>
      </c>
      <c r="J749" s="779" t="s">
        <v>5</v>
      </c>
      <c r="K749" s="779" t="s">
        <v>6</v>
      </c>
      <c r="L749" s="779" t="s">
        <v>7</v>
      </c>
      <c r="M749" s="779" t="s">
        <v>1178</v>
      </c>
      <c r="N749" s="779" t="s">
        <v>839</v>
      </c>
      <c r="O749" s="779" t="s">
        <v>707</v>
      </c>
    </row>
    <row r="750">
      <c r="A750" s="780">
        <f>IFERROR(__xludf.DUMMYFUNCTION("FILTER($D$3:$H$122,$L$3:$L$122=E748)"),45985.0)</f>
        <v>45985</v>
      </c>
      <c r="B750" s="781" t="str">
        <f>IFERROR(__xludf.DUMMYFUNCTION("""COMPUTED_VALUE"""),"6MT0872")</f>
        <v>6MT0872</v>
      </c>
      <c r="C750" s="781" t="str">
        <f>IFERROR(__xludf.DUMMYFUNCTION("""COMPUTED_VALUE"""),"Commerce City, CO, 80022")</f>
        <v>Commerce City, CO, 80022</v>
      </c>
      <c r="D750" s="781" t="str">
        <f>IFERROR(__xludf.DUMMYFUNCTION("""COMPUTED_VALUE"""),"Riverton, UT, 84065")</f>
        <v>Riverton, UT, 84065</v>
      </c>
      <c r="E750" s="782">
        <f>IFERROR(__xludf.DUMMYFUNCTION("""COMPUTED_VALUE"""),849.0)</f>
        <v>849</v>
      </c>
      <c r="F750" s="783">
        <v>0.88</v>
      </c>
      <c r="G750" s="782">
        <f t="shared" ref="G750:G752" si="28">E750*F750</f>
        <v>747.12</v>
      </c>
      <c r="H750" s="283"/>
      <c r="I750" s="780">
        <f>IFERROR(__xludf.DUMMYFUNCTION("FILTER($D$3:$G$122,$L$3:$L$122=M748)"),45985.0)</f>
        <v>45985</v>
      </c>
      <c r="J750" s="781" t="str">
        <f>IFERROR(__xludf.DUMMYFUNCTION("""COMPUTED_VALUE"""),"6MT0872")</f>
        <v>6MT0872</v>
      </c>
      <c r="K750" s="781" t="str">
        <f>IFERROR(__xludf.DUMMYFUNCTION("""COMPUTED_VALUE"""),"Commerce City, CO, 80022")</f>
        <v>Commerce City, CO, 80022</v>
      </c>
      <c r="L750" s="781" t="str">
        <f>IFERROR(__xludf.DUMMYFUNCTION("""COMPUTED_VALUE"""),"Riverton, UT, 84065")</f>
        <v>Riverton, UT, 84065</v>
      </c>
      <c r="M750" s="896">
        <f>IFERROR(__xludf.DUMMYFUNCTION("FILTER($I$3:$I$122,$L$3:$L$122=M748)"),554.0)</f>
        <v>554</v>
      </c>
      <c r="N750" s="781">
        <v>0.65</v>
      </c>
      <c r="O750" s="782">
        <f t="shared" ref="O750:O752" si="29">M750*N750</f>
        <v>360.1</v>
      </c>
    </row>
    <row r="751">
      <c r="A751" s="780">
        <f>IFERROR(__xludf.DUMMYFUNCTION("""COMPUTED_VALUE"""),45986.0)</f>
        <v>45986</v>
      </c>
      <c r="B751" s="781">
        <f>IFERROR(__xludf.DUMMYFUNCTION("""COMPUTED_VALUE"""),5.35949541E8)</f>
        <v>535949541</v>
      </c>
      <c r="C751" s="781" t="str">
        <f>IFERROR(__xludf.DUMMYFUNCTION("""COMPUTED_VALUE"""),"West Valley City, UT, 84128")</f>
        <v>West Valley City, UT, 84128</v>
      </c>
      <c r="D751" s="781" t="str">
        <f>IFERROR(__xludf.DUMMYFUNCTION("""COMPUTED_VALUE"""),"Evansville, WY, 82636")</f>
        <v>Evansville, WY, 82636</v>
      </c>
      <c r="E751" s="782">
        <f>IFERROR(__xludf.DUMMYFUNCTION("""COMPUTED_VALUE"""),1700.0)</f>
        <v>1700</v>
      </c>
      <c r="F751" s="783">
        <v>0.88</v>
      </c>
      <c r="G751" s="782">
        <f t="shared" si="28"/>
        <v>1496</v>
      </c>
      <c r="H751" s="283"/>
      <c r="I751" s="780">
        <f>IFERROR(__xludf.DUMMYFUNCTION("""COMPUTED_VALUE"""),45986.0)</f>
        <v>45986</v>
      </c>
      <c r="J751" s="781">
        <f>IFERROR(__xludf.DUMMYFUNCTION("""COMPUTED_VALUE"""),5.35949541E8)</f>
        <v>535949541</v>
      </c>
      <c r="K751" s="781" t="str">
        <f>IFERROR(__xludf.DUMMYFUNCTION("""COMPUTED_VALUE"""),"West Valley City, UT, 84128")</f>
        <v>West Valley City, UT, 84128</v>
      </c>
      <c r="L751" s="781" t="str">
        <f>IFERROR(__xludf.DUMMYFUNCTION("""COMPUTED_VALUE"""),"Evansville, WY, 82636")</f>
        <v>Evansville, WY, 82636</v>
      </c>
      <c r="M751" s="880">
        <f>IFERROR(__xludf.DUMMYFUNCTION("""COMPUTED_VALUE"""),448.0)</f>
        <v>448</v>
      </c>
      <c r="N751" s="781">
        <v>0.65</v>
      </c>
      <c r="O751" s="782">
        <f t="shared" si="29"/>
        <v>291.2</v>
      </c>
    </row>
    <row r="752">
      <c r="A752" s="883">
        <f>IFERROR(__xludf.DUMMYFUNCTION("""COMPUTED_VALUE"""),45987.0)</f>
        <v>45987</v>
      </c>
      <c r="B752" s="786">
        <f>IFERROR(__xludf.DUMMYFUNCTION("""COMPUTED_VALUE"""),5.36270638E8)</f>
        <v>536270638</v>
      </c>
      <c r="C752" s="786" t="str">
        <f>IFERROR(__xludf.DUMMYFUNCTION("""COMPUTED_VALUE"""),"South Jordan, UT, 84095")</f>
        <v>South Jordan, UT, 84095</v>
      </c>
      <c r="D752" s="786" t="str">
        <f>IFERROR(__xludf.DUMMYFUNCTION("""COMPUTED_VALUE"""),"Spencer, IN, 47460")</f>
        <v>Spencer, IN, 47460</v>
      </c>
      <c r="E752" s="884">
        <f>IFERROR(__xludf.DUMMYFUNCTION("""COMPUTED_VALUE"""),2800.0)</f>
        <v>2800</v>
      </c>
      <c r="F752" s="783">
        <v>0.88</v>
      </c>
      <c r="G752" s="782">
        <f t="shared" si="28"/>
        <v>2464</v>
      </c>
      <c r="H752" s="283"/>
      <c r="I752" s="780">
        <f>IFERROR(__xludf.DUMMYFUNCTION("""COMPUTED_VALUE"""),45987.0)</f>
        <v>45987</v>
      </c>
      <c r="J752" s="781">
        <f>IFERROR(__xludf.DUMMYFUNCTION("""COMPUTED_VALUE"""),5.36270638E8)</f>
        <v>536270638</v>
      </c>
      <c r="K752" s="781" t="str">
        <f>IFERROR(__xludf.DUMMYFUNCTION("""COMPUTED_VALUE"""),"South Jordan, UT, 84095")</f>
        <v>South Jordan, UT, 84095</v>
      </c>
      <c r="L752" s="781" t="str">
        <f>IFERROR(__xludf.DUMMYFUNCTION("""COMPUTED_VALUE"""),"Spencer, IN, 47460")</f>
        <v>Spencer, IN, 47460</v>
      </c>
      <c r="M752" s="880">
        <f>IFERROR(__xludf.DUMMYFUNCTION("""COMPUTED_VALUE"""),1970.0)</f>
        <v>1970</v>
      </c>
      <c r="N752" s="781">
        <v>0.65</v>
      </c>
      <c r="O752" s="782">
        <f t="shared" si="29"/>
        <v>1280.5</v>
      </c>
    </row>
    <row r="753">
      <c r="A753" s="785"/>
      <c r="B753" s="786"/>
      <c r="C753" s="786"/>
      <c r="D753" s="786"/>
      <c r="E753" s="785"/>
      <c r="F753" s="787"/>
      <c r="G753" s="788"/>
      <c r="H753" s="283"/>
      <c r="I753" s="785"/>
      <c r="J753" s="786"/>
      <c r="K753" s="786"/>
      <c r="L753" s="786"/>
      <c r="M753" s="785"/>
      <c r="N753" s="787"/>
      <c r="O753" s="789"/>
    </row>
    <row r="754">
      <c r="A754" s="785"/>
      <c r="B754" s="786"/>
      <c r="C754" s="786"/>
      <c r="D754" s="786"/>
      <c r="E754" s="785"/>
      <c r="F754" s="787"/>
      <c r="G754" s="788"/>
      <c r="H754" s="283"/>
      <c r="I754" s="785"/>
      <c r="J754" s="786"/>
      <c r="K754" s="786"/>
      <c r="L754" s="786"/>
      <c r="M754" s="785"/>
      <c r="N754" s="787"/>
      <c r="O754" s="789"/>
    </row>
    <row r="755">
      <c r="A755" s="785"/>
      <c r="B755" s="786"/>
      <c r="C755" s="786"/>
      <c r="D755" s="786"/>
      <c r="E755" s="785"/>
      <c r="F755" s="787"/>
      <c r="G755" s="788"/>
      <c r="H755" s="283"/>
      <c r="I755" s="785"/>
      <c r="J755" s="786"/>
      <c r="K755" s="786"/>
      <c r="L755" s="786"/>
      <c r="M755" s="785"/>
      <c r="N755" s="787"/>
      <c r="O755" s="789"/>
    </row>
    <row r="756">
      <c r="A756" s="790" t="s">
        <v>711</v>
      </c>
      <c r="B756" s="791"/>
      <c r="C756" s="791"/>
      <c r="D756" s="792"/>
      <c r="E756" s="793">
        <f>SUM(E750:E755)</f>
        <v>5349</v>
      </c>
      <c r="F756" s="794"/>
      <c r="G756" s="793">
        <f>SUM(G750:G755)</f>
        <v>4707.12</v>
      </c>
      <c r="H756" s="283"/>
      <c r="I756" s="790" t="s">
        <v>711</v>
      </c>
      <c r="J756" s="791"/>
      <c r="K756" s="791"/>
      <c r="L756" s="792"/>
      <c r="M756" s="877">
        <f>SUM(M750:M755)</f>
        <v>2972</v>
      </c>
      <c r="N756" s="794"/>
      <c r="O756" s="793">
        <f>SUM(O750:O755)</f>
        <v>1931.8</v>
      </c>
    </row>
    <row r="757">
      <c r="A757" s="796"/>
      <c r="D757" s="798"/>
      <c r="G757" s="799"/>
      <c r="H757" s="283"/>
      <c r="I757" s="796"/>
      <c r="L757" s="798"/>
      <c r="O757" s="799"/>
    </row>
    <row r="758">
      <c r="A758" s="800" t="s">
        <v>712</v>
      </c>
      <c r="B758" s="801"/>
      <c r="C758" s="802"/>
      <c r="G758" s="799"/>
      <c r="H758" s="283"/>
      <c r="I758" s="800" t="s">
        <v>712</v>
      </c>
      <c r="J758" s="803"/>
      <c r="K758" s="804"/>
      <c r="O758" s="799"/>
    </row>
    <row r="759">
      <c r="A759" s="902" t="s">
        <v>1194</v>
      </c>
      <c r="B759" s="806"/>
      <c r="C759" s="807">
        <v>250.0</v>
      </c>
      <c r="G759" s="799"/>
      <c r="H759" s="283"/>
      <c r="I759" s="902" t="s">
        <v>1194</v>
      </c>
      <c r="J759" s="808"/>
      <c r="K759" s="903">
        <v>250.0</v>
      </c>
      <c r="O759" s="799"/>
    </row>
    <row r="760">
      <c r="A760" s="868"/>
      <c r="B760" s="774"/>
      <c r="C760" s="816"/>
      <c r="G760" s="799"/>
      <c r="H760" s="283"/>
      <c r="I760" s="868"/>
      <c r="J760" s="774"/>
      <c r="K760" s="816"/>
      <c r="O760" s="799"/>
    </row>
    <row r="761">
      <c r="A761" s="815"/>
      <c r="B761" s="792"/>
      <c r="C761" s="816"/>
      <c r="G761" s="799"/>
      <c r="H761" s="283"/>
      <c r="I761" s="815"/>
      <c r="J761" s="792"/>
      <c r="K761" s="816"/>
      <c r="O761" s="799"/>
    </row>
    <row r="762">
      <c r="A762" s="817"/>
      <c r="B762" s="774"/>
      <c r="C762" s="818"/>
      <c r="G762" s="799"/>
      <c r="H762" s="283"/>
      <c r="I762" s="817"/>
      <c r="J762" s="774"/>
      <c r="K762" s="818"/>
      <c r="O762" s="799"/>
    </row>
    <row r="763">
      <c r="A763" s="817"/>
      <c r="B763" s="792"/>
      <c r="C763" s="818"/>
      <c r="G763" s="799"/>
      <c r="H763" s="283"/>
      <c r="I763" s="817"/>
      <c r="J763" s="792"/>
      <c r="K763" s="818"/>
      <c r="O763" s="799"/>
    </row>
    <row r="764">
      <c r="A764" s="821" t="s">
        <v>714</v>
      </c>
      <c r="B764" s="822"/>
      <c r="C764" s="823">
        <f>SUM(C759:C763)</f>
        <v>250</v>
      </c>
      <c r="G764" s="799"/>
      <c r="H764" s="283"/>
      <c r="I764" s="821" t="s">
        <v>714</v>
      </c>
      <c r="J764" s="826"/>
      <c r="K764" s="827"/>
      <c r="O764" s="799"/>
    </row>
    <row r="765">
      <c r="A765" s="828"/>
      <c r="C765" s="829"/>
      <c r="G765" s="799"/>
      <c r="H765" s="283"/>
      <c r="I765" s="828"/>
      <c r="K765" s="829"/>
      <c r="O765" s="799"/>
    </row>
    <row r="766">
      <c r="A766" s="830" t="s">
        <v>715</v>
      </c>
      <c r="B766" s="831"/>
      <c r="C766" s="832"/>
      <c r="G766" s="799"/>
      <c r="H766" s="283"/>
      <c r="I766" s="833" t="s">
        <v>715</v>
      </c>
      <c r="J766" s="834"/>
      <c r="K766" s="835"/>
      <c r="O766" s="799"/>
      <c r="Q766" s="897" t="s">
        <v>1209</v>
      </c>
    </row>
    <row r="767">
      <c r="A767" s="836" t="s">
        <v>716</v>
      </c>
      <c r="B767" s="837"/>
      <c r="C767" s="838">
        <v>100.0</v>
      </c>
      <c r="G767" s="799"/>
      <c r="H767" s="283"/>
      <c r="I767" s="839"/>
      <c r="J767" s="840"/>
      <c r="K767" s="841"/>
      <c r="O767" s="799"/>
    </row>
    <row r="768">
      <c r="A768" s="842" t="s">
        <v>717</v>
      </c>
      <c r="B768" s="843"/>
      <c r="C768" s="844">
        <v>400.0</v>
      </c>
      <c r="D768" s="891"/>
      <c r="E768" s="845" t="s">
        <v>1182</v>
      </c>
      <c r="G768" s="846">
        <f>G756+C764-C773</f>
        <v>1612.15</v>
      </c>
      <c r="H768" s="283"/>
      <c r="I768" s="847"/>
      <c r="J768" s="848"/>
      <c r="K768" s="849"/>
      <c r="L768" s="248"/>
      <c r="M768" s="845" t="s">
        <v>1183</v>
      </c>
      <c r="O768" s="846">
        <f>O756+K764-K773</f>
        <v>1931.8</v>
      </c>
    </row>
    <row r="769">
      <c r="A769" s="836" t="s">
        <v>718</v>
      </c>
      <c r="B769" s="837"/>
      <c r="C769" s="838">
        <v>200.0</v>
      </c>
      <c r="D769" s="892"/>
      <c r="G769" s="799"/>
      <c r="H769" s="283"/>
      <c r="I769" s="847"/>
      <c r="J769" s="848"/>
      <c r="K769" s="849"/>
      <c r="O769" s="799"/>
    </row>
    <row r="770">
      <c r="A770" s="842" t="s">
        <v>656</v>
      </c>
      <c r="B770" s="843"/>
      <c r="C770" s="844">
        <f>IFERROR(__xludf.DUMMYFUNCTION("FILTER($C$4:$C$30,$B$4:$B$30=E748)"),2085.26)</f>
        <v>2085.26</v>
      </c>
      <c r="D770" s="891"/>
      <c r="G770" s="799"/>
      <c r="H770" s="283"/>
      <c r="I770" s="847"/>
      <c r="J770" s="848"/>
      <c r="K770" s="849"/>
      <c r="O770" s="799"/>
    </row>
    <row r="771">
      <c r="A771" s="850" t="s">
        <v>1184</v>
      </c>
      <c r="B771" s="851"/>
      <c r="C771" s="852">
        <v>90.52</v>
      </c>
      <c r="D771" s="917" t="s">
        <v>1210</v>
      </c>
      <c r="E771" s="248"/>
      <c r="G771" s="799"/>
      <c r="H771" s="283"/>
      <c r="I771" s="847"/>
      <c r="J771" s="848"/>
      <c r="K771" s="849"/>
      <c r="M771" s="248"/>
      <c r="O771" s="799"/>
    </row>
    <row r="772">
      <c r="A772" s="904" t="s">
        <v>807</v>
      </c>
      <c r="B772" s="905"/>
      <c r="C772" s="906">
        <v>469.19</v>
      </c>
      <c r="D772" s="927"/>
      <c r="G772" s="799"/>
      <c r="H772" s="283"/>
      <c r="I772" s="847"/>
      <c r="J772" s="848"/>
      <c r="K772" s="849"/>
      <c r="O772" s="799"/>
    </row>
    <row r="773">
      <c r="A773" s="853" t="s">
        <v>721</v>
      </c>
      <c r="B773" s="854"/>
      <c r="C773" s="855">
        <f>SUM(C767:C772)</f>
        <v>3344.97</v>
      </c>
      <c r="D773" s="248"/>
      <c r="G773" s="799"/>
      <c r="H773" s="283"/>
      <c r="I773" s="853" t="s">
        <v>721</v>
      </c>
      <c r="J773" s="854"/>
      <c r="K773" s="855"/>
      <c r="O773" s="799"/>
    </row>
    <row r="774">
      <c r="A774" s="856"/>
      <c r="B774" s="857"/>
      <c r="C774" s="857"/>
      <c r="D774" s="894"/>
      <c r="E774" s="857"/>
      <c r="F774" s="857"/>
      <c r="G774" s="808"/>
      <c r="H774" s="283"/>
      <c r="I774" s="856"/>
      <c r="J774" s="857"/>
      <c r="K774" s="857"/>
      <c r="L774" s="857"/>
      <c r="M774" s="857"/>
      <c r="N774" s="857"/>
      <c r="O774" s="808"/>
    </row>
    <row r="775">
      <c r="A775" s="199"/>
      <c r="B775" s="199"/>
      <c r="C775" s="199"/>
      <c r="D775" s="248"/>
      <c r="E775" s="248"/>
      <c r="F775" s="248"/>
      <c r="G775" s="248"/>
      <c r="H775" s="283"/>
      <c r="I775" s="199"/>
      <c r="J775" s="199"/>
      <c r="K775" s="199"/>
      <c r="L775" s="248"/>
      <c r="M775" s="248"/>
      <c r="N775" s="248"/>
      <c r="O775" s="248"/>
    </row>
    <row r="776">
      <c r="A776" s="199"/>
      <c r="B776" s="199"/>
      <c r="C776" s="199"/>
      <c r="D776" s="248"/>
      <c r="E776" s="248"/>
      <c r="F776" s="248"/>
      <c r="G776" s="248"/>
      <c r="H776" s="283"/>
      <c r="I776" s="199"/>
      <c r="J776" s="199"/>
      <c r="K776" s="199"/>
      <c r="L776" s="248"/>
      <c r="M776" s="248"/>
      <c r="N776" s="248"/>
      <c r="O776" s="248"/>
    </row>
    <row r="777">
      <c r="A777" s="769"/>
      <c r="B777" s="770"/>
      <c r="C777" s="770"/>
      <c r="D777" s="771" t="s">
        <v>700</v>
      </c>
      <c r="E777" s="772" t="str">
        <f>E126</f>
        <v>11.24.2025-11.30.2025</v>
      </c>
      <c r="F777" s="773"/>
      <c r="G777" s="774"/>
      <c r="H777" s="305">
        <v>22.0</v>
      </c>
      <c r="I777" s="769"/>
      <c r="J777" s="770"/>
      <c r="K777" s="770"/>
      <c r="L777" s="771" t="s">
        <v>700</v>
      </c>
      <c r="M777" s="772" t="str">
        <f>E126</f>
        <v>11.24.2025-11.30.2025</v>
      </c>
      <c r="N777" s="773"/>
      <c r="O777" s="774"/>
    </row>
    <row r="778">
      <c r="A778" s="775"/>
      <c r="D778" s="771" t="s">
        <v>702</v>
      </c>
      <c r="E778" s="772" t="s">
        <v>869</v>
      </c>
      <c r="F778" s="773"/>
      <c r="G778" s="774"/>
      <c r="H778" s="776"/>
      <c r="I778" s="775"/>
      <c r="L778" s="771" t="s">
        <v>351</v>
      </c>
      <c r="M778" s="772" t="str">
        <f t="array" ref="M778">XLOOKUP(M779,$L$1:$L$122,$K$1:$K$122)</f>
        <v>WILLIE HAMPTON ANDERSON</v>
      </c>
      <c r="N778" s="773"/>
      <c r="O778" s="774"/>
    </row>
    <row r="779">
      <c r="A779" s="775"/>
      <c r="D779" s="771" t="s">
        <v>703</v>
      </c>
      <c r="E779" s="772">
        <v>2675.0</v>
      </c>
      <c r="F779" s="773"/>
      <c r="G779" s="774"/>
      <c r="H779" s="283"/>
      <c r="I779" s="775"/>
      <c r="L779" s="771" t="s">
        <v>703</v>
      </c>
      <c r="M779" s="772">
        <f>E779</f>
        <v>2675</v>
      </c>
      <c r="N779" s="773"/>
      <c r="O779" s="774"/>
    </row>
    <row r="780">
      <c r="A780" s="779" t="s">
        <v>704</v>
      </c>
      <c r="B780" s="779" t="s">
        <v>5</v>
      </c>
      <c r="C780" s="779" t="s">
        <v>6</v>
      </c>
      <c r="D780" s="779" t="s">
        <v>7</v>
      </c>
      <c r="E780" s="779" t="s">
        <v>8</v>
      </c>
      <c r="F780" s="779" t="s">
        <v>706</v>
      </c>
      <c r="G780" s="779" t="s">
        <v>707</v>
      </c>
      <c r="H780" s="34"/>
      <c r="I780" s="779" t="s">
        <v>704</v>
      </c>
      <c r="J780" s="779" t="s">
        <v>5</v>
      </c>
      <c r="K780" s="779" t="s">
        <v>6</v>
      </c>
      <c r="L780" s="779" t="s">
        <v>7</v>
      </c>
      <c r="M780" s="779" t="s">
        <v>1178</v>
      </c>
      <c r="N780" s="779" t="s">
        <v>839</v>
      </c>
      <c r="O780" s="779" t="s">
        <v>707</v>
      </c>
    </row>
    <row r="781">
      <c r="A781" s="780">
        <f>IFERROR(__xludf.DUMMYFUNCTION("FILTER($D$3:$H$122,$L$3:$L$122=E779)"),45985.0)</f>
        <v>45985</v>
      </c>
      <c r="B781" s="781">
        <f>IFERROR(__xludf.DUMMYFUNCTION("""COMPUTED_VALUE"""),4.0115064E7)</f>
        <v>40115064</v>
      </c>
      <c r="C781" s="781" t="str">
        <f>IFERROR(__xludf.DUMMYFUNCTION("""COMPUTED_VALUE"""),"Easton, PA, 18064")</f>
        <v>Easton, PA, 18064</v>
      </c>
      <c r="D781" s="781" t="str">
        <f>IFERROR(__xludf.DUMMYFUNCTION("""COMPUTED_VALUE"""),"Huntington, WV, 25701")</f>
        <v>Huntington, WV, 25701</v>
      </c>
      <c r="E781" s="782">
        <f>IFERROR(__xludf.DUMMYFUNCTION("""COMPUTED_VALUE"""),1200.0)</f>
        <v>1200</v>
      </c>
      <c r="F781" s="783">
        <v>0.88</v>
      </c>
      <c r="G781" s="782">
        <f t="shared" ref="G781:G785" si="30">E781*F781</f>
        <v>1056</v>
      </c>
      <c r="H781" s="283"/>
      <c r="I781" s="780">
        <f>IFERROR(__xludf.DUMMYFUNCTION("FILTER($D$3:$G$122,$L$3:$L$122=M779)"),45985.0)</f>
        <v>45985</v>
      </c>
      <c r="J781" s="781">
        <f>IFERROR(__xludf.DUMMYFUNCTION("""COMPUTED_VALUE"""),4.0115064E7)</f>
        <v>40115064</v>
      </c>
      <c r="K781" s="781" t="str">
        <f>IFERROR(__xludf.DUMMYFUNCTION("""COMPUTED_VALUE"""),"Easton, PA, 18064")</f>
        <v>Easton, PA, 18064</v>
      </c>
      <c r="L781" s="781" t="str">
        <f>IFERROR(__xludf.DUMMYFUNCTION("""COMPUTED_VALUE"""),"Huntington, WV, 25701")</f>
        <v>Huntington, WV, 25701</v>
      </c>
      <c r="M781" s="880">
        <f>IFERROR(__xludf.DUMMYFUNCTION("FILTER($I$3:$I$122,$L$3:$L$122=M779)"),598.0)</f>
        <v>598</v>
      </c>
      <c r="N781" s="781">
        <v>0.65</v>
      </c>
      <c r="O781" s="782">
        <f t="shared" ref="O781:O785" si="31">M781*N781</f>
        <v>388.7</v>
      </c>
    </row>
    <row r="782">
      <c r="A782" s="780">
        <f>IFERROR(__xludf.DUMMYFUNCTION("""COMPUTED_VALUE"""),45986.0)</f>
        <v>45986</v>
      </c>
      <c r="B782" s="781">
        <f>IFERROR(__xludf.DUMMYFUNCTION("""COMPUTED_VALUE"""),120482.0)</f>
        <v>120482</v>
      </c>
      <c r="C782" s="781" t="str">
        <f>IFERROR(__xludf.DUMMYFUNCTION("""COMPUTED_VALUE"""),"Ironton, OH, 45638")</f>
        <v>Ironton, OH, 45638</v>
      </c>
      <c r="D782" s="781" t="str">
        <f>IFERROR(__xludf.DUMMYFUNCTION("""COMPUTED_VALUE"""),"Sterling, VA, 20166")</f>
        <v>Sterling, VA, 20166</v>
      </c>
      <c r="E782" s="782">
        <f>IFERROR(__xludf.DUMMYFUNCTION("""COMPUTED_VALUE"""),1800.0)</f>
        <v>1800</v>
      </c>
      <c r="F782" s="783">
        <v>0.88</v>
      </c>
      <c r="G782" s="782">
        <f t="shared" si="30"/>
        <v>1584</v>
      </c>
      <c r="H782" s="283"/>
      <c r="I782" s="780">
        <f>IFERROR(__xludf.DUMMYFUNCTION("""COMPUTED_VALUE"""),45986.0)</f>
        <v>45986</v>
      </c>
      <c r="J782" s="781">
        <f>IFERROR(__xludf.DUMMYFUNCTION("""COMPUTED_VALUE"""),120482.0)</f>
        <v>120482</v>
      </c>
      <c r="K782" s="781" t="str">
        <f>IFERROR(__xludf.DUMMYFUNCTION("""COMPUTED_VALUE"""),"Ironton, OH, 45638")</f>
        <v>Ironton, OH, 45638</v>
      </c>
      <c r="L782" s="781" t="str">
        <f>IFERROR(__xludf.DUMMYFUNCTION("""COMPUTED_VALUE"""),"Sterling, VA, 20166")</f>
        <v>Sterling, VA, 20166</v>
      </c>
      <c r="M782" s="896">
        <f>IFERROR(__xludf.DUMMYFUNCTION("""COMPUTED_VALUE"""),434.0)</f>
        <v>434</v>
      </c>
      <c r="N782" s="781">
        <v>0.65</v>
      </c>
      <c r="O782" s="782">
        <f t="shared" si="31"/>
        <v>282.1</v>
      </c>
    </row>
    <row r="783">
      <c r="A783" s="883">
        <f>IFERROR(__xludf.DUMMYFUNCTION("""COMPUTED_VALUE"""),45987.0)</f>
        <v>45987</v>
      </c>
      <c r="B783" s="786" t="str">
        <f>IFERROR(__xludf.DUMMYFUNCTION("""COMPUTED_VALUE"""),"6MN4999")</f>
        <v>6MN4999</v>
      </c>
      <c r="C783" s="786" t="str">
        <f>IFERROR(__xludf.DUMMYFUNCTION("""COMPUTED_VALUE"""),"Shippensburg, PA, 17257")</f>
        <v>Shippensburg, PA, 17257</v>
      </c>
      <c r="D783" s="786" t="str">
        <f>IFERROR(__xludf.DUMMYFUNCTION("""COMPUTED_VALUE"""),"Windsor Locks, CT, 06096")</f>
        <v>Windsor Locks, CT, 06096</v>
      </c>
      <c r="E783" s="884">
        <f>IFERROR(__xludf.DUMMYFUNCTION("""COMPUTED_VALUE"""),1200.0)</f>
        <v>1200</v>
      </c>
      <c r="F783" s="783">
        <v>0.88</v>
      </c>
      <c r="G783" s="782">
        <f t="shared" si="30"/>
        <v>1056</v>
      </c>
      <c r="H783" s="283"/>
      <c r="I783" s="780">
        <f>IFERROR(__xludf.DUMMYFUNCTION("""COMPUTED_VALUE"""),45987.0)</f>
        <v>45987</v>
      </c>
      <c r="J783" s="781" t="str">
        <f>IFERROR(__xludf.DUMMYFUNCTION("""COMPUTED_VALUE"""),"6MN4999")</f>
        <v>6MN4999</v>
      </c>
      <c r="K783" s="781" t="str">
        <f>IFERROR(__xludf.DUMMYFUNCTION("""COMPUTED_VALUE"""),"Shippensburg, PA, 17257")</f>
        <v>Shippensburg, PA, 17257</v>
      </c>
      <c r="L783" s="781" t="str">
        <f>IFERROR(__xludf.DUMMYFUNCTION("""COMPUTED_VALUE"""),"Windsor Locks, CT, 06096")</f>
        <v>Windsor Locks, CT, 06096</v>
      </c>
      <c r="M783" s="880">
        <f>IFERROR(__xludf.DUMMYFUNCTION("""COMPUTED_VALUE"""),429.0)</f>
        <v>429</v>
      </c>
      <c r="N783" s="781">
        <v>0.65</v>
      </c>
      <c r="O783" s="782">
        <f t="shared" si="31"/>
        <v>278.85</v>
      </c>
    </row>
    <row r="784">
      <c r="A784" s="883">
        <f>IFERROR(__xludf.DUMMYFUNCTION("""COMPUTED_VALUE"""),45990.0)</f>
        <v>45990</v>
      </c>
      <c r="B784" s="786">
        <f>IFERROR(__xludf.DUMMYFUNCTION("""COMPUTED_VALUE"""),12639.0)</f>
        <v>12639</v>
      </c>
      <c r="C784" s="786" t="str">
        <f>IFERROR(__xludf.DUMMYFUNCTION("""COMPUTED_VALUE"""),"West Jefferson, OH, 43162")</f>
        <v>West Jefferson, OH, 43162</v>
      </c>
      <c r="D784" s="786" t="str">
        <f>IFERROR(__xludf.DUMMYFUNCTION("""COMPUTED_VALUE"""),"Naples, FL, 34104")</f>
        <v>Naples, FL, 34104</v>
      </c>
      <c r="E784" s="884">
        <f>IFERROR(__xludf.DUMMYFUNCTION("""COMPUTED_VALUE"""),3000.0)</f>
        <v>3000</v>
      </c>
      <c r="F784" s="783">
        <v>0.88</v>
      </c>
      <c r="G784" s="782">
        <f t="shared" si="30"/>
        <v>2640</v>
      </c>
      <c r="H784" s="283"/>
      <c r="I784" s="883">
        <f>IFERROR(__xludf.DUMMYFUNCTION("""COMPUTED_VALUE"""),45990.0)</f>
        <v>45990</v>
      </c>
      <c r="J784" s="786">
        <f>IFERROR(__xludf.DUMMYFUNCTION("""COMPUTED_VALUE"""),12639.0)</f>
        <v>12639</v>
      </c>
      <c r="K784" s="786" t="str">
        <f>IFERROR(__xludf.DUMMYFUNCTION("""COMPUTED_VALUE"""),"West Jefferson, OH, 43162")</f>
        <v>West Jefferson, OH, 43162</v>
      </c>
      <c r="L784" s="786" t="str">
        <f>IFERROR(__xludf.DUMMYFUNCTION("""COMPUTED_VALUE"""),"Naples, FL, 34104")</f>
        <v>Naples, FL, 34104</v>
      </c>
      <c r="M784" s="880">
        <f>IFERROR(__xludf.DUMMYFUNCTION("""COMPUTED_VALUE"""),1191.0)</f>
        <v>1191</v>
      </c>
      <c r="N784" s="781">
        <v>0.65</v>
      </c>
      <c r="O784" s="782">
        <f t="shared" si="31"/>
        <v>774.15</v>
      </c>
    </row>
    <row r="785">
      <c r="A785" s="883">
        <f>IFERROR(__xludf.DUMMYFUNCTION("""COMPUTED_VALUE"""),45990.0)</f>
        <v>45990</v>
      </c>
      <c r="B785" s="786">
        <f>IFERROR(__xludf.DUMMYFUNCTION("""COMPUTED_VALUE"""),14256.0)</f>
        <v>14256</v>
      </c>
      <c r="C785" s="786" t="str">
        <f>IFERROR(__xludf.DUMMYFUNCTION("""COMPUTED_VALUE"""),"New Windsor, NY, 12553")</f>
        <v>New Windsor, NY, 12553</v>
      </c>
      <c r="D785" s="928" t="str">
        <f>IFERROR(__xludf.DUMMYFUNCTION("""COMPUTED_VALUE"""),"Columbus, OH, 43215")</f>
        <v>Columbus, OH, 43215</v>
      </c>
      <c r="E785" s="884">
        <f>IFERROR(__xludf.DUMMYFUNCTION("""COMPUTED_VALUE"""),700.0)</f>
        <v>700</v>
      </c>
      <c r="F785" s="783">
        <v>0.88</v>
      </c>
      <c r="G785" s="782">
        <f t="shared" si="30"/>
        <v>616</v>
      </c>
      <c r="H785" s="283"/>
      <c r="I785" s="883">
        <f>IFERROR(__xludf.DUMMYFUNCTION("""COMPUTED_VALUE"""),45990.0)</f>
        <v>45990</v>
      </c>
      <c r="J785" s="786">
        <f>IFERROR(__xludf.DUMMYFUNCTION("""COMPUTED_VALUE"""),14256.0)</f>
        <v>14256</v>
      </c>
      <c r="K785" s="786" t="str">
        <f>IFERROR(__xludf.DUMMYFUNCTION("""COMPUTED_VALUE"""),"New Windsor, NY, 12553")</f>
        <v>New Windsor, NY, 12553</v>
      </c>
      <c r="L785" s="928" t="str">
        <f>IFERROR(__xludf.DUMMYFUNCTION("""COMPUTED_VALUE"""),"Columbus, OH, 43215")</f>
        <v>Columbus, OH, 43215</v>
      </c>
      <c r="M785" s="880">
        <f>IFERROR(__xludf.DUMMYFUNCTION("""COMPUTED_VALUE"""),680.0)</f>
        <v>680</v>
      </c>
      <c r="N785" s="781">
        <v>0.65</v>
      </c>
      <c r="O785" s="782">
        <f t="shared" si="31"/>
        <v>442</v>
      </c>
    </row>
    <row r="786">
      <c r="A786" s="785"/>
      <c r="B786" s="786"/>
      <c r="C786" s="786"/>
      <c r="D786" s="786"/>
      <c r="E786" s="785"/>
      <c r="F786" s="787"/>
      <c r="G786" s="788"/>
      <c r="H786" s="283"/>
      <c r="I786" s="785"/>
      <c r="J786" s="786"/>
      <c r="K786" s="786"/>
      <c r="L786" s="786"/>
      <c r="M786" s="785"/>
      <c r="N786" s="787"/>
      <c r="O786" s="789"/>
    </row>
    <row r="787">
      <c r="A787" s="790" t="s">
        <v>711</v>
      </c>
      <c r="B787" s="791"/>
      <c r="C787" s="791"/>
      <c r="D787" s="792"/>
      <c r="E787" s="793">
        <f>SUM(E781:E786)</f>
        <v>7900</v>
      </c>
      <c r="F787" s="794"/>
      <c r="G787" s="793">
        <f>SUM(G781:G786)</f>
        <v>6952</v>
      </c>
      <c r="H787" s="283"/>
      <c r="I787" s="790" t="s">
        <v>711</v>
      </c>
      <c r="J787" s="791"/>
      <c r="K787" s="791"/>
      <c r="L787" s="792"/>
      <c r="M787" s="877">
        <f>SUM(M781:M786)</f>
        <v>3332</v>
      </c>
      <c r="N787" s="794"/>
      <c r="O787" s="793">
        <f>SUM(O781:O786)</f>
        <v>2165.8</v>
      </c>
      <c r="Q787" s="897" t="s">
        <v>1211</v>
      </c>
    </row>
    <row r="788">
      <c r="A788" s="796"/>
      <c r="D788" s="798"/>
      <c r="G788" s="799"/>
      <c r="H788" s="283"/>
      <c r="I788" s="796"/>
      <c r="L788" s="798"/>
      <c r="O788" s="799"/>
    </row>
    <row r="789">
      <c r="A789" s="800" t="s">
        <v>712</v>
      </c>
      <c r="B789" s="801"/>
      <c r="C789" s="802"/>
      <c r="G789" s="799"/>
      <c r="H789" s="283"/>
      <c r="I789" s="800" t="s">
        <v>712</v>
      </c>
      <c r="J789" s="803"/>
      <c r="K789" s="804"/>
      <c r="O789" s="799"/>
    </row>
    <row r="790">
      <c r="A790" s="902" t="s">
        <v>1194</v>
      </c>
      <c r="B790" s="806"/>
      <c r="C790" s="807">
        <v>250.0</v>
      </c>
      <c r="G790" s="799"/>
      <c r="H790" s="283"/>
      <c r="I790" s="902" t="s">
        <v>1194</v>
      </c>
      <c r="J790" s="808"/>
      <c r="K790" s="903">
        <v>250.0</v>
      </c>
      <c r="O790" s="799"/>
    </row>
    <row r="791">
      <c r="A791" s="868"/>
      <c r="B791" s="774"/>
      <c r="C791" s="816"/>
      <c r="G791" s="799"/>
      <c r="H791" s="283"/>
      <c r="I791" s="868"/>
      <c r="J791" s="774"/>
      <c r="K791" s="816"/>
      <c r="O791" s="799"/>
    </row>
    <row r="792">
      <c r="A792" s="815"/>
      <c r="B792" s="792"/>
      <c r="C792" s="816"/>
      <c r="G792" s="799"/>
      <c r="H792" s="283"/>
      <c r="I792" s="815"/>
      <c r="J792" s="792"/>
      <c r="K792" s="816"/>
      <c r="O792" s="799"/>
    </row>
    <row r="793">
      <c r="A793" s="817"/>
      <c r="B793" s="774"/>
      <c r="C793" s="818"/>
      <c r="G793" s="799"/>
      <c r="H793" s="283"/>
      <c r="I793" s="817"/>
      <c r="J793" s="774"/>
      <c r="K793" s="818"/>
      <c r="O793" s="799"/>
    </row>
    <row r="794">
      <c r="A794" s="817"/>
      <c r="B794" s="792"/>
      <c r="C794" s="818"/>
      <c r="G794" s="799"/>
      <c r="H794" s="283"/>
      <c r="I794" s="817"/>
      <c r="J794" s="792"/>
      <c r="K794" s="818"/>
      <c r="O794" s="799"/>
    </row>
    <row r="795">
      <c r="A795" s="821" t="s">
        <v>714</v>
      </c>
      <c r="B795" s="822"/>
      <c r="C795" s="823">
        <f>SUM(C790:C794)</f>
        <v>250</v>
      </c>
      <c r="G795" s="799"/>
      <c r="H795" s="283"/>
      <c r="I795" s="821" t="s">
        <v>714</v>
      </c>
      <c r="J795" s="826"/>
      <c r="K795" s="823">
        <f>SUM(K790:K794)</f>
        <v>250</v>
      </c>
      <c r="O795" s="799"/>
    </row>
    <row r="796">
      <c r="A796" s="828"/>
      <c r="C796" s="829"/>
      <c r="G796" s="799"/>
      <c r="H796" s="283"/>
      <c r="I796" s="828"/>
      <c r="K796" s="829"/>
      <c r="O796" s="799"/>
    </row>
    <row r="797">
      <c r="A797" s="830" t="s">
        <v>715</v>
      </c>
      <c r="B797" s="831"/>
      <c r="C797" s="832"/>
      <c r="G797" s="799"/>
      <c r="H797" s="283"/>
      <c r="I797" s="833" t="s">
        <v>715</v>
      </c>
      <c r="J797" s="834"/>
      <c r="K797" s="835"/>
      <c r="O797" s="799"/>
    </row>
    <row r="798">
      <c r="A798" s="836" t="s">
        <v>716</v>
      </c>
      <c r="B798" s="837"/>
      <c r="C798" s="929">
        <v>100.0</v>
      </c>
      <c r="G798" s="799"/>
      <c r="H798" s="283"/>
      <c r="I798" s="839"/>
      <c r="J798" s="840"/>
      <c r="K798" s="841"/>
      <c r="O798" s="799"/>
    </row>
    <row r="799">
      <c r="A799" s="842" t="s">
        <v>717</v>
      </c>
      <c r="B799" s="843"/>
      <c r="C799" s="844">
        <v>400.0</v>
      </c>
      <c r="D799" s="891"/>
      <c r="E799" s="845" t="s">
        <v>1182</v>
      </c>
      <c r="G799" s="846">
        <f>G787+C795-C804</f>
        <v>3187.16</v>
      </c>
      <c r="H799" s="283"/>
      <c r="I799" s="847"/>
      <c r="J799" s="848"/>
      <c r="K799" s="849"/>
      <c r="L799" s="248"/>
      <c r="M799" s="845" t="s">
        <v>1183</v>
      </c>
      <c r="O799" s="846">
        <f>O787+K795-K804</f>
        <v>2415.8</v>
      </c>
    </row>
    <row r="800">
      <c r="A800" s="836" t="s">
        <v>718</v>
      </c>
      <c r="B800" s="837"/>
      <c r="C800" s="838">
        <v>200.0</v>
      </c>
      <c r="D800" s="892"/>
      <c r="G800" s="799"/>
      <c r="H800" s="283"/>
      <c r="I800" s="847"/>
      <c r="J800" s="848"/>
      <c r="K800" s="849"/>
      <c r="O800" s="799"/>
    </row>
    <row r="801">
      <c r="A801" s="842" t="s">
        <v>656</v>
      </c>
      <c r="B801" s="843"/>
      <c r="C801" s="844">
        <f>IFERROR(__xludf.DUMMYFUNCTION("FILTER($C$4:$C$30,$B$4:$B$30=E779)"),2610.76)</f>
        <v>2610.76</v>
      </c>
      <c r="D801" s="891"/>
      <c r="G801" s="799"/>
      <c r="H801" s="283"/>
      <c r="I801" s="847"/>
      <c r="J801" s="848"/>
      <c r="K801" s="849"/>
      <c r="O801" s="799"/>
    </row>
    <row r="802">
      <c r="A802" s="850" t="s">
        <v>1184</v>
      </c>
      <c r="B802" s="851"/>
      <c r="C802" s="852">
        <f>654.08</f>
        <v>654.08</v>
      </c>
      <c r="D802" s="930" t="s">
        <v>1212</v>
      </c>
      <c r="E802" s="248"/>
      <c r="G802" s="799"/>
      <c r="H802" s="283"/>
      <c r="I802" s="847"/>
      <c r="J802" s="848"/>
      <c r="K802" s="849"/>
      <c r="M802" s="248"/>
      <c r="O802" s="799"/>
    </row>
    <row r="803">
      <c r="A803" s="914"/>
      <c r="B803" s="905"/>
      <c r="C803" s="906">
        <v>50.0</v>
      </c>
      <c r="D803" s="931" t="s">
        <v>1213</v>
      </c>
      <c r="G803" s="799"/>
      <c r="H803" s="283"/>
      <c r="I803" s="847"/>
      <c r="J803" s="848"/>
      <c r="K803" s="849"/>
      <c r="O803" s="799"/>
    </row>
    <row r="804">
      <c r="A804" s="853" t="s">
        <v>721</v>
      </c>
      <c r="B804" s="854"/>
      <c r="C804" s="855">
        <f>SUM(C798:C803)</f>
        <v>4014.84</v>
      </c>
      <c r="D804" s="248"/>
      <c r="G804" s="799"/>
      <c r="H804" s="283"/>
      <c r="I804" s="853" t="s">
        <v>721</v>
      </c>
      <c r="J804" s="854"/>
      <c r="K804" s="855">
        <f>SUM(K798:K803)</f>
        <v>0</v>
      </c>
      <c r="O804" s="799"/>
    </row>
    <row r="805">
      <c r="A805" s="856"/>
      <c r="B805" s="857"/>
      <c r="C805" s="857"/>
      <c r="D805" s="894"/>
      <c r="E805" s="857"/>
      <c r="F805" s="857"/>
      <c r="G805" s="808"/>
      <c r="H805" s="283"/>
      <c r="I805" s="856"/>
      <c r="J805" s="857"/>
      <c r="K805" s="857"/>
      <c r="L805" s="857"/>
      <c r="M805" s="857"/>
      <c r="N805" s="857"/>
      <c r="O805" s="808"/>
    </row>
    <row r="806">
      <c r="A806" s="199"/>
      <c r="B806" s="199"/>
      <c r="C806" s="199"/>
      <c r="D806" s="248"/>
      <c r="E806" s="248"/>
      <c r="F806" s="248"/>
      <c r="G806" s="248"/>
      <c r="H806" s="283"/>
      <c r="I806" s="199"/>
      <c r="J806" s="199"/>
      <c r="K806" s="199"/>
      <c r="L806" s="248"/>
      <c r="M806" s="248"/>
      <c r="N806" s="248"/>
      <c r="O806" s="248"/>
    </row>
    <row r="807">
      <c r="A807" s="199"/>
      <c r="B807" s="199"/>
      <c r="C807" s="199"/>
      <c r="D807" s="248"/>
      <c r="E807" s="248"/>
      <c r="F807" s="248"/>
      <c r="G807" s="248"/>
      <c r="H807" s="283"/>
      <c r="I807" s="199"/>
      <c r="J807" s="199"/>
      <c r="K807" s="199"/>
      <c r="L807" s="248"/>
      <c r="M807" s="248"/>
      <c r="N807" s="248"/>
      <c r="O807" s="248"/>
    </row>
    <row r="808">
      <c r="A808" s="769"/>
      <c r="B808" s="770"/>
      <c r="C808" s="770"/>
      <c r="D808" s="771" t="s">
        <v>700</v>
      </c>
      <c r="E808" s="772" t="str">
        <f>E126</f>
        <v>11.24.2025-11.30.2025</v>
      </c>
      <c r="F808" s="773"/>
      <c r="G808" s="774"/>
      <c r="H808" s="305">
        <v>23.0</v>
      </c>
      <c r="I808" s="769"/>
      <c r="J808" s="770"/>
      <c r="K808" s="770"/>
      <c r="L808" s="771" t="s">
        <v>700</v>
      </c>
      <c r="M808" s="772" t="str">
        <f>E126</f>
        <v>11.24.2025-11.30.2025</v>
      </c>
      <c r="N808" s="773"/>
      <c r="O808" s="774"/>
    </row>
    <row r="809">
      <c r="A809" s="775"/>
      <c r="D809" s="771" t="s">
        <v>702</v>
      </c>
      <c r="E809" s="772" t="s">
        <v>1214</v>
      </c>
      <c r="F809" s="773"/>
      <c r="G809" s="774"/>
      <c r="H809" s="776"/>
      <c r="I809" s="775"/>
      <c r="L809" s="771" t="s">
        <v>351</v>
      </c>
      <c r="M809" s="772" t="str">
        <f t="array" ref="M809">XLOOKUP(M810,$L$1:$L$122,$K$1:$K$122)</f>
        <v>CLAUDY VALMOND</v>
      </c>
      <c r="N809" s="773"/>
      <c r="O809" s="774"/>
    </row>
    <row r="810">
      <c r="A810" s="775"/>
      <c r="D810" s="771" t="s">
        <v>703</v>
      </c>
      <c r="E810" s="772">
        <v>6339.0</v>
      </c>
      <c r="F810" s="773"/>
      <c r="G810" s="774"/>
      <c r="H810" s="283"/>
      <c r="I810" s="775"/>
      <c r="L810" s="771" t="s">
        <v>703</v>
      </c>
      <c r="M810" s="772">
        <f>E810</f>
        <v>6339</v>
      </c>
      <c r="N810" s="773"/>
      <c r="O810" s="774"/>
    </row>
    <row r="811">
      <c r="A811" s="779" t="s">
        <v>704</v>
      </c>
      <c r="B811" s="779" t="s">
        <v>5</v>
      </c>
      <c r="C811" s="779" t="s">
        <v>6</v>
      </c>
      <c r="D811" s="779" t="s">
        <v>7</v>
      </c>
      <c r="E811" s="779" t="s">
        <v>8</v>
      </c>
      <c r="F811" s="779" t="s">
        <v>706</v>
      </c>
      <c r="G811" s="779" t="s">
        <v>707</v>
      </c>
      <c r="H811" s="34"/>
      <c r="I811" s="779" t="s">
        <v>704</v>
      </c>
      <c r="J811" s="779" t="s">
        <v>5</v>
      </c>
      <c r="K811" s="779" t="s">
        <v>6</v>
      </c>
      <c r="L811" s="779" t="s">
        <v>7</v>
      </c>
      <c r="M811" s="779" t="s">
        <v>1178</v>
      </c>
      <c r="N811" s="779" t="s">
        <v>839</v>
      </c>
      <c r="O811" s="779" t="s">
        <v>707</v>
      </c>
    </row>
    <row r="812">
      <c r="A812" s="780">
        <f>IFERROR(__xludf.DUMMYFUNCTION("FILTER($D$3:$H$122,$L$3:$L$122=E810)"),45986.0)</f>
        <v>45986</v>
      </c>
      <c r="B812" s="781">
        <f>IFERROR(__xludf.DUMMYFUNCTION("""COMPUTED_VALUE"""),5.36013958E8)</f>
        <v>536013958</v>
      </c>
      <c r="C812" s="781" t="str">
        <f>IFERROR(__xludf.DUMMYFUNCTION("""COMPUTED_VALUE"""),"Westlake, LA, 70669")</f>
        <v>Westlake, LA, 70669</v>
      </c>
      <c r="D812" s="781" t="str">
        <f>IFERROR(__xludf.DUMMYFUNCTION("""COMPUTED_VALUE"""),"Mount Vernon, IL, 62864")</f>
        <v>Mount Vernon, IL, 62864</v>
      </c>
      <c r="E812" s="782">
        <f>IFERROR(__xludf.DUMMYFUNCTION("""COMPUTED_VALUE"""),1500.0)</f>
        <v>1500</v>
      </c>
      <c r="F812" s="783">
        <v>0.88</v>
      </c>
      <c r="G812" s="782">
        <f t="shared" ref="G812:G814" si="32">E812*F812</f>
        <v>1320</v>
      </c>
      <c r="H812" s="283"/>
      <c r="I812" s="780">
        <f>IFERROR(__xludf.DUMMYFUNCTION("FILTER($D$3:$G$122,$L$3:$L$122=M810)"),45986.0)</f>
        <v>45986</v>
      </c>
      <c r="J812" s="781">
        <f>IFERROR(__xludf.DUMMYFUNCTION("""COMPUTED_VALUE"""),5.36013958E8)</f>
        <v>536013958</v>
      </c>
      <c r="K812" s="781" t="str">
        <f>IFERROR(__xludf.DUMMYFUNCTION("""COMPUTED_VALUE"""),"Westlake, LA, 70669")</f>
        <v>Westlake, LA, 70669</v>
      </c>
      <c r="L812" s="781" t="str">
        <f>IFERROR(__xludf.DUMMYFUNCTION("""COMPUTED_VALUE"""),"Mount Vernon, IL, 62864")</f>
        <v>Mount Vernon, IL, 62864</v>
      </c>
      <c r="M812" s="896">
        <f>IFERROR(__xludf.DUMMYFUNCTION("FILTER($I$3:$I$122,$L$3:$L$122=M810)"),902.0)</f>
        <v>902</v>
      </c>
      <c r="N812" s="781">
        <v>0.65</v>
      </c>
      <c r="O812" s="782">
        <f t="shared" ref="O812:O814" si="33">M812*N812</f>
        <v>586.3</v>
      </c>
    </row>
    <row r="813">
      <c r="A813" s="780">
        <f>IFERROR(__xludf.DUMMYFUNCTION("""COMPUTED_VALUE"""),45987.0)</f>
        <v>45987</v>
      </c>
      <c r="B813" s="781">
        <f>IFERROR(__xludf.DUMMYFUNCTION("""COMPUTED_VALUE"""),5.34465726E8)</f>
        <v>534465726</v>
      </c>
      <c r="C813" s="781" t="str">
        <f>IFERROR(__xludf.DUMMYFUNCTION("""COMPUTED_VALUE"""),"Jonesboro, AR, 72401")</f>
        <v>Jonesboro, AR, 72401</v>
      </c>
      <c r="D813" s="781" t="str">
        <f>IFERROR(__xludf.DUMMYFUNCTION("""COMPUTED_VALUE"""),"Westborough, MA, 01581")</f>
        <v>Westborough, MA, 01581</v>
      </c>
      <c r="E813" s="782">
        <f>IFERROR(__xludf.DUMMYFUNCTION("""COMPUTED_VALUE"""),2960.0)</f>
        <v>2960</v>
      </c>
      <c r="F813" s="783">
        <v>0.88</v>
      </c>
      <c r="G813" s="782">
        <f t="shared" si="32"/>
        <v>2604.8</v>
      </c>
      <c r="H813" s="283"/>
      <c r="I813" s="780">
        <f>IFERROR(__xludf.DUMMYFUNCTION("""COMPUTED_VALUE"""),45987.0)</f>
        <v>45987</v>
      </c>
      <c r="J813" s="781">
        <f>IFERROR(__xludf.DUMMYFUNCTION("""COMPUTED_VALUE"""),5.34465726E8)</f>
        <v>534465726</v>
      </c>
      <c r="K813" s="781" t="str">
        <f>IFERROR(__xludf.DUMMYFUNCTION("""COMPUTED_VALUE"""),"Jonesboro, AR, 72401")</f>
        <v>Jonesboro, AR, 72401</v>
      </c>
      <c r="L813" s="781" t="str">
        <f>IFERROR(__xludf.DUMMYFUNCTION("""COMPUTED_VALUE"""),"Westborough, MA, 01581")</f>
        <v>Westborough, MA, 01581</v>
      </c>
      <c r="M813" s="896">
        <f>IFERROR(__xludf.DUMMYFUNCTION("""COMPUTED_VALUE"""),1565.0)</f>
        <v>1565</v>
      </c>
      <c r="N813" s="781">
        <v>0.65</v>
      </c>
      <c r="O813" s="782">
        <f t="shared" si="33"/>
        <v>1017.25</v>
      </c>
    </row>
    <row r="814">
      <c r="A814" s="883">
        <f>IFERROR(__xludf.DUMMYFUNCTION("""COMPUTED_VALUE"""),45991.0)</f>
        <v>45991</v>
      </c>
      <c r="B814" s="786">
        <f>IFERROR(__xludf.DUMMYFUNCTION("""COMPUTED_VALUE"""),714176.0)</f>
        <v>714176</v>
      </c>
      <c r="C814" s="786" t="str">
        <f>IFERROR(__xludf.DUMMYFUNCTION("""COMPUTED_VALUE"""),"Southborough, MA, 01772")</f>
        <v>Southborough, MA, 01772</v>
      </c>
      <c r="D814" s="786" t="str">
        <f>IFERROR(__xludf.DUMMYFUNCTION("""COMPUTED_VALUE"""),"Savannah, GA, 31401")</f>
        <v>Savannah, GA, 31401</v>
      </c>
      <c r="E814" s="884">
        <f>IFERROR(__xludf.DUMMYFUNCTION("""COMPUTED_VALUE"""),1700.0)</f>
        <v>1700</v>
      </c>
      <c r="F814" s="783">
        <v>0.88</v>
      </c>
      <c r="G814" s="782">
        <f t="shared" si="32"/>
        <v>1496</v>
      </c>
      <c r="H814" s="283"/>
      <c r="I814" s="780">
        <f>IFERROR(__xludf.DUMMYFUNCTION("""COMPUTED_VALUE"""),45991.0)</f>
        <v>45991</v>
      </c>
      <c r="J814" s="781">
        <f>IFERROR(__xludf.DUMMYFUNCTION("""COMPUTED_VALUE"""),714176.0)</f>
        <v>714176</v>
      </c>
      <c r="K814" s="781" t="str">
        <f>IFERROR(__xludf.DUMMYFUNCTION("""COMPUTED_VALUE"""),"Southborough, MA, 01772")</f>
        <v>Southborough, MA, 01772</v>
      </c>
      <c r="L814" s="781" t="str">
        <f>IFERROR(__xludf.DUMMYFUNCTION("""COMPUTED_VALUE"""),"Savannah, GA, 31401")</f>
        <v>Savannah, GA, 31401</v>
      </c>
      <c r="M814" s="880">
        <f>IFERROR(__xludf.DUMMYFUNCTION("""COMPUTED_VALUE"""),1003.0)</f>
        <v>1003</v>
      </c>
      <c r="N814" s="781">
        <v>0.65</v>
      </c>
      <c r="O814" s="782">
        <f t="shared" si="33"/>
        <v>651.95</v>
      </c>
    </row>
    <row r="815">
      <c r="A815" s="785"/>
      <c r="B815" s="786"/>
      <c r="C815" s="786"/>
      <c r="D815" s="786"/>
      <c r="E815" s="785"/>
      <c r="F815" s="787"/>
      <c r="G815" s="788"/>
      <c r="H815" s="283"/>
      <c r="I815" s="785"/>
      <c r="J815" s="786"/>
      <c r="K815" s="786"/>
      <c r="L815" s="786"/>
      <c r="M815" s="785"/>
      <c r="N815" s="787"/>
      <c r="O815" s="789"/>
    </row>
    <row r="816">
      <c r="A816" s="785"/>
      <c r="B816" s="786"/>
      <c r="C816" s="786"/>
      <c r="D816" s="786"/>
      <c r="E816" s="785"/>
      <c r="F816" s="787"/>
      <c r="G816" s="788"/>
      <c r="H816" s="283"/>
      <c r="I816" s="785"/>
      <c r="J816" s="786"/>
      <c r="K816" s="786"/>
      <c r="L816" s="786"/>
      <c r="M816" s="785"/>
      <c r="N816" s="787"/>
      <c r="O816" s="789"/>
    </row>
    <row r="817">
      <c r="A817" s="785"/>
      <c r="B817" s="786"/>
      <c r="C817" s="786"/>
      <c r="D817" s="786"/>
      <c r="E817" s="785"/>
      <c r="F817" s="787"/>
      <c r="G817" s="788"/>
      <c r="H817" s="283"/>
      <c r="I817" s="785"/>
      <c r="J817" s="786"/>
      <c r="K817" s="786"/>
      <c r="L817" s="786"/>
      <c r="M817" s="785"/>
      <c r="N817" s="787"/>
      <c r="O817" s="789"/>
    </row>
    <row r="818">
      <c r="A818" s="790" t="s">
        <v>711</v>
      </c>
      <c r="B818" s="791"/>
      <c r="C818" s="791"/>
      <c r="D818" s="792"/>
      <c r="E818" s="793">
        <f>SUM(E812:E817)</f>
        <v>6160</v>
      </c>
      <c r="F818" s="794"/>
      <c r="G818" s="793">
        <f>SUM(G812:G817)</f>
        <v>5420.8</v>
      </c>
      <c r="H818" s="283"/>
      <c r="I818" s="790" t="s">
        <v>711</v>
      </c>
      <c r="J818" s="791"/>
      <c r="K818" s="791"/>
      <c r="L818" s="792"/>
      <c r="M818" s="877">
        <f>SUM(M812:M817)</f>
        <v>3470</v>
      </c>
      <c r="N818" s="794"/>
      <c r="O818" s="793">
        <f>SUM(O812:O817)</f>
        <v>2255.5</v>
      </c>
      <c r="Q818" s="897" t="s">
        <v>1215</v>
      </c>
    </row>
    <row r="819">
      <c r="A819" s="796"/>
      <c r="D819" s="798"/>
      <c r="G819" s="799"/>
      <c r="H819" s="283"/>
      <c r="I819" s="796"/>
      <c r="L819" s="798"/>
      <c r="O819" s="799"/>
    </row>
    <row r="820">
      <c r="A820" s="800" t="s">
        <v>712</v>
      </c>
      <c r="B820" s="801"/>
      <c r="C820" s="802"/>
      <c r="G820" s="799"/>
      <c r="H820" s="283"/>
      <c r="I820" s="800" t="s">
        <v>712</v>
      </c>
      <c r="J820" s="803"/>
      <c r="K820" s="804"/>
      <c r="O820" s="799"/>
    </row>
    <row r="821">
      <c r="A821" s="902" t="s">
        <v>1194</v>
      </c>
      <c r="B821" s="806"/>
      <c r="C821" s="807">
        <v>250.0</v>
      </c>
      <c r="G821" s="799"/>
      <c r="H821" s="283"/>
      <c r="I821" s="902" t="s">
        <v>1194</v>
      </c>
      <c r="J821" s="808"/>
      <c r="K821" s="903">
        <v>250.0</v>
      </c>
      <c r="O821" s="799"/>
    </row>
    <row r="822">
      <c r="A822" s="868"/>
      <c r="B822" s="774"/>
      <c r="C822" s="816"/>
      <c r="G822" s="799"/>
      <c r="H822" s="283"/>
      <c r="I822" s="868"/>
      <c r="J822" s="774"/>
      <c r="K822" s="816"/>
      <c r="O822" s="799"/>
    </row>
    <row r="823">
      <c r="A823" s="815"/>
      <c r="B823" s="792"/>
      <c r="C823" s="816"/>
      <c r="G823" s="799"/>
      <c r="H823" s="283"/>
      <c r="I823" s="815"/>
      <c r="J823" s="792"/>
      <c r="K823" s="816"/>
      <c r="O823" s="799"/>
    </row>
    <row r="824">
      <c r="A824" s="817"/>
      <c r="B824" s="774"/>
      <c r="C824" s="818"/>
      <c r="G824" s="799"/>
      <c r="H824" s="283"/>
      <c r="I824" s="817"/>
      <c r="J824" s="774"/>
      <c r="K824" s="818"/>
      <c r="O824" s="799"/>
    </row>
    <row r="825">
      <c r="A825" s="817"/>
      <c r="B825" s="792"/>
      <c r="C825" s="818"/>
      <c r="G825" s="799"/>
      <c r="H825" s="283"/>
      <c r="I825" s="817"/>
      <c r="J825" s="792"/>
      <c r="K825" s="818"/>
      <c r="O825" s="799"/>
    </row>
    <row r="826">
      <c r="A826" s="821" t="s">
        <v>714</v>
      </c>
      <c r="B826" s="822"/>
      <c r="C826" s="823">
        <f>SUM(C821:C825)</f>
        <v>250</v>
      </c>
      <c r="G826" s="799"/>
      <c r="H826" s="283"/>
      <c r="I826" s="821" t="s">
        <v>714</v>
      </c>
      <c r="J826" s="826"/>
      <c r="K826" s="823">
        <f>SUM(K821:K825)</f>
        <v>250</v>
      </c>
      <c r="O826" s="799"/>
    </row>
    <row r="827">
      <c r="A827" s="828"/>
      <c r="C827" s="829"/>
      <c r="G827" s="799"/>
      <c r="H827" s="283"/>
      <c r="I827" s="828"/>
      <c r="K827" s="829"/>
      <c r="O827" s="799"/>
    </row>
    <row r="828">
      <c r="A828" s="830" t="s">
        <v>715</v>
      </c>
      <c r="B828" s="831"/>
      <c r="C828" s="832"/>
      <c r="G828" s="799"/>
      <c r="H828" s="283"/>
      <c r="I828" s="833" t="s">
        <v>715</v>
      </c>
      <c r="J828" s="834"/>
      <c r="K828" s="835"/>
      <c r="O828" s="799"/>
    </row>
    <row r="829">
      <c r="A829" s="836" t="s">
        <v>716</v>
      </c>
      <c r="B829" s="837"/>
      <c r="C829" s="838">
        <v>150.0</v>
      </c>
      <c r="G829" s="799"/>
      <c r="H829" s="283"/>
      <c r="I829" s="839"/>
      <c r="J829" s="840"/>
      <c r="K829" s="841"/>
      <c r="O829" s="799"/>
    </row>
    <row r="830">
      <c r="A830" s="842" t="s">
        <v>717</v>
      </c>
      <c r="B830" s="843"/>
      <c r="C830" s="844">
        <v>400.0</v>
      </c>
      <c r="D830" s="891"/>
      <c r="E830" s="845" t="s">
        <v>1182</v>
      </c>
      <c r="G830" s="846">
        <f>G818+C826-C835</f>
        <v>2962.08</v>
      </c>
      <c r="H830" s="283"/>
      <c r="I830" s="847"/>
      <c r="J830" s="848"/>
      <c r="K830" s="849"/>
      <c r="L830" s="248"/>
      <c r="M830" s="845" t="s">
        <v>1183</v>
      </c>
      <c r="O830" s="846">
        <f>O818+K826-K835</f>
        <v>2505.5</v>
      </c>
    </row>
    <row r="831">
      <c r="A831" s="836" t="s">
        <v>718</v>
      </c>
      <c r="B831" s="837"/>
      <c r="C831" s="838"/>
      <c r="D831" s="892"/>
      <c r="G831" s="799"/>
      <c r="H831" s="283"/>
      <c r="I831" s="847"/>
      <c r="J831" s="848"/>
      <c r="K831" s="849"/>
      <c r="O831" s="799"/>
    </row>
    <row r="832">
      <c r="A832" s="842" t="s">
        <v>656</v>
      </c>
      <c r="B832" s="843"/>
      <c r="C832" s="844">
        <f>IFERROR(__xludf.DUMMYFUNCTION("FILTER($C$4:$C$30,$B$4:$B$30=E810)"),1900.22)</f>
        <v>1900.22</v>
      </c>
      <c r="D832" s="891"/>
      <c r="G832" s="799"/>
      <c r="H832" s="283"/>
      <c r="I832" s="847"/>
      <c r="J832" s="848"/>
      <c r="K832" s="849"/>
      <c r="O832" s="799"/>
    </row>
    <row r="833">
      <c r="A833" s="850" t="s">
        <v>1184</v>
      </c>
      <c r="B833" s="851"/>
      <c r="C833" s="852">
        <f>32.69+21.95+203.86</f>
        <v>258.5</v>
      </c>
      <c r="D833" s="930" t="s">
        <v>1216</v>
      </c>
      <c r="E833" s="248"/>
      <c r="G833" s="799"/>
      <c r="H833" s="283"/>
      <c r="I833" s="847"/>
      <c r="J833" s="848"/>
      <c r="K833" s="849"/>
      <c r="M833" s="248"/>
      <c r="O833" s="799"/>
    </row>
    <row r="834">
      <c r="A834" s="847"/>
      <c r="B834" s="848"/>
      <c r="C834" s="849"/>
      <c r="D834" s="248"/>
      <c r="G834" s="799"/>
      <c r="H834" s="283"/>
      <c r="I834" s="847"/>
      <c r="J834" s="848"/>
      <c r="K834" s="849"/>
      <c r="O834" s="799"/>
    </row>
    <row r="835">
      <c r="A835" s="853" t="s">
        <v>721</v>
      </c>
      <c r="B835" s="854"/>
      <c r="C835" s="855">
        <f>SUM(C829:C834)</f>
        <v>2708.72</v>
      </c>
      <c r="D835" s="248"/>
      <c r="G835" s="799"/>
      <c r="H835" s="283"/>
      <c r="I835" s="853" t="s">
        <v>721</v>
      </c>
      <c r="J835" s="854"/>
      <c r="K835" s="855">
        <f>SUM(K829:K834)</f>
        <v>0</v>
      </c>
      <c r="O835" s="799"/>
    </row>
    <row r="836">
      <c r="A836" s="856"/>
      <c r="B836" s="857"/>
      <c r="C836" s="857"/>
      <c r="D836" s="894"/>
      <c r="E836" s="857"/>
      <c r="F836" s="857"/>
      <c r="G836" s="808"/>
      <c r="H836" s="283"/>
      <c r="I836" s="856"/>
      <c r="J836" s="857"/>
      <c r="K836" s="857"/>
      <c r="L836" s="857"/>
      <c r="M836" s="857"/>
      <c r="N836" s="857"/>
      <c r="O836" s="808"/>
    </row>
    <row r="837">
      <c r="A837" s="199"/>
      <c r="B837" s="199"/>
      <c r="C837" s="199"/>
      <c r="D837" s="248"/>
      <c r="E837" s="248"/>
      <c r="F837" s="248"/>
      <c r="G837" s="248"/>
      <c r="H837" s="283"/>
      <c r="I837" s="199"/>
      <c r="J837" s="199"/>
      <c r="K837" s="199"/>
      <c r="L837" s="248"/>
      <c r="M837" s="248"/>
      <c r="N837" s="248"/>
      <c r="O837" s="248"/>
    </row>
    <row r="838">
      <c r="A838" s="199"/>
      <c r="B838" s="199"/>
      <c r="C838" s="199"/>
      <c r="D838" s="248"/>
      <c r="E838" s="248"/>
      <c r="F838" s="248"/>
      <c r="G838" s="248"/>
      <c r="H838" s="283"/>
      <c r="I838" s="199"/>
      <c r="J838" s="199"/>
      <c r="K838" s="199"/>
      <c r="L838" s="248"/>
      <c r="M838" s="248"/>
      <c r="N838" s="248"/>
      <c r="O838" s="248"/>
    </row>
    <row r="839">
      <c r="A839" s="769"/>
      <c r="B839" s="770"/>
      <c r="C839" s="770"/>
      <c r="D839" s="771" t="s">
        <v>700</v>
      </c>
      <c r="E839" s="772" t="str">
        <f>E126</f>
        <v>11.24.2025-11.30.2025</v>
      </c>
      <c r="F839" s="773"/>
      <c r="G839" s="774"/>
      <c r="H839" s="305">
        <v>24.0</v>
      </c>
      <c r="I839" s="769"/>
      <c r="J839" s="770"/>
      <c r="K839" s="770"/>
      <c r="L839" s="771" t="s">
        <v>700</v>
      </c>
      <c r="M839" s="772" t="str">
        <f>E126</f>
        <v>11.24.2025-11.30.2025</v>
      </c>
      <c r="N839" s="773"/>
      <c r="O839" s="774"/>
    </row>
    <row r="840">
      <c r="A840" s="775"/>
      <c r="D840" s="771" t="s">
        <v>702</v>
      </c>
      <c r="E840" s="772" t="s">
        <v>819</v>
      </c>
      <c r="F840" s="773"/>
      <c r="G840" s="774"/>
      <c r="H840" s="776"/>
      <c r="I840" s="775"/>
      <c r="L840" s="771" t="s">
        <v>351</v>
      </c>
      <c r="M840" s="772" t="str">
        <f t="array" ref="M840">XLOOKUP(M841,$L$1:$L$122,$K$1:$K$122)</f>
        <v>LAWRENCE DANIEL MARTIN</v>
      </c>
      <c r="N840" s="773"/>
      <c r="O840" s="774"/>
    </row>
    <row r="841">
      <c r="A841" s="775"/>
      <c r="D841" s="771" t="s">
        <v>703</v>
      </c>
      <c r="E841" s="772">
        <v>6813.0</v>
      </c>
      <c r="F841" s="773"/>
      <c r="G841" s="774"/>
      <c r="H841" s="283"/>
      <c r="I841" s="775"/>
      <c r="L841" s="771" t="s">
        <v>703</v>
      </c>
      <c r="M841" s="772">
        <f>E841</f>
        <v>6813</v>
      </c>
      <c r="N841" s="773"/>
      <c r="O841" s="774"/>
    </row>
    <row r="842">
      <c r="A842" s="779" t="s">
        <v>704</v>
      </c>
      <c r="B842" s="779" t="s">
        <v>5</v>
      </c>
      <c r="C842" s="779" t="s">
        <v>6</v>
      </c>
      <c r="D842" s="779" t="s">
        <v>7</v>
      </c>
      <c r="E842" s="779" t="s">
        <v>8</v>
      </c>
      <c r="F842" s="779" t="s">
        <v>706</v>
      </c>
      <c r="G842" s="779" t="s">
        <v>707</v>
      </c>
      <c r="H842" s="34"/>
      <c r="I842" s="779" t="s">
        <v>704</v>
      </c>
      <c r="J842" s="779" t="s">
        <v>5</v>
      </c>
      <c r="K842" s="779" t="s">
        <v>6</v>
      </c>
      <c r="L842" s="779" t="s">
        <v>7</v>
      </c>
      <c r="M842" s="779" t="s">
        <v>1178</v>
      </c>
      <c r="N842" s="779" t="s">
        <v>839</v>
      </c>
      <c r="O842" s="779" t="s">
        <v>707</v>
      </c>
    </row>
    <row r="843">
      <c r="A843" s="780">
        <f>IFERROR(__xludf.DUMMYFUNCTION("FILTER($D$3:$H$122,$L$3:$L$122=E841)"),45987.0)</f>
        <v>45987</v>
      </c>
      <c r="B843" s="781">
        <f>IFERROR(__xludf.DUMMYFUNCTION("""COMPUTED_VALUE"""),5.36184345E8)</f>
        <v>536184345</v>
      </c>
      <c r="C843" s="781" t="str">
        <f>IFERROR(__xludf.DUMMYFUNCTION("""COMPUTED_VALUE"""),"North Haven, CT, 06473")</f>
        <v>North Haven, CT, 06473</v>
      </c>
      <c r="D843" s="781" t="str">
        <f>IFERROR(__xludf.DUMMYFUNCTION("""COMPUTED_VALUE"""),"City of Auburn, NY, 13021")</f>
        <v>City of Auburn, NY, 13021</v>
      </c>
      <c r="E843" s="782">
        <f>IFERROR(__xludf.DUMMYFUNCTION("""COMPUTED_VALUE"""),1250.0)</f>
        <v>1250</v>
      </c>
      <c r="F843" s="783">
        <v>0.88</v>
      </c>
      <c r="G843" s="782">
        <f t="shared" ref="G843:G845" si="34">E843*F843</f>
        <v>1100</v>
      </c>
      <c r="H843" s="283"/>
      <c r="I843" s="780">
        <f>IFERROR(__xludf.DUMMYFUNCTION("FILTER($D$3:$G$122,$L$3:$L$122=M841)"),45987.0)</f>
        <v>45987</v>
      </c>
      <c r="J843" s="781">
        <f>IFERROR(__xludf.DUMMYFUNCTION("""COMPUTED_VALUE"""),5.36184345E8)</f>
        <v>536184345</v>
      </c>
      <c r="K843" s="781" t="str">
        <f>IFERROR(__xludf.DUMMYFUNCTION("""COMPUTED_VALUE"""),"North Haven, CT, 06473")</f>
        <v>North Haven, CT, 06473</v>
      </c>
      <c r="L843" s="781" t="str">
        <f>IFERROR(__xludf.DUMMYFUNCTION("""COMPUTED_VALUE"""),"City of Auburn, NY, 13021")</f>
        <v>City of Auburn, NY, 13021</v>
      </c>
      <c r="M843" s="880">
        <f>IFERROR(__xludf.DUMMYFUNCTION("FILTER($I$3:$I$122,$L$3:$L$122=M841)"),411.0)</f>
        <v>411</v>
      </c>
      <c r="N843" s="781">
        <v>0.65</v>
      </c>
      <c r="O843" s="782">
        <f t="shared" ref="O843:O845" si="35">M843*N843</f>
        <v>267.15</v>
      </c>
    </row>
    <row r="844">
      <c r="A844" s="780">
        <f>IFERROR(__xludf.DUMMYFUNCTION("""COMPUTED_VALUE"""),45990.0)</f>
        <v>45990</v>
      </c>
      <c r="B844" s="781">
        <f>IFERROR(__xludf.DUMMYFUNCTION("""COMPUTED_VALUE"""),2898343.0)</f>
        <v>2898343</v>
      </c>
      <c r="C844" s="781" t="str">
        <f>IFERROR(__xludf.DUMMYFUNCTION("""COMPUTED_VALUE"""),"Williamsport, PA, 17701")</f>
        <v>Williamsport, PA, 17701</v>
      </c>
      <c r="D844" s="781" t="str">
        <f>IFERROR(__xludf.DUMMYFUNCTION("""COMPUTED_VALUE"""),"Williamsport, PA, 17701")</f>
        <v>Williamsport, PA, 17701</v>
      </c>
      <c r="E844" s="782">
        <f>IFERROR(__xludf.DUMMYFUNCTION("""COMPUTED_VALUE"""),1400.0)</f>
        <v>1400</v>
      </c>
      <c r="F844" s="783">
        <v>0.88</v>
      </c>
      <c r="G844" s="782">
        <f t="shared" si="34"/>
        <v>1232</v>
      </c>
      <c r="H844" s="283"/>
      <c r="I844" s="780">
        <f>IFERROR(__xludf.DUMMYFUNCTION("""COMPUTED_VALUE"""),45990.0)</f>
        <v>45990</v>
      </c>
      <c r="J844" s="781">
        <f>IFERROR(__xludf.DUMMYFUNCTION("""COMPUTED_VALUE"""),2898343.0)</f>
        <v>2898343</v>
      </c>
      <c r="K844" s="781" t="str">
        <f>IFERROR(__xludf.DUMMYFUNCTION("""COMPUTED_VALUE"""),"Williamsport, PA, 17701")</f>
        <v>Williamsport, PA, 17701</v>
      </c>
      <c r="L844" s="781" t="str">
        <f>IFERROR(__xludf.DUMMYFUNCTION("""COMPUTED_VALUE"""),"Williamsport, PA, 17701")</f>
        <v>Williamsport, PA, 17701</v>
      </c>
      <c r="M844" s="896">
        <f>IFERROR(__xludf.DUMMYFUNCTION("""COMPUTED_VALUE"""),742.0)</f>
        <v>742</v>
      </c>
      <c r="N844" s="781">
        <v>0.65</v>
      </c>
      <c r="O844" s="782">
        <f t="shared" si="35"/>
        <v>482.3</v>
      </c>
    </row>
    <row r="845">
      <c r="A845" s="883">
        <f>IFERROR(__xludf.DUMMYFUNCTION("""COMPUTED_VALUE"""),45987.0)</f>
        <v>45987</v>
      </c>
      <c r="B845" s="786">
        <f>IFERROR(__xludf.DUMMYFUNCTION("""COMPUTED_VALUE"""),5.36090795E8)</f>
        <v>536090795</v>
      </c>
      <c r="C845" s="786" t="str">
        <f>IFERROR(__xludf.DUMMYFUNCTION("""COMPUTED_VALUE"""),"North Haven, CT, 06473")</f>
        <v>North Haven, CT, 06473</v>
      </c>
      <c r="D845" s="786" t="str">
        <f>IFERROR(__xludf.DUMMYFUNCTION("""COMPUTED_VALUE"""),"City of Auburn, NY, 13021")</f>
        <v>City of Auburn, NY, 13021</v>
      </c>
      <c r="E845" s="884">
        <f>IFERROR(__xludf.DUMMYFUNCTION("""COMPUTED_VALUE"""),0.0)</f>
        <v>0</v>
      </c>
      <c r="F845" s="783">
        <v>0.88</v>
      </c>
      <c r="G845" s="782">
        <f t="shared" si="34"/>
        <v>0</v>
      </c>
      <c r="H845" s="283"/>
      <c r="I845" s="780">
        <f>IFERROR(__xludf.DUMMYFUNCTION("""COMPUTED_VALUE"""),45987.0)</f>
        <v>45987</v>
      </c>
      <c r="J845" s="781">
        <f>IFERROR(__xludf.DUMMYFUNCTION("""COMPUTED_VALUE"""),5.36090795E8)</f>
        <v>536090795</v>
      </c>
      <c r="K845" s="781" t="str">
        <f>IFERROR(__xludf.DUMMYFUNCTION("""COMPUTED_VALUE"""),"North Haven, CT, 06473")</f>
        <v>North Haven, CT, 06473</v>
      </c>
      <c r="L845" s="781" t="str">
        <f>IFERROR(__xludf.DUMMYFUNCTION("""COMPUTED_VALUE"""),"City of Auburn, NY, 13021")</f>
        <v>City of Auburn, NY, 13021</v>
      </c>
      <c r="M845" s="880">
        <f>IFERROR(__xludf.DUMMYFUNCTION("""COMPUTED_VALUE"""),0.0)</f>
        <v>0</v>
      </c>
      <c r="N845" s="781">
        <v>0.65</v>
      </c>
      <c r="O845" s="782">
        <f t="shared" si="35"/>
        <v>0</v>
      </c>
    </row>
    <row r="846">
      <c r="A846" s="785"/>
      <c r="B846" s="786"/>
      <c r="C846" s="786"/>
      <c r="D846" s="786"/>
      <c r="E846" s="785"/>
      <c r="F846" s="787"/>
      <c r="G846" s="788"/>
      <c r="H846" s="283"/>
      <c r="I846" s="785"/>
      <c r="J846" s="786"/>
      <c r="K846" s="786"/>
      <c r="L846" s="786"/>
      <c r="M846" s="785"/>
      <c r="N846" s="787"/>
      <c r="O846" s="789"/>
    </row>
    <row r="847">
      <c r="A847" s="785"/>
      <c r="B847" s="786"/>
      <c r="C847" s="786"/>
      <c r="D847" s="786"/>
      <c r="E847" s="785"/>
      <c r="F847" s="787"/>
      <c r="G847" s="788"/>
      <c r="H847" s="283"/>
      <c r="I847" s="785"/>
      <c r="J847" s="786"/>
      <c r="K847" s="786"/>
      <c r="L847" s="786"/>
      <c r="M847" s="785"/>
      <c r="N847" s="787"/>
      <c r="O847" s="789"/>
    </row>
    <row r="848">
      <c r="A848" s="785"/>
      <c r="B848" s="786"/>
      <c r="C848" s="786"/>
      <c r="D848" s="786"/>
      <c r="E848" s="785"/>
      <c r="F848" s="787"/>
      <c r="G848" s="788"/>
      <c r="H848" s="283"/>
      <c r="I848" s="785"/>
      <c r="J848" s="786"/>
      <c r="K848" s="786"/>
      <c r="L848" s="786"/>
      <c r="M848" s="785"/>
      <c r="N848" s="787"/>
      <c r="O848" s="789"/>
    </row>
    <row r="849">
      <c r="A849" s="790" t="s">
        <v>711</v>
      </c>
      <c r="B849" s="791"/>
      <c r="C849" s="791"/>
      <c r="D849" s="792"/>
      <c r="E849" s="793">
        <f>SUM(E843:E848)</f>
        <v>2650</v>
      </c>
      <c r="F849" s="794"/>
      <c r="G849" s="793">
        <f>SUM(G843:G848)</f>
        <v>2332</v>
      </c>
      <c r="H849" s="283"/>
      <c r="I849" s="790" t="s">
        <v>711</v>
      </c>
      <c r="J849" s="791"/>
      <c r="K849" s="791"/>
      <c r="L849" s="792"/>
      <c r="M849" s="877">
        <f>SUM(M843:M848)</f>
        <v>1153</v>
      </c>
      <c r="N849" s="794"/>
      <c r="O849" s="793">
        <f>SUM(O843:O848)</f>
        <v>749.45</v>
      </c>
      <c r="Q849" s="897" t="s">
        <v>1217</v>
      </c>
    </row>
    <row r="850">
      <c r="A850" s="796"/>
      <c r="D850" s="798"/>
      <c r="G850" s="799"/>
      <c r="H850" s="283"/>
      <c r="I850" s="796"/>
      <c r="L850" s="798"/>
      <c r="M850" s="798"/>
      <c r="N850" s="798"/>
      <c r="O850" s="878"/>
    </row>
    <row r="851">
      <c r="A851" s="800" t="s">
        <v>712</v>
      </c>
      <c r="B851" s="801"/>
      <c r="C851" s="802"/>
      <c r="G851" s="799"/>
      <c r="H851" s="283"/>
      <c r="I851" s="800" t="s">
        <v>712</v>
      </c>
      <c r="J851" s="803"/>
      <c r="K851" s="804"/>
      <c r="L851" s="798"/>
      <c r="M851" s="798"/>
      <c r="N851" s="798"/>
      <c r="O851" s="878"/>
    </row>
    <row r="852">
      <c r="A852" s="902" t="s">
        <v>1194</v>
      </c>
      <c r="B852" s="806"/>
      <c r="C852" s="807">
        <v>250.0</v>
      </c>
      <c r="G852" s="799"/>
      <c r="H852" s="283"/>
      <c r="I852" s="902" t="s">
        <v>1194</v>
      </c>
      <c r="J852" s="808"/>
      <c r="K852" s="903">
        <v>250.0</v>
      </c>
      <c r="L852" s="798"/>
      <c r="M852" s="798"/>
      <c r="N852" s="798"/>
      <c r="O852" s="878"/>
    </row>
    <row r="853">
      <c r="A853" s="813" t="s">
        <v>885</v>
      </c>
      <c r="B853" s="898"/>
      <c r="C853" s="926">
        <v>250.0</v>
      </c>
      <c r="G853" s="799"/>
      <c r="H853" s="283"/>
      <c r="I853" s="868"/>
      <c r="J853" s="774"/>
      <c r="K853" s="816"/>
      <c r="L853" s="798"/>
      <c r="M853" s="798"/>
      <c r="N853" s="798"/>
      <c r="O853" s="878"/>
    </row>
    <row r="854">
      <c r="A854" s="815"/>
      <c r="B854" s="792"/>
      <c r="C854" s="816"/>
      <c r="G854" s="799"/>
      <c r="H854" s="283"/>
      <c r="I854" s="815"/>
      <c r="J854" s="792"/>
      <c r="K854" s="816"/>
      <c r="L854" s="798"/>
      <c r="M854" s="798"/>
      <c r="N854" s="798"/>
      <c r="O854" s="878"/>
    </row>
    <row r="855">
      <c r="A855" s="817"/>
      <c r="B855" s="774"/>
      <c r="C855" s="818"/>
      <c r="G855" s="799"/>
      <c r="H855" s="283"/>
      <c r="I855" s="817"/>
      <c r="J855" s="774"/>
      <c r="K855" s="818"/>
      <c r="L855" s="798"/>
      <c r="M855" s="798"/>
      <c r="N855" s="798"/>
      <c r="O855" s="878"/>
    </row>
    <row r="856">
      <c r="A856" s="817"/>
      <c r="B856" s="792"/>
      <c r="C856" s="818"/>
      <c r="G856" s="799"/>
      <c r="H856" s="283"/>
      <c r="I856" s="817"/>
      <c r="J856" s="792"/>
      <c r="K856" s="818"/>
      <c r="L856" s="798"/>
      <c r="M856" s="798"/>
      <c r="N856" s="798"/>
      <c r="O856" s="878"/>
    </row>
    <row r="857">
      <c r="A857" s="821" t="s">
        <v>714</v>
      </c>
      <c r="B857" s="822"/>
      <c r="C857" s="823">
        <f>SUM(C852:C856)</f>
        <v>500</v>
      </c>
      <c r="G857" s="799"/>
      <c r="H857" s="283"/>
      <c r="I857" s="821" t="s">
        <v>714</v>
      </c>
      <c r="J857" s="826"/>
      <c r="K857" s="827">
        <f>SUM(K852:K856)</f>
        <v>250</v>
      </c>
      <c r="L857" s="798"/>
      <c r="M857" s="798"/>
      <c r="N857" s="798"/>
      <c r="O857" s="878"/>
    </row>
    <row r="858">
      <c r="A858" s="828"/>
      <c r="C858" s="829"/>
      <c r="G858" s="799"/>
      <c r="H858" s="283"/>
      <c r="I858" s="828"/>
      <c r="K858" s="829"/>
      <c r="L858" s="798"/>
      <c r="M858" s="798"/>
      <c r="N858" s="798"/>
      <c r="O858" s="878"/>
    </row>
    <row r="859">
      <c r="A859" s="830" t="s">
        <v>715</v>
      </c>
      <c r="B859" s="831"/>
      <c r="C859" s="832"/>
      <c r="G859" s="799"/>
      <c r="H859" s="283"/>
      <c r="I859" s="833" t="s">
        <v>715</v>
      </c>
      <c r="J859" s="834"/>
      <c r="K859" s="835"/>
      <c r="L859" s="932"/>
      <c r="M859" s="798"/>
      <c r="N859" s="798"/>
      <c r="O859" s="878"/>
    </row>
    <row r="860">
      <c r="A860" s="836" t="s">
        <v>716</v>
      </c>
      <c r="B860" s="837"/>
      <c r="C860" s="838">
        <v>150.0</v>
      </c>
      <c r="G860" s="799"/>
      <c r="H860" s="283"/>
      <c r="I860" s="889" t="s">
        <v>1218</v>
      </c>
      <c r="J860" s="851"/>
      <c r="K860" s="852">
        <v>220.0</v>
      </c>
      <c r="L860" s="865" t="s">
        <v>1219</v>
      </c>
      <c r="M860" s="798"/>
      <c r="N860" s="798"/>
      <c r="O860" s="878"/>
    </row>
    <row r="861">
      <c r="A861" s="842" t="s">
        <v>717</v>
      </c>
      <c r="B861" s="843"/>
      <c r="C861" s="844">
        <v>400.0</v>
      </c>
      <c r="D861" s="248"/>
      <c r="E861" s="845" t="s">
        <v>1182</v>
      </c>
      <c r="G861" s="846">
        <f>G849+C857-C866</f>
        <v>927.28</v>
      </c>
      <c r="H861" s="283"/>
      <c r="I861" s="847"/>
      <c r="J861" s="848"/>
      <c r="K861" s="849"/>
      <c r="L861" s="248"/>
      <c r="M861" s="845" t="s">
        <v>1183</v>
      </c>
      <c r="O861" s="846">
        <f>O849+K857-K866</f>
        <v>779.45</v>
      </c>
    </row>
    <row r="862">
      <c r="A862" s="836" t="s">
        <v>718</v>
      </c>
      <c r="B862" s="837"/>
      <c r="C862" s="838"/>
      <c r="G862" s="799"/>
      <c r="H862" s="283"/>
      <c r="I862" s="847"/>
      <c r="J862" s="848"/>
      <c r="K862" s="849"/>
      <c r="O862" s="799"/>
    </row>
    <row r="863">
      <c r="A863" s="842" t="s">
        <v>656</v>
      </c>
      <c r="B863" s="843"/>
      <c r="C863" s="844">
        <f>IFERROR(__xludf.DUMMYFUNCTION("FILTER($C$4:$C$30,$B$4:$B$30=E841)"),1004.82)</f>
        <v>1004.82</v>
      </c>
      <c r="G863" s="799"/>
      <c r="H863" s="283"/>
      <c r="I863" s="847"/>
      <c r="J863" s="848"/>
      <c r="K863" s="849"/>
      <c r="O863" s="799"/>
    </row>
    <row r="864">
      <c r="A864" s="850" t="s">
        <v>1184</v>
      </c>
      <c r="B864" s="851"/>
      <c r="C864" s="852">
        <v>220.0</v>
      </c>
      <c r="E864" s="248"/>
      <c r="G864" s="799"/>
      <c r="H864" s="283"/>
      <c r="I864" s="847"/>
      <c r="J864" s="848"/>
      <c r="K864" s="849"/>
      <c r="M864" s="248"/>
      <c r="O864" s="799"/>
    </row>
    <row r="865">
      <c r="A865" s="904" t="s">
        <v>887</v>
      </c>
      <c r="B865" s="905"/>
      <c r="C865" s="906">
        <v>129.9</v>
      </c>
      <c r="G865" s="799"/>
      <c r="H865" s="283"/>
      <c r="I865" s="847"/>
      <c r="J865" s="848"/>
      <c r="K865" s="849"/>
      <c r="O865" s="799"/>
    </row>
    <row r="866">
      <c r="A866" s="853" t="s">
        <v>721</v>
      </c>
      <c r="B866" s="854"/>
      <c r="C866" s="855">
        <f>SUM(C860:C865)</f>
        <v>1904.72</v>
      </c>
      <c r="G866" s="799"/>
      <c r="H866" s="283"/>
      <c r="I866" s="853" t="s">
        <v>721</v>
      </c>
      <c r="J866" s="854"/>
      <c r="K866" s="855">
        <f>SUM(K860:K864)</f>
        <v>220</v>
      </c>
      <c r="O866" s="799"/>
    </row>
    <row r="867">
      <c r="A867" s="856"/>
      <c r="B867" s="857"/>
      <c r="C867" s="857"/>
      <c r="D867" s="857"/>
      <c r="E867" s="857"/>
      <c r="F867" s="857"/>
      <c r="G867" s="808"/>
      <c r="H867" s="283"/>
      <c r="I867" s="856"/>
      <c r="J867" s="857"/>
      <c r="K867" s="857"/>
      <c r="L867" s="857"/>
      <c r="M867" s="857"/>
      <c r="N867" s="857"/>
      <c r="O867" s="808"/>
    </row>
    <row r="868">
      <c r="A868" s="199"/>
      <c r="B868" s="199"/>
      <c r="C868" s="199"/>
      <c r="D868" s="248"/>
      <c r="E868" s="248"/>
      <c r="F868" s="248"/>
      <c r="G868" s="248"/>
      <c r="H868" s="283"/>
      <c r="I868" s="199"/>
      <c r="J868" s="199"/>
      <c r="K868" s="199"/>
      <c r="L868" s="248"/>
      <c r="M868" s="248"/>
      <c r="N868" s="248"/>
      <c r="O868" s="248"/>
    </row>
    <row r="869">
      <c r="A869" s="199"/>
      <c r="B869" s="199"/>
      <c r="C869" s="199"/>
      <c r="D869" s="248"/>
      <c r="E869" s="248"/>
      <c r="F869" s="248"/>
      <c r="G869" s="248"/>
      <c r="H869" s="283"/>
      <c r="I869" s="199"/>
      <c r="J869" s="199"/>
      <c r="K869" s="199"/>
      <c r="L869" s="248"/>
      <c r="M869" s="248"/>
      <c r="N869" s="248"/>
      <c r="O869" s="248"/>
    </row>
    <row r="870">
      <c r="A870" s="769"/>
      <c r="B870" s="770"/>
      <c r="C870" s="770"/>
      <c r="D870" s="771" t="s">
        <v>700</v>
      </c>
      <c r="E870" s="772" t="str">
        <f>E126</f>
        <v>11.24.2025-11.30.2025</v>
      </c>
      <c r="F870" s="773"/>
      <c r="G870" s="774"/>
      <c r="H870" s="305">
        <v>25.0</v>
      </c>
      <c r="I870" s="769"/>
      <c r="J870" s="770"/>
      <c r="K870" s="770"/>
      <c r="L870" s="771" t="s">
        <v>700</v>
      </c>
      <c r="M870" s="772" t="str">
        <f>E126</f>
        <v>11.24.2025-11.30.2025</v>
      </c>
      <c r="N870" s="773"/>
      <c r="O870" s="774"/>
    </row>
    <row r="871">
      <c r="A871" s="775"/>
      <c r="D871" s="771" t="s">
        <v>702</v>
      </c>
      <c r="E871" s="772" t="s">
        <v>783</v>
      </c>
      <c r="F871" s="773"/>
      <c r="G871" s="774"/>
      <c r="H871" s="283"/>
      <c r="I871" s="775"/>
      <c r="L871" s="771" t="s">
        <v>351</v>
      </c>
      <c r="M871" s="772" t="str">
        <f t="array" ref="M871">XLOOKUP(M872,$L$1:$L$122,$K$1:$K$122)</f>
        <v>KIMBERLY MONIQUE SOWELL</v>
      </c>
      <c r="N871" s="773"/>
      <c r="O871" s="774"/>
    </row>
    <row r="872">
      <c r="A872" s="775"/>
      <c r="D872" s="771" t="s">
        <v>703</v>
      </c>
      <c r="E872" s="772">
        <v>6338.0</v>
      </c>
      <c r="F872" s="773"/>
      <c r="G872" s="774"/>
      <c r="H872" s="283"/>
      <c r="I872" s="775"/>
      <c r="L872" s="771" t="s">
        <v>703</v>
      </c>
      <c r="M872" s="772">
        <f>E872</f>
        <v>6338</v>
      </c>
      <c r="N872" s="773"/>
      <c r="O872" s="774"/>
    </row>
    <row r="873">
      <c r="A873" s="779" t="s">
        <v>704</v>
      </c>
      <c r="B873" s="779" t="s">
        <v>5</v>
      </c>
      <c r="C873" s="779" t="s">
        <v>6</v>
      </c>
      <c r="D873" s="779" t="s">
        <v>7</v>
      </c>
      <c r="E873" s="779" t="s">
        <v>8</v>
      </c>
      <c r="F873" s="779" t="s">
        <v>706</v>
      </c>
      <c r="G873" s="779" t="s">
        <v>707</v>
      </c>
      <c r="H873" s="34"/>
      <c r="I873" s="779" t="s">
        <v>704</v>
      </c>
      <c r="J873" s="779" t="s">
        <v>5</v>
      </c>
      <c r="K873" s="779" t="s">
        <v>6</v>
      </c>
      <c r="L873" s="779" t="s">
        <v>7</v>
      </c>
      <c r="M873" s="779" t="s">
        <v>1178</v>
      </c>
      <c r="N873" s="779" t="s">
        <v>839</v>
      </c>
      <c r="O873" s="779" t="s">
        <v>707</v>
      </c>
    </row>
    <row r="874">
      <c r="A874" s="780">
        <f>IFERROR(__xludf.DUMMYFUNCTION("FILTER($D$3:$H$122,$L$3:$L$122=E872)"),45985.0)</f>
        <v>45985</v>
      </c>
      <c r="B874" s="781">
        <f>IFERROR(__xludf.DUMMYFUNCTION("""COMPUTED_VALUE"""),161551.0)</f>
        <v>161551</v>
      </c>
      <c r="C874" s="781" t="str">
        <f>IFERROR(__xludf.DUMMYFUNCTION("""COMPUTED_VALUE"""),"Staunton, VA, 24401")</f>
        <v>Staunton, VA, 24401</v>
      </c>
      <c r="D874" s="781" t="str">
        <f>IFERROR(__xludf.DUMMYFUNCTION("""COMPUTED_VALUE"""),"Macon, GA, 31206")</f>
        <v>Macon, GA, 31206</v>
      </c>
      <c r="E874" s="782">
        <f>IFERROR(__xludf.DUMMYFUNCTION("""COMPUTED_VALUE"""),1050.0)</f>
        <v>1050</v>
      </c>
      <c r="F874" s="783">
        <v>0.88</v>
      </c>
      <c r="G874" s="782">
        <f t="shared" ref="G874:G876" si="36">E874*F874</f>
        <v>924</v>
      </c>
      <c r="H874" s="283"/>
      <c r="I874" s="780">
        <f>IFERROR(__xludf.DUMMYFUNCTION("FILTER($D$3:$G$122,$L$3:$L$122=M872)"),45985.0)</f>
        <v>45985</v>
      </c>
      <c r="J874" s="781">
        <f>IFERROR(__xludf.DUMMYFUNCTION("""COMPUTED_VALUE"""),161551.0)</f>
        <v>161551</v>
      </c>
      <c r="K874" s="781" t="str">
        <f>IFERROR(__xludf.DUMMYFUNCTION("""COMPUTED_VALUE"""),"Staunton, VA, 24401")</f>
        <v>Staunton, VA, 24401</v>
      </c>
      <c r="L874" s="781" t="str">
        <f>IFERROR(__xludf.DUMMYFUNCTION("""COMPUTED_VALUE"""),"Macon, GA, 31206")</f>
        <v>Macon, GA, 31206</v>
      </c>
      <c r="M874" s="896">
        <f>IFERROR(__xludf.DUMMYFUNCTION("FILTER($I$3:$I$122,$L$3:$L$122=M872)"),659.0)</f>
        <v>659</v>
      </c>
      <c r="N874" s="781">
        <v>0.65</v>
      </c>
      <c r="O874" s="782">
        <f t="shared" ref="O874:O876" si="37">M874*N874</f>
        <v>428.35</v>
      </c>
    </row>
    <row r="875">
      <c r="A875" s="780">
        <f>IFERROR(__xludf.DUMMYFUNCTION("""COMPUTED_VALUE"""),45986.0)</f>
        <v>45986</v>
      </c>
      <c r="B875" s="781">
        <f>IFERROR(__xludf.DUMMYFUNCTION("""COMPUTED_VALUE"""),1258418.0)</f>
        <v>1258418</v>
      </c>
      <c r="C875" s="781" t="str">
        <f>IFERROR(__xludf.DUMMYFUNCTION("""COMPUTED_VALUE"""),", GA, 30294")</f>
        <v>, GA, 30294</v>
      </c>
      <c r="D875" s="781" t="str">
        <f>IFERROR(__xludf.DUMMYFUNCTION("""COMPUTED_VALUE"""),"Jersey City, NJ, 07307")</f>
        <v>Jersey City, NJ, 07307</v>
      </c>
      <c r="E875" s="782">
        <f>IFERROR(__xludf.DUMMYFUNCTION("""COMPUTED_VALUE"""),400.0)</f>
        <v>400</v>
      </c>
      <c r="F875" s="783">
        <v>0.88</v>
      </c>
      <c r="G875" s="782">
        <f t="shared" si="36"/>
        <v>352</v>
      </c>
      <c r="H875" s="283"/>
      <c r="I875" s="780">
        <f>IFERROR(__xludf.DUMMYFUNCTION("""COMPUTED_VALUE"""),45986.0)</f>
        <v>45986</v>
      </c>
      <c r="J875" s="781">
        <f>IFERROR(__xludf.DUMMYFUNCTION("""COMPUTED_VALUE"""),1258418.0)</f>
        <v>1258418</v>
      </c>
      <c r="K875" s="781" t="str">
        <f>IFERROR(__xludf.DUMMYFUNCTION("""COMPUTED_VALUE"""),", GA, 30294")</f>
        <v>, GA, 30294</v>
      </c>
      <c r="L875" s="781" t="str">
        <f>IFERROR(__xludf.DUMMYFUNCTION("""COMPUTED_VALUE"""),"Jersey City, NJ, 07307")</f>
        <v>Jersey City, NJ, 07307</v>
      </c>
      <c r="M875" s="896">
        <f>IFERROR(__xludf.DUMMYFUNCTION("""COMPUTED_VALUE"""),47.0)</f>
        <v>47</v>
      </c>
      <c r="N875" s="781">
        <v>0.65</v>
      </c>
      <c r="O875" s="782">
        <f t="shared" si="37"/>
        <v>30.55</v>
      </c>
    </row>
    <row r="876">
      <c r="A876" s="883">
        <f>IFERROR(__xludf.DUMMYFUNCTION("""COMPUTED_VALUE"""),45986.0)</f>
        <v>45986</v>
      </c>
      <c r="B876" s="786">
        <f>IFERROR(__xludf.DUMMYFUNCTION("""COMPUTED_VALUE"""),1540219.0)</f>
        <v>1540219</v>
      </c>
      <c r="C876" s="786" t="str">
        <f>IFERROR(__xludf.DUMMYFUNCTION("""COMPUTED_VALUE"""),"Clarkston, GA, 30021")</f>
        <v>Clarkston, GA, 30021</v>
      </c>
      <c r="D876" s="786" t="str">
        <f>IFERROR(__xludf.DUMMYFUNCTION("""COMPUTED_VALUE"""),"Houston, TX, 77060")</f>
        <v>Houston, TX, 77060</v>
      </c>
      <c r="E876" s="884">
        <f>IFERROR(__xludf.DUMMYFUNCTION("""COMPUTED_VALUE"""),1360.0)</f>
        <v>1360</v>
      </c>
      <c r="F876" s="783">
        <v>0.88</v>
      </c>
      <c r="G876" s="782">
        <f t="shared" si="36"/>
        <v>1196.8</v>
      </c>
      <c r="H876" s="283"/>
      <c r="I876" s="780">
        <f>IFERROR(__xludf.DUMMYFUNCTION("""COMPUTED_VALUE"""),45986.0)</f>
        <v>45986</v>
      </c>
      <c r="J876" s="781">
        <f>IFERROR(__xludf.DUMMYFUNCTION("""COMPUTED_VALUE"""),1540219.0)</f>
        <v>1540219</v>
      </c>
      <c r="K876" s="781" t="str">
        <f>IFERROR(__xludf.DUMMYFUNCTION("""COMPUTED_VALUE"""),"Clarkston, GA, 30021")</f>
        <v>Clarkston, GA, 30021</v>
      </c>
      <c r="L876" s="781" t="str">
        <f>IFERROR(__xludf.DUMMYFUNCTION("""COMPUTED_VALUE"""),"Houston, TX, 77060")</f>
        <v>Houston, TX, 77060</v>
      </c>
      <c r="M876" s="880">
        <f>IFERROR(__xludf.DUMMYFUNCTION("""COMPUTED_VALUE"""),809.0)</f>
        <v>809</v>
      </c>
      <c r="N876" s="781">
        <v>0.65</v>
      </c>
      <c r="O876" s="782">
        <f t="shared" si="37"/>
        <v>525.85</v>
      </c>
    </row>
    <row r="877">
      <c r="A877" s="785"/>
      <c r="B877" s="786"/>
      <c r="C877" s="786"/>
      <c r="D877" s="786"/>
      <c r="E877" s="785"/>
      <c r="F877" s="787"/>
      <c r="G877" s="788"/>
      <c r="H877" s="283"/>
      <c r="I877" s="785"/>
      <c r="J877" s="786"/>
      <c r="K877" s="786"/>
      <c r="L877" s="786"/>
      <c r="M877" s="785"/>
      <c r="N877" s="787"/>
      <c r="O877" s="789"/>
    </row>
    <row r="878">
      <c r="A878" s="785"/>
      <c r="B878" s="786"/>
      <c r="C878" s="786"/>
      <c r="D878" s="786"/>
      <c r="E878" s="785"/>
      <c r="F878" s="787"/>
      <c r="G878" s="788"/>
      <c r="H878" s="283"/>
      <c r="I878" s="785"/>
      <c r="J878" s="786"/>
      <c r="K878" s="786"/>
      <c r="L878" s="786"/>
      <c r="M878" s="785"/>
      <c r="N878" s="787"/>
      <c r="O878" s="789"/>
    </row>
    <row r="879">
      <c r="A879" s="785"/>
      <c r="B879" s="786"/>
      <c r="C879" s="786"/>
      <c r="D879" s="786"/>
      <c r="E879" s="785"/>
      <c r="F879" s="787"/>
      <c r="G879" s="788"/>
      <c r="H879" s="283"/>
      <c r="I879" s="785"/>
      <c r="J879" s="786"/>
      <c r="K879" s="786"/>
      <c r="L879" s="786"/>
      <c r="M879" s="785"/>
      <c r="N879" s="787"/>
      <c r="O879" s="789"/>
    </row>
    <row r="880">
      <c r="A880" s="790" t="s">
        <v>711</v>
      </c>
      <c r="B880" s="791"/>
      <c r="C880" s="791"/>
      <c r="D880" s="792"/>
      <c r="E880" s="793">
        <f>SUM(E874:E879)</f>
        <v>2810</v>
      </c>
      <c r="F880" s="794"/>
      <c r="G880" s="793">
        <f>SUM(G874:G879)</f>
        <v>2472.8</v>
      </c>
      <c r="H880" s="283"/>
      <c r="I880" s="790" t="s">
        <v>711</v>
      </c>
      <c r="J880" s="791"/>
      <c r="K880" s="791"/>
      <c r="L880" s="792"/>
      <c r="M880" s="877">
        <f>SUM(M874:M879)</f>
        <v>1515</v>
      </c>
      <c r="N880" s="794"/>
      <c r="O880" s="793">
        <f>SUM(O874:O879)</f>
        <v>984.75</v>
      </c>
    </row>
    <row r="881">
      <c r="A881" s="796"/>
      <c r="D881" s="798"/>
      <c r="G881" s="799"/>
      <c r="H881" s="283"/>
      <c r="I881" s="796"/>
      <c r="L881" s="798"/>
      <c r="O881" s="799"/>
    </row>
    <row r="882">
      <c r="A882" s="800" t="s">
        <v>712</v>
      </c>
      <c r="B882" s="801"/>
      <c r="C882" s="802"/>
      <c r="G882" s="799"/>
      <c r="H882" s="283"/>
      <c r="I882" s="800" t="s">
        <v>712</v>
      </c>
      <c r="J882" s="803"/>
      <c r="K882" s="804"/>
      <c r="O882" s="799"/>
    </row>
    <row r="883">
      <c r="A883" s="902" t="s">
        <v>1194</v>
      </c>
      <c r="B883" s="806"/>
      <c r="C883" s="807">
        <v>250.0</v>
      </c>
      <c r="G883" s="799"/>
      <c r="H883" s="283"/>
      <c r="I883" s="902" t="s">
        <v>1194</v>
      </c>
      <c r="J883" s="808"/>
      <c r="K883" s="903">
        <v>250.0</v>
      </c>
      <c r="O883" s="799"/>
    </row>
    <row r="884">
      <c r="A884" s="868"/>
      <c r="B884" s="774"/>
      <c r="C884" s="816"/>
      <c r="G884" s="799"/>
      <c r="H884" s="283"/>
      <c r="I884" s="868"/>
      <c r="J884" s="774"/>
      <c r="K884" s="816"/>
      <c r="O884" s="799"/>
    </row>
    <row r="885">
      <c r="A885" s="815"/>
      <c r="B885" s="792"/>
      <c r="C885" s="816"/>
      <c r="G885" s="799"/>
      <c r="H885" s="283"/>
      <c r="I885" s="815"/>
      <c r="J885" s="792"/>
      <c r="K885" s="816"/>
      <c r="O885" s="799"/>
    </row>
    <row r="886">
      <c r="A886" s="817"/>
      <c r="B886" s="774"/>
      <c r="C886" s="818"/>
      <c r="G886" s="799"/>
      <c r="H886" s="283"/>
      <c r="I886" s="817"/>
      <c r="J886" s="774"/>
      <c r="K886" s="818"/>
      <c r="O886" s="799"/>
    </row>
    <row r="887">
      <c r="A887" s="817"/>
      <c r="B887" s="792"/>
      <c r="C887" s="818"/>
      <c r="G887" s="799"/>
      <c r="H887" s="283"/>
      <c r="I887" s="817"/>
      <c r="J887" s="792"/>
      <c r="K887" s="818"/>
      <c r="O887" s="799"/>
    </row>
    <row r="888">
      <c r="A888" s="821" t="s">
        <v>714</v>
      </c>
      <c r="B888" s="822"/>
      <c r="C888" s="823">
        <f>SUM(C883:C887)</f>
        <v>250</v>
      </c>
      <c r="G888" s="799"/>
      <c r="H888" s="283"/>
      <c r="I888" s="821" t="s">
        <v>714</v>
      </c>
      <c r="J888" s="826"/>
      <c r="K888" s="827">
        <f>SUM(K883:K887)</f>
        <v>250</v>
      </c>
      <c r="O888" s="799"/>
    </row>
    <row r="889">
      <c r="A889" s="828"/>
      <c r="C889" s="829"/>
      <c r="G889" s="799"/>
      <c r="H889" s="283"/>
      <c r="I889" s="828"/>
      <c r="K889" s="829"/>
      <c r="O889" s="799"/>
    </row>
    <row r="890">
      <c r="A890" s="830" t="s">
        <v>715</v>
      </c>
      <c r="B890" s="831"/>
      <c r="C890" s="832"/>
      <c r="G890" s="799"/>
      <c r="H890" s="283"/>
      <c r="I890" s="833" t="s">
        <v>715</v>
      </c>
      <c r="J890" s="834"/>
      <c r="K890" s="835"/>
      <c r="O890" s="799"/>
      <c r="Q890" s="897" t="s">
        <v>1207</v>
      </c>
    </row>
    <row r="891">
      <c r="A891" s="836" t="s">
        <v>716</v>
      </c>
      <c r="B891" s="837"/>
      <c r="C891" s="838">
        <v>150.0</v>
      </c>
      <c r="G891" s="799"/>
      <c r="H891" s="283"/>
      <c r="I891" s="839"/>
      <c r="J891" s="840"/>
      <c r="K891" s="841"/>
      <c r="O891" s="799"/>
    </row>
    <row r="892">
      <c r="A892" s="842" t="s">
        <v>717</v>
      </c>
      <c r="B892" s="843"/>
      <c r="C892" s="844">
        <v>400.0</v>
      </c>
      <c r="D892" s="891"/>
      <c r="E892" s="845" t="s">
        <v>1182</v>
      </c>
      <c r="G892" s="846">
        <f>G880+C888-C897</f>
        <v>-1104.49</v>
      </c>
      <c r="H892" s="283"/>
      <c r="I892" s="847"/>
      <c r="J892" s="848"/>
      <c r="K892" s="849"/>
      <c r="L892" s="248"/>
      <c r="M892" s="845" t="s">
        <v>1183</v>
      </c>
      <c r="O892" s="846">
        <f>O880+K888-K897</f>
        <v>1234.75</v>
      </c>
    </row>
    <row r="893">
      <c r="A893" s="836" t="s">
        <v>718</v>
      </c>
      <c r="B893" s="837"/>
      <c r="C893" s="838"/>
      <c r="D893" s="892"/>
      <c r="G893" s="799"/>
      <c r="H893" s="283"/>
      <c r="I893" s="847"/>
      <c r="J893" s="848"/>
      <c r="K893" s="849"/>
      <c r="O893" s="799"/>
    </row>
    <row r="894">
      <c r="A894" s="842" t="s">
        <v>656</v>
      </c>
      <c r="B894" s="843"/>
      <c r="C894" s="844">
        <f>IFERROR(__xludf.DUMMYFUNCTION("FILTER($C$4:$C$30,$B$4:$B$30=E872)"),926.26)</f>
        <v>926.26</v>
      </c>
      <c r="D894" s="891"/>
      <c r="G894" s="799"/>
      <c r="H894" s="283"/>
      <c r="I894" s="847"/>
      <c r="J894" s="848"/>
      <c r="K894" s="849"/>
      <c r="O894" s="799"/>
    </row>
    <row r="895">
      <c r="A895" s="850" t="s">
        <v>1184</v>
      </c>
      <c r="B895" s="851"/>
      <c r="C895" s="852">
        <v>744.62</v>
      </c>
      <c r="D895" s="917" t="s">
        <v>1220</v>
      </c>
      <c r="E895" s="248"/>
      <c r="G895" s="799"/>
      <c r="H895" s="283"/>
      <c r="I895" s="847"/>
      <c r="J895" s="848"/>
      <c r="K895" s="849"/>
      <c r="M895" s="248"/>
      <c r="O895" s="799"/>
    </row>
    <row r="896">
      <c r="A896" s="904" t="s">
        <v>1207</v>
      </c>
      <c r="B896" s="905"/>
      <c r="C896" s="906">
        <v>1606.41</v>
      </c>
      <c r="D896" s="927"/>
      <c r="G896" s="799"/>
      <c r="H896" s="283"/>
      <c r="I896" s="847"/>
      <c r="J896" s="848"/>
      <c r="K896" s="849"/>
      <c r="O896" s="799"/>
    </row>
    <row r="897">
      <c r="A897" s="853" t="s">
        <v>721</v>
      </c>
      <c r="B897" s="854"/>
      <c r="C897" s="855">
        <f>SUM(C891:C896)</f>
        <v>3827.29</v>
      </c>
      <c r="D897" s="248"/>
      <c r="G897" s="799"/>
      <c r="H897" s="283"/>
      <c r="I897" s="853" t="s">
        <v>721</v>
      </c>
      <c r="J897" s="854"/>
      <c r="K897" s="855"/>
      <c r="O897" s="799"/>
    </row>
    <row r="898">
      <c r="A898" s="856"/>
      <c r="B898" s="857"/>
      <c r="C898" s="857"/>
      <c r="D898" s="894"/>
      <c r="E898" s="857"/>
      <c r="F898" s="857"/>
      <c r="G898" s="808"/>
      <c r="H898" s="283"/>
      <c r="I898" s="856"/>
      <c r="J898" s="857"/>
      <c r="K898" s="857"/>
      <c r="L898" s="857"/>
      <c r="M898" s="857"/>
      <c r="N898" s="857"/>
      <c r="O898" s="808"/>
    </row>
    <row r="899">
      <c r="A899" s="199"/>
      <c r="B899" s="199"/>
      <c r="C899" s="199"/>
      <c r="D899" s="248"/>
      <c r="E899" s="248"/>
      <c r="F899" s="248"/>
      <c r="G899" s="248"/>
      <c r="H899" s="283"/>
      <c r="I899" s="199"/>
      <c r="J899" s="199"/>
      <c r="K899" s="199"/>
      <c r="L899" s="248"/>
      <c r="M899" s="248"/>
      <c r="N899" s="248"/>
      <c r="O899" s="248"/>
    </row>
    <row r="900">
      <c r="A900" s="199"/>
      <c r="B900" s="199"/>
      <c r="C900" s="199"/>
      <c r="D900" s="248"/>
      <c r="E900" s="248"/>
      <c r="F900" s="248"/>
      <c r="G900" s="248"/>
      <c r="H900" s="283"/>
      <c r="I900" s="199"/>
      <c r="J900" s="199"/>
      <c r="K900" s="199"/>
      <c r="L900" s="248"/>
      <c r="M900" s="248"/>
      <c r="N900" s="248"/>
      <c r="O900" s="248"/>
    </row>
    <row r="901">
      <c r="A901" s="769"/>
      <c r="B901" s="770"/>
      <c r="C901" s="770"/>
      <c r="D901" s="771" t="s">
        <v>700</v>
      </c>
      <c r="E901" s="772" t="str">
        <f>E126</f>
        <v>11.24.2025-11.30.2025</v>
      </c>
      <c r="F901" s="773"/>
      <c r="G901" s="774"/>
      <c r="H901" s="305">
        <v>26.0</v>
      </c>
      <c r="I901" s="769"/>
      <c r="J901" s="770"/>
      <c r="K901" s="770"/>
      <c r="L901" s="771" t="s">
        <v>700</v>
      </c>
      <c r="M901" s="772" t="str">
        <f>E126</f>
        <v>11.24.2025-11.30.2025</v>
      </c>
      <c r="N901" s="773"/>
      <c r="O901" s="774"/>
    </row>
    <row r="902">
      <c r="A902" s="775"/>
      <c r="D902" s="771" t="s">
        <v>702</v>
      </c>
      <c r="E902" s="772" t="str">
        <f t="array" ref="E902">XLOOKUP(E903,$Q$973:$Q$1005,$R$973:$R$1005)</f>
        <v>Nationwide LLC</v>
      </c>
      <c r="F902" s="773"/>
      <c r="G902" s="774"/>
      <c r="H902" s="283"/>
      <c r="I902" s="775"/>
      <c r="L902" s="771" t="s">
        <v>351</v>
      </c>
      <c r="M902" s="772" t="str">
        <f t="array" ref="M902">XLOOKUP(M903,$L$1:$L$122,$K$1:$K$122)</f>
        <v>#N/A</v>
      </c>
      <c r="N902" s="773"/>
      <c r="O902" s="774"/>
    </row>
    <row r="903">
      <c r="A903" s="775"/>
      <c r="D903" s="771" t="s">
        <v>703</v>
      </c>
      <c r="E903" s="772">
        <v>9617.0</v>
      </c>
      <c r="F903" s="773"/>
      <c r="G903" s="774"/>
      <c r="H903" s="283"/>
      <c r="I903" s="775"/>
      <c r="L903" s="771" t="s">
        <v>703</v>
      </c>
      <c r="M903" s="772">
        <f>E903</f>
        <v>9617</v>
      </c>
      <c r="N903" s="773"/>
      <c r="O903" s="774"/>
    </row>
    <row r="904">
      <c r="A904" s="779" t="s">
        <v>704</v>
      </c>
      <c r="B904" s="779" t="s">
        <v>5</v>
      </c>
      <c r="C904" s="779" t="s">
        <v>6</v>
      </c>
      <c r="D904" s="779" t="s">
        <v>7</v>
      </c>
      <c r="E904" s="779" t="s">
        <v>8</v>
      </c>
      <c r="F904" s="779" t="s">
        <v>706</v>
      </c>
      <c r="G904" s="779" t="s">
        <v>707</v>
      </c>
      <c r="H904" s="34"/>
      <c r="I904" s="779" t="s">
        <v>704</v>
      </c>
      <c r="J904" s="779" t="s">
        <v>5</v>
      </c>
      <c r="K904" s="779" t="s">
        <v>6</v>
      </c>
      <c r="L904" s="779" t="s">
        <v>7</v>
      </c>
      <c r="M904" s="779" t="s">
        <v>1178</v>
      </c>
      <c r="N904" s="779" t="s">
        <v>839</v>
      </c>
      <c r="O904" s="779" t="s">
        <v>707</v>
      </c>
    </row>
    <row r="905">
      <c r="A905" s="780" t="str">
        <f>IFERROR(__xludf.DUMMYFUNCTION("FILTER($D$3:$H$122,$L$3:$L$122=E903)"),"#N/A")</f>
        <v>#N/A</v>
      </c>
      <c r="B905" s="781"/>
      <c r="C905" s="781"/>
      <c r="D905" s="781"/>
      <c r="E905" s="782"/>
      <c r="F905" s="783">
        <v>0.88</v>
      </c>
      <c r="G905" s="782">
        <f>E905*F905</f>
        <v>0</v>
      </c>
      <c r="H905" s="283"/>
      <c r="I905" s="780" t="str">
        <f>IFERROR(__xludf.DUMMYFUNCTION("FILTER($D$3:$G$122,$L$3:$L$122=M903)"),"#N/A")</f>
        <v>#N/A</v>
      </c>
      <c r="J905" s="781"/>
      <c r="K905" s="781"/>
      <c r="L905" s="781"/>
      <c r="M905" s="880" t="str">
        <f>IFERROR(__xludf.DUMMYFUNCTION("FILTER($I$3:$I$122,$L$3:$L$122=M903)"),"#N/A")</f>
        <v>#N/A</v>
      </c>
      <c r="N905" s="781">
        <v>0.65</v>
      </c>
      <c r="O905" s="782" t="str">
        <f>M905*N905</f>
        <v>#N/A</v>
      </c>
    </row>
    <row r="906">
      <c r="A906" s="780"/>
      <c r="B906" s="781"/>
      <c r="C906" s="781"/>
      <c r="D906" s="781"/>
      <c r="E906" s="782"/>
      <c r="F906" s="783"/>
      <c r="G906" s="782"/>
      <c r="H906" s="283"/>
      <c r="I906" s="780"/>
      <c r="J906" s="781"/>
      <c r="K906" s="781"/>
      <c r="L906" s="781"/>
      <c r="M906" s="880"/>
      <c r="N906" s="781"/>
      <c r="O906" s="782"/>
    </row>
    <row r="907">
      <c r="A907" s="785"/>
      <c r="B907" s="786"/>
      <c r="C907" s="786"/>
      <c r="D907" s="786"/>
      <c r="E907" s="785"/>
      <c r="F907" s="787"/>
      <c r="G907" s="788"/>
      <c r="H907" s="283"/>
      <c r="I907" s="780"/>
      <c r="J907" s="781"/>
      <c r="K907" s="781"/>
      <c r="L907" s="781"/>
      <c r="M907" s="880"/>
      <c r="N907" s="781"/>
      <c r="O907" s="782"/>
    </row>
    <row r="908">
      <c r="A908" s="785"/>
      <c r="B908" s="786"/>
      <c r="C908" s="786"/>
      <c r="D908" s="786"/>
      <c r="E908" s="785"/>
      <c r="F908" s="787"/>
      <c r="G908" s="788"/>
      <c r="H908" s="283"/>
      <c r="I908" s="785"/>
      <c r="J908" s="786"/>
      <c r="K908" s="786"/>
      <c r="L908" s="786"/>
      <c r="M908" s="785"/>
      <c r="N908" s="787"/>
      <c r="O908" s="789"/>
    </row>
    <row r="909">
      <c r="A909" s="785"/>
      <c r="B909" s="786"/>
      <c r="C909" s="786"/>
      <c r="D909" s="786"/>
      <c r="E909" s="785"/>
      <c r="F909" s="787"/>
      <c r="G909" s="788"/>
      <c r="H909" s="283"/>
      <c r="I909" s="785"/>
      <c r="J909" s="786"/>
      <c r="K909" s="786"/>
      <c r="L909" s="786"/>
      <c r="M909" s="785"/>
      <c r="N909" s="787"/>
      <c r="O909" s="789"/>
    </row>
    <row r="910">
      <c r="A910" s="785"/>
      <c r="B910" s="786"/>
      <c r="C910" s="786"/>
      <c r="D910" s="786"/>
      <c r="E910" s="785"/>
      <c r="F910" s="787"/>
      <c r="G910" s="788"/>
      <c r="H910" s="283"/>
      <c r="I910" s="785"/>
      <c r="J910" s="786"/>
      <c r="K910" s="786"/>
      <c r="L910" s="786"/>
      <c r="M910" s="785"/>
      <c r="N910" s="787"/>
      <c r="O910" s="789"/>
    </row>
    <row r="911">
      <c r="A911" s="790" t="s">
        <v>711</v>
      </c>
      <c r="B911" s="791"/>
      <c r="C911" s="791"/>
      <c r="D911" s="792"/>
      <c r="E911" s="793">
        <f>SUM(E905:E910)</f>
        <v>0</v>
      </c>
      <c r="F911" s="794"/>
      <c r="G911" s="793">
        <f>SUM(G905:G910)</f>
        <v>0</v>
      </c>
      <c r="H911" s="283"/>
      <c r="I911" s="790" t="s">
        <v>711</v>
      </c>
      <c r="J911" s="791"/>
      <c r="K911" s="791"/>
      <c r="L911" s="792"/>
      <c r="M911" s="933" t="str">
        <f>SUM(M905:M910)</f>
        <v>#N/A</v>
      </c>
      <c r="N911" s="794"/>
      <c r="O911" s="793" t="str">
        <f>SUM(O905:O910)</f>
        <v>#N/A</v>
      </c>
    </row>
    <row r="912">
      <c r="A912" s="796"/>
      <c r="D912" s="798"/>
      <c r="G912" s="799"/>
      <c r="H912" s="283"/>
      <c r="I912" s="796"/>
      <c r="L912" s="798"/>
      <c r="O912" s="799"/>
    </row>
    <row r="913">
      <c r="A913" s="800" t="s">
        <v>712</v>
      </c>
      <c r="B913" s="801"/>
      <c r="C913" s="802"/>
      <c r="G913" s="799"/>
      <c r="H913" s="283"/>
      <c r="I913" s="800" t="s">
        <v>712</v>
      </c>
      <c r="J913" s="803"/>
      <c r="K913" s="804"/>
      <c r="O913" s="799"/>
    </row>
    <row r="914">
      <c r="A914" s="867"/>
      <c r="B914" s="808"/>
      <c r="C914" s="809"/>
      <c r="G914" s="799"/>
      <c r="H914" s="283"/>
      <c r="I914" s="867"/>
      <c r="J914" s="808"/>
      <c r="K914" s="809"/>
      <c r="O914" s="799"/>
    </row>
    <row r="915">
      <c r="A915" s="868"/>
      <c r="B915" s="774"/>
      <c r="C915" s="816"/>
      <c r="G915" s="799"/>
      <c r="H915" s="283"/>
      <c r="I915" s="868"/>
      <c r="J915" s="774"/>
      <c r="K915" s="816"/>
      <c r="O915" s="799"/>
    </row>
    <row r="916">
      <c r="A916" s="815"/>
      <c r="B916" s="792"/>
      <c r="C916" s="816"/>
      <c r="G916" s="799"/>
      <c r="H916" s="283"/>
      <c r="I916" s="815"/>
      <c r="J916" s="792"/>
      <c r="K916" s="816"/>
      <c r="O916" s="799"/>
    </row>
    <row r="917">
      <c r="A917" s="817"/>
      <c r="B917" s="774"/>
      <c r="C917" s="818"/>
      <c r="G917" s="799"/>
      <c r="H917" s="283"/>
      <c r="I917" s="817"/>
      <c r="J917" s="774"/>
      <c r="K917" s="818"/>
      <c r="O917" s="799"/>
    </row>
    <row r="918">
      <c r="A918" s="817"/>
      <c r="B918" s="792"/>
      <c r="C918" s="818"/>
      <c r="G918" s="799"/>
      <c r="H918" s="283"/>
      <c r="I918" s="817"/>
      <c r="J918" s="792"/>
      <c r="K918" s="818"/>
      <c r="O918" s="799"/>
    </row>
    <row r="919">
      <c r="A919" s="821" t="s">
        <v>714</v>
      </c>
      <c r="B919" s="822"/>
      <c r="C919" s="823">
        <f>SUM(C914:C918)</f>
        <v>0</v>
      </c>
      <c r="G919" s="799"/>
      <c r="H919" s="283"/>
      <c r="I919" s="821" t="s">
        <v>714</v>
      </c>
      <c r="J919" s="826"/>
      <c r="K919" s="827"/>
      <c r="O919" s="799"/>
    </row>
    <row r="920">
      <c r="A920" s="828"/>
      <c r="C920" s="829"/>
      <c r="G920" s="799"/>
      <c r="H920" s="283"/>
      <c r="I920" s="828"/>
      <c r="K920" s="829"/>
      <c r="O920" s="799"/>
    </row>
    <row r="921">
      <c r="A921" s="830" t="s">
        <v>715</v>
      </c>
      <c r="B921" s="831"/>
      <c r="C921" s="832"/>
      <c r="G921" s="799"/>
      <c r="H921" s="283"/>
      <c r="I921" s="833" t="s">
        <v>715</v>
      </c>
      <c r="J921" s="834"/>
      <c r="K921" s="835"/>
      <c r="O921" s="799"/>
    </row>
    <row r="922">
      <c r="A922" s="836" t="s">
        <v>716</v>
      </c>
      <c r="B922" s="837"/>
      <c r="C922" s="838">
        <v>150.0</v>
      </c>
      <c r="G922" s="799"/>
      <c r="H922" s="283"/>
      <c r="I922" s="839"/>
      <c r="J922" s="840"/>
      <c r="K922" s="841"/>
      <c r="O922" s="799"/>
    </row>
    <row r="923">
      <c r="A923" s="842" t="s">
        <v>717</v>
      </c>
      <c r="B923" s="843"/>
      <c r="C923" s="844">
        <v>400.0</v>
      </c>
      <c r="D923" s="248"/>
      <c r="E923" s="845" t="s">
        <v>1182</v>
      </c>
      <c r="G923" s="846">
        <f>G911+C919-C928</f>
        <v>-1661.29</v>
      </c>
      <c r="H923" s="283"/>
      <c r="I923" s="847"/>
      <c r="J923" s="848"/>
      <c r="K923" s="849"/>
      <c r="L923" s="248"/>
      <c r="M923" s="845" t="s">
        <v>1183</v>
      </c>
      <c r="O923" s="846" t="str">
        <f>O911+K919-K928</f>
        <v>#N/A</v>
      </c>
    </row>
    <row r="924">
      <c r="A924" s="836" t="s">
        <v>718</v>
      </c>
      <c r="B924" s="837"/>
      <c r="C924" s="838">
        <v>200.0</v>
      </c>
      <c r="G924" s="799"/>
      <c r="H924" s="283"/>
      <c r="I924" s="847"/>
      <c r="J924" s="848"/>
      <c r="K924" s="849"/>
      <c r="O924" s="799"/>
    </row>
    <row r="925">
      <c r="A925" s="842" t="s">
        <v>656</v>
      </c>
      <c r="B925" s="843"/>
      <c r="C925" s="844">
        <f>IFERROR(__xludf.DUMMYFUNCTION("FILTER($C$4:$C$30,$B$4:$B$30=E903)"),911.29)</f>
        <v>911.29</v>
      </c>
      <c r="G925" s="799"/>
      <c r="H925" s="283"/>
      <c r="I925" s="847"/>
      <c r="J925" s="848"/>
      <c r="K925" s="849"/>
      <c r="O925" s="799"/>
    </row>
    <row r="926">
      <c r="A926" s="850" t="s">
        <v>1184</v>
      </c>
      <c r="B926" s="851"/>
      <c r="C926" s="852"/>
      <c r="E926" s="248"/>
      <c r="G926" s="799"/>
      <c r="H926" s="283"/>
      <c r="I926" s="847"/>
      <c r="J926" s="848"/>
      <c r="K926" s="849"/>
      <c r="M926" s="248"/>
      <c r="O926" s="799"/>
    </row>
    <row r="927">
      <c r="A927" s="847"/>
      <c r="B927" s="848"/>
      <c r="C927" s="849"/>
      <c r="G927" s="799"/>
      <c r="H927" s="283"/>
      <c r="I927" s="847"/>
      <c r="J927" s="848"/>
      <c r="K927" s="849"/>
      <c r="O927" s="799"/>
    </row>
    <row r="928">
      <c r="A928" s="853" t="s">
        <v>721</v>
      </c>
      <c r="B928" s="854"/>
      <c r="C928" s="855">
        <f>SUM(C922:C927)</f>
        <v>1661.29</v>
      </c>
      <c r="G928" s="799"/>
      <c r="H928" s="283"/>
      <c r="I928" s="853" t="s">
        <v>721</v>
      </c>
      <c r="J928" s="854"/>
      <c r="K928" s="855"/>
      <c r="O928" s="799"/>
    </row>
    <row r="929">
      <c r="A929" s="856"/>
      <c r="B929" s="857"/>
      <c r="C929" s="857"/>
      <c r="D929" s="857"/>
      <c r="E929" s="857"/>
      <c r="F929" s="857"/>
      <c r="G929" s="808"/>
      <c r="H929" s="283"/>
      <c r="I929" s="856"/>
      <c r="J929" s="857"/>
      <c r="K929" s="857"/>
      <c r="L929" s="857"/>
      <c r="M929" s="857"/>
      <c r="N929" s="857"/>
      <c r="O929" s="808"/>
    </row>
    <row r="930">
      <c r="A930" s="199"/>
      <c r="B930" s="199"/>
      <c r="C930" s="199"/>
      <c r="D930" s="248"/>
      <c r="E930" s="248"/>
      <c r="F930" s="248"/>
      <c r="G930" s="248"/>
      <c r="H930" s="283"/>
      <c r="I930" s="199"/>
      <c r="J930" s="199"/>
      <c r="K930" s="199"/>
      <c r="L930" s="248"/>
      <c r="M930" s="248"/>
      <c r="N930" s="248"/>
      <c r="O930" s="248"/>
    </row>
    <row r="931">
      <c r="A931" s="199"/>
      <c r="B931" s="199"/>
      <c r="C931" s="199"/>
      <c r="D931" s="248"/>
      <c r="E931" s="248"/>
      <c r="F931" s="248"/>
      <c r="G931" s="248"/>
      <c r="H931" s="283"/>
      <c r="I931" s="199"/>
      <c r="J931" s="199"/>
      <c r="K931" s="199"/>
      <c r="L931" s="248"/>
      <c r="M931" s="248"/>
      <c r="N931" s="248"/>
      <c r="O931" s="248"/>
    </row>
    <row r="932">
      <c r="A932" s="769"/>
      <c r="B932" s="770"/>
      <c r="C932" s="770"/>
      <c r="D932" s="771" t="s">
        <v>700</v>
      </c>
      <c r="E932" s="772" t="str">
        <f>E126</f>
        <v>11.24.2025-11.30.2025</v>
      </c>
      <c r="F932" s="773"/>
      <c r="G932" s="774"/>
      <c r="H932" s="305">
        <v>27.0</v>
      </c>
      <c r="I932" s="769"/>
      <c r="J932" s="770"/>
      <c r="K932" s="770"/>
      <c r="L932" s="771" t="s">
        <v>700</v>
      </c>
      <c r="M932" s="772" t="str">
        <f>E126</f>
        <v>11.24.2025-11.30.2025</v>
      </c>
      <c r="N932" s="773"/>
      <c r="O932" s="774"/>
    </row>
    <row r="933">
      <c r="A933" s="775"/>
      <c r="D933" s="771" t="s">
        <v>702</v>
      </c>
      <c r="E933" s="772" t="str">
        <f t="array" ref="E933">XLOOKUP(E934,$Q$973:$Q$1005,$R$973:$R$1005)</f>
        <v>US Ela Logistic LLC</v>
      </c>
      <c r="F933" s="773"/>
      <c r="G933" s="774"/>
      <c r="H933" s="283"/>
      <c r="I933" s="775"/>
      <c r="L933" s="771" t="s">
        <v>351</v>
      </c>
      <c r="M933" s="772" t="str">
        <f t="array" ref="M933">XLOOKUP(M934,$L$1:$L$122,$K$1:$K$122)</f>
        <v>#N/A</v>
      </c>
      <c r="N933" s="773"/>
      <c r="O933" s="774"/>
    </row>
    <row r="934">
      <c r="A934" s="775"/>
      <c r="D934" s="771" t="s">
        <v>703</v>
      </c>
      <c r="E934" s="772">
        <v>3403.0</v>
      </c>
      <c r="F934" s="773"/>
      <c r="G934" s="774"/>
      <c r="H934" s="283"/>
      <c r="I934" s="775"/>
      <c r="L934" s="771" t="s">
        <v>703</v>
      </c>
      <c r="M934" s="772">
        <f>E934</f>
        <v>3403</v>
      </c>
      <c r="N934" s="773"/>
      <c r="O934" s="774"/>
    </row>
    <row r="935">
      <c r="A935" s="779" t="s">
        <v>704</v>
      </c>
      <c r="B935" s="779" t="s">
        <v>5</v>
      </c>
      <c r="C935" s="779" t="s">
        <v>6</v>
      </c>
      <c r="D935" s="779" t="s">
        <v>7</v>
      </c>
      <c r="E935" s="779" t="s">
        <v>8</v>
      </c>
      <c r="F935" s="779" t="s">
        <v>706</v>
      </c>
      <c r="G935" s="779" t="s">
        <v>707</v>
      </c>
      <c r="H935" s="34"/>
      <c r="I935" s="779" t="s">
        <v>704</v>
      </c>
      <c r="J935" s="779" t="s">
        <v>5</v>
      </c>
      <c r="K935" s="779" t="s">
        <v>6</v>
      </c>
      <c r="L935" s="779" t="s">
        <v>7</v>
      </c>
      <c r="M935" s="779" t="s">
        <v>1178</v>
      </c>
      <c r="N935" s="779" t="s">
        <v>839</v>
      </c>
      <c r="O935" s="779" t="s">
        <v>707</v>
      </c>
    </row>
    <row r="936">
      <c r="A936" s="780" t="str">
        <f>IFERROR(__xludf.DUMMYFUNCTION("FILTER($D$3:$H$122,$L$3:$L$122=E934)"),"#N/A")</f>
        <v>#N/A</v>
      </c>
      <c r="B936" s="781"/>
      <c r="C936" s="781"/>
      <c r="D936" s="781"/>
      <c r="E936" s="782"/>
      <c r="F936" s="783">
        <v>0.88</v>
      </c>
      <c r="G936" s="782">
        <f>E936*F936</f>
        <v>0</v>
      </c>
      <c r="H936" s="283"/>
      <c r="I936" s="780" t="str">
        <f>IFERROR(__xludf.DUMMYFUNCTION("FILTER($D$3:$G$122,$L$3:$L$122=M934)"),"#N/A")</f>
        <v>#N/A</v>
      </c>
      <c r="J936" s="781"/>
      <c r="K936" s="781"/>
      <c r="L936" s="781"/>
      <c r="M936" s="880" t="str">
        <f>IFERROR(__xludf.DUMMYFUNCTION("FILTER($I$3:$I$122,$L$3:$L$122=M934)"),"#N/A")</f>
        <v>#N/A</v>
      </c>
      <c r="N936" s="781">
        <v>0.6</v>
      </c>
      <c r="O936" s="782" t="str">
        <f>M936*N936</f>
        <v>#N/A</v>
      </c>
    </row>
    <row r="937">
      <c r="A937" s="780"/>
      <c r="B937" s="781"/>
      <c r="C937" s="781"/>
      <c r="D937" s="781"/>
      <c r="E937" s="782"/>
      <c r="F937" s="783"/>
      <c r="G937" s="782"/>
      <c r="H937" s="283"/>
      <c r="I937" s="780"/>
      <c r="J937" s="781"/>
      <c r="K937" s="781"/>
      <c r="L937" s="781"/>
      <c r="M937" s="880"/>
      <c r="N937" s="781"/>
      <c r="O937" s="782"/>
    </row>
    <row r="938">
      <c r="A938" s="785"/>
      <c r="B938" s="786"/>
      <c r="C938" s="786"/>
      <c r="D938" s="786"/>
      <c r="E938" s="785"/>
      <c r="F938" s="787"/>
      <c r="G938" s="788"/>
      <c r="H938" s="283"/>
      <c r="I938" s="780"/>
      <c r="J938" s="781"/>
      <c r="K938" s="781"/>
      <c r="L938" s="781"/>
      <c r="M938" s="880"/>
      <c r="N938" s="781"/>
      <c r="O938" s="782"/>
    </row>
    <row r="939">
      <c r="A939" s="785"/>
      <c r="B939" s="786"/>
      <c r="C939" s="786"/>
      <c r="D939" s="786"/>
      <c r="E939" s="785"/>
      <c r="F939" s="787"/>
      <c r="G939" s="788"/>
      <c r="H939" s="283"/>
      <c r="I939" s="785"/>
      <c r="J939" s="786"/>
      <c r="K939" s="786"/>
      <c r="L939" s="786"/>
      <c r="M939" s="785"/>
      <c r="N939" s="787"/>
      <c r="O939" s="789"/>
    </row>
    <row r="940">
      <c r="A940" s="785"/>
      <c r="B940" s="786"/>
      <c r="C940" s="786"/>
      <c r="D940" s="786"/>
      <c r="E940" s="785"/>
      <c r="F940" s="787"/>
      <c r="G940" s="788"/>
      <c r="H940" s="283"/>
      <c r="I940" s="785"/>
      <c r="J940" s="786"/>
      <c r="K940" s="786"/>
      <c r="L940" s="786"/>
      <c r="M940" s="785"/>
      <c r="N940" s="787"/>
      <c r="O940" s="789"/>
    </row>
    <row r="941">
      <c r="A941" s="785"/>
      <c r="B941" s="786"/>
      <c r="C941" s="786"/>
      <c r="D941" s="786"/>
      <c r="E941" s="785"/>
      <c r="F941" s="787"/>
      <c r="G941" s="788"/>
      <c r="H941" s="283"/>
      <c r="I941" s="785"/>
      <c r="J941" s="786"/>
      <c r="K941" s="786"/>
      <c r="L941" s="786"/>
      <c r="M941" s="785"/>
      <c r="N941" s="787"/>
      <c r="O941" s="789"/>
    </row>
    <row r="942">
      <c r="A942" s="790" t="s">
        <v>711</v>
      </c>
      <c r="B942" s="791"/>
      <c r="C942" s="791"/>
      <c r="D942" s="792"/>
      <c r="E942" s="793">
        <f>SUM(E936:E941)</f>
        <v>0</v>
      </c>
      <c r="F942" s="794"/>
      <c r="G942" s="793">
        <f>SUM(G936:G941)</f>
        <v>0</v>
      </c>
      <c r="H942" s="283"/>
      <c r="I942" s="790" t="s">
        <v>711</v>
      </c>
      <c r="J942" s="791"/>
      <c r="K942" s="791"/>
      <c r="L942" s="792"/>
      <c r="M942" s="933" t="str">
        <f>SUM(M936:M941)</f>
        <v>#N/A</v>
      </c>
      <c r="N942" s="794"/>
      <c r="O942" s="793" t="str">
        <f>SUM(O936:O941)</f>
        <v>#N/A</v>
      </c>
    </row>
    <row r="943">
      <c r="A943" s="796"/>
      <c r="D943" s="798"/>
      <c r="G943" s="799"/>
      <c r="H943" s="283"/>
      <c r="I943" s="796"/>
      <c r="L943" s="798"/>
      <c r="O943" s="799"/>
    </row>
    <row r="944">
      <c r="A944" s="800" t="s">
        <v>712</v>
      </c>
      <c r="B944" s="801"/>
      <c r="C944" s="802"/>
      <c r="G944" s="799"/>
      <c r="H944" s="283"/>
      <c r="I944" s="800" t="s">
        <v>712</v>
      </c>
      <c r="J944" s="803"/>
      <c r="K944" s="804"/>
      <c r="O944" s="799"/>
    </row>
    <row r="945">
      <c r="A945" s="867"/>
      <c r="B945" s="808"/>
      <c r="C945" s="809"/>
      <c r="G945" s="799"/>
      <c r="H945" s="283"/>
      <c r="I945" s="867"/>
      <c r="J945" s="808"/>
      <c r="K945" s="809"/>
      <c r="O945" s="799"/>
    </row>
    <row r="946">
      <c r="A946" s="868"/>
      <c r="B946" s="774"/>
      <c r="C946" s="816"/>
      <c r="G946" s="799"/>
      <c r="H946" s="283"/>
      <c r="I946" s="868"/>
      <c r="J946" s="774"/>
      <c r="K946" s="816"/>
      <c r="O946" s="799"/>
    </row>
    <row r="947">
      <c r="A947" s="815"/>
      <c r="B947" s="792"/>
      <c r="C947" s="816"/>
      <c r="G947" s="799"/>
      <c r="H947" s="283"/>
      <c r="I947" s="815"/>
      <c r="J947" s="792"/>
      <c r="K947" s="816"/>
      <c r="O947" s="799"/>
    </row>
    <row r="948">
      <c r="A948" s="817"/>
      <c r="B948" s="774"/>
      <c r="C948" s="818"/>
      <c r="G948" s="799"/>
      <c r="H948" s="283"/>
      <c r="I948" s="817"/>
      <c r="J948" s="774"/>
      <c r="K948" s="818"/>
      <c r="O948" s="799"/>
    </row>
    <row r="949">
      <c r="A949" s="817"/>
      <c r="B949" s="792"/>
      <c r="C949" s="818"/>
      <c r="G949" s="799"/>
      <c r="H949" s="283"/>
      <c r="I949" s="817"/>
      <c r="J949" s="792"/>
      <c r="K949" s="818"/>
      <c r="O949" s="799"/>
    </row>
    <row r="950">
      <c r="A950" s="821" t="s">
        <v>714</v>
      </c>
      <c r="B950" s="822"/>
      <c r="C950" s="823">
        <f>SUM(C945:C949)</f>
        <v>0</v>
      </c>
      <c r="G950" s="799"/>
      <c r="H950" s="283"/>
      <c r="I950" s="821" t="s">
        <v>714</v>
      </c>
      <c r="J950" s="826"/>
      <c r="K950" s="827"/>
      <c r="O950" s="799"/>
    </row>
    <row r="951">
      <c r="A951" s="828"/>
      <c r="C951" s="829"/>
      <c r="G951" s="799"/>
      <c r="H951" s="283"/>
      <c r="I951" s="828"/>
      <c r="K951" s="829"/>
      <c r="O951" s="799"/>
    </row>
    <row r="952">
      <c r="A952" s="830" t="s">
        <v>715</v>
      </c>
      <c r="B952" s="831"/>
      <c r="C952" s="832"/>
      <c r="G952" s="799"/>
      <c r="H952" s="283"/>
      <c r="I952" s="833" t="s">
        <v>715</v>
      </c>
      <c r="J952" s="834"/>
      <c r="K952" s="835"/>
      <c r="O952" s="799"/>
    </row>
    <row r="953">
      <c r="A953" s="836" t="s">
        <v>716</v>
      </c>
      <c r="B953" s="837"/>
      <c r="C953" s="838">
        <v>150.0</v>
      </c>
      <c r="G953" s="799"/>
      <c r="H953" s="283"/>
      <c r="I953" s="839"/>
      <c r="J953" s="840"/>
      <c r="K953" s="841"/>
      <c r="O953" s="799"/>
    </row>
    <row r="954">
      <c r="A954" s="842" t="s">
        <v>717</v>
      </c>
      <c r="B954" s="843"/>
      <c r="C954" s="844">
        <v>400.0</v>
      </c>
      <c r="D954" s="248"/>
      <c r="E954" s="845" t="s">
        <v>1182</v>
      </c>
      <c r="G954" s="846">
        <f>G942+C950-C959</f>
        <v>-1233.58</v>
      </c>
      <c r="H954" s="283"/>
      <c r="I954" s="847"/>
      <c r="J954" s="848"/>
      <c r="K954" s="849"/>
      <c r="L954" s="248"/>
      <c r="M954" s="845" t="s">
        <v>1183</v>
      </c>
      <c r="O954" s="846" t="str">
        <f>O942+K950-K959</f>
        <v>#N/A</v>
      </c>
    </row>
    <row r="955">
      <c r="A955" s="836" t="s">
        <v>718</v>
      </c>
      <c r="B955" s="837"/>
      <c r="C955" s="838">
        <v>200.0</v>
      </c>
      <c r="G955" s="799"/>
      <c r="H955" s="283"/>
      <c r="I955" s="847"/>
      <c r="J955" s="848"/>
      <c r="K955" s="849"/>
      <c r="O955" s="799"/>
    </row>
    <row r="956">
      <c r="A956" s="842" t="s">
        <v>656</v>
      </c>
      <c r="B956" s="843"/>
      <c r="C956" s="844">
        <f>IFERROR(__xludf.DUMMYFUNCTION("FILTER($C$4:$C$30,$B$4:$B$30=E934)"),483.58)</f>
        <v>483.58</v>
      </c>
      <c r="G956" s="799"/>
      <c r="H956" s="283"/>
      <c r="I956" s="847"/>
      <c r="J956" s="848"/>
      <c r="K956" s="849"/>
      <c r="O956" s="799"/>
    </row>
    <row r="957">
      <c r="A957" s="850" t="s">
        <v>1184</v>
      </c>
      <c r="B957" s="851"/>
      <c r="C957" s="852"/>
      <c r="E957" s="248"/>
      <c r="G957" s="799"/>
      <c r="H957" s="283"/>
      <c r="I957" s="847"/>
      <c r="J957" s="848"/>
      <c r="K957" s="849"/>
      <c r="M957" s="248"/>
      <c r="O957" s="799"/>
    </row>
    <row r="958">
      <c r="A958" s="847"/>
      <c r="B958" s="848"/>
      <c r="C958" s="849"/>
      <c r="G958" s="799"/>
      <c r="H958" s="283"/>
      <c r="I958" s="847"/>
      <c r="J958" s="848"/>
      <c r="K958" s="849"/>
      <c r="O958" s="799"/>
    </row>
    <row r="959">
      <c r="A959" s="853" t="s">
        <v>721</v>
      </c>
      <c r="B959" s="854"/>
      <c r="C959" s="855">
        <f>SUM(C953:C958)</f>
        <v>1233.58</v>
      </c>
      <c r="G959" s="799"/>
      <c r="H959" s="283"/>
      <c r="I959" s="853" t="s">
        <v>721</v>
      </c>
      <c r="J959" s="854"/>
      <c r="K959" s="855"/>
      <c r="O959" s="799"/>
    </row>
    <row r="960">
      <c r="A960" s="856"/>
      <c r="B960" s="857"/>
      <c r="C960" s="857"/>
      <c r="D960" s="857"/>
      <c r="E960" s="857"/>
      <c r="F960" s="857"/>
      <c r="G960" s="808"/>
      <c r="H960" s="283"/>
      <c r="I960" s="856"/>
      <c r="J960" s="857"/>
      <c r="K960" s="857"/>
      <c r="L960" s="857"/>
      <c r="M960" s="857"/>
      <c r="N960" s="857"/>
      <c r="O960" s="808"/>
    </row>
    <row r="961">
      <c r="A961" s="199"/>
      <c r="B961" s="199"/>
      <c r="C961" s="199"/>
      <c r="D961" s="248"/>
      <c r="E961" s="248"/>
      <c r="F961" s="248"/>
      <c r="G961" s="248"/>
      <c r="H961" s="283"/>
      <c r="I961" s="199"/>
      <c r="J961" s="199"/>
      <c r="K961" s="199"/>
      <c r="L961" s="248"/>
      <c r="M961" s="248"/>
      <c r="N961" s="248"/>
      <c r="O961" s="248"/>
    </row>
    <row r="962">
      <c r="A962" s="199"/>
      <c r="B962" s="199"/>
      <c r="C962" s="199"/>
      <c r="D962" s="248"/>
      <c r="E962" s="248"/>
      <c r="F962" s="248"/>
      <c r="G962" s="248"/>
      <c r="H962" s="283"/>
      <c r="I962" s="199"/>
      <c r="J962" s="199"/>
      <c r="K962" s="199"/>
      <c r="L962" s="248"/>
      <c r="M962" s="248"/>
      <c r="N962" s="248"/>
      <c r="O962" s="248"/>
    </row>
    <row r="963">
      <c r="A963" s="199"/>
      <c r="B963" s="199"/>
      <c r="C963" s="199"/>
      <c r="D963" s="248"/>
      <c r="E963" s="248"/>
      <c r="F963" s="248"/>
      <c r="G963" s="248"/>
      <c r="H963" s="283"/>
      <c r="I963" s="199"/>
      <c r="J963" s="199"/>
      <c r="K963" s="199"/>
      <c r="L963" s="248"/>
      <c r="M963" s="248"/>
      <c r="N963" s="248"/>
      <c r="O963" s="248"/>
    </row>
    <row r="964">
      <c r="A964" s="199"/>
      <c r="B964" s="199"/>
      <c r="C964" s="199"/>
      <c r="D964" s="248"/>
      <c r="E964" s="248"/>
      <c r="F964" s="248"/>
      <c r="G964" s="248"/>
      <c r="H964" s="283"/>
      <c r="I964" s="199"/>
      <c r="J964" s="199"/>
      <c r="K964" s="199"/>
      <c r="L964" s="248"/>
      <c r="M964" s="248"/>
      <c r="N964" s="248"/>
      <c r="O964" s="248"/>
    </row>
    <row r="965">
      <c r="A965" s="199"/>
      <c r="B965" s="199"/>
      <c r="C965" s="199"/>
      <c r="D965" s="248"/>
      <c r="E965" s="248"/>
      <c r="F965" s="248"/>
      <c r="G965" s="248"/>
      <c r="H965" s="283"/>
      <c r="I965" s="199"/>
      <c r="J965" s="199"/>
      <c r="K965" s="199"/>
      <c r="L965" s="248"/>
      <c r="M965" s="248"/>
      <c r="N965" s="248"/>
      <c r="O965" s="248"/>
    </row>
    <row r="966">
      <c r="A966" s="199"/>
      <c r="B966" s="199"/>
      <c r="C966" s="199"/>
      <c r="D966" s="248"/>
      <c r="E966" s="248"/>
      <c r="F966" s="248"/>
      <c r="G966" s="248"/>
      <c r="H966" s="283"/>
      <c r="I966" s="199"/>
      <c r="J966" s="199"/>
      <c r="K966" s="199"/>
      <c r="L966" s="248"/>
      <c r="M966" s="248"/>
      <c r="N966" s="248"/>
      <c r="O966" s="248"/>
    </row>
    <row r="967">
      <c r="A967" s="199"/>
      <c r="B967" s="199"/>
      <c r="C967" s="199"/>
      <c r="D967" s="248"/>
      <c r="E967" s="248"/>
      <c r="F967" s="248"/>
      <c r="G967" s="248"/>
      <c r="H967" s="283"/>
      <c r="I967" s="199"/>
      <c r="J967" s="199"/>
      <c r="K967" s="199"/>
      <c r="L967" s="248"/>
      <c r="M967" s="248"/>
      <c r="N967" s="248"/>
      <c r="O967" s="248"/>
    </row>
    <row r="968">
      <c r="A968" s="199"/>
      <c r="B968" s="199"/>
      <c r="C968" s="199"/>
      <c r="D968" s="248"/>
      <c r="E968" s="248"/>
      <c r="F968" s="248"/>
      <c r="G968" s="248"/>
      <c r="H968" s="283"/>
      <c r="I968" s="199"/>
      <c r="J968" s="199"/>
      <c r="K968" s="199"/>
      <c r="L968" s="248"/>
      <c r="M968" s="248"/>
      <c r="N968" s="248"/>
      <c r="O968" s="248"/>
    </row>
    <row r="969">
      <c r="A969" s="199"/>
      <c r="B969" s="199"/>
      <c r="C969" s="199"/>
      <c r="D969" s="248"/>
      <c r="E969" s="248"/>
      <c r="F969" s="248"/>
      <c r="G969" s="248"/>
      <c r="H969" s="283"/>
      <c r="I969" s="199"/>
      <c r="J969" s="199"/>
      <c r="K969" s="199"/>
      <c r="L969" s="248"/>
      <c r="M969" s="248"/>
      <c r="N969" s="248"/>
      <c r="O969" s="248"/>
    </row>
    <row r="970">
      <c r="A970" s="199"/>
      <c r="B970" s="199"/>
      <c r="C970" s="199"/>
      <c r="D970" s="248"/>
      <c r="E970" s="248"/>
      <c r="F970" s="248"/>
      <c r="G970" s="248"/>
      <c r="H970" s="283"/>
      <c r="I970" s="199"/>
      <c r="J970" s="199"/>
      <c r="K970" s="199"/>
      <c r="L970" s="248"/>
      <c r="M970" s="248"/>
      <c r="N970" s="248"/>
      <c r="O970" s="248"/>
    </row>
    <row r="971">
      <c r="A971" s="199"/>
      <c r="B971" s="199"/>
      <c r="C971" s="199"/>
      <c r="D971" s="248"/>
      <c r="E971" s="248"/>
      <c r="F971" s="248"/>
      <c r="G971" s="248"/>
      <c r="H971" s="283"/>
      <c r="I971" s="199"/>
      <c r="J971" s="199"/>
      <c r="K971" s="199"/>
      <c r="L971" s="248"/>
      <c r="M971" s="248"/>
      <c r="N971" s="248"/>
      <c r="O971" s="248"/>
    </row>
    <row r="972">
      <c r="A972" s="199"/>
      <c r="B972" s="199"/>
      <c r="C972" s="199"/>
      <c r="D972" s="248"/>
      <c r="E972" s="248"/>
      <c r="F972" s="248"/>
      <c r="G972" s="248"/>
      <c r="H972" s="283"/>
      <c r="I972" s="199"/>
      <c r="J972" s="199"/>
      <c r="K972" s="199"/>
      <c r="L972" s="248"/>
      <c r="M972" s="248"/>
      <c r="N972" s="248"/>
      <c r="O972" s="248"/>
    </row>
    <row r="973">
      <c r="A973" s="199"/>
      <c r="B973" s="199"/>
      <c r="C973" s="199"/>
      <c r="D973" s="248"/>
      <c r="E973" s="248"/>
      <c r="F973" s="248"/>
      <c r="G973" s="248"/>
      <c r="H973" s="283"/>
      <c r="I973" s="199"/>
      <c r="J973" s="199"/>
      <c r="K973" s="199"/>
      <c r="L973" s="248"/>
      <c r="M973" s="248"/>
      <c r="N973" s="248"/>
      <c r="O973" s="248"/>
      <c r="Q973" s="934">
        <v>2319.0</v>
      </c>
      <c r="R973" s="935" t="s">
        <v>660</v>
      </c>
      <c r="S973" s="936"/>
    </row>
    <row r="974">
      <c r="A974" s="199"/>
      <c r="B974" s="199"/>
      <c r="C974" s="199"/>
      <c r="D974" s="248"/>
      <c r="E974" s="248"/>
      <c r="F974" s="248"/>
      <c r="G974" s="248"/>
      <c r="H974" s="283"/>
      <c r="I974" s="199"/>
      <c r="J974" s="199"/>
      <c r="K974" s="199"/>
      <c r="L974" s="248"/>
      <c r="M974" s="248"/>
      <c r="N974" s="248"/>
      <c r="O974" s="248"/>
      <c r="Q974" s="937">
        <v>9308.0</v>
      </c>
      <c r="R974" s="938" t="s">
        <v>660</v>
      </c>
      <c r="S974" s="759"/>
    </row>
    <row r="975">
      <c r="A975" s="199"/>
      <c r="B975" s="199"/>
      <c r="C975" s="199"/>
      <c r="D975" s="248"/>
      <c r="E975" s="248"/>
      <c r="F975" s="248"/>
      <c r="G975" s="248"/>
      <c r="H975" s="283"/>
      <c r="I975" s="199"/>
      <c r="J975" s="199"/>
      <c r="K975" s="199"/>
      <c r="L975" s="248"/>
      <c r="M975" s="248"/>
      <c r="N975" s="248"/>
      <c r="O975" s="248"/>
      <c r="Q975" s="937">
        <v>6960.0</v>
      </c>
      <c r="R975" s="938" t="s">
        <v>660</v>
      </c>
      <c r="S975" s="759"/>
    </row>
    <row r="976">
      <c r="A976" s="199"/>
      <c r="B976" s="199"/>
      <c r="C976" s="199"/>
      <c r="D976" s="248"/>
      <c r="E976" s="248"/>
      <c r="F976" s="248"/>
      <c r="G976" s="248"/>
      <c r="H976" s="283"/>
      <c r="I976" s="199"/>
      <c r="J976" s="199"/>
      <c r="K976" s="199"/>
      <c r="L976" s="248"/>
      <c r="M976" s="248"/>
      <c r="N976" s="248"/>
      <c r="O976" s="248"/>
      <c r="Q976" s="937">
        <v>5653.0</v>
      </c>
      <c r="R976" s="938" t="s">
        <v>660</v>
      </c>
      <c r="S976" s="759"/>
    </row>
    <row r="977">
      <c r="A977" s="199"/>
      <c r="B977" s="199"/>
      <c r="C977" s="199"/>
      <c r="D977" s="248"/>
      <c r="E977" s="248"/>
      <c r="F977" s="248"/>
      <c r="G977" s="248"/>
      <c r="H977" s="283"/>
      <c r="I977" s="199"/>
      <c r="J977" s="199"/>
      <c r="K977" s="199"/>
      <c r="L977" s="248"/>
      <c r="M977" s="248"/>
      <c r="N977" s="248"/>
      <c r="O977" s="248"/>
      <c r="Q977" s="937">
        <v>7048.0</v>
      </c>
      <c r="R977" s="938" t="s">
        <v>660</v>
      </c>
      <c r="S977" s="759"/>
    </row>
    <row r="978">
      <c r="A978" s="199"/>
      <c r="B978" s="199"/>
      <c r="C978" s="199"/>
      <c r="D978" s="248"/>
      <c r="E978" s="248"/>
      <c r="F978" s="248"/>
      <c r="G978" s="248"/>
      <c r="H978" s="283"/>
      <c r="I978" s="199"/>
      <c r="J978" s="199"/>
      <c r="K978" s="199"/>
      <c r="L978" s="248"/>
      <c r="M978" s="248"/>
      <c r="N978" s="248"/>
      <c r="O978" s="248"/>
      <c r="Q978" s="937">
        <v>9309.0</v>
      </c>
      <c r="R978" s="938" t="s">
        <v>660</v>
      </c>
      <c r="S978" s="759"/>
    </row>
    <row r="979">
      <c r="A979" s="199"/>
      <c r="B979" s="199"/>
      <c r="C979" s="199"/>
      <c r="D979" s="248"/>
      <c r="E979" s="248"/>
      <c r="F979" s="248"/>
      <c r="G979" s="248"/>
      <c r="H979" s="283"/>
      <c r="I979" s="199"/>
      <c r="J979" s="199"/>
      <c r="K979" s="199"/>
      <c r="L979" s="248"/>
      <c r="M979" s="248"/>
      <c r="N979" s="248"/>
      <c r="O979" s="248"/>
      <c r="Q979" s="937">
        <v>8136.0</v>
      </c>
      <c r="R979" s="938" t="s">
        <v>660</v>
      </c>
      <c r="S979" s="759"/>
    </row>
    <row r="980">
      <c r="A980" s="199"/>
      <c r="B980" s="199"/>
      <c r="C980" s="199"/>
      <c r="D980" s="248"/>
      <c r="E980" s="248"/>
      <c r="F980" s="248"/>
      <c r="G980" s="248"/>
      <c r="H980" s="283"/>
      <c r="I980" s="199"/>
      <c r="J980" s="199"/>
      <c r="K980" s="199"/>
      <c r="L980" s="248"/>
      <c r="M980" s="248"/>
      <c r="N980" s="248"/>
      <c r="O980" s="248"/>
      <c r="Q980" s="937">
        <v>5490.0</v>
      </c>
      <c r="R980" s="938" t="s">
        <v>660</v>
      </c>
      <c r="S980" s="759"/>
    </row>
    <row r="981">
      <c r="A981" s="199"/>
      <c r="B981" s="199"/>
      <c r="C981" s="199"/>
      <c r="D981" s="248"/>
      <c r="E981" s="248"/>
      <c r="F981" s="248"/>
      <c r="G981" s="248"/>
      <c r="H981" s="283"/>
      <c r="I981" s="199"/>
      <c r="J981" s="199"/>
      <c r="K981" s="199"/>
      <c r="L981" s="248"/>
      <c r="M981" s="248"/>
      <c r="N981" s="248"/>
      <c r="O981" s="248"/>
      <c r="Q981" s="937">
        <v>7607.0</v>
      </c>
      <c r="R981" s="938" t="s">
        <v>660</v>
      </c>
      <c r="S981" s="759"/>
    </row>
    <row r="982">
      <c r="A982" s="199"/>
      <c r="B982" s="199"/>
      <c r="C982" s="199"/>
      <c r="D982" s="248"/>
      <c r="E982" s="248"/>
      <c r="F982" s="248"/>
      <c r="G982" s="248"/>
      <c r="H982" s="283"/>
      <c r="I982" s="199"/>
      <c r="J982" s="199"/>
      <c r="K982" s="199"/>
      <c r="L982" s="248"/>
      <c r="M982" s="248"/>
      <c r="N982" s="248"/>
      <c r="O982" s="248"/>
      <c r="Q982" s="939" t="s">
        <v>431</v>
      </c>
      <c r="R982" s="940" t="s">
        <v>664</v>
      </c>
      <c r="S982" s="759"/>
    </row>
    <row r="983">
      <c r="A983" s="199"/>
      <c r="B983" s="199"/>
      <c r="C983" s="199"/>
      <c r="D983" s="248"/>
      <c r="E983" s="248"/>
      <c r="F983" s="248"/>
      <c r="G983" s="248"/>
      <c r="H983" s="283"/>
      <c r="I983" s="199"/>
      <c r="J983" s="199"/>
      <c r="K983" s="199"/>
      <c r="L983" s="248"/>
      <c r="M983" s="248"/>
      <c r="N983" s="248"/>
      <c r="O983" s="248"/>
      <c r="Q983" s="937">
        <v>7265.0</v>
      </c>
      <c r="R983" s="940" t="s">
        <v>664</v>
      </c>
      <c r="S983" s="759"/>
    </row>
    <row r="984">
      <c r="A984" s="199"/>
      <c r="B984" s="199"/>
      <c r="C984" s="199"/>
      <c r="D984" s="248"/>
      <c r="E984" s="248"/>
      <c r="F984" s="248"/>
      <c r="G984" s="248"/>
      <c r="H984" s="283"/>
      <c r="I984" s="199"/>
      <c r="J984" s="199"/>
      <c r="K984" s="199"/>
      <c r="L984" s="248"/>
      <c r="M984" s="248"/>
      <c r="N984" s="248"/>
      <c r="O984" s="248"/>
      <c r="Q984" s="937">
        <v>3819.0</v>
      </c>
      <c r="R984" s="940" t="s">
        <v>664</v>
      </c>
      <c r="S984" s="759"/>
    </row>
    <row r="985">
      <c r="A985" s="199"/>
      <c r="B985" s="199"/>
      <c r="C985" s="199"/>
      <c r="D985" s="248"/>
      <c r="E985" s="248"/>
      <c r="F985" s="248"/>
      <c r="G985" s="248"/>
      <c r="H985" s="283"/>
      <c r="I985" s="199"/>
      <c r="J985" s="199"/>
      <c r="K985" s="199"/>
      <c r="L985" s="248"/>
      <c r="M985" s="248"/>
      <c r="N985" s="248"/>
      <c r="O985" s="248"/>
      <c r="Q985" s="937">
        <v>9348.0</v>
      </c>
      <c r="R985" s="940" t="s">
        <v>664</v>
      </c>
      <c r="S985" s="759"/>
    </row>
    <row r="986">
      <c r="A986" s="199"/>
      <c r="B986" s="199"/>
      <c r="C986" s="199"/>
      <c r="D986" s="248"/>
      <c r="E986" s="248"/>
      <c r="F986" s="248"/>
      <c r="G986" s="248"/>
      <c r="H986" s="283"/>
      <c r="I986" s="199"/>
      <c r="J986" s="199"/>
      <c r="K986" s="199"/>
      <c r="L986" s="248"/>
      <c r="M986" s="248"/>
      <c r="N986" s="248"/>
      <c r="O986" s="248"/>
      <c r="Q986" s="937">
        <v>7807.0</v>
      </c>
      <c r="R986" s="940" t="s">
        <v>665</v>
      </c>
      <c r="S986" s="759"/>
    </row>
    <row r="987">
      <c r="A987" s="199"/>
      <c r="B987" s="199"/>
      <c r="C987" s="199"/>
      <c r="D987" s="248"/>
      <c r="E987" s="248"/>
      <c r="F987" s="248"/>
      <c r="G987" s="248"/>
      <c r="H987" s="283"/>
      <c r="I987" s="199"/>
      <c r="J987" s="199"/>
      <c r="K987" s="199"/>
      <c r="L987" s="248"/>
      <c r="M987" s="248"/>
      <c r="N987" s="248"/>
      <c r="O987" s="248"/>
      <c r="Q987" s="937">
        <v>8479.0</v>
      </c>
      <c r="R987" s="940" t="s">
        <v>666</v>
      </c>
      <c r="S987" s="759"/>
    </row>
    <row r="988">
      <c r="A988" s="199"/>
      <c r="B988" s="199"/>
      <c r="C988" s="199"/>
      <c r="D988" s="248"/>
      <c r="E988" s="248"/>
      <c r="F988" s="248"/>
      <c r="G988" s="248"/>
      <c r="H988" s="283"/>
      <c r="I988" s="199"/>
      <c r="J988" s="199"/>
      <c r="K988" s="199"/>
      <c r="L988" s="248"/>
      <c r="M988" s="248"/>
      <c r="N988" s="248"/>
      <c r="O988" s="248"/>
      <c r="Q988" s="937">
        <v>9617.0</v>
      </c>
      <c r="R988" s="940" t="s">
        <v>673</v>
      </c>
      <c r="S988" s="759"/>
    </row>
    <row r="989">
      <c r="A989" s="199"/>
      <c r="B989" s="199"/>
      <c r="C989" s="199"/>
      <c r="D989" s="248"/>
      <c r="E989" s="248"/>
      <c r="F989" s="248"/>
      <c r="G989" s="248"/>
      <c r="H989" s="283"/>
      <c r="I989" s="199"/>
      <c r="J989" s="199"/>
      <c r="K989" s="199"/>
      <c r="L989" s="248"/>
      <c r="M989" s="248"/>
      <c r="N989" s="248"/>
      <c r="O989" s="248"/>
      <c r="Q989" s="937">
        <v>2693.0</v>
      </c>
      <c r="R989" s="940" t="s">
        <v>674</v>
      </c>
      <c r="S989" s="759"/>
    </row>
    <row r="990">
      <c r="A990" s="199"/>
      <c r="B990" s="199"/>
      <c r="C990" s="199"/>
      <c r="D990" s="248"/>
      <c r="E990" s="248"/>
      <c r="F990" s="248"/>
      <c r="G990" s="248"/>
      <c r="H990" s="283"/>
      <c r="I990" s="199"/>
      <c r="J990" s="199"/>
      <c r="K990" s="199"/>
      <c r="L990" s="248"/>
      <c r="M990" s="248"/>
      <c r="N990" s="248"/>
      <c r="O990" s="248"/>
      <c r="Q990" s="937">
        <v>3403.0</v>
      </c>
      <c r="R990" s="940" t="s">
        <v>674</v>
      </c>
      <c r="S990" s="759"/>
    </row>
    <row r="991">
      <c r="A991" s="199"/>
      <c r="B991" s="199"/>
      <c r="C991" s="199"/>
      <c r="D991" s="248"/>
      <c r="E991" s="248"/>
      <c r="F991" s="248"/>
      <c r="G991" s="248"/>
      <c r="H991" s="283"/>
      <c r="I991" s="199"/>
      <c r="J991" s="199"/>
      <c r="K991" s="199"/>
      <c r="L991" s="248"/>
      <c r="M991" s="248"/>
      <c r="N991" s="248"/>
      <c r="O991" s="248"/>
      <c r="Q991" s="937">
        <v>9334.0</v>
      </c>
      <c r="R991" s="940" t="s">
        <v>675</v>
      </c>
      <c r="S991" s="759"/>
    </row>
    <row r="992">
      <c r="A992" s="199"/>
      <c r="B992" s="199"/>
      <c r="C992" s="199"/>
      <c r="D992" s="248"/>
      <c r="E992" s="248"/>
      <c r="F992" s="248"/>
      <c r="G992" s="248"/>
      <c r="H992" s="283"/>
      <c r="I992" s="199"/>
      <c r="J992" s="199"/>
      <c r="K992" s="199"/>
      <c r="L992" s="248"/>
      <c r="M992" s="248"/>
      <c r="N992" s="248"/>
      <c r="O992" s="248"/>
      <c r="Q992" s="937">
        <v>2890.0</v>
      </c>
      <c r="R992" s="940" t="s">
        <v>676</v>
      </c>
      <c r="S992" s="759"/>
    </row>
    <row r="993">
      <c r="A993" s="199"/>
      <c r="B993" s="199"/>
      <c r="C993" s="199"/>
      <c r="D993" s="248"/>
      <c r="E993" s="248"/>
      <c r="F993" s="248"/>
      <c r="G993" s="248"/>
      <c r="H993" s="283"/>
      <c r="I993" s="199"/>
      <c r="J993" s="199"/>
      <c r="K993" s="199"/>
      <c r="L993" s="248"/>
      <c r="M993" s="248"/>
      <c r="N993" s="248"/>
      <c r="O993" s="248"/>
      <c r="Q993" s="937">
        <v>2316.0</v>
      </c>
      <c r="R993" s="940" t="s">
        <v>676</v>
      </c>
      <c r="S993" s="759"/>
    </row>
    <row r="994">
      <c r="A994" s="199"/>
      <c r="B994" s="199"/>
      <c r="C994" s="199"/>
      <c r="D994" s="248"/>
      <c r="E994" s="248"/>
      <c r="F994" s="248"/>
      <c r="G994" s="248"/>
      <c r="H994" s="283"/>
      <c r="I994" s="199"/>
      <c r="J994" s="199"/>
      <c r="K994" s="199"/>
      <c r="L994" s="248"/>
      <c r="M994" s="248"/>
      <c r="N994" s="248"/>
      <c r="O994" s="248"/>
      <c r="Q994" s="937">
        <v>1002.0</v>
      </c>
      <c r="R994" s="940" t="s">
        <v>678</v>
      </c>
      <c r="S994" s="759"/>
    </row>
    <row r="995">
      <c r="A995" s="199"/>
      <c r="B995" s="199"/>
      <c r="C995" s="199"/>
      <c r="D995" s="248"/>
      <c r="E995" s="248"/>
      <c r="F995" s="248"/>
      <c r="G995" s="248"/>
      <c r="H995" s="283"/>
      <c r="I995" s="199"/>
      <c r="J995" s="199"/>
      <c r="K995" s="199"/>
      <c r="L995" s="248"/>
      <c r="M995" s="248"/>
      <c r="N995" s="248"/>
      <c r="O995" s="248"/>
      <c r="Q995" s="939" t="s">
        <v>1221</v>
      </c>
      <c r="R995" s="940" t="s">
        <v>679</v>
      </c>
      <c r="S995" s="759"/>
    </row>
    <row r="996">
      <c r="A996" s="199"/>
      <c r="B996" s="199"/>
      <c r="C996" s="199"/>
      <c r="D996" s="248"/>
      <c r="E996" s="248"/>
      <c r="F996" s="248"/>
      <c r="G996" s="248"/>
      <c r="H996" s="283"/>
      <c r="I996" s="199"/>
      <c r="J996" s="199"/>
      <c r="K996" s="199"/>
      <c r="L996" s="248"/>
      <c r="M996" s="248"/>
      <c r="N996" s="248"/>
      <c r="O996" s="248"/>
      <c r="Q996" s="939" t="s">
        <v>540</v>
      </c>
      <c r="R996" s="940" t="s">
        <v>679</v>
      </c>
      <c r="S996" s="759"/>
    </row>
    <row r="997">
      <c r="A997" s="199"/>
      <c r="B997" s="199"/>
      <c r="C997" s="199"/>
      <c r="D997" s="248"/>
      <c r="E997" s="248"/>
      <c r="F997" s="248"/>
      <c r="G997" s="248"/>
      <c r="H997" s="283"/>
      <c r="I997" s="199"/>
      <c r="J997" s="199"/>
      <c r="K997" s="199"/>
      <c r="L997" s="248"/>
      <c r="M997" s="248"/>
      <c r="N997" s="248"/>
      <c r="O997" s="248"/>
      <c r="Q997" s="937">
        <v>2932.0</v>
      </c>
      <c r="R997" s="940" t="s">
        <v>680</v>
      </c>
      <c r="S997" s="759"/>
    </row>
    <row r="998">
      <c r="A998" s="199"/>
      <c r="B998" s="199"/>
      <c r="C998" s="199"/>
      <c r="D998" s="248"/>
      <c r="E998" s="248"/>
      <c r="F998" s="248"/>
      <c r="G998" s="248"/>
      <c r="H998" s="283"/>
      <c r="I998" s="199"/>
      <c r="J998" s="199"/>
      <c r="K998" s="199"/>
      <c r="L998" s="248"/>
      <c r="M998" s="248"/>
      <c r="N998" s="248"/>
      <c r="O998" s="248"/>
      <c r="Q998" s="937">
        <v>2774.0</v>
      </c>
      <c r="R998" s="940" t="s">
        <v>680</v>
      </c>
      <c r="S998" s="759"/>
    </row>
    <row r="999">
      <c r="A999" s="199"/>
      <c r="B999" s="199"/>
      <c r="C999" s="199"/>
      <c r="D999" s="248"/>
      <c r="E999" s="248"/>
      <c r="F999" s="248"/>
      <c r="G999" s="248"/>
      <c r="H999" s="283"/>
      <c r="I999" s="199"/>
      <c r="J999" s="199"/>
      <c r="K999" s="199"/>
      <c r="L999" s="248"/>
      <c r="M999" s="248"/>
      <c r="N999" s="248"/>
      <c r="O999" s="248"/>
      <c r="Q999" s="939" t="s">
        <v>973</v>
      </c>
      <c r="R999" s="940" t="s">
        <v>680</v>
      </c>
      <c r="S999" s="759"/>
    </row>
    <row r="1000">
      <c r="A1000" s="199"/>
      <c r="B1000" s="199"/>
      <c r="C1000" s="199"/>
      <c r="D1000" s="248"/>
      <c r="E1000" s="248"/>
      <c r="F1000" s="248"/>
      <c r="G1000" s="248"/>
      <c r="H1000" s="283"/>
      <c r="I1000" s="199"/>
      <c r="J1000" s="199"/>
      <c r="K1000" s="199"/>
      <c r="L1000" s="248"/>
      <c r="M1000" s="248"/>
      <c r="N1000" s="248"/>
      <c r="O1000" s="248"/>
      <c r="Q1000" s="937">
        <v>3301.0</v>
      </c>
      <c r="R1000" s="940" t="s">
        <v>682</v>
      </c>
      <c r="S1000" s="759"/>
    </row>
    <row r="1001">
      <c r="A1001" s="199"/>
      <c r="B1001" s="199"/>
      <c r="C1001" s="199"/>
      <c r="D1001" s="248"/>
      <c r="E1001" s="248"/>
      <c r="F1001" s="248"/>
      <c r="G1001" s="248"/>
      <c r="H1001" s="283"/>
      <c r="I1001" s="199"/>
      <c r="J1001" s="199"/>
      <c r="K1001" s="199"/>
      <c r="L1001" s="248"/>
      <c r="M1001" s="248"/>
      <c r="N1001" s="248"/>
      <c r="O1001" s="248"/>
      <c r="Q1001" s="939" t="s">
        <v>513</v>
      </c>
      <c r="R1001" s="940" t="s">
        <v>683</v>
      </c>
      <c r="S1001" s="759"/>
    </row>
    <row r="1002">
      <c r="A1002" s="199"/>
      <c r="B1002" s="199"/>
      <c r="C1002" s="199"/>
      <c r="D1002" s="248"/>
      <c r="E1002" s="248"/>
      <c r="F1002" s="248"/>
      <c r="G1002" s="248"/>
      <c r="H1002" s="283"/>
      <c r="I1002" s="199"/>
      <c r="J1002" s="199"/>
      <c r="K1002" s="199"/>
      <c r="L1002" s="248"/>
      <c r="M1002" s="248"/>
      <c r="N1002" s="248"/>
      <c r="O1002" s="248"/>
      <c r="Q1002" s="937">
        <v>2516.0</v>
      </c>
      <c r="R1002" s="940" t="s">
        <v>684</v>
      </c>
      <c r="S1002" s="759"/>
    </row>
    <row r="1003">
      <c r="A1003" s="199"/>
      <c r="B1003" s="199"/>
      <c r="C1003" s="199"/>
      <c r="D1003" s="248"/>
      <c r="E1003" s="248"/>
      <c r="F1003" s="248"/>
      <c r="G1003" s="248"/>
      <c r="H1003" s="283"/>
      <c r="I1003" s="199"/>
      <c r="J1003" s="199"/>
      <c r="K1003" s="199"/>
      <c r="L1003" s="248"/>
      <c r="M1003" s="248"/>
      <c r="N1003" s="248"/>
      <c r="O1003" s="248"/>
      <c r="Q1003" s="939" t="s">
        <v>982</v>
      </c>
      <c r="R1003" s="940" t="s">
        <v>684</v>
      </c>
      <c r="S1003" s="759"/>
    </row>
    <row r="1004">
      <c r="A1004" s="199"/>
      <c r="B1004" s="199"/>
      <c r="C1004" s="199"/>
      <c r="D1004" s="248"/>
      <c r="E1004" s="248"/>
      <c r="F1004" s="248"/>
      <c r="G1004" s="248"/>
      <c r="H1004" s="283"/>
      <c r="I1004" s="199"/>
      <c r="J1004" s="199"/>
      <c r="K1004" s="199"/>
      <c r="L1004" s="248"/>
      <c r="M1004" s="248"/>
      <c r="N1004" s="248"/>
      <c r="O1004" s="248"/>
      <c r="Q1004" s="937">
        <v>6643.0</v>
      </c>
      <c r="R1004" s="940" t="s">
        <v>197</v>
      </c>
      <c r="S1004" s="759"/>
    </row>
    <row r="1005">
      <c r="A1005" s="199"/>
      <c r="B1005" s="199"/>
      <c r="C1005" s="199"/>
      <c r="D1005" s="248"/>
      <c r="E1005" s="248"/>
      <c r="F1005" s="248"/>
      <c r="G1005" s="248"/>
      <c r="H1005" s="283"/>
      <c r="I1005" s="199"/>
      <c r="J1005" s="199"/>
      <c r="K1005" s="199"/>
      <c r="L1005" s="248"/>
      <c r="M1005" s="248"/>
      <c r="N1005" s="248"/>
      <c r="O1005" s="248"/>
      <c r="Q1005" s="941">
        <v>8775.0</v>
      </c>
      <c r="R1005" s="942" t="e">
        <v>#N/A</v>
      </c>
      <c r="S1005" s="768"/>
    </row>
    <row r="1006">
      <c r="A1006" s="199"/>
      <c r="B1006" s="199"/>
      <c r="C1006" s="199"/>
      <c r="D1006" s="248"/>
      <c r="E1006" s="248"/>
      <c r="F1006" s="248"/>
      <c r="G1006" s="248"/>
      <c r="H1006" s="283"/>
      <c r="I1006" s="199"/>
      <c r="J1006" s="199"/>
      <c r="K1006" s="199"/>
      <c r="L1006" s="248"/>
      <c r="M1006" s="248"/>
      <c r="N1006" s="248"/>
      <c r="O1006" s="248"/>
    </row>
    <row r="1007">
      <c r="A1007" s="199"/>
      <c r="B1007" s="199"/>
      <c r="C1007" s="199"/>
      <c r="D1007" s="248"/>
      <c r="E1007" s="248"/>
      <c r="F1007" s="248"/>
      <c r="G1007" s="248"/>
      <c r="H1007" s="283"/>
      <c r="I1007" s="199"/>
      <c r="J1007" s="199"/>
      <c r="K1007" s="199"/>
      <c r="L1007" s="248"/>
      <c r="M1007" s="248"/>
      <c r="N1007" s="248"/>
      <c r="O1007" s="248"/>
    </row>
    <row r="1008">
      <c r="A1008" s="199"/>
      <c r="B1008" s="199"/>
      <c r="C1008" s="199"/>
      <c r="D1008" s="248"/>
      <c r="E1008" s="248"/>
      <c r="F1008" s="248"/>
      <c r="G1008" s="248"/>
      <c r="H1008" s="283"/>
      <c r="I1008" s="199"/>
      <c r="J1008" s="199"/>
      <c r="K1008" s="199"/>
      <c r="L1008" s="248"/>
      <c r="M1008" s="248"/>
      <c r="N1008" s="248"/>
      <c r="O1008" s="248"/>
    </row>
    <row r="1009">
      <c r="A1009" s="199"/>
      <c r="B1009" s="199"/>
      <c r="C1009" s="199"/>
      <c r="D1009" s="248"/>
      <c r="E1009" s="248"/>
      <c r="F1009" s="248"/>
      <c r="G1009" s="248"/>
      <c r="H1009" s="283"/>
      <c r="I1009" s="199"/>
      <c r="J1009" s="199"/>
      <c r="K1009" s="199"/>
      <c r="L1009" s="248"/>
      <c r="M1009" s="248"/>
      <c r="N1009" s="248"/>
      <c r="O1009" s="248"/>
    </row>
    <row r="1010">
      <c r="A1010" s="199"/>
      <c r="B1010" s="199"/>
      <c r="C1010" s="199"/>
      <c r="D1010" s="248"/>
      <c r="E1010" s="248"/>
      <c r="F1010" s="248"/>
      <c r="G1010" s="248"/>
      <c r="H1010" s="283"/>
      <c r="I1010" s="199"/>
      <c r="J1010" s="199"/>
      <c r="K1010" s="199"/>
      <c r="L1010" s="248"/>
      <c r="M1010" s="248"/>
      <c r="N1010" s="248"/>
      <c r="O1010" s="248"/>
    </row>
    <row r="1011">
      <c r="A1011" s="199"/>
      <c r="B1011" s="199"/>
      <c r="C1011" s="199"/>
      <c r="D1011" s="248"/>
      <c r="E1011" s="248"/>
      <c r="F1011" s="248"/>
      <c r="G1011" s="248"/>
      <c r="H1011" s="283"/>
      <c r="I1011" s="199"/>
      <c r="J1011" s="199"/>
      <c r="K1011" s="199"/>
      <c r="L1011" s="248"/>
      <c r="M1011" s="248"/>
      <c r="N1011" s="248"/>
      <c r="O1011" s="248"/>
    </row>
    <row r="1012">
      <c r="A1012" s="199"/>
      <c r="B1012" s="199"/>
      <c r="C1012" s="199"/>
      <c r="D1012" s="248"/>
      <c r="E1012" s="248"/>
      <c r="F1012" s="248"/>
      <c r="G1012" s="248"/>
      <c r="H1012" s="283"/>
      <c r="I1012" s="199"/>
      <c r="J1012" s="199"/>
      <c r="K1012" s="199"/>
      <c r="L1012" s="248"/>
      <c r="M1012" s="248"/>
      <c r="N1012" s="248"/>
      <c r="O1012" s="248"/>
    </row>
    <row r="1013">
      <c r="A1013" s="199"/>
      <c r="B1013" s="199"/>
      <c r="C1013" s="199"/>
      <c r="D1013" s="248"/>
      <c r="E1013" s="248"/>
      <c r="F1013" s="248"/>
      <c r="G1013" s="248"/>
      <c r="H1013" s="283"/>
      <c r="I1013" s="199"/>
      <c r="J1013" s="199"/>
      <c r="K1013" s="199"/>
      <c r="L1013" s="248"/>
      <c r="M1013" s="248"/>
      <c r="N1013" s="248"/>
      <c r="O1013" s="248"/>
    </row>
    <row r="1014">
      <c r="A1014" s="199"/>
      <c r="B1014" s="199"/>
      <c r="C1014" s="199"/>
      <c r="D1014" s="248"/>
      <c r="E1014" s="248"/>
      <c r="F1014" s="248"/>
      <c r="G1014" s="248"/>
      <c r="H1014" s="283"/>
      <c r="I1014" s="199"/>
      <c r="J1014" s="199"/>
      <c r="K1014" s="199"/>
      <c r="L1014" s="248"/>
      <c r="M1014" s="248"/>
      <c r="N1014" s="248"/>
      <c r="O1014" s="248"/>
    </row>
    <row r="1015">
      <c r="A1015" s="199"/>
      <c r="B1015" s="199"/>
      <c r="C1015" s="199"/>
      <c r="D1015" s="248"/>
      <c r="E1015" s="248"/>
      <c r="F1015" s="248"/>
      <c r="G1015" s="248"/>
      <c r="H1015" s="283"/>
      <c r="I1015" s="199"/>
      <c r="J1015" s="199"/>
      <c r="K1015" s="199"/>
      <c r="L1015" s="248"/>
      <c r="M1015" s="248"/>
      <c r="N1015" s="248"/>
      <c r="O1015" s="248"/>
    </row>
    <row r="1016">
      <c r="A1016" s="199"/>
      <c r="B1016" s="199"/>
      <c r="C1016" s="199"/>
      <c r="D1016" s="248"/>
      <c r="E1016" s="248"/>
      <c r="F1016" s="248"/>
      <c r="G1016" s="248"/>
      <c r="H1016" s="283"/>
      <c r="I1016" s="199"/>
      <c r="J1016" s="199"/>
      <c r="K1016" s="199"/>
      <c r="L1016" s="248"/>
      <c r="M1016" s="248"/>
      <c r="N1016" s="248"/>
      <c r="O1016" s="248"/>
    </row>
    <row r="1017">
      <c r="A1017" s="199"/>
      <c r="B1017" s="199"/>
      <c r="C1017" s="199"/>
      <c r="D1017" s="248"/>
      <c r="E1017" s="248"/>
      <c r="F1017" s="248"/>
      <c r="G1017" s="248"/>
      <c r="H1017" s="283"/>
      <c r="I1017" s="199"/>
      <c r="J1017" s="199"/>
      <c r="K1017" s="199"/>
      <c r="L1017" s="248"/>
      <c r="M1017" s="248"/>
      <c r="N1017" s="248"/>
      <c r="O1017" s="248"/>
    </row>
    <row r="1018">
      <c r="A1018" s="199"/>
      <c r="B1018" s="199"/>
      <c r="C1018" s="199"/>
      <c r="D1018" s="248"/>
      <c r="E1018" s="248"/>
      <c r="F1018" s="248"/>
      <c r="G1018" s="248"/>
      <c r="H1018" s="283"/>
      <c r="I1018" s="199"/>
      <c r="J1018" s="199"/>
      <c r="K1018" s="199"/>
      <c r="L1018" s="248"/>
      <c r="M1018" s="248"/>
      <c r="N1018" s="248"/>
      <c r="O1018" s="248"/>
    </row>
    <row r="1019">
      <c r="A1019" s="199"/>
      <c r="B1019" s="199"/>
      <c r="C1019" s="199"/>
      <c r="D1019" s="248"/>
      <c r="E1019" s="248"/>
      <c r="F1019" s="248"/>
      <c r="G1019" s="248"/>
      <c r="H1019" s="283"/>
      <c r="I1019" s="199"/>
      <c r="J1019" s="199"/>
      <c r="K1019" s="199"/>
      <c r="L1019" s="248"/>
      <c r="M1019" s="248"/>
      <c r="N1019" s="248"/>
      <c r="O1019" s="248"/>
    </row>
    <row r="1020">
      <c r="A1020" s="199"/>
      <c r="B1020" s="199"/>
      <c r="C1020" s="199"/>
      <c r="D1020" s="248"/>
      <c r="E1020" s="248"/>
      <c r="F1020" s="248"/>
      <c r="G1020" s="248"/>
      <c r="H1020" s="283"/>
      <c r="I1020" s="199"/>
      <c r="J1020" s="199"/>
      <c r="K1020" s="199"/>
      <c r="L1020" s="248"/>
      <c r="M1020" s="248"/>
      <c r="N1020" s="248"/>
      <c r="O1020" s="248"/>
    </row>
    <row r="1021">
      <c r="A1021" s="199"/>
      <c r="B1021" s="199"/>
      <c r="C1021" s="199"/>
      <c r="D1021" s="248"/>
      <c r="E1021" s="248"/>
      <c r="F1021" s="248"/>
      <c r="G1021" s="248"/>
      <c r="H1021" s="283"/>
      <c r="I1021" s="199"/>
      <c r="J1021" s="199"/>
      <c r="K1021" s="199"/>
      <c r="L1021" s="248"/>
      <c r="M1021" s="248"/>
      <c r="N1021" s="248"/>
      <c r="O1021" s="248"/>
    </row>
    <row r="1022">
      <c r="A1022" s="199"/>
      <c r="B1022" s="199"/>
      <c r="C1022" s="199"/>
      <c r="D1022" s="248"/>
      <c r="E1022" s="248"/>
      <c r="F1022" s="248"/>
      <c r="G1022" s="248"/>
      <c r="H1022" s="283"/>
      <c r="I1022" s="199"/>
      <c r="J1022" s="199"/>
      <c r="K1022" s="199"/>
      <c r="L1022" s="248"/>
      <c r="M1022" s="248"/>
      <c r="N1022" s="248"/>
      <c r="O1022" s="248"/>
    </row>
    <row r="1023">
      <c r="A1023" s="199"/>
      <c r="B1023" s="199"/>
      <c r="C1023" s="199"/>
      <c r="D1023" s="248"/>
      <c r="E1023" s="248"/>
      <c r="F1023" s="248"/>
      <c r="G1023" s="248"/>
      <c r="H1023" s="283"/>
      <c r="I1023" s="199"/>
      <c r="J1023" s="199"/>
      <c r="K1023" s="199"/>
      <c r="L1023" s="248"/>
      <c r="M1023" s="248"/>
      <c r="N1023" s="248"/>
      <c r="O1023" s="248"/>
    </row>
    <row r="1024">
      <c r="A1024" s="199"/>
      <c r="B1024" s="199"/>
      <c r="C1024" s="199"/>
      <c r="D1024" s="248"/>
      <c r="E1024" s="248"/>
      <c r="F1024" s="248"/>
      <c r="G1024" s="248"/>
      <c r="H1024" s="283"/>
      <c r="I1024" s="199"/>
      <c r="J1024" s="199"/>
      <c r="K1024" s="199"/>
      <c r="L1024" s="248"/>
      <c r="M1024" s="248"/>
      <c r="N1024" s="248"/>
      <c r="O1024" s="248"/>
    </row>
    <row r="1025">
      <c r="A1025" s="199"/>
      <c r="B1025" s="199"/>
      <c r="C1025" s="199"/>
      <c r="D1025" s="248"/>
      <c r="E1025" s="248"/>
      <c r="F1025" s="248"/>
      <c r="G1025" s="248"/>
      <c r="H1025" s="283"/>
      <c r="I1025" s="199"/>
      <c r="J1025" s="199"/>
      <c r="K1025" s="199"/>
      <c r="L1025" s="248"/>
      <c r="M1025" s="248"/>
      <c r="N1025" s="248"/>
      <c r="O1025" s="248"/>
    </row>
    <row r="1026">
      <c r="A1026" s="199"/>
      <c r="B1026" s="199"/>
      <c r="C1026" s="199"/>
      <c r="D1026" s="248"/>
      <c r="E1026" s="248"/>
      <c r="F1026" s="248"/>
      <c r="G1026" s="248"/>
      <c r="H1026" s="283"/>
      <c r="I1026" s="199"/>
      <c r="J1026" s="199"/>
      <c r="K1026" s="199"/>
      <c r="L1026" s="248"/>
      <c r="M1026" s="248"/>
      <c r="N1026" s="248"/>
      <c r="O1026" s="248"/>
    </row>
    <row r="1027">
      <c r="A1027" s="199"/>
      <c r="B1027" s="199"/>
      <c r="C1027" s="199"/>
      <c r="D1027" s="248"/>
      <c r="E1027" s="248"/>
      <c r="F1027" s="248"/>
      <c r="G1027" s="248"/>
      <c r="H1027" s="283"/>
      <c r="I1027" s="199"/>
      <c r="J1027" s="199"/>
      <c r="K1027" s="199"/>
      <c r="L1027" s="248"/>
      <c r="M1027" s="248"/>
      <c r="N1027" s="248"/>
      <c r="O1027" s="248"/>
    </row>
    <row r="1028">
      <c r="A1028" s="199"/>
      <c r="B1028" s="199"/>
      <c r="C1028" s="199"/>
      <c r="D1028" s="248"/>
      <c r="E1028" s="248"/>
      <c r="F1028" s="248"/>
      <c r="G1028" s="248"/>
      <c r="H1028" s="283"/>
      <c r="I1028" s="199"/>
      <c r="J1028" s="199"/>
      <c r="K1028" s="199"/>
      <c r="L1028" s="248"/>
      <c r="M1028" s="248"/>
      <c r="N1028" s="248"/>
      <c r="O1028" s="248"/>
    </row>
    <row r="1029">
      <c r="A1029" s="199"/>
      <c r="B1029" s="199"/>
      <c r="C1029" s="199"/>
      <c r="D1029" s="248"/>
      <c r="E1029" s="248"/>
      <c r="F1029" s="248"/>
      <c r="G1029" s="248"/>
      <c r="H1029" s="283"/>
      <c r="I1029" s="199"/>
      <c r="J1029" s="199"/>
      <c r="K1029" s="199"/>
      <c r="L1029" s="248"/>
      <c r="M1029" s="248"/>
      <c r="N1029" s="248"/>
      <c r="O1029" s="248"/>
    </row>
    <row r="1030">
      <c r="A1030" s="199"/>
      <c r="B1030" s="199"/>
      <c r="C1030" s="199"/>
      <c r="D1030" s="248"/>
      <c r="E1030" s="248"/>
      <c r="F1030" s="248"/>
      <c r="G1030" s="248"/>
      <c r="H1030" s="283"/>
      <c r="I1030" s="199"/>
      <c r="J1030" s="199"/>
      <c r="K1030" s="199"/>
      <c r="L1030" s="248"/>
      <c r="M1030" s="248"/>
      <c r="N1030" s="248"/>
      <c r="O1030" s="248"/>
    </row>
    <row r="1031">
      <c r="A1031" s="199"/>
      <c r="B1031" s="199"/>
      <c r="C1031" s="199"/>
      <c r="D1031" s="248"/>
      <c r="E1031" s="248"/>
      <c r="F1031" s="248"/>
      <c r="G1031" s="248"/>
      <c r="H1031" s="283"/>
      <c r="I1031" s="199"/>
      <c r="J1031" s="199"/>
      <c r="K1031" s="199"/>
      <c r="L1031" s="248"/>
      <c r="M1031" s="248"/>
      <c r="N1031" s="248"/>
      <c r="O1031" s="248"/>
    </row>
    <row r="1032">
      <c r="A1032" s="199"/>
      <c r="B1032" s="199"/>
      <c r="C1032" s="199"/>
      <c r="D1032" s="248"/>
      <c r="E1032" s="248"/>
      <c r="F1032" s="248"/>
      <c r="G1032" s="248"/>
      <c r="H1032" s="283"/>
      <c r="I1032" s="199"/>
      <c r="J1032" s="199"/>
      <c r="K1032" s="199"/>
      <c r="L1032" s="248"/>
      <c r="M1032" s="248"/>
      <c r="N1032" s="248"/>
      <c r="O1032" s="248"/>
    </row>
    <row r="1033">
      <c r="A1033" s="199"/>
      <c r="B1033" s="199"/>
      <c r="C1033" s="199"/>
      <c r="D1033" s="248"/>
      <c r="E1033" s="248"/>
      <c r="F1033" s="248"/>
      <c r="G1033" s="248"/>
      <c r="H1033" s="283"/>
      <c r="I1033" s="199"/>
      <c r="J1033" s="199"/>
      <c r="K1033" s="199"/>
      <c r="L1033" s="248"/>
      <c r="M1033" s="248"/>
      <c r="N1033" s="248"/>
      <c r="O1033" s="248"/>
    </row>
    <row r="1034">
      <c r="A1034" s="199"/>
      <c r="B1034" s="199"/>
      <c r="C1034" s="199"/>
      <c r="D1034" s="248"/>
      <c r="E1034" s="248"/>
      <c r="F1034" s="248"/>
      <c r="G1034" s="248"/>
      <c r="H1034" s="283"/>
      <c r="I1034" s="199"/>
      <c r="J1034" s="199"/>
      <c r="K1034" s="199"/>
      <c r="L1034" s="248"/>
      <c r="M1034" s="248"/>
      <c r="N1034" s="248"/>
      <c r="O1034" s="248"/>
    </row>
    <row r="1035">
      <c r="A1035" s="199"/>
      <c r="B1035" s="199"/>
      <c r="C1035" s="199"/>
      <c r="D1035" s="248"/>
      <c r="E1035" s="248"/>
      <c r="F1035" s="248"/>
      <c r="G1035" s="248"/>
      <c r="H1035" s="283"/>
      <c r="I1035" s="199"/>
      <c r="J1035" s="199"/>
      <c r="K1035" s="199"/>
      <c r="L1035" s="248"/>
      <c r="M1035" s="248"/>
      <c r="N1035" s="248"/>
      <c r="O1035" s="248"/>
    </row>
    <row r="1036">
      <c r="A1036" s="199"/>
      <c r="B1036" s="199"/>
      <c r="C1036" s="199"/>
      <c r="D1036" s="248"/>
      <c r="E1036" s="248"/>
      <c r="F1036" s="248"/>
      <c r="G1036" s="248"/>
      <c r="H1036" s="283"/>
      <c r="I1036" s="199"/>
      <c r="J1036" s="199"/>
      <c r="K1036" s="199"/>
      <c r="L1036" s="248"/>
      <c r="M1036" s="248"/>
      <c r="N1036" s="248"/>
      <c r="O1036" s="248"/>
    </row>
    <row r="1037">
      <c r="A1037" s="199"/>
      <c r="B1037" s="199"/>
      <c r="C1037" s="199"/>
      <c r="D1037" s="248"/>
      <c r="E1037" s="248"/>
      <c r="F1037" s="248"/>
      <c r="G1037" s="248"/>
      <c r="H1037" s="283"/>
      <c r="I1037" s="199"/>
      <c r="J1037" s="199"/>
      <c r="K1037" s="199"/>
      <c r="L1037" s="248"/>
      <c r="M1037" s="248"/>
      <c r="N1037" s="248"/>
      <c r="O1037" s="248"/>
    </row>
    <row r="1038">
      <c r="A1038" s="199"/>
      <c r="B1038" s="199"/>
      <c r="C1038" s="199"/>
      <c r="D1038" s="248"/>
      <c r="E1038" s="248"/>
      <c r="F1038" s="248"/>
      <c r="G1038" s="248"/>
      <c r="H1038" s="283"/>
      <c r="I1038" s="199"/>
      <c r="J1038" s="199"/>
      <c r="K1038" s="199"/>
      <c r="L1038" s="248"/>
      <c r="M1038" s="248"/>
      <c r="N1038" s="248"/>
      <c r="O1038" s="248"/>
    </row>
    <row r="1039">
      <c r="A1039" s="199"/>
      <c r="B1039" s="199"/>
      <c r="C1039" s="199"/>
      <c r="D1039" s="248"/>
      <c r="E1039" s="248"/>
      <c r="F1039" s="248"/>
      <c r="G1039" s="248"/>
      <c r="H1039" s="283"/>
      <c r="I1039" s="199"/>
      <c r="J1039" s="199"/>
      <c r="K1039" s="199"/>
      <c r="L1039" s="248"/>
      <c r="M1039" s="248"/>
      <c r="N1039" s="248"/>
      <c r="O1039" s="248"/>
    </row>
    <row r="1040">
      <c r="A1040" s="199"/>
      <c r="B1040" s="199"/>
      <c r="C1040" s="199"/>
      <c r="D1040" s="248"/>
      <c r="E1040" s="248"/>
      <c r="F1040" s="248"/>
      <c r="G1040" s="248"/>
      <c r="H1040" s="283"/>
      <c r="I1040" s="199"/>
      <c r="J1040" s="199"/>
      <c r="K1040" s="199"/>
      <c r="L1040" s="248"/>
      <c r="M1040" s="248"/>
      <c r="N1040" s="248"/>
      <c r="O1040" s="248"/>
    </row>
    <row r="1041">
      <c r="A1041" s="199"/>
      <c r="B1041" s="199"/>
      <c r="C1041" s="199"/>
      <c r="D1041" s="248"/>
      <c r="E1041" s="248"/>
      <c r="F1041" s="248"/>
      <c r="G1041" s="248"/>
      <c r="H1041" s="283"/>
      <c r="I1041" s="199"/>
      <c r="J1041" s="199"/>
      <c r="K1041" s="199"/>
      <c r="L1041" s="248"/>
      <c r="M1041" s="248"/>
      <c r="N1041" s="248"/>
      <c r="O1041" s="248"/>
    </row>
    <row r="1042">
      <c r="A1042" s="199"/>
      <c r="B1042" s="199"/>
      <c r="C1042" s="199"/>
      <c r="D1042" s="248"/>
      <c r="E1042" s="248"/>
      <c r="F1042" s="248"/>
      <c r="G1042" s="248"/>
      <c r="H1042" s="283"/>
      <c r="I1042" s="199"/>
      <c r="J1042" s="199"/>
      <c r="K1042" s="199"/>
      <c r="L1042" s="248"/>
      <c r="M1042" s="248"/>
      <c r="N1042" s="248"/>
      <c r="O1042" s="248"/>
    </row>
    <row r="1043">
      <c r="A1043" s="199"/>
      <c r="B1043" s="199"/>
      <c r="C1043" s="199"/>
      <c r="D1043" s="248"/>
      <c r="E1043" s="248"/>
      <c r="F1043" s="248"/>
      <c r="G1043" s="248"/>
      <c r="H1043" s="283"/>
      <c r="I1043" s="199"/>
      <c r="J1043" s="199"/>
      <c r="K1043" s="199"/>
      <c r="L1043" s="248"/>
      <c r="M1043" s="248"/>
      <c r="N1043" s="248"/>
      <c r="O1043" s="248"/>
    </row>
    <row r="1044">
      <c r="A1044" s="199"/>
      <c r="B1044" s="199"/>
      <c r="C1044" s="199"/>
      <c r="D1044" s="248"/>
      <c r="E1044" s="248"/>
      <c r="F1044" s="248"/>
      <c r="G1044" s="248"/>
      <c r="H1044" s="283"/>
      <c r="I1044" s="199"/>
      <c r="J1044" s="199"/>
      <c r="K1044" s="199"/>
      <c r="L1044" s="248"/>
      <c r="M1044" s="248"/>
      <c r="N1044" s="248"/>
      <c r="O1044" s="248"/>
    </row>
    <row r="1045">
      <c r="A1045" s="199"/>
      <c r="B1045" s="199"/>
      <c r="C1045" s="199"/>
      <c r="D1045" s="248"/>
      <c r="E1045" s="248"/>
      <c r="F1045" s="248"/>
      <c r="G1045" s="248"/>
      <c r="H1045" s="283"/>
      <c r="I1045" s="199"/>
      <c r="J1045" s="199"/>
      <c r="K1045" s="199"/>
      <c r="L1045" s="248"/>
      <c r="M1045" s="248"/>
      <c r="N1045" s="248"/>
      <c r="O1045" s="248"/>
    </row>
    <row r="1046">
      <c r="A1046" s="199"/>
      <c r="B1046" s="199"/>
      <c r="C1046" s="199"/>
      <c r="D1046" s="248"/>
      <c r="E1046" s="248"/>
      <c r="F1046" s="248"/>
      <c r="G1046" s="248"/>
      <c r="H1046" s="283"/>
      <c r="I1046" s="199"/>
      <c r="J1046" s="199"/>
      <c r="K1046" s="199"/>
      <c r="L1046" s="248"/>
      <c r="M1046" s="248"/>
      <c r="N1046" s="248"/>
      <c r="O1046" s="248"/>
    </row>
    <row r="1047">
      <c r="A1047" s="199"/>
      <c r="B1047" s="199"/>
      <c r="C1047" s="199"/>
      <c r="D1047" s="248"/>
      <c r="E1047" s="248"/>
      <c r="F1047" s="248"/>
      <c r="G1047" s="248"/>
      <c r="H1047" s="283"/>
      <c r="I1047" s="199"/>
      <c r="J1047" s="199"/>
      <c r="K1047" s="199"/>
      <c r="L1047" s="248"/>
      <c r="M1047" s="248"/>
      <c r="N1047" s="248"/>
      <c r="O1047" s="248"/>
    </row>
    <row r="1048">
      <c r="A1048" s="199"/>
      <c r="B1048" s="199"/>
      <c r="C1048" s="199"/>
      <c r="D1048" s="248"/>
      <c r="E1048" s="248"/>
      <c r="F1048" s="248"/>
      <c r="G1048" s="248"/>
      <c r="H1048" s="283"/>
      <c r="I1048" s="199"/>
      <c r="J1048" s="199"/>
      <c r="K1048" s="199"/>
      <c r="L1048" s="248"/>
      <c r="M1048" s="248"/>
      <c r="N1048" s="248"/>
      <c r="O1048" s="248"/>
    </row>
    <row r="1049">
      <c r="A1049" s="199"/>
      <c r="B1049" s="199"/>
      <c r="C1049" s="199"/>
      <c r="D1049" s="248"/>
      <c r="E1049" s="248"/>
      <c r="F1049" s="248"/>
      <c r="G1049" s="248"/>
      <c r="H1049" s="283"/>
      <c r="I1049" s="199"/>
      <c r="J1049" s="199"/>
      <c r="K1049" s="199"/>
      <c r="L1049" s="248"/>
      <c r="M1049" s="248"/>
      <c r="N1049" s="248"/>
      <c r="O1049" s="248"/>
    </row>
    <row r="1050">
      <c r="A1050" s="199"/>
      <c r="B1050" s="199"/>
      <c r="C1050" s="199"/>
      <c r="D1050" s="248"/>
      <c r="E1050" s="248"/>
      <c r="F1050" s="248"/>
      <c r="G1050" s="248"/>
      <c r="H1050" s="283"/>
      <c r="I1050" s="199"/>
      <c r="J1050" s="199"/>
      <c r="K1050" s="199"/>
      <c r="L1050" s="248"/>
      <c r="M1050" s="248"/>
      <c r="N1050" s="248"/>
      <c r="O1050" s="248"/>
    </row>
    <row r="1051">
      <c r="A1051" s="199"/>
      <c r="B1051" s="199"/>
      <c r="C1051" s="199"/>
      <c r="D1051" s="248"/>
      <c r="E1051" s="248"/>
      <c r="F1051" s="248"/>
      <c r="G1051" s="248"/>
      <c r="H1051" s="283"/>
      <c r="I1051" s="199"/>
      <c r="J1051" s="199"/>
      <c r="K1051" s="199"/>
      <c r="L1051" s="248"/>
      <c r="M1051" s="248"/>
      <c r="N1051" s="248"/>
      <c r="O1051" s="248"/>
    </row>
    <row r="1052">
      <c r="A1052" s="199"/>
      <c r="B1052" s="199"/>
      <c r="C1052" s="199"/>
      <c r="D1052" s="248"/>
      <c r="E1052" s="248"/>
      <c r="F1052" s="248"/>
      <c r="G1052" s="248"/>
      <c r="H1052" s="283"/>
      <c r="I1052" s="199"/>
      <c r="J1052" s="199"/>
      <c r="K1052" s="199"/>
      <c r="L1052" s="248"/>
      <c r="M1052" s="248"/>
      <c r="N1052" s="248"/>
      <c r="O1052" s="248"/>
    </row>
    <row r="1053">
      <c r="A1053" s="199"/>
      <c r="B1053" s="199"/>
      <c r="C1053" s="199"/>
      <c r="D1053" s="248"/>
      <c r="E1053" s="248"/>
      <c r="F1053" s="248"/>
      <c r="G1053" s="248"/>
      <c r="H1053" s="283"/>
      <c r="I1053" s="199"/>
      <c r="J1053" s="199"/>
      <c r="K1053" s="199"/>
      <c r="L1053" s="248"/>
      <c r="M1053" s="248"/>
      <c r="N1053" s="248"/>
      <c r="O1053" s="248"/>
    </row>
    <row r="1054">
      <c r="A1054" s="199"/>
      <c r="B1054" s="199"/>
      <c r="C1054" s="199"/>
      <c r="D1054" s="248"/>
      <c r="E1054" s="248"/>
      <c r="F1054" s="248"/>
      <c r="G1054" s="248"/>
      <c r="H1054" s="283"/>
      <c r="I1054" s="199"/>
      <c r="J1054" s="199"/>
      <c r="K1054" s="199"/>
      <c r="L1054" s="248"/>
      <c r="M1054" s="248"/>
      <c r="N1054" s="248"/>
      <c r="O1054" s="248"/>
    </row>
    <row r="1055">
      <c r="A1055" s="199"/>
      <c r="B1055" s="199"/>
      <c r="C1055" s="199"/>
      <c r="D1055" s="248"/>
      <c r="E1055" s="248"/>
      <c r="F1055" s="248"/>
      <c r="G1055" s="248"/>
      <c r="H1055" s="283"/>
      <c r="I1055" s="199"/>
      <c r="J1055" s="199"/>
      <c r="K1055" s="199"/>
      <c r="L1055" s="248"/>
      <c r="M1055" s="248"/>
      <c r="N1055" s="248"/>
      <c r="O1055" s="248"/>
    </row>
    <row r="1056">
      <c r="A1056" s="199"/>
      <c r="B1056" s="199"/>
      <c r="C1056" s="199"/>
      <c r="D1056" s="248"/>
      <c r="E1056" s="248"/>
      <c r="F1056" s="248"/>
      <c r="G1056" s="248"/>
      <c r="H1056" s="283"/>
      <c r="I1056" s="199"/>
      <c r="J1056" s="199"/>
      <c r="K1056" s="199"/>
      <c r="L1056" s="248"/>
      <c r="M1056" s="248"/>
      <c r="N1056" s="248"/>
      <c r="O1056" s="248"/>
    </row>
    <row r="1057">
      <c r="A1057" s="199"/>
      <c r="B1057" s="199"/>
      <c r="C1057" s="199"/>
      <c r="D1057" s="248"/>
      <c r="E1057" s="248"/>
      <c r="F1057" s="248"/>
      <c r="G1057" s="248"/>
      <c r="H1057" s="283"/>
      <c r="I1057" s="199"/>
      <c r="J1057" s="199"/>
      <c r="K1057" s="199"/>
      <c r="L1057" s="248"/>
      <c r="M1057" s="248"/>
      <c r="N1057" s="248"/>
      <c r="O1057" s="248"/>
    </row>
    <row r="1058">
      <c r="A1058" s="199"/>
      <c r="B1058" s="199"/>
      <c r="C1058" s="199"/>
      <c r="D1058" s="248"/>
      <c r="E1058" s="248"/>
      <c r="F1058" s="248"/>
      <c r="G1058" s="248"/>
      <c r="H1058" s="283"/>
      <c r="I1058" s="199"/>
      <c r="J1058" s="199"/>
      <c r="K1058" s="199"/>
      <c r="L1058" s="248"/>
      <c r="M1058" s="248"/>
      <c r="N1058" s="248"/>
      <c r="O1058" s="248"/>
    </row>
    <row r="1059">
      <c r="A1059" s="199"/>
      <c r="B1059" s="199"/>
      <c r="C1059" s="199"/>
      <c r="D1059" s="248"/>
      <c r="E1059" s="248"/>
      <c r="F1059" s="248"/>
      <c r="G1059" s="248"/>
      <c r="H1059" s="283"/>
      <c r="I1059" s="199"/>
      <c r="J1059" s="199"/>
      <c r="K1059" s="199"/>
      <c r="L1059" s="248"/>
      <c r="M1059" s="248"/>
      <c r="N1059" s="248"/>
      <c r="O1059" s="248"/>
    </row>
    <row r="1060">
      <c r="A1060" s="199"/>
      <c r="B1060" s="199"/>
      <c r="C1060" s="199"/>
      <c r="D1060" s="248"/>
      <c r="E1060" s="248"/>
      <c r="F1060" s="248"/>
      <c r="G1060" s="248"/>
      <c r="H1060" s="283"/>
      <c r="I1060" s="199"/>
      <c r="J1060" s="199"/>
      <c r="K1060" s="199"/>
      <c r="L1060" s="248"/>
      <c r="M1060" s="248"/>
      <c r="N1060" s="248"/>
      <c r="O1060" s="248"/>
    </row>
    <row r="1061">
      <c r="A1061" s="199"/>
      <c r="B1061" s="199"/>
      <c r="C1061" s="199"/>
      <c r="D1061" s="248"/>
      <c r="E1061" s="248"/>
      <c r="F1061" s="248"/>
      <c r="G1061" s="248"/>
      <c r="H1061" s="283"/>
      <c r="I1061" s="199"/>
      <c r="J1061" s="199"/>
      <c r="K1061" s="199"/>
      <c r="L1061" s="248"/>
      <c r="M1061" s="248"/>
      <c r="N1061" s="248"/>
      <c r="O1061" s="248"/>
    </row>
    <row r="1062">
      <c r="A1062" s="199"/>
      <c r="B1062" s="199"/>
      <c r="C1062" s="199"/>
      <c r="D1062" s="248"/>
      <c r="E1062" s="248"/>
      <c r="F1062" s="248"/>
      <c r="G1062" s="248"/>
      <c r="H1062" s="283"/>
      <c r="I1062" s="199"/>
      <c r="J1062" s="199"/>
      <c r="K1062" s="199"/>
      <c r="L1062" s="248"/>
      <c r="M1062" s="248"/>
      <c r="N1062" s="248"/>
      <c r="O1062" s="248"/>
    </row>
    <row r="1063">
      <c r="A1063" s="199"/>
      <c r="B1063" s="199"/>
      <c r="C1063" s="199"/>
      <c r="D1063" s="248"/>
      <c r="E1063" s="248"/>
      <c r="F1063" s="248"/>
      <c r="G1063" s="248"/>
      <c r="H1063" s="283"/>
      <c r="I1063" s="199"/>
      <c r="J1063" s="199"/>
      <c r="K1063" s="199"/>
      <c r="L1063" s="248"/>
      <c r="M1063" s="248"/>
      <c r="N1063" s="248"/>
      <c r="O1063" s="248"/>
    </row>
    <row r="1064">
      <c r="A1064" s="199"/>
      <c r="B1064" s="199"/>
      <c r="C1064" s="199"/>
      <c r="D1064" s="248"/>
      <c r="E1064" s="248"/>
      <c r="F1064" s="248"/>
      <c r="G1064" s="248"/>
      <c r="H1064" s="283"/>
      <c r="I1064" s="199"/>
      <c r="J1064" s="199"/>
      <c r="K1064" s="199"/>
      <c r="L1064" s="248"/>
      <c r="M1064" s="248"/>
      <c r="N1064" s="248"/>
      <c r="O1064" s="248"/>
    </row>
    <row r="1065">
      <c r="A1065" s="199"/>
      <c r="B1065" s="199"/>
      <c r="C1065" s="199"/>
      <c r="D1065" s="248"/>
      <c r="E1065" s="248"/>
      <c r="F1065" s="248"/>
      <c r="G1065" s="248"/>
      <c r="H1065" s="283"/>
      <c r="I1065" s="199"/>
      <c r="J1065" s="199"/>
      <c r="K1065" s="199"/>
      <c r="L1065" s="248"/>
      <c r="M1065" s="248"/>
      <c r="N1065" s="248"/>
      <c r="O1065" s="248"/>
    </row>
    <row r="1066">
      <c r="A1066" s="199"/>
      <c r="B1066" s="199"/>
      <c r="C1066" s="199"/>
      <c r="D1066" s="248"/>
      <c r="E1066" s="248"/>
      <c r="F1066" s="248"/>
      <c r="G1066" s="248"/>
      <c r="H1066" s="283"/>
      <c r="I1066" s="199"/>
      <c r="J1066" s="199"/>
      <c r="K1066" s="199"/>
      <c r="L1066" s="248"/>
      <c r="M1066" s="248"/>
      <c r="N1066" s="248"/>
      <c r="O1066" s="248"/>
    </row>
    <row r="1067">
      <c r="A1067" s="199"/>
      <c r="B1067" s="199"/>
      <c r="C1067" s="199"/>
      <c r="D1067" s="248"/>
      <c r="E1067" s="248"/>
      <c r="F1067" s="248"/>
      <c r="G1067" s="248"/>
      <c r="H1067" s="283"/>
      <c r="I1067" s="199"/>
      <c r="J1067" s="199"/>
      <c r="K1067" s="199"/>
      <c r="L1067" s="248"/>
      <c r="M1067" s="248"/>
      <c r="N1067" s="248"/>
      <c r="O1067" s="248"/>
    </row>
    <row r="1068">
      <c r="A1068" s="199"/>
      <c r="B1068" s="199"/>
      <c r="C1068" s="199"/>
      <c r="D1068" s="248"/>
      <c r="E1068" s="248"/>
      <c r="F1068" s="248"/>
      <c r="G1068" s="248"/>
      <c r="H1068" s="283"/>
      <c r="I1068" s="199"/>
      <c r="J1068" s="199"/>
      <c r="K1068" s="199"/>
      <c r="L1068" s="248"/>
      <c r="M1068" s="248"/>
      <c r="N1068" s="248"/>
      <c r="O1068" s="248"/>
    </row>
    <row r="1069">
      <c r="A1069" s="199"/>
      <c r="B1069" s="199"/>
      <c r="C1069" s="199"/>
      <c r="D1069" s="248"/>
      <c r="E1069" s="248"/>
      <c r="F1069" s="248"/>
      <c r="G1069" s="248"/>
      <c r="H1069" s="283"/>
      <c r="I1069" s="199"/>
      <c r="J1069" s="199"/>
      <c r="K1069" s="199"/>
      <c r="L1069" s="248"/>
      <c r="M1069" s="248"/>
      <c r="N1069" s="248"/>
      <c r="O1069" s="248"/>
    </row>
    <row r="1070">
      <c r="A1070" s="199"/>
      <c r="B1070" s="199"/>
      <c r="C1070" s="199"/>
      <c r="D1070" s="248"/>
      <c r="E1070" s="248"/>
      <c r="F1070" s="248"/>
      <c r="G1070" s="248"/>
      <c r="H1070" s="283"/>
      <c r="I1070" s="199"/>
      <c r="J1070" s="199"/>
      <c r="K1070" s="199"/>
      <c r="L1070" s="248"/>
      <c r="M1070" s="248"/>
      <c r="N1070" s="248"/>
      <c r="O1070" s="248"/>
    </row>
    <row r="1071">
      <c r="A1071" s="199"/>
      <c r="B1071" s="199"/>
      <c r="C1071" s="199"/>
      <c r="D1071" s="248"/>
      <c r="E1071" s="248"/>
      <c r="F1071" s="248"/>
      <c r="G1071" s="248"/>
      <c r="H1071" s="283"/>
      <c r="I1071" s="199"/>
      <c r="J1071" s="199"/>
      <c r="K1071" s="199"/>
      <c r="L1071" s="248"/>
      <c r="M1071" s="248"/>
      <c r="N1071" s="248"/>
      <c r="O1071" s="248"/>
    </row>
    <row r="1072">
      <c r="A1072" s="199"/>
      <c r="B1072" s="199"/>
      <c r="C1072" s="199"/>
      <c r="D1072" s="248"/>
      <c r="E1072" s="248"/>
      <c r="F1072" s="248"/>
      <c r="G1072" s="248"/>
      <c r="H1072" s="283"/>
      <c r="I1072" s="199"/>
      <c r="J1072" s="199"/>
      <c r="K1072" s="199"/>
      <c r="L1072" s="248"/>
      <c r="M1072" s="248"/>
      <c r="N1072" s="248"/>
      <c r="O1072" s="248"/>
    </row>
    <row r="1073">
      <c r="A1073" s="199"/>
      <c r="B1073" s="199"/>
      <c r="C1073" s="199"/>
      <c r="D1073" s="248"/>
      <c r="E1073" s="248"/>
      <c r="F1073" s="248"/>
      <c r="G1073" s="248"/>
      <c r="H1073" s="283"/>
      <c r="I1073" s="199"/>
      <c r="J1073" s="199"/>
      <c r="K1073" s="199"/>
      <c r="L1073" s="248"/>
      <c r="M1073" s="248"/>
      <c r="N1073" s="248"/>
      <c r="O1073" s="248"/>
    </row>
    <row r="1074">
      <c r="A1074" s="199"/>
      <c r="B1074" s="199"/>
      <c r="C1074" s="199"/>
      <c r="D1074" s="248"/>
      <c r="E1074" s="248"/>
      <c r="F1074" s="248"/>
      <c r="G1074" s="248"/>
      <c r="H1074" s="283"/>
      <c r="I1074" s="199"/>
      <c r="J1074" s="199"/>
      <c r="K1074" s="199"/>
      <c r="L1074" s="248"/>
      <c r="M1074" s="248"/>
      <c r="N1074" s="248"/>
      <c r="O1074" s="248"/>
    </row>
    <row r="1075">
      <c r="A1075" s="199"/>
      <c r="B1075" s="199"/>
      <c r="C1075" s="199"/>
      <c r="D1075" s="248"/>
      <c r="E1075" s="248"/>
      <c r="F1075" s="248"/>
      <c r="G1075" s="248"/>
      <c r="H1075" s="283"/>
      <c r="I1075" s="199"/>
      <c r="J1075" s="199"/>
      <c r="K1075" s="199"/>
      <c r="L1075" s="248"/>
      <c r="M1075" s="248"/>
      <c r="N1075" s="248"/>
      <c r="O1075" s="248"/>
    </row>
    <row r="1076">
      <c r="A1076" s="199"/>
      <c r="B1076" s="199"/>
      <c r="C1076" s="199"/>
      <c r="D1076" s="248"/>
      <c r="E1076" s="248"/>
      <c r="F1076" s="248"/>
      <c r="G1076" s="248"/>
      <c r="H1076" s="283"/>
      <c r="I1076" s="199"/>
      <c r="J1076" s="199"/>
      <c r="K1076" s="199"/>
      <c r="L1076" s="248"/>
      <c r="M1076" s="248"/>
      <c r="N1076" s="248"/>
      <c r="O1076" s="248"/>
    </row>
    <row r="1077">
      <c r="A1077" s="199"/>
      <c r="B1077" s="199"/>
      <c r="C1077" s="199"/>
      <c r="D1077" s="248"/>
      <c r="E1077" s="248"/>
      <c r="F1077" s="248"/>
      <c r="G1077" s="248"/>
      <c r="H1077" s="283"/>
      <c r="I1077" s="199"/>
      <c r="J1077" s="199"/>
      <c r="K1077" s="199"/>
      <c r="L1077" s="248"/>
      <c r="M1077" s="248"/>
      <c r="N1077" s="248"/>
      <c r="O1077" s="248"/>
    </row>
    <row r="1078">
      <c r="A1078" s="199"/>
      <c r="B1078" s="199"/>
      <c r="C1078" s="199"/>
      <c r="D1078" s="248"/>
      <c r="E1078" s="248"/>
      <c r="F1078" s="248"/>
      <c r="G1078" s="248"/>
      <c r="H1078" s="283"/>
      <c r="I1078" s="199"/>
      <c r="J1078" s="199"/>
      <c r="K1078" s="199"/>
      <c r="L1078" s="248"/>
      <c r="M1078" s="248"/>
      <c r="N1078" s="248"/>
      <c r="O1078" s="248"/>
    </row>
    <row r="1079">
      <c r="A1079" s="199"/>
      <c r="B1079" s="199"/>
      <c r="C1079" s="199"/>
      <c r="D1079" s="248"/>
      <c r="E1079" s="248"/>
      <c r="F1079" s="248"/>
      <c r="G1079" s="248"/>
      <c r="H1079" s="283"/>
      <c r="I1079" s="199"/>
      <c r="J1079" s="199"/>
      <c r="K1079" s="199"/>
      <c r="L1079" s="248"/>
      <c r="M1079" s="248"/>
      <c r="N1079" s="248"/>
      <c r="O1079" s="248"/>
    </row>
    <row r="1080">
      <c r="A1080" s="199"/>
      <c r="B1080" s="199"/>
      <c r="C1080" s="199"/>
      <c r="D1080" s="248"/>
      <c r="E1080" s="248"/>
      <c r="F1080" s="248"/>
      <c r="G1080" s="248"/>
      <c r="H1080" s="283"/>
      <c r="I1080" s="199"/>
      <c r="J1080" s="199"/>
      <c r="K1080" s="199"/>
      <c r="L1080" s="248"/>
      <c r="M1080" s="248"/>
      <c r="N1080" s="248"/>
      <c r="O1080" s="248"/>
    </row>
    <row r="1081">
      <c r="A1081" s="199"/>
      <c r="B1081" s="199"/>
      <c r="C1081" s="199"/>
      <c r="D1081" s="248"/>
      <c r="E1081" s="248"/>
      <c r="F1081" s="248"/>
      <c r="G1081" s="248"/>
      <c r="H1081" s="283"/>
      <c r="I1081" s="199"/>
      <c r="J1081" s="199"/>
      <c r="K1081" s="199"/>
      <c r="L1081" s="248"/>
      <c r="M1081" s="248"/>
      <c r="N1081" s="248"/>
      <c r="O1081" s="248"/>
    </row>
    <row r="1082">
      <c r="A1082" s="199"/>
      <c r="B1082" s="199"/>
      <c r="C1082" s="199"/>
      <c r="D1082" s="248"/>
      <c r="E1082" s="248"/>
      <c r="F1082" s="248"/>
      <c r="G1082" s="248"/>
      <c r="H1082" s="283"/>
      <c r="I1082" s="199"/>
      <c r="J1082" s="199"/>
      <c r="K1082" s="199"/>
      <c r="L1082" s="248"/>
      <c r="M1082" s="248"/>
      <c r="N1082" s="248"/>
      <c r="O1082" s="248"/>
    </row>
    <row r="1083">
      <c r="A1083" s="199"/>
      <c r="B1083" s="199"/>
      <c r="C1083" s="199"/>
      <c r="D1083" s="248"/>
      <c r="E1083" s="248"/>
      <c r="F1083" s="248"/>
      <c r="G1083" s="248"/>
      <c r="H1083" s="283"/>
      <c r="I1083" s="199"/>
      <c r="J1083" s="199"/>
      <c r="K1083" s="199"/>
      <c r="L1083" s="248"/>
      <c r="M1083" s="248"/>
      <c r="N1083" s="248"/>
      <c r="O1083" s="248"/>
    </row>
    <row r="1084">
      <c r="A1084" s="199"/>
      <c r="B1084" s="199"/>
      <c r="C1084" s="199"/>
      <c r="D1084" s="248"/>
      <c r="E1084" s="248"/>
      <c r="F1084" s="248"/>
      <c r="G1084" s="248"/>
      <c r="H1084" s="283"/>
      <c r="I1084" s="199"/>
      <c r="J1084" s="199"/>
      <c r="K1084" s="199"/>
      <c r="L1084" s="248"/>
      <c r="M1084" s="248"/>
      <c r="N1084" s="248"/>
      <c r="O1084" s="248"/>
    </row>
    <row r="1085">
      <c r="A1085" s="199"/>
      <c r="B1085" s="199"/>
      <c r="C1085" s="199"/>
      <c r="D1085" s="248"/>
      <c r="E1085" s="248"/>
      <c r="F1085" s="248"/>
      <c r="G1085" s="248"/>
      <c r="H1085" s="283"/>
      <c r="I1085" s="199"/>
      <c r="J1085" s="199"/>
      <c r="K1085" s="199"/>
      <c r="L1085" s="248"/>
      <c r="M1085" s="248"/>
      <c r="N1085" s="248"/>
      <c r="O1085" s="248"/>
    </row>
    <row r="1086">
      <c r="A1086" s="199"/>
      <c r="B1086" s="199"/>
      <c r="C1086" s="199"/>
      <c r="D1086" s="248"/>
      <c r="E1086" s="248"/>
      <c r="F1086" s="248"/>
      <c r="G1086" s="248"/>
      <c r="H1086" s="283"/>
      <c r="I1086" s="199"/>
      <c r="J1086" s="199"/>
      <c r="K1086" s="199"/>
      <c r="L1086" s="248"/>
      <c r="M1086" s="248"/>
      <c r="N1086" s="248"/>
      <c r="O1086" s="248"/>
    </row>
    <row r="1087">
      <c r="A1087" s="199"/>
      <c r="B1087" s="199"/>
      <c r="C1087" s="199"/>
      <c r="D1087" s="248"/>
      <c r="E1087" s="248"/>
      <c r="F1087" s="248"/>
      <c r="G1087" s="248"/>
      <c r="H1087" s="283"/>
      <c r="I1087" s="199"/>
      <c r="J1087" s="199"/>
      <c r="K1087" s="199"/>
      <c r="L1087" s="248"/>
      <c r="M1087" s="248"/>
      <c r="N1087" s="248"/>
      <c r="O1087" s="248"/>
    </row>
    <row r="1088">
      <c r="A1088" s="199"/>
      <c r="B1088" s="199"/>
      <c r="C1088" s="199"/>
      <c r="D1088" s="248"/>
      <c r="E1088" s="248"/>
      <c r="F1088" s="248"/>
      <c r="G1088" s="248"/>
      <c r="H1088" s="283"/>
      <c r="I1088" s="199"/>
      <c r="J1088" s="199"/>
      <c r="K1088" s="199"/>
      <c r="L1088" s="248"/>
      <c r="M1088" s="248"/>
      <c r="N1088" s="248"/>
      <c r="O1088" s="248"/>
    </row>
    <row r="1089">
      <c r="A1089" s="199"/>
      <c r="B1089" s="199"/>
      <c r="C1089" s="199"/>
      <c r="D1089" s="248"/>
      <c r="E1089" s="248"/>
      <c r="F1089" s="248"/>
      <c r="G1089" s="248"/>
      <c r="H1089" s="283"/>
      <c r="I1089" s="199"/>
      <c r="J1089" s="199"/>
      <c r="K1089" s="199"/>
      <c r="L1089" s="248"/>
      <c r="M1089" s="248"/>
      <c r="N1089" s="248"/>
      <c r="O1089" s="248"/>
    </row>
    <row r="1090">
      <c r="A1090" s="199"/>
      <c r="B1090" s="199"/>
      <c r="C1090" s="199"/>
      <c r="D1090" s="248"/>
      <c r="E1090" s="248"/>
      <c r="F1090" s="248"/>
      <c r="G1090" s="248"/>
      <c r="H1090" s="283"/>
      <c r="I1090" s="199"/>
      <c r="J1090" s="199"/>
      <c r="K1090" s="199"/>
      <c r="L1090" s="248"/>
      <c r="M1090" s="248"/>
      <c r="N1090" s="248"/>
      <c r="O1090" s="248"/>
    </row>
    <row r="1091">
      <c r="A1091" s="199"/>
      <c r="B1091" s="199"/>
      <c r="C1091" s="199"/>
      <c r="D1091" s="248"/>
      <c r="E1091" s="248"/>
      <c r="F1091" s="248"/>
      <c r="G1091" s="248"/>
      <c r="H1091" s="283"/>
      <c r="I1091" s="199"/>
      <c r="J1091" s="199"/>
      <c r="K1091" s="199"/>
      <c r="L1091" s="248"/>
      <c r="M1091" s="248"/>
      <c r="N1091" s="248"/>
      <c r="O1091" s="248"/>
    </row>
    <row r="1092">
      <c r="A1092" s="199"/>
      <c r="B1092" s="199"/>
      <c r="C1092" s="199"/>
      <c r="D1092" s="248"/>
      <c r="E1092" s="248"/>
      <c r="F1092" s="248"/>
      <c r="G1092" s="248"/>
      <c r="H1092" s="283"/>
      <c r="I1092" s="199"/>
      <c r="J1092" s="199"/>
      <c r="K1092" s="199"/>
      <c r="L1092" s="248"/>
      <c r="M1092" s="248"/>
      <c r="N1092" s="248"/>
      <c r="O1092" s="248"/>
    </row>
    <row r="1093">
      <c r="A1093" s="199"/>
      <c r="B1093" s="199"/>
      <c r="C1093" s="199"/>
      <c r="D1093" s="248"/>
      <c r="E1093" s="248"/>
      <c r="F1093" s="248"/>
      <c r="G1093" s="248"/>
      <c r="H1093" s="283"/>
      <c r="I1093" s="199"/>
      <c r="J1093" s="199"/>
      <c r="K1093" s="199"/>
      <c r="L1093" s="248"/>
      <c r="M1093" s="248"/>
      <c r="N1093" s="248"/>
      <c r="O1093" s="248"/>
    </row>
    <row r="1094">
      <c r="A1094" s="199"/>
      <c r="B1094" s="199"/>
      <c r="C1094" s="199"/>
      <c r="D1094" s="248"/>
      <c r="E1094" s="248"/>
      <c r="F1094" s="248"/>
      <c r="G1094" s="248"/>
      <c r="H1094" s="283"/>
      <c r="I1094" s="199"/>
      <c r="J1094" s="199"/>
      <c r="K1094" s="199"/>
      <c r="L1094" s="248"/>
      <c r="M1094" s="248"/>
      <c r="N1094" s="248"/>
      <c r="O1094" s="248"/>
    </row>
    <row r="1095">
      <c r="A1095" s="199"/>
      <c r="B1095" s="199"/>
      <c r="C1095" s="199"/>
      <c r="D1095" s="248"/>
      <c r="E1095" s="248"/>
      <c r="F1095" s="248"/>
      <c r="G1095" s="248"/>
      <c r="H1095" s="283"/>
      <c r="I1095" s="199"/>
      <c r="J1095" s="199"/>
      <c r="K1095" s="199"/>
      <c r="L1095" s="248"/>
      <c r="M1095" s="248"/>
      <c r="N1095" s="248"/>
      <c r="O1095" s="248"/>
    </row>
    <row r="1096">
      <c r="A1096" s="199"/>
      <c r="B1096" s="199"/>
      <c r="C1096" s="199"/>
      <c r="D1096" s="248"/>
      <c r="E1096" s="248"/>
      <c r="F1096" s="248"/>
      <c r="G1096" s="248"/>
      <c r="H1096" s="283"/>
      <c r="I1096" s="199"/>
      <c r="J1096" s="199"/>
      <c r="K1096" s="199"/>
      <c r="L1096" s="248"/>
      <c r="M1096" s="248"/>
      <c r="N1096" s="248"/>
      <c r="O1096" s="248"/>
    </row>
    <row r="1097">
      <c r="A1097" s="199"/>
      <c r="B1097" s="199"/>
      <c r="C1097" s="199"/>
      <c r="D1097" s="248"/>
      <c r="E1097" s="248"/>
      <c r="F1097" s="248"/>
      <c r="G1097" s="248"/>
      <c r="H1097" s="283"/>
      <c r="I1097" s="199"/>
      <c r="J1097" s="199"/>
      <c r="K1097" s="199"/>
      <c r="L1097" s="248"/>
      <c r="M1097" s="248"/>
      <c r="N1097" s="248"/>
      <c r="O1097" s="248"/>
    </row>
    <row r="1098">
      <c r="A1098" s="199"/>
      <c r="B1098" s="199"/>
      <c r="C1098" s="199"/>
      <c r="D1098" s="248"/>
      <c r="E1098" s="248"/>
      <c r="F1098" s="248"/>
      <c r="G1098" s="248"/>
      <c r="H1098" s="283"/>
      <c r="I1098" s="199"/>
      <c r="J1098" s="199"/>
      <c r="K1098" s="199"/>
      <c r="L1098" s="248"/>
      <c r="M1098" s="248"/>
      <c r="N1098" s="248"/>
      <c r="O1098" s="248"/>
    </row>
    <row r="1099">
      <c r="A1099" s="199"/>
      <c r="B1099" s="199"/>
      <c r="C1099" s="199"/>
      <c r="D1099" s="248"/>
      <c r="E1099" s="248"/>
      <c r="F1099" s="248"/>
      <c r="G1099" s="248"/>
      <c r="H1099" s="283"/>
      <c r="I1099" s="199"/>
      <c r="J1099" s="199"/>
      <c r="K1099" s="199"/>
      <c r="L1099" s="248"/>
      <c r="M1099" s="248"/>
      <c r="N1099" s="248"/>
      <c r="O1099" s="248"/>
    </row>
    <row r="1100">
      <c r="A1100" s="199"/>
      <c r="B1100" s="199"/>
      <c r="C1100" s="199"/>
      <c r="D1100" s="248"/>
      <c r="E1100" s="248"/>
      <c r="F1100" s="248"/>
      <c r="G1100" s="248"/>
      <c r="H1100" s="283"/>
      <c r="I1100" s="199"/>
      <c r="J1100" s="199"/>
      <c r="K1100" s="199"/>
      <c r="L1100" s="248"/>
      <c r="M1100" s="248"/>
      <c r="N1100" s="248"/>
      <c r="O1100" s="248"/>
    </row>
    <row r="1101">
      <c r="A1101" s="199"/>
      <c r="B1101" s="199"/>
      <c r="C1101" s="199"/>
      <c r="D1101" s="248"/>
      <c r="E1101" s="248"/>
      <c r="F1101" s="248"/>
      <c r="G1101" s="248"/>
      <c r="H1101" s="283"/>
      <c r="I1101" s="199"/>
      <c r="J1101" s="199"/>
      <c r="K1101" s="199"/>
      <c r="L1101" s="248"/>
      <c r="M1101" s="248"/>
      <c r="N1101" s="248"/>
      <c r="O1101" s="248"/>
    </row>
    <row r="1102">
      <c r="A1102" s="199"/>
      <c r="B1102" s="199"/>
      <c r="C1102" s="199"/>
      <c r="D1102" s="248"/>
      <c r="E1102" s="248"/>
      <c r="F1102" s="248"/>
      <c r="G1102" s="248"/>
      <c r="H1102" s="283"/>
      <c r="I1102" s="199"/>
      <c r="J1102" s="199"/>
      <c r="K1102" s="199"/>
      <c r="L1102" s="248"/>
      <c r="M1102" s="248"/>
      <c r="N1102" s="248"/>
      <c r="O1102" s="248"/>
    </row>
    <row r="1103">
      <c r="A1103" s="199"/>
      <c r="B1103" s="199"/>
      <c r="C1103" s="199"/>
      <c r="D1103" s="248"/>
      <c r="E1103" s="248"/>
      <c r="F1103" s="248"/>
      <c r="G1103" s="248"/>
      <c r="H1103" s="283"/>
      <c r="I1103" s="199"/>
      <c r="J1103" s="199"/>
      <c r="K1103" s="199"/>
      <c r="L1103" s="248"/>
      <c r="M1103" s="248"/>
      <c r="N1103" s="248"/>
      <c r="O1103" s="248"/>
    </row>
    <row r="1104">
      <c r="A1104" s="199"/>
      <c r="B1104" s="199"/>
      <c r="C1104" s="199"/>
      <c r="D1104" s="248"/>
      <c r="E1104" s="248"/>
      <c r="F1104" s="248"/>
      <c r="G1104" s="248"/>
      <c r="H1104" s="283"/>
      <c r="I1104" s="199"/>
      <c r="J1104" s="199"/>
      <c r="K1104" s="199"/>
      <c r="L1104" s="248"/>
      <c r="M1104" s="248"/>
      <c r="N1104" s="248"/>
      <c r="O1104" s="248"/>
    </row>
    <row r="1105">
      <c r="A1105" s="199"/>
      <c r="B1105" s="199"/>
      <c r="C1105" s="199"/>
      <c r="D1105" s="248"/>
      <c r="E1105" s="248"/>
      <c r="F1105" s="248"/>
      <c r="G1105" s="248"/>
      <c r="H1105" s="283"/>
      <c r="I1105" s="199"/>
      <c r="J1105" s="199"/>
      <c r="K1105" s="199"/>
      <c r="L1105" s="248"/>
      <c r="M1105" s="248"/>
      <c r="N1105" s="248"/>
      <c r="O1105" s="248"/>
    </row>
    <row r="1106">
      <c r="A1106" s="199"/>
      <c r="B1106" s="199"/>
      <c r="C1106" s="199"/>
      <c r="D1106" s="248"/>
      <c r="E1106" s="248"/>
      <c r="F1106" s="248"/>
      <c r="G1106" s="248"/>
      <c r="H1106" s="283"/>
      <c r="I1106" s="199"/>
      <c r="J1106" s="199"/>
      <c r="K1106" s="199"/>
      <c r="L1106" s="248"/>
      <c r="M1106" s="248"/>
      <c r="N1106" s="248"/>
      <c r="O1106" s="248"/>
    </row>
    <row r="1107">
      <c r="A1107" s="199"/>
      <c r="B1107" s="199"/>
      <c r="C1107" s="199"/>
      <c r="D1107" s="248"/>
      <c r="E1107" s="248"/>
      <c r="F1107" s="248"/>
      <c r="G1107" s="248"/>
      <c r="H1107" s="283"/>
      <c r="I1107" s="199"/>
      <c r="J1107" s="199"/>
      <c r="K1107" s="199"/>
      <c r="L1107" s="248"/>
      <c r="M1107" s="248"/>
      <c r="N1107" s="248"/>
      <c r="O1107" s="248"/>
    </row>
    <row r="1108">
      <c r="A1108" s="199"/>
      <c r="B1108" s="199"/>
      <c r="C1108" s="199"/>
      <c r="D1108" s="248"/>
      <c r="E1108" s="248"/>
      <c r="F1108" s="248"/>
      <c r="G1108" s="248"/>
      <c r="H1108" s="283"/>
      <c r="I1108" s="199"/>
      <c r="J1108" s="199"/>
      <c r="K1108" s="199"/>
      <c r="L1108" s="248"/>
      <c r="M1108" s="248"/>
      <c r="N1108" s="248"/>
      <c r="O1108" s="248"/>
    </row>
    <row r="1109">
      <c r="A1109" s="199"/>
      <c r="B1109" s="199"/>
      <c r="C1109" s="199"/>
      <c r="D1109" s="248"/>
      <c r="E1109" s="248"/>
      <c r="F1109" s="248"/>
      <c r="G1109" s="248"/>
      <c r="H1109" s="283"/>
      <c r="I1109" s="199"/>
      <c r="J1109" s="199"/>
      <c r="K1109" s="199"/>
      <c r="L1109" s="248"/>
      <c r="M1109" s="248"/>
      <c r="N1109" s="248"/>
      <c r="O1109" s="248"/>
    </row>
    <row r="1110">
      <c r="A1110" s="199"/>
      <c r="B1110" s="199"/>
      <c r="C1110" s="199"/>
      <c r="D1110" s="248"/>
      <c r="E1110" s="248"/>
      <c r="F1110" s="248"/>
      <c r="G1110" s="248"/>
      <c r="H1110" s="283"/>
      <c r="I1110" s="199"/>
      <c r="J1110" s="199"/>
      <c r="K1110" s="199"/>
      <c r="L1110" s="248"/>
      <c r="M1110" s="248"/>
      <c r="N1110" s="248"/>
      <c r="O1110" s="248"/>
    </row>
    <row r="1111">
      <c r="A1111" s="199"/>
      <c r="B1111" s="199"/>
      <c r="C1111" s="199"/>
      <c r="D1111" s="248"/>
      <c r="E1111" s="248"/>
      <c r="F1111" s="248"/>
      <c r="G1111" s="248"/>
      <c r="H1111" s="283"/>
      <c r="I1111" s="199"/>
      <c r="J1111" s="199"/>
      <c r="K1111" s="199"/>
      <c r="L1111" s="248"/>
      <c r="M1111" s="248"/>
      <c r="N1111" s="248"/>
      <c r="O1111" s="248"/>
    </row>
    <row r="1112">
      <c r="A1112" s="199"/>
      <c r="B1112" s="199"/>
      <c r="C1112" s="199"/>
      <c r="D1112" s="248"/>
      <c r="E1112" s="248"/>
      <c r="F1112" s="248"/>
      <c r="G1112" s="248"/>
      <c r="H1112" s="283"/>
      <c r="I1112" s="199"/>
      <c r="J1112" s="199"/>
      <c r="K1112" s="199"/>
      <c r="L1112" s="248"/>
      <c r="M1112" s="248"/>
      <c r="N1112" s="248"/>
      <c r="O1112" s="248"/>
    </row>
    <row r="1113">
      <c r="A1113" s="199"/>
      <c r="B1113" s="199"/>
      <c r="C1113" s="199"/>
      <c r="D1113" s="248"/>
      <c r="E1113" s="248"/>
      <c r="F1113" s="248"/>
      <c r="G1113" s="248"/>
      <c r="H1113" s="283"/>
      <c r="I1113" s="199"/>
      <c r="J1113" s="199"/>
      <c r="K1113" s="199"/>
      <c r="L1113" s="248"/>
      <c r="M1113" s="248"/>
      <c r="N1113" s="248"/>
      <c r="O1113" s="248"/>
    </row>
    <row r="1114">
      <c r="A1114" s="199"/>
      <c r="B1114" s="199"/>
      <c r="C1114" s="199"/>
      <c r="D1114" s="248"/>
      <c r="E1114" s="248"/>
      <c r="F1114" s="248"/>
      <c r="G1114" s="248"/>
      <c r="H1114" s="283"/>
      <c r="I1114" s="199"/>
      <c r="J1114" s="199"/>
      <c r="K1114" s="199"/>
      <c r="L1114" s="248"/>
      <c r="M1114" s="248"/>
      <c r="N1114" s="248"/>
      <c r="O1114" s="248"/>
    </row>
    <row r="1115">
      <c r="A1115" s="199"/>
      <c r="B1115" s="199"/>
      <c r="C1115" s="199"/>
      <c r="D1115" s="248"/>
      <c r="E1115" s="248"/>
      <c r="F1115" s="248"/>
      <c r="G1115" s="248"/>
      <c r="H1115" s="283"/>
      <c r="I1115" s="199"/>
      <c r="J1115" s="199"/>
      <c r="K1115" s="199"/>
      <c r="L1115" s="248"/>
      <c r="M1115" s="248"/>
      <c r="N1115" s="248"/>
      <c r="O1115" s="248"/>
    </row>
    <row r="1116">
      <c r="A1116" s="199"/>
      <c r="B1116" s="199"/>
      <c r="C1116" s="199"/>
      <c r="D1116" s="248"/>
      <c r="E1116" s="248"/>
      <c r="F1116" s="248"/>
      <c r="G1116" s="248"/>
      <c r="H1116" s="283"/>
      <c r="I1116" s="199"/>
      <c r="J1116" s="199"/>
      <c r="K1116" s="199"/>
      <c r="L1116" s="248"/>
      <c r="M1116" s="248"/>
      <c r="N1116" s="248"/>
      <c r="O1116" s="248"/>
    </row>
    <row r="1117">
      <c r="A1117" s="199"/>
      <c r="B1117" s="199"/>
      <c r="C1117" s="199"/>
      <c r="D1117" s="248"/>
      <c r="E1117" s="248"/>
      <c r="F1117" s="248"/>
      <c r="G1117" s="248"/>
      <c r="H1117" s="283"/>
      <c r="I1117" s="199"/>
      <c r="J1117" s="199"/>
      <c r="K1117" s="199"/>
      <c r="L1117" s="248"/>
      <c r="M1117" s="248"/>
      <c r="N1117" s="248"/>
      <c r="O1117" s="248"/>
    </row>
    <row r="1118">
      <c r="A1118" s="199"/>
      <c r="B1118" s="199"/>
      <c r="C1118" s="199"/>
      <c r="D1118" s="248"/>
      <c r="E1118" s="248"/>
      <c r="F1118" s="248"/>
      <c r="G1118" s="248"/>
      <c r="H1118" s="283"/>
      <c r="I1118" s="199"/>
      <c r="J1118" s="199"/>
      <c r="K1118" s="199"/>
      <c r="L1118" s="248"/>
      <c r="M1118" s="248"/>
      <c r="N1118" s="248"/>
      <c r="O1118" s="248"/>
    </row>
    <row r="1119">
      <c r="A1119" s="199"/>
      <c r="B1119" s="199"/>
      <c r="C1119" s="199"/>
      <c r="D1119" s="248"/>
      <c r="E1119" s="248"/>
      <c r="F1119" s="248"/>
      <c r="G1119" s="248"/>
      <c r="H1119" s="283"/>
      <c r="I1119" s="199"/>
      <c r="J1119" s="199"/>
      <c r="K1119" s="199"/>
      <c r="L1119" s="248"/>
      <c r="M1119" s="248"/>
      <c r="N1119" s="248"/>
      <c r="O1119" s="248"/>
    </row>
    <row r="1120">
      <c r="A1120" s="199"/>
      <c r="B1120" s="199"/>
      <c r="C1120" s="199"/>
      <c r="D1120" s="248"/>
      <c r="E1120" s="248"/>
      <c r="F1120" s="248"/>
      <c r="G1120" s="248"/>
      <c r="H1120" s="283"/>
      <c r="I1120" s="199"/>
      <c r="J1120" s="199"/>
      <c r="K1120" s="199"/>
      <c r="L1120" s="248"/>
      <c r="M1120" s="248"/>
      <c r="N1120" s="248"/>
      <c r="O1120" s="248"/>
    </row>
    <row r="1121">
      <c r="A1121" s="199"/>
      <c r="B1121" s="199"/>
      <c r="C1121" s="199"/>
      <c r="D1121" s="248"/>
      <c r="E1121" s="248"/>
      <c r="F1121" s="248"/>
      <c r="G1121" s="248"/>
      <c r="H1121" s="283"/>
      <c r="I1121" s="199"/>
      <c r="J1121" s="199"/>
      <c r="K1121" s="199"/>
      <c r="L1121" s="248"/>
      <c r="M1121" s="248"/>
      <c r="N1121" s="248"/>
      <c r="O1121" s="248"/>
    </row>
    <row r="1122">
      <c r="A1122" s="199"/>
      <c r="B1122" s="199"/>
      <c r="C1122" s="199"/>
      <c r="D1122" s="248"/>
      <c r="E1122" s="248"/>
      <c r="F1122" s="248"/>
      <c r="G1122" s="248"/>
      <c r="H1122" s="283"/>
      <c r="I1122" s="199"/>
      <c r="J1122" s="199"/>
      <c r="K1122" s="199"/>
      <c r="L1122" s="248"/>
      <c r="M1122" s="248"/>
      <c r="N1122" s="248"/>
      <c r="O1122" s="248"/>
    </row>
    <row r="1123">
      <c r="A1123" s="199"/>
      <c r="B1123" s="199"/>
      <c r="C1123" s="199"/>
      <c r="D1123" s="248"/>
      <c r="E1123" s="248"/>
      <c r="F1123" s="248"/>
      <c r="G1123" s="248"/>
      <c r="H1123" s="283"/>
      <c r="I1123" s="199"/>
      <c r="J1123" s="199"/>
      <c r="K1123" s="199"/>
      <c r="L1123" s="248"/>
      <c r="M1123" s="248"/>
      <c r="N1123" s="248"/>
      <c r="O1123" s="248"/>
    </row>
    <row r="1124">
      <c r="A1124" s="199"/>
      <c r="B1124" s="199"/>
      <c r="C1124" s="199"/>
      <c r="D1124" s="248"/>
      <c r="E1124" s="248"/>
      <c r="F1124" s="248"/>
      <c r="G1124" s="248"/>
      <c r="H1124" s="283"/>
      <c r="I1124" s="199"/>
      <c r="J1124" s="199"/>
      <c r="K1124" s="199"/>
      <c r="L1124" s="248"/>
      <c r="M1124" s="248"/>
      <c r="N1124" s="248"/>
      <c r="O1124" s="248"/>
    </row>
    <row r="1125">
      <c r="A1125" s="199"/>
      <c r="B1125" s="199"/>
      <c r="C1125" s="199"/>
      <c r="D1125" s="248"/>
      <c r="E1125" s="248"/>
      <c r="F1125" s="248"/>
      <c r="G1125" s="248"/>
      <c r="H1125" s="283"/>
      <c r="I1125" s="199"/>
      <c r="J1125" s="199"/>
      <c r="K1125" s="199"/>
      <c r="L1125" s="248"/>
      <c r="M1125" s="248"/>
      <c r="N1125" s="248"/>
      <c r="O1125" s="248"/>
    </row>
    <row r="1126">
      <c r="A1126" s="199"/>
      <c r="B1126" s="199"/>
      <c r="C1126" s="199"/>
      <c r="D1126" s="248"/>
      <c r="E1126" s="248"/>
      <c r="F1126" s="248"/>
      <c r="G1126" s="248"/>
      <c r="H1126" s="283"/>
      <c r="I1126" s="199"/>
      <c r="J1126" s="199"/>
      <c r="K1126" s="199"/>
      <c r="L1126" s="248"/>
      <c r="M1126" s="248"/>
      <c r="N1126" s="248"/>
      <c r="O1126" s="248"/>
    </row>
    <row r="1127">
      <c r="A1127" s="199"/>
      <c r="B1127" s="199"/>
      <c r="C1127" s="199"/>
      <c r="D1127" s="248"/>
      <c r="E1127" s="248"/>
      <c r="F1127" s="248"/>
      <c r="G1127" s="248"/>
      <c r="H1127" s="283"/>
      <c r="I1127" s="199"/>
      <c r="J1127" s="199"/>
      <c r="K1127" s="199"/>
      <c r="L1127" s="248"/>
      <c r="M1127" s="248"/>
      <c r="N1127" s="248"/>
      <c r="O1127" s="248"/>
    </row>
    <row r="1128">
      <c r="A1128" s="199"/>
      <c r="B1128" s="199"/>
      <c r="C1128" s="199"/>
      <c r="D1128" s="248"/>
      <c r="E1128" s="248"/>
      <c r="F1128" s="248"/>
      <c r="G1128" s="248"/>
      <c r="H1128" s="283"/>
      <c r="I1128" s="199"/>
      <c r="J1128" s="199"/>
      <c r="K1128" s="199"/>
      <c r="L1128" s="248"/>
      <c r="M1128" s="248"/>
      <c r="N1128" s="248"/>
      <c r="O1128" s="248"/>
    </row>
    <row r="1129">
      <c r="A1129" s="199"/>
      <c r="B1129" s="199"/>
      <c r="C1129" s="199"/>
      <c r="D1129" s="248"/>
      <c r="E1129" s="248"/>
      <c r="F1129" s="248"/>
      <c r="G1129" s="248"/>
      <c r="H1129" s="283"/>
      <c r="I1129" s="199"/>
      <c r="J1129" s="199"/>
      <c r="K1129" s="199"/>
      <c r="L1129" s="248"/>
      <c r="M1129" s="248"/>
      <c r="N1129" s="248"/>
      <c r="O1129" s="248"/>
    </row>
    <row r="1130">
      <c r="A1130" s="199"/>
      <c r="B1130" s="199"/>
      <c r="C1130" s="199"/>
      <c r="D1130" s="248"/>
      <c r="E1130" s="248"/>
      <c r="F1130" s="248"/>
      <c r="G1130" s="248"/>
      <c r="H1130" s="283"/>
      <c r="I1130" s="199"/>
      <c r="J1130" s="199"/>
      <c r="K1130" s="199"/>
      <c r="L1130" s="248"/>
      <c r="M1130" s="248"/>
      <c r="N1130" s="248"/>
      <c r="O1130" s="248"/>
    </row>
    <row r="1131">
      <c r="A1131" s="199"/>
      <c r="B1131" s="199"/>
      <c r="C1131" s="199"/>
      <c r="D1131" s="248"/>
      <c r="E1131" s="248"/>
      <c r="F1131" s="248"/>
      <c r="G1131" s="248"/>
      <c r="H1131" s="283"/>
      <c r="I1131" s="199"/>
      <c r="J1131" s="199"/>
      <c r="K1131" s="199"/>
      <c r="L1131" s="248"/>
      <c r="M1131" s="248"/>
      <c r="N1131" s="248"/>
      <c r="O1131" s="248"/>
    </row>
    <row r="1132">
      <c r="A1132" s="199"/>
      <c r="B1132" s="199"/>
      <c r="C1132" s="199"/>
      <c r="D1132" s="248"/>
      <c r="E1132" s="248"/>
      <c r="F1132" s="248"/>
      <c r="G1132" s="248"/>
      <c r="H1132" s="283"/>
      <c r="I1132" s="199"/>
      <c r="J1132" s="199"/>
      <c r="K1132" s="199"/>
      <c r="L1132" s="248"/>
      <c r="M1132" s="248"/>
      <c r="N1132" s="248"/>
      <c r="O1132" s="248"/>
    </row>
    <row r="1133">
      <c r="A1133" s="199"/>
      <c r="B1133" s="199"/>
      <c r="C1133" s="199"/>
      <c r="D1133" s="248"/>
      <c r="E1133" s="248"/>
      <c r="F1133" s="248"/>
      <c r="G1133" s="248"/>
      <c r="H1133" s="283"/>
      <c r="I1133" s="199"/>
      <c r="J1133" s="199"/>
      <c r="K1133" s="199"/>
      <c r="L1133" s="248"/>
      <c r="M1133" s="248"/>
      <c r="N1133" s="248"/>
      <c r="O1133" s="248"/>
    </row>
    <row r="1134">
      <c r="A1134" s="199"/>
      <c r="B1134" s="199"/>
      <c r="C1134" s="199"/>
      <c r="D1134" s="248"/>
      <c r="E1134" s="248"/>
      <c r="F1134" s="248"/>
      <c r="G1134" s="248"/>
      <c r="H1134" s="283"/>
      <c r="I1134" s="199"/>
      <c r="J1134" s="199"/>
      <c r="K1134" s="199"/>
      <c r="L1134" s="248"/>
      <c r="M1134" s="248"/>
      <c r="N1134" s="248"/>
      <c r="O1134" s="248"/>
    </row>
    <row r="1135">
      <c r="A1135" s="199"/>
      <c r="B1135" s="199"/>
      <c r="C1135" s="199"/>
      <c r="D1135" s="248"/>
      <c r="E1135" s="248"/>
      <c r="F1135" s="248"/>
      <c r="G1135" s="248"/>
      <c r="H1135" s="283"/>
      <c r="I1135" s="199"/>
      <c r="J1135" s="199"/>
      <c r="K1135" s="199"/>
      <c r="L1135" s="248"/>
      <c r="M1135" s="248"/>
      <c r="N1135" s="248"/>
      <c r="O1135" s="248"/>
    </row>
    <row r="1136">
      <c r="A1136" s="199"/>
      <c r="B1136" s="199"/>
      <c r="C1136" s="199"/>
      <c r="D1136" s="248"/>
      <c r="E1136" s="248"/>
      <c r="F1136" s="248"/>
      <c r="G1136" s="248"/>
      <c r="H1136" s="283"/>
      <c r="I1136" s="199"/>
      <c r="J1136" s="199"/>
      <c r="K1136" s="199"/>
      <c r="L1136" s="248"/>
      <c r="M1136" s="248"/>
      <c r="N1136" s="248"/>
      <c r="O1136" s="248"/>
    </row>
    <row r="1137">
      <c r="A1137" s="199"/>
      <c r="B1137" s="199"/>
      <c r="C1137" s="199"/>
      <c r="D1137" s="248"/>
      <c r="E1137" s="248"/>
      <c r="F1137" s="248"/>
      <c r="G1137" s="248"/>
      <c r="H1137" s="283"/>
      <c r="I1137" s="199"/>
      <c r="J1137" s="199"/>
      <c r="K1137" s="199"/>
      <c r="L1137" s="248"/>
      <c r="M1137" s="248"/>
      <c r="N1137" s="248"/>
      <c r="O1137" s="248"/>
    </row>
    <row r="1138">
      <c r="A1138" s="199"/>
      <c r="B1138" s="199"/>
      <c r="C1138" s="199"/>
      <c r="D1138" s="248"/>
      <c r="E1138" s="248"/>
      <c r="F1138" s="248"/>
      <c r="G1138" s="248"/>
      <c r="H1138" s="283"/>
      <c r="I1138" s="199"/>
      <c r="J1138" s="199"/>
      <c r="K1138" s="199"/>
      <c r="L1138" s="248"/>
      <c r="M1138" s="248"/>
      <c r="N1138" s="248"/>
      <c r="O1138" s="248"/>
    </row>
    <row r="1139">
      <c r="A1139" s="199"/>
      <c r="B1139" s="199"/>
      <c r="C1139" s="199"/>
      <c r="D1139" s="248"/>
      <c r="E1139" s="248"/>
      <c r="F1139" s="248"/>
      <c r="G1139" s="248"/>
      <c r="H1139" s="283"/>
      <c r="I1139" s="199"/>
      <c r="J1139" s="199"/>
      <c r="K1139" s="199"/>
      <c r="L1139" s="248"/>
      <c r="M1139" s="248"/>
      <c r="N1139" s="248"/>
      <c r="O1139" s="248"/>
    </row>
    <row r="1140">
      <c r="A1140" s="199"/>
      <c r="B1140" s="199"/>
      <c r="C1140" s="199"/>
      <c r="D1140" s="248"/>
      <c r="E1140" s="248"/>
      <c r="F1140" s="248"/>
      <c r="G1140" s="248"/>
      <c r="H1140" s="283"/>
      <c r="I1140" s="199"/>
      <c r="J1140" s="199"/>
      <c r="K1140" s="199"/>
      <c r="L1140" s="248"/>
      <c r="M1140" s="248"/>
      <c r="N1140" s="248"/>
      <c r="O1140" s="248"/>
    </row>
    <row r="1141">
      <c r="A1141" s="199"/>
      <c r="B1141" s="199"/>
      <c r="C1141" s="199"/>
      <c r="D1141" s="248"/>
      <c r="E1141" s="248"/>
      <c r="F1141" s="248"/>
      <c r="G1141" s="248"/>
      <c r="H1141" s="283"/>
      <c r="I1141" s="199"/>
      <c r="J1141" s="199"/>
      <c r="K1141" s="199"/>
      <c r="L1141" s="248"/>
      <c r="M1141" s="248"/>
      <c r="N1141" s="248"/>
      <c r="O1141" s="248"/>
    </row>
    <row r="1142">
      <c r="A1142" s="199"/>
      <c r="B1142" s="199"/>
      <c r="C1142" s="199"/>
      <c r="D1142" s="248"/>
      <c r="E1142" s="248"/>
      <c r="F1142" s="248"/>
      <c r="G1142" s="248"/>
      <c r="H1142" s="283"/>
      <c r="I1142" s="199"/>
      <c r="J1142" s="199"/>
      <c r="K1142" s="199"/>
      <c r="L1142" s="248"/>
      <c r="M1142" s="248"/>
      <c r="N1142" s="248"/>
      <c r="O1142" s="248"/>
    </row>
    <row r="1143">
      <c r="A1143" s="199"/>
      <c r="B1143" s="199"/>
      <c r="C1143" s="199"/>
      <c r="D1143" s="248"/>
      <c r="E1143" s="248"/>
      <c r="F1143" s="248"/>
      <c r="G1143" s="248"/>
      <c r="H1143" s="283"/>
      <c r="I1143" s="199"/>
      <c r="J1143" s="199"/>
      <c r="K1143" s="199"/>
      <c r="L1143" s="248"/>
      <c r="M1143" s="248"/>
      <c r="N1143" s="248"/>
      <c r="O1143" s="248"/>
    </row>
    <row r="1144">
      <c r="A1144" s="199"/>
      <c r="B1144" s="199"/>
      <c r="C1144" s="199"/>
      <c r="D1144" s="248"/>
      <c r="E1144" s="248"/>
      <c r="F1144" s="248"/>
      <c r="G1144" s="248"/>
      <c r="H1144" s="283"/>
      <c r="I1144" s="199"/>
      <c r="J1144" s="199"/>
      <c r="K1144" s="199"/>
      <c r="L1144" s="248"/>
      <c r="M1144" s="248"/>
      <c r="N1144" s="248"/>
      <c r="O1144" s="248"/>
    </row>
    <row r="1145">
      <c r="A1145" s="199"/>
      <c r="B1145" s="199"/>
      <c r="C1145" s="199"/>
      <c r="D1145" s="248"/>
      <c r="E1145" s="248"/>
      <c r="F1145" s="248"/>
      <c r="G1145" s="248"/>
      <c r="H1145" s="283"/>
      <c r="I1145" s="199"/>
      <c r="J1145" s="199"/>
      <c r="K1145" s="199"/>
      <c r="L1145" s="248"/>
      <c r="M1145" s="248"/>
      <c r="N1145" s="248"/>
      <c r="O1145" s="248"/>
    </row>
    <row r="1146">
      <c r="A1146" s="199"/>
      <c r="B1146" s="199"/>
      <c r="C1146" s="199"/>
      <c r="D1146" s="248"/>
      <c r="E1146" s="248"/>
      <c r="F1146" s="248"/>
      <c r="G1146" s="248"/>
      <c r="H1146" s="283"/>
      <c r="I1146" s="199"/>
      <c r="J1146" s="199"/>
      <c r="K1146" s="199"/>
      <c r="L1146" s="248"/>
      <c r="M1146" s="248"/>
      <c r="N1146" s="248"/>
      <c r="O1146" s="248"/>
    </row>
    <row r="1147">
      <c r="A1147" s="199"/>
      <c r="B1147" s="199"/>
      <c r="C1147" s="199"/>
      <c r="D1147" s="248"/>
      <c r="E1147" s="248"/>
      <c r="F1147" s="248"/>
      <c r="G1147" s="248"/>
      <c r="H1147" s="283"/>
      <c r="I1147" s="199"/>
      <c r="J1147" s="199"/>
      <c r="K1147" s="199"/>
      <c r="L1147" s="248"/>
      <c r="M1147" s="248"/>
      <c r="N1147" s="248"/>
      <c r="O1147" s="248"/>
    </row>
    <row r="1148">
      <c r="A1148" s="199"/>
      <c r="B1148" s="199"/>
      <c r="C1148" s="199"/>
      <c r="D1148" s="248"/>
      <c r="E1148" s="248"/>
      <c r="F1148" s="248"/>
      <c r="G1148" s="248"/>
      <c r="H1148" s="283"/>
      <c r="I1148" s="199"/>
      <c r="J1148" s="199"/>
      <c r="K1148" s="199"/>
      <c r="L1148" s="248"/>
      <c r="M1148" s="248"/>
      <c r="N1148" s="248"/>
      <c r="O1148" s="248"/>
    </row>
    <row r="1149">
      <c r="A1149" s="199"/>
      <c r="B1149" s="199"/>
      <c r="C1149" s="199"/>
      <c r="D1149" s="248"/>
      <c r="E1149" s="248"/>
      <c r="F1149" s="248"/>
      <c r="G1149" s="248"/>
      <c r="H1149" s="283"/>
      <c r="I1149" s="199"/>
      <c r="J1149" s="199"/>
      <c r="K1149" s="199"/>
      <c r="L1149" s="248"/>
      <c r="M1149" s="248"/>
      <c r="N1149" s="248"/>
      <c r="O1149" s="248"/>
    </row>
    <row r="1150">
      <c r="A1150" s="199"/>
      <c r="B1150" s="199"/>
      <c r="C1150" s="199"/>
      <c r="D1150" s="248"/>
      <c r="E1150" s="248"/>
      <c r="F1150" s="248"/>
      <c r="G1150" s="248"/>
      <c r="H1150" s="283"/>
      <c r="I1150" s="199"/>
      <c r="J1150" s="199"/>
      <c r="K1150" s="199"/>
      <c r="L1150" s="248"/>
      <c r="M1150" s="248"/>
      <c r="N1150" s="248"/>
      <c r="O1150" s="248"/>
    </row>
    <row r="1151">
      <c r="A1151" s="199"/>
      <c r="B1151" s="199"/>
      <c r="C1151" s="199"/>
      <c r="D1151" s="248"/>
      <c r="E1151" s="248"/>
      <c r="F1151" s="248"/>
      <c r="G1151" s="248"/>
      <c r="H1151" s="283"/>
      <c r="I1151" s="199"/>
      <c r="J1151" s="199"/>
      <c r="K1151" s="199"/>
      <c r="L1151" s="248"/>
      <c r="M1151" s="248"/>
      <c r="N1151" s="248"/>
      <c r="O1151" s="248"/>
    </row>
    <row r="1152">
      <c r="A1152" s="199"/>
      <c r="B1152" s="199"/>
      <c r="C1152" s="199"/>
      <c r="D1152" s="248"/>
      <c r="E1152" s="248"/>
      <c r="F1152" s="248"/>
      <c r="G1152" s="248"/>
      <c r="H1152" s="283"/>
      <c r="I1152" s="199"/>
      <c r="J1152" s="199"/>
      <c r="K1152" s="199"/>
      <c r="L1152" s="248"/>
      <c r="M1152" s="248"/>
      <c r="N1152" s="248"/>
      <c r="O1152" s="248"/>
    </row>
    <row r="1153">
      <c r="A1153" s="199"/>
      <c r="B1153" s="199"/>
      <c r="C1153" s="199"/>
      <c r="D1153" s="248"/>
      <c r="E1153" s="248"/>
      <c r="F1153" s="248"/>
      <c r="G1153" s="248"/>
      <c r="H1153" s="283"/>
      <c r="I1153" s="199"/>
      <c r="J1153" s="199"/>
      <c r="K1153" s="199"/>
      <c r="L1153" s="248"/>
      <c r="M1153" s="248"/>
      <c r="N1153" s="248"/>
      <c r="O1153" s="248"/>
    </row>
    <row r="1154">
      <c r="A1154" s="199"/>
      <c r="B1154" s="199"/>
      <c r="C1154" s="199"/>
      <c r="D1154" s="248"/>
      <c r="E1154" s="248"/>
      <c r="F1154" s="248"/>
      <c r="G1154" s="248"/>
      <c r="H1154" s="283"/>
      <c r="I1154" s="199"/>
      <c r="J1154" s="199"/>
      <c r="K1154" s="199"/>
      <c r="L1154" s="248"/>
      <c r="M1154" s="248"/>
      <c r="N1154" s="248"/>
      <c r="O1154" s="248"/>
    </row>
    <row r="1155">
      <c r="A1155" s="199"/>
      <c r="B1155" s="199"/>
      <c r="C1155" s="199"/>
      <c r="D1155" s="248"/>
      <c r="E1155" s="248"/>
      <c r="F1155" s="248"/>
      <c r="G1155" s="248"/>
      <c r="H1155" s="283"/>
      <c r="I1155" s="199"/>
      <c r="J1155" s="199"/>
      <c r="K1155" s="199"/>
      <c r="L1155" s="248"/>
      <c r="M1155" s="248"/>
      <c r="N1155" s="248"/>
      <c r="O1155" s="248"/>
    </row>
    <row r="1156">
      <c r="A1156" s="199"/>
      <c r="B1156" s="199"/>
      <c r="C1156" s="199"/>
      <c r="D1156" s="248"/>
      <c r="E1156" s="248"/>
      <c r="F1156" s="248"/>
      <c r="G1156" s="248"/>
      <c r="H1156" s="283"/>
      <c r="I1156" s="199"/>
      <c r="J1156" s="199"/>
      <c r="K1156" s="199"/>
      <c r="L1156" s="248"/>
      <c r="M1156" s="248"/>
      <c r="N1156" s="248"/>
      <c r="O1156" s="248"/>
    </row>
    <row r="1157">
      <c r="A1157" s="199"/>
      <c r="B1157" s="199"/>
      <c r="C1157" s="199"/>
      <c r="D1157" s="248"/>
      <c r="E1157" s="248"/>
      <c r="F1157" s="248"/>
      <c r="G1157" s="248"/>
      <c r="H1157" s="283"/>
      <c r="I1157" s="199"/>
      <c r="J1157" s="199"/>
      <c r="K1157" s="199"/>
      <c r="L1157" s="248"/>
      <c r="M1157" s="248"/>
      <c r="N1157" s="248"/>
      <c r="O1157" s="248"/>
    </row>
    <row r="1158">
      <c r="A1158" s="199"/>
      <c r="B1158" s="199"/>
      <c r="C1158" s="199"/>
      <c r="D1158" s="248"/>
      <c r="E1158" s="248"/>
      <c r="F1158" s="248"/>
      <c r="G1158" s="248"/>
      <c r="H1158" s="283"/>
      <c r="I1158" s="199"/>
      <c r="J1158" s="199"/>
      <c r="K1158" s="199"/>
      <c r="L1158" s="248"/>
      <c r="M1158" s="248"/>
      <c r="N1158" s="248"/>
      <c r="O1158" s="248"/>
    </row>
    <row r="1159">
      <c r="A1159" s="199"/>
      <c r="B1159" s="199"/>
      <c r="C1159" s="199"/>
      <c r="D1159" s="248"/>
      <c r="E1159" s="248"/>
      <c r="F1159" s="248"/>
      <c r="G1159" s="248"/>
      <c r="H1159" s="283"/>
      <c r="I1159" s="199"/>
      <c r="J1159" s="199"/>
      <c r="K1159" s="199"/>
      <c r="L1159" s="248"/>
      <c r="M1159" s="248"/>
      <c r="N1159" s="248"/>
      <c r="O1159" s="248"/>
    </row>
    <row r="1160">
      <c r="A1160" s="199"/>
      <c r="B1160" s="199"/>
      <c r="C1160" s="199"/>
      <c r="D1160" s="248"/>
      <c r="E1160" s="248"/>
      <c r="F1160" s="248"/>
      <c r="G1160" s="248"/>
      <c r="H1160" s="283"/>
      <c r="I1160" s="199"/>
      <c r="J1160" s="199"/>
      <c r="K1160" s="199"/>
      <c r="L1160" s="248"/>
      <c r="M1160" s="248"/>
      <c r="N1160" s="248"/>
      <c r="O1160" s="248"/>
    </row>
    <row r="1161">
      <c r="A1161" s="199"/>
      <c r="B1161" s="199"/>
      <c r="C1161" s="199"/>
      <c r="D1161" s="248"/>
      <c r="E1161" s="248"/>
      <c r="F1161" s="248"/>
      <c r="G1161" s="248"/>
      <c r="H1161" s="283"/>
      <c r="I1161" s="199"/>
      <c r="J1161" s="199"/>
      <c r="K1161" s="199"/>
      <c r="L1161" s="248"/>
      <c r="M1161" s="248"/>
      <c r="N1161" s="248"/>
      <c r="O1161" s="248"/>
    </row>
    <row r="1162">
      <c r="A1162" s="199"/>
      <c r="B1162" s="199"/>
      <c r="C1162" s="199"/>
      <c r="D1162" s="248"/>
      <c r="E1162" s="248"/>
      <c r="F1162" s="248"/>
      <c r="G1162" s="248"/>
      <c r="H1162" s="283"/>
      <c r="I1162" s="199"/>
      <c r="J1162" s="199"/>
      <c r="K1162" s="199"/>
      <c r="L1162" s="248"/>
      <c r="M1162" s="248"/>
      <c r="N1162" s="248"/>
      <c r="O1162" s="248"/>
    </row>
    <row r="1163">
      <c r="A1163" s="199"/>
      <c r="B1163" s="199"/>
      <c r="C1163" s="199"/>
      <c r="D1163" s="248"/>
      <c r="E1163" s="248"/>
      <c r="F1163" s="248"/>
      <c r="G1163" s="248"/>
      <c r="H1163" s="283"/>
      <c r="I1163" s="199"/>
      <c r="J1163" s="199"/>
      <c r="K1163" s="199"/>
      <c r="L1163" s="248"/>
      <c r="M1163" s="248"/>
      <c r="N1163" s="248"/>
      <c r="O1163" s="248"/>
    </row>
    <row r="1164">
      <c r="A1164" s="199"/>
      <c r="B1164" s="199"/>
      <c r="C1164" s="199"/>
      <c r="D1164" s="248"/>
      <c r="E1164" s="248"/>
      <c r="F1164" s="248"/>
      <c r="G1164" s="248"/>
      <c r="H1164" s="283"/>
      <c r="I1164" s="199"/>
      <c r="J1164" s="199"/>
      <c r="K1164" s="199"/>
      <c r="L1164" s="248"/>
      <c r="M1164" s="248"/>
      <c r="N1164" s="248"/>
      <c r="O1164" s="248"/>
    </row>
    <row r="1165">
      <c r="A1165" s="199"/>
      <c r="B1165" s="199"/>
      <c r="C1165" s="199"/>
      <c r="D1165" s="248"/>
      <c r="E1165" s="248"/>
      <c r="F1165" s="248"/>
      <c r="G1165" s="248"/>
      <c r="H1165" s="283"/>
      <c r="I1165" s="199"/>
      <c r="J1165" s="199"/>
      <c r="K1165" s="199"/>
      <c r="L1165" s="248"/>
      <c r="M1165" s="248"/>
      <c r="N1165" s="248"/>
      <c r="O1165" s="248"/>
    </row>
    <row r="1166">
      <c r="A1166" s="199"/>
      <c r="B1166" s="199"/>
      <c r="C1166" s="199"/>
      <c r="D1166" s="248"/>
      <c r="E1166" s="248"/>
      <c r="F1166" s="248"/>
      <c r="G1166" s="248"/>
      <c r="H1166" s="283"/>
      <c r="I1166" s="199"/>
      <c r="J1166" s="199"/>
      <c r="K1166" s="199"/>
      <c r="L1166" s="248"/>
      <c r="M1166" s="248"/>
      <c r="N1166" s="248"/>
      <c r="O1166" s="248"/>
    </row>
    <row r="1167">
      <c r="A1167" s="199"/>
      <c r="B1167" s="199"/>
      <c r="C1167" s="199"/>
      <c r="D1167" s="248"/>
      <c r="E1167" s="248"/>
      <c r="F1167" s="248"/>
      <c r="G1167" s="248"/>
      <c r="H1167" s="283"/>
      <c r="I1167" s="199"/>
      <c r="J1167" s="199"/>
      <c r="K1167" s="199"/>
      <c r="L1167" s="248"/>
      <c r="M1167" s="248"/>
      <c r="N1167" s="248"/>
      <c r="O1167" s="248"/>
    </row>
    <row r="1168">
      <c r="A1168" s="199"/>
      <c r="B1168" s="199"/>
      <c r="C1168" s="199"/>
      <c r="D1168" s="248"/>
      <c r="E1168" s="248"/>
      <c r="F1168" s="248"/>
      <c r="G1168" s="248"/>
      <c r="H1168" s="283"/>
      <c r="I1168" s="199"/>
      <c r="J1168" s="199"/>
      <c r="K1168" s="199"/>
      <c r="L1168" s="248"/>
      <c r="M1168" s="248"/>
      <c r="N1168" s="248"/>
      <c r="O1168" s="248"/>
    </row>
    <row r="1169">
      <c r="A1169" s="199"/>
      <c r="B1169" s="199"/>
      <c r="C1169" s="199"/>
      <c r="D1169" s="248"/>
      <c r="E1169" s="248"/>
      <c r="F1169" s="248"/>
      <c r="G1169" s="248"/>
      <c r="H1169" s="283"/>
      <c r="I1169" s="199"/>
      <c r="J1169" s="199"/>
      <c r="K1169" s="199"/>
      <c r="L1169" s="248"/>
      <c r="M1169" s="248"/>
      <c r="N1169" s="248"/>
      <c r="O1169" s="248"/>
    </row>
    <row r="1170">
      <c r="A1170" s="199"/>
      <c r="B1170" s="199"/>
      <c r="C1170" s="199"/>
      <c r="D1170" s="248"/>
      <c r="E1170" s="248"/>
      <c r="F1170" s="248"/>
      <c r="G1170" s="248"/>
      <c r="H1170" s="283"/>
      <c r="I1170" s="199"/>
      <c r="J1170" s="199"/>
      <c r="K1170" s="199"/>
      <c r="L1170" s="248"/>
      <c r="M1170" s="248"/>
      <c r="N1170" s="248"/>
      <c r="O1170" s="248"/>
    </row>
    <row r="1171">
      <c r="A1171" s="199"/>
      <c r="B1171" s="199"/>
      <c r="C1171" s="199"/>
      <c r="D1171" s="248"/>
      <c r="E1171" s="248"/>
      <c r="F1171" s="248"/>
      <c r="G1171" s="248"/>
      <c r="H1171" s="283"/>
      <c r="I1171" s="199"/>
      <c r="J1171" s="199"/>
      <c r="K1171" s="199"/>
      <c r="L1171" s="248"/>
      <c r="M1171" s="248"/>
      <c r="N1171" s="248"/>
      <c r="O1171" s="248"/>
    </row>
    <row r="1172">
      <c r="A1172" s="199"/>
      <c r="B1172" s="199"/>
      <c r="C1172" s="199"/>
      <c r="D1172" s="248"/>
      <c r="E1172" s="248"/>
      <c r="F1172" s="248"/>
      <c r="G1172" s="248"/>
      <c r="H1172" s="283"/>
      <c r="I1172" s="199"/>
      <c r="J1172" s="199"/>
      <c r="K1172" s="199"/>
      <c r="L1172" s="248"/>
      <c r="M1172" s="248"/>
      <c r="N1172" s="248"/>
      <c r="O1172" s="248"/>
    </row>
    <row r="1173">
      <c r="A1173" s="199"/>
      <c r="B1173" s="199"/>
      <c r="C1173" s="199"/>
      <c r="D1173" s="248"/>
      <c r="E1173" s="248"/>
      <c r="F1173" s="248"/>
      <c r="G1173" s="248"/>
      <c r="H1173" s="283"/>
      <c r="I1173" s="199"/>
      <c r="J1173" s="199"/>
      <c r="K1173" s="199"/>
      <c r="L1173" s="248"/>
      <c r="M1173" s="248"/>
      <c r="N1173" s="248"/>
      <c r="O1173" s="248"/>
    </row>
    <row r="1174">
      <c r="A1174" s="199"/>
      <c r="B1174" s="199"/>
      <c r="C1174" s="199"/>
      <c r="D1174" s="248"/>
      <c r="E1174" s="248"/>
      <c r="F1174" s="248"/>
      <c r="G1174" s="248"/>
      <c r="H1174" s="283"/>
      <c r="I1174" s="199"/>
      <c r="J1174" s="199"/>
      <c r="K1174" s="199"/>
      <c r="L1174" s="248"/>
      <c r="M1174" s="248"/>
      <c r="N1174" s="248"/>
      <c r="O1174" s="248"/>
    </row>
    <row r="1175">
      <c r="A1175" s="199"/>
      <c r="B1175" s="199"/>
      <c r="C1175" s="199"/>
      <c r="D1175" s="248"/>
      <c r="E1175" s="248"/>
      <c r="F1175" s="248"/>
      <c r="G1175" s="248"/>
      <c r="H1175" s="283"/>
      <c r="I1175" s="199"/>
      <c r="J1175" s="199"/>
      <c r="K1175" s="199"/>
      <c r="L1175" s="248"/>
      <c r="M1175" s="248"/>
      <c r="N1175" s="248"/>
      <c r="O1175" s="248"/>
    </row>
    <row r="1176">
      <c r="A1176" s="199"/>
      <c r="B1176" s="199"/>
      <c r="C1176" s="199"/>
      <c r="D1176" s="248"/>
      <c r="E1176" s="248"/>
      <c r="F1176" s="248"/>
      <c r="G1176" s="248"/>
      <c r="H1176" s="283"/>
      <c r="I1176" s="199"/>
      <c r="J1176" s="199"/>
      <c r="K1176" s="199"/>
      <c r="L1176" s="248"/>
      <c r="M1176" s="248"/>
      <c r="N1176" s="248"/>
      <c r="O1176" s="248"/>
    </row>
    <row r="1177">
      <c r="A1177" s="199"/>
      <c r="B1177" s="199"/>
      <c r="C1177" s="199"/>
      <c r="D1177" s="248"/>
      <c r="E1177" s="248"/>
      <c r="F1177" s="248"/>
      <c r="G1177" s="248"/>
      <c r="H1177" s="283"/>
      <c r="I1177" s="199"/>
      <c r="J1177" s="199"/>
      <c r="K1177" s="199"/>
      <c r="L1177" s="248"/>
      <c r="M1177" s="248"/>
      <c r="N1177" s="248"/>
      <c r="O1177" s="248"/>
    </row>
    <row r="1178">
      <c r="A1178" s="199"/>
      <c r="B1178" s="199"/>
      <c r="C1178" s="199"/>
      <c r="D1178" s="248"/>
      <c r="E1178" s="248"/>
      <c r="F1178" s="248"/>
      <c r="G1178" s="248"/>
      <c r="H1178" s="283"/>
      <c r="I1178" s="199"/>
      <c r="J1178" s="199"/>
      <c r="K1178" s="199"/>
      <c r="L1178" s="248"/>
      <c r="M1178" s="248"/>
      <c r="N1178" s="248"/>
      <c r="O1178" s="248"/>
    </row>
    <row r="1179">
      <c r="A1179" s="199"/>
      <c r="B1179" s="199"/>
      <c r="C1179" s="199"/>
      <c r="D1179" s="248"/>
      <c r="E1179" s="248"/>
      <c r="F1179" s="248"/>
      <c r="G1179" s="248"/>
      <c r="H1179" s="283"/>
      <c r="I1179" s="199"/>
      <c r="J1179" s="199"/>
      <c r="K1179" s="199"/>
      <c r="L1179" s="248"/>
      <c r="M1179" s="248"/>
      <c r="N1179" s="248"/>
      <c r="O1179" s="248"/>
    </row>
    <row r="1180">
      <c r="A1180" s="199"/>
      <c r="B1180" s="199"/>
      <c r="C1180" s="199"/>
      <c r="D1180" s="248"/>
      <c r="E1180" s="248"/>
      <c r="F1180" s="248"/>
      <c r="G1180" s="248"/>
      <c r="H1180" s="283"/>
      <c r="I1180" s="199"/>
      <c r="J1180" s="199"/>
      <c r="K1180" s="199"/>
      <c r="L1180" s="248"/>
      <c r="M1180" s="248"/>
      <c r="N1180" s="248"/>
      <c r="O1180" s="248"/>
    </row>
    <row r="1181">
      <c r="A1181" s="199"/>
      <c r="B1181" s="199"/>
      <c r="C1181" s="199"/>
      <c r="D1181" s="248"/>
      <c r="E1181" s="248"/>
      <c r="F1181" s="248"/>
      <c r="G1181" s="248"/>
      <c r="H1181" s="283"/>
      <c r="I1181" s="199"/>
      <c r="J1181" s="199"/>
      <c r="K1181" s="199"/>
      <c r="L1181" s="248"/>
      <c r="M1181" s="248"/>
      <c r="N1181" s="248"/>
      <c r="O1181" s="248"/>
    </row>
    <row r="1182">
      <c r="A1182" s="199"/>
      <c r="B1182" s="199"/>
      <c r="C1182" s="199"/>
      <c r="D1182" s="248"/>
      <c r="E1182" s="248"/>
      <c r="F1182" s="248"/>
      <c r="G1182" s="248"/>
      <c r="H1182" s="283"/>
      <c r="I1182" s="199"/>
      <c r="J1182" s="199"/>
      <c r="K1182" s="199"/>
      <c r="L1182" s="248"/>
      <c r="M1182" s="248"/>
      <c r="N1182" s="248"/>
      <c r="O1182" s="248"/>
    </row>
    <row r="1183">
      <c r="A1183" s="199"/>
      <c r="B1183" s="199"/>
      <c r="C1183" s="199"/>
      <c r="D1183" s="248"/>
      <c r="E1183" s="248"/>
      <c r="F1183" s="248"/>
      <c r="G1183" s="248"/>
      <c r="H1183" s="283"/>
      <c r="I1183" s="199"/>
      <c r="J1183" s="199"/>
      <c r="K1183" s="199"/>
      <c r="L1183" s="248"/>
      <c r="M1183" s="248"/>
      <c r="N1183" s="248"/>
      <c r="O1183" s="248"/>
    </row>
    <row r="1184">
      <c r="A1184" s="199"/>
      <c r="B1184" s="199"/>
      <c r="C1184" s="199"/>
      <c r="D1184" s="248"/>
      <c r="E1184" s="248"/>
      <c r="F1184" s="248"/>
      <c r="G1184" s="248"/>
      <c r="H1184" s="283"/>
      <c r="I1184" s="199"/>
      <c r="J1184" s="199"/>
      <c r="K1184" s="199"/>
      <c r="L1184" s="248"/>
      <c r="M1184" s="248"/>
      <c r="N1184" s="248"/>
      <c r="O1184" s="248"/>
    </row>
    <row r="1185">
      <c r="A1185" s="199"/>
      <c r="B1185" s="199"/>
      <c r="C1185" s="199"/>
      <c r="D1185" s="248"/>
      <c r="E1185" s="248"/>
      <c r="F1185" s="248"/>
      <c r="G1185" s="248"/>
      <c r="H1185" s="283"/>
      <c r="I1185" s="199"/>
      <c r="J1185" s="199"/>
      <c r="K1185" s="199"/>
      <c r="L1185" s="248"/>
      <c r="M1185" s="248"/>
      <c r="N1185" s="248"/>
      <c r="O1185" s="248"/>
    </row>
    <row r="1186">
      <c r="A1186" s="199"/>
      <c r="B1186" s="199"/>
      <c r="C1186" s="199"/>
      <c r="D1186" s="248"/>
      <c r="E1186" s="248"/>
      <c r="F1186" s="248"/>
      <c r="G1186" s="248"/>
      <c r="H1186" s="283"/>
      <c r="I1186" s="199"/>
      <c r="J1186" s="199"/>
      <c r="K1186" s="199"/>
      <c r="L1186" s="248"/>
      <c r="M1186" s="248"/>
      <c r="N1186" s="248"/>
      <c r="O1186" s="248"/>
    </row>
    <row r="1187">
      <c r="A1187" s="199"/>
      <c r="B1187" s="199"/>
      <c r="C1187" s="199"/>
      <c r="D1187" s="248"/>
      <c r="E1187" s="248"/>
      <c r="F1187" s="248"/>
      <c r="G1187" s="248"/>
      <c r="H1187" s="283"/>
      <c r="I1187" s="199"/>
      <c r="J1187" s="199"/>
      <c r="K1187" s="199"/>
      <c r="L1187" s="248"/>
      <c r="M1187" s="248"/>
      <c r="N1187" s="248"/>
      <c r="O1187" s="248"/>
    </row>
    <row r="1188">
      <c r="A1188" s="199"/>
      <c r="B1188" s="199"/>
      <c r="C1188" s="199"/>
      <c r="D1188" s="248"/>
      <c r="E1188" s="248"/>
      <c r="F1188" s="248"/>
      <c r="G1188" s="248"/>
      <c r="H1188" s="283"/>
      <c r="I1188" s="199"/>
      <c r="J1188" s="199"/>
      <c r="K1188" s="199"/>
      <c r="L1188" s="248"/>
      <c r="M1188" s="248"/>
      <c r="N1188" s="248"/>
      <c r="O1188" s="248"/>
    </row>
    <row r="1189">
      <c r="A1189" s="199"/>
      <c r="B1189" s="199"/>
      <c r="C1189" s="199"/>
      <c r="D1189" s="248"/>
      <c r="E1189" s="248"/>
      <c r="F1189" s="248"/>
      <c r="G1189" s="248"/>
      <c r="H1189" s="283"/>
      <c r="I1189" s="199"/>
      <c r="J1189" s="199"/>
      <c r="K1189" s="199"/>
      <c r="L1189" s="248"/>
      <c r="M1189" s="248"/>
      <c r="N1189" s="248"/>
      <c r="O1189" s="248"/>
    </row>
    <row r="1190">
      <c r="A1190" s="199"/>
      <c r="B1190" s="199"/>
      <c r="C1190" s="199"/>
      <c r="D1190" s="248"/>
      <c r="E1190" s="248"/>
      <c r="F1190" s="248"/>
      <c r="G1190" s="248"/>
      <c r="H1190" s="283"/>
      <c r="I1190" s="199"/>
      <c r="J1190" s="199"/>
      <c r="K1190" s="199"/>
      <c r="L1190" s="248"/>
      <c r="M1190" s="248"/>
      <c r="N1190" s="248"/>
      <c r="O1190" s="248"/>
    </row>
    <row r="1191">
      <c r="A1191" s="199"/>
      <c r="B1191" s="199"/>
      <c r="C1191" s="199"/>
      <c r="D1191" s="248"/>
      <c r="E1191" s="248"/>
      <c r="F1191" s="248"/>
      <c r="G1191" s="248"/>
      <c r="H1191" s="283"/>
      <c r="I1191" s="199"/>
      <c r="J1191" s="199"/>
      <c r="K1191" s="199"/>
      <c r="L1191" s="248"/>
      <c r="M1191" s="248"/>
      <c r="N1191" s="248"/>
      <c r="O1191" s="248"/>
    </row>
    <row r="1192">
      <c r="A1192" s="199"/>
      <c r="B1192" s="199"/>
      <c r="C1192" s="199"/>
      <c r="D1192" s="248"/>
      <c r="E1192" s="248"/>
      <c r="F1192" s="248"/>
      <c r="G1192" s="248"/>
      <c r="H1192" s="283"/>
      <c r="I1192" s="199"/>
      <c r="J1192" s="199"/>
      <c r="K1192" s="199"/>
      <c r="L1192" s="248"/>
      <c r="M1192" s="248"/>
      <c r="N1192" s="248"/>
      <c r="O1192" s="248"/>
    </row>
    <row r="1193">
      <c r="A1193" s="199"/>
      <c r="B1193" s="199"/>
      <c r="C1193" s="199"/>
      <c r="D1193" s="248"/>
      <c r="E1193" s="248"/>
      <c r="F1193" s="248"/>
      <c r="G1193" s="248"/>
      <c r="H1193" s="283"/>
      <c r="I1193" s="199"/>
      <c r="J1193" s="199"/>
      <c r="K1193" s="199"/>
      <c r="L1193" s="248"/>
      <c r="M1193" s="248"/>
      <c r="N1193" s="248"/>
      <c r="O1193" s="248"/>
    </row>
    <row r="1194">
      <c r="A1194" s="199"/>
      <c r="B1194" s="199"/>
      <c r="C1194" s="199"/>
      <c r="D1194" s="248"/>
      <c r="E1194" s="248"/>
      <c r="F1194" s="248"/>
      <c r="G1194" s="248"/>
      <c r="H1194" s="283"/>
      <c r="I1194" s="199"/>
      <c r="J1194" s="199"/>
      <c r="K1194" s="199"/>
      <c r="L1194" s="248"/>
      <c r="M1194" s="248"/>
      <c r="N1194" s="248"/>
      <c r="O1194" s="248"/>
    </row>
    <row r="1195">
      <c r="A1195" s="199"/>
      <c r="B1195" s="199"/>
      <c r="C1195" s="199"/>
      <c r="D1195" s="248"/>
      <c r="E1195" s="248"/>
      <c r="F1195" s="248"/>
      <c r="G1195" s="248"/>
      <c r="H1195" s="283"/>
      <c r="I1195" s="199"/>
      <c r="J1195" s="199"/>
      <c r="K1195" s="199"/>
      <c r="L1195" s="248"/>
      <c r="M1195" s="248"/>
      <c r="N1195" s="248"/>
      <c r="O1195" s="248"/>
    </row>
    <row r="1196">
      <c r="A1196" s="199"/>
      <c r="B1196" s="199"/>
      <c r="C1196" s="199"/>
      <c r="D1196" s="248"/>
      <c r="E1196" s="248"/>
      <c r="F1196" s="248"/>
      <c r="G1196" s="248"/>
      <c r="H1196" s="283"/>
      <c r="I1196" s="199"/>
      <c r="J1196" s="199"/>
      <c r="K1196" s="199"/>
      <c r="L1196" s="248"/>
      <c r="M1196" s="248"/>
      <c r="N1196" s="248"/>
      <c r="O1196" s="248"/>
    </row>
    <row r="1197">
      <c r="A1197" s="199"/>
      <c r="B1197" s="199"/>
      <c r="C1197" s="199"/>
      <c r="D1197" s="248"/>
      <c r="E1197" s="248"/>
      <c r="F1197" s="248"/>
      <c r="G1197" s="248"/>
      <c r="H1197" s="283"/>
      <c r="I1197" s="199"/>
      <c r="J1197" s="199"/>
      <c r="K1197" s="199"/>
      <c r="L1197" s="248"/>
      <c r="M1197" s="248"/>
      <c r="N1197" s="248"/>
      <c r="O1197" s="248"/>
    </row>
    <row r="1198">
      <c r="A1198" s="199"/>
      <c r="B1198" s="199"/>
      <c r="C1198" s="199"/>
      <c r="D1198" s="248"/>
      <c r="E1198" s="248"/>
      <c r="F1198" s="248"/>
      <c r="G1198" s="248"/>
      <c r="H1198" s="283"/>
      <c r="I1198" s="199"/>
      <c r="J1198" s="199"/>
      <c r="K1198" s="199"/>
      <c r="L1198" s="248"/>
      <c r="M1198" s="248"/>
      <c r="N1198" s="248"/>
      <c r="O1198" s="248"/>
    </row>
    <row r="1199">
      <c r="A1199" s="199"/>
      <c r="B1199" s="199"/>
      <c r="C1199" s="199"/>
      <c r="D1199" s="248"/>
      <c r="E1199" s="248"/>
      <c r="F1199" s="248"/>
      <c r="G1199" s="248"/>
      <c r="H1199" s="283"/>
      <c r="I1199" s="199"/>
      <c r="J1199" s="199"/>
      <c r="K1199" s="199"/>
      <c r="L1199" s="248"/>
      <c r="M1199" s="248"/>
      <c r="N1199" s="248"/>
      <c r="O1199" s="248"/>
    </row>
    <row r="1200">
      <c r="A1200" s="199"/>
      <c r="B1200" s="199"/>
      <c r="C1200" s="199"/>
      <c r="D1200" s="248"/>
      <c r="E1200" s="248"/>
      <c r="F1200" s="248"/>
      <c r="G1200" s="248"/>
      <c r="H1200" s="283"/>
      <c r="I1200" s="199"/>
      <c r="J1200" s="199"/>
      <c r="K1200" s="199"/>
      <c r="L1200" s="248"/>
      <c r="M1200" s="248"/>
      <c r="N1200" s="248"/>
      <c r="O1200" s="248"/>
    </row>
    <row r="1201">
      <c r="A1201" s="199"/>
      <c r="B1201" s="199"/>
      <c r="C1201" s="199"/>
      <c r="D1201" s="248"/>
      <c r="E1201" s="248"/>
      <c r="F1201" s="248"/>
      <c r="G1201" s="248"/>
      <c r="H1201" s="283"/>
      <c r="I1201" s="199"/>
      <c r="J1201" s="199"/>
      <c r="K1201" s="199"/>
      <c r="L1201" s="248"/>
      <c r="M1201" s="248"/>
      <c r="N1201" s="248"/>
      <c r="O1201" s="248"/>
    </row>
    <row r="1202">
      <c r="A1202" s="199"/>
      <c r="B1202" s="199"/>
      <c r="C1202" s="199"/>
      <c r="D1202" s="248"/>
      <c r="E1202" s="248"/>
      <c r="F1202" s="248"/>
      <c r="G1202" s="248"/>
      <c r="H1202" s="283"/>
      <c r="I1202" s="199"/>
      <c r="J1202" s="199"/>
      <c r="K1202" s="199"/>
      <c r="L1202" s="248"/>
      <c r="M1202" s="248"/>
      <c r="N1202" s="248"/>
      <c r="O1202" s="248"/>
    </row>
    <row r="1203">
      <c r="A1203" s="199"/>
      <c r="B1203" s="199"/>
      <c r="C1203" s="199"/>
      <c r="D1203" s="248"/>
      <c r="E1203" s="248"/>
      <c r="F1203" s="248"/>
      <c r="G1203" s="248"/>
      <c r="H1203" s="283"/>
      <c r="I1203" s="199"/>
      <c r="J1203" s="199"/>
      <c r="K1203" s="199"/>
      <c r="L1203" s="248"/>
      <c r="M1203" s="248"/>
      <c r="N1203" s="248"/>
      <c r="O1203" s="248"/>
    </row>
    <row r="1204">
      <c r="A1204" s="199"/>
      <c r="B1204" s="199"/>
      <c r="C1204" s="199"/>
      <c r="D1204" s="248"/>
      <c r="E1204" s="248"/>
      <c r="F1204" s="248"/>
      <c r="G1204" s="248"/>
      <c r="H1204" s="283"/>
      <c r="I1204" s="199"/>
      <c r="J1204" s="199"/>
      <c r="K1204" s="199"/>
      <c r="L1204" s="248"/>
      <c r="M1204" s="248"/>
      <c r="N1204" s="248"/>
      <c r="O1204" s="248"/>
    </row>
    <row r="1205">
      <c r="A1205" s="199"/>
      <c r="B1205" s="199"/>
      <c r="C1205" s="199"/>
      <c r="D1205" s="248"/>
      <c r="E1205" s="248"/>
      <c r="F1205" s="248"/>
      <c r="G1205" s="248"/>
      <c r="H1205" s="283"/>
      <c r="I1205" s="199"/>
      <c r="J1205" s="199"/>
      <c r="K1205" s="199"/>
      <c r="L1205" s="248"/>
      <c r="M1205" s="248"/>
      <c r="N1205" s="248"/>
      <c r="O1205" s="248"/>
    </row>
    <row r="1206">
      <c r="A1206" s="199"/>
      <c r="B1206" s="199"/>
      <c r="C1206" s="199"/>
      <c r="D1206" s="248"/>
      <c r="E1206" s="248"/>
      <c r="F1206" s="248"/>
      <c r="G1206" s="248"/>
      <c r="H1206" s="283"/>
      <c r="I1206" s="199"/>
      <c r="J1206" s="199"/>
      <c r="K1206" s="199"/>
      <c r="L1206" s="248"/>
      <c r="M1206" s="248"/>
      <c r="N1206" s="248"/>
      <c r="O1206" s="248"/>
    </row>
    <row r="1207">
      <c r="A1207" s="199"/>
      <c r="B1207" s="199"/>
      <c r="C1207" s="199"/>
      <c r="D1207" s="248"/>
      <c r="E1207" s="248"/>
      <c r="F1207" s="248"/>
      <c r="G1207" s="248"/>
      <c r="H1207" s="283"/>
      <c r="I1207" s="199"/>
      <c r="J1207" s="199"/>
      <c r="K1207" s="199"/>
      <c r="L1207" s="248"/>
      <c r="M1207" s="248"/>
      <c r="N1207" s="248"/>
      <c r="O1207" s="248"/>
    </row>
    <row r="1208">
      <c r="A1208" s="199"/>
      <c r="B1208" s="199"/>
      <c r="C1208" s="199"/>
      <c r="D1208" s="248"/>
      <c r="E1208" s="248"/>
      <c r="F1208" s="248"/>
      <c r="G1208" s="248"/>
      <c r="H1208" s="283"/>
      <c r="I1208" s="199"/>
      <c r="J1208" s="199"/>
      <c r="K1208" s="199"/>
      <c r="L1208" s="248"/>
      <c r="M1208" s="248"/>
      <c r="N1208" s="248"/>
      <c r="O1208" s="248"/>
    </row>
    <row r="1209">
      <c r="A1209" s="199"/>
      <c r="B1209" s="199"/>
      <c r="C1209" s="199"/>
      <c r="D1209" s="248"/>
      <c r="E1209" s="248"/>
      <c r="F1209" s="248"/>
      <c r="G1209" s="248"/>
      <c r="H1209" s="283"/>
      <c r="I1209" s="199"/>
      <c r="J1209" s="199"/>
      <c r="K1209" s="199"/>
      <c r="L1209" s="248"/>
      <c r="M1209" s="248"/>
      <c r="N1209" s="248"/>
      <c r="O1209" s="248"/>
    </row>
    <row r="1210">
      <c r="A1210" s="199"/>
      <c r="B1210" s="199"/>
      <c r="C1210" s="199"/>
      <c r="D1210" s="248"/>
      <c r="E1210" s="248"/>
      <c r="F1210" s="248"/>
      <c r="G1210" s="248"/>
      <c r="H1210" s="283"/>
      <c r="I1210" s="199"/>
      <c r="J1210" s="199"/>
      <c r="K1210" s="199"/>
      <c r="L1210" s="248"/>
      <c r="M1210" s="248"/>
      <c r="N1210" s="248"/>
      <c r="O1210" s="248"/>
    </row>
    <row r="1211">
      <c r="A1211" s="199"/>
      <c r="B1211" s="199"/>
      <c r="C1211" s="199"/>
      <c r="D1211" s="248"/>
      <c r="E1211" s="248"/>
      <c r="F1211" s="248"/>
      <c r="G1211" s="248"/>
      <c r="H1211" s="283"/>
      <c r="I1211" s="199"/>
      <c r="J1211" s="199"/>
      <c r="K1211" s="199"/>
      <c r="L1211" s="248"/>
      <c r="M1211" s="248"/>
      <c r="N1211" s="248"/>
      <c r="O1211" s="248"/>
    </row>
    <row r="1212">
      <c r="A1212" s="199"/>
      <c r="B1212" s="199"/>
      <c r="C1212" s="199"/>
      <c r="D1212" s="248"/>
      <c r="E1212" s="248"/>
      <c r="F1212" s="248"/>
      <c r="G1212" s="248"/>
      <c r="H1212" s="283"/>
      <c r="I1212" s="199"/>
      <c r="J1212" s="199"/>
      <c r="K1212" s="199"/>
      <c r="L1212" s="248"/>
      <c r="M1212" s="248"/>
      <c r="N1212" s="248"/>
      <c r="O1212" s="248"/>
    </row>
    <row r="1213">
      <c r="A1213" s="199"/>
      <c r="B1213" s="199"/>
      <c r="C1213" s="199"/>
      <c r="D1213" s="248"/>
      <c r="E1213" s="248"/>
      <c r="F1213" s="248"/>
      <c r="G1213" s="248"/>
      <c r="H1213" s="283"/>
      <c r="I1213" s="199"/>
      <c r="J1213" s="199"/>
      <c r="K1213" s="199"/>
      <c r="L1213" s="248"/>
      <c r="M1213" s="248"/>
      <c r="N1213" s="248"/>
      <c r="O1213" s="248"/>
    </row>
    <row r="1214">
      <c r="A1214" s="199"/>
      <c r="B1214" s="199"/>
      <c r="C1214" s="199"/>
      <c r="D1214" s="248"/>
      <c r="E1214" s="248"/>
      <c r="F1214" s="248"/>
      <c r="G1214" s="248"/>
      <c r="H1214" s="283"/>
      <c r="I1214" s="199"/>
      <c r="J1214" s="199"/>
      <c r="K1214" s="199"/>
      <c r="L1214" s="248"/>
      <c r="M1214" s="248"/>
      <c r="N1214" s="248"/>
      <c r="O1214" s="248"/>
    </row>
    <row r="1215">
      <c r="A1215" s="199"/>
      <c r="B1215" s="199"/>
      <c r="C1215" s="199"/>
      <c r="D1215" s="248"/>
      <c r="E1215" s="248"/>
      <c r="F1215" s="248"/>
      <c r="G1215" s="248"/>
      <c r="H1215" s="283"/>
      <c r="I1215" s="199"/>
      <c r="J1215" s="199"/>
      <c r="K1215" s="199"/>
      <c r="L1215" s="248"/>
      <c r="M1215" s="248"/>
      <c r="N1215" s="248"/>
      <c r="O1215" s="248"/>
    </row>
    <row r="1216">
      <c r="A1216" s="199"/>
      <c r="B1216" s="199"/>
      <c r="C1216" s="199"/>
      <c r="D1216" s="248"/>
      <c r="E1216" s="248"/>
      <c r="F1216" s="248"/>
      <c r="G1216" s="248"/>
      <c r="H1216" s="283"/>
      <c r="I1216" s="199"/>
      <c r="J1216" s="199"/>
      <c r="K1216" s="199"/>
      <c r="L1216" s="248"/>
      <c r="M1216" s="248"/>
      <c r="N1216" s="248"/>
      <c r="O1216" s="248"/>
    </row>
    <row r="1217">
      <c r="A1217" s="199"/>
      <c r="B1217" s="199"/>
      <c r="C1217" s="199"/>
      <c r="D1217" s="248"/>
      <c r="E1217" s="248"/>
      <c r="F1217" s="248"/>
      <c r="G1217" s="248"/>
      <c r="H1217" s="283"/>
      <c r="I1217" s="199"/>
      <c r="J1217" s="199"/>
      <c r="K1217" s="199"/>
      <c r="L1217" s="248"/>
      <c r="M1217" s="248"/>
      <c r="N1217" s="248"/>
      <c r="O1217" s="248"/>
    </row>
    <row r="1218">
      <c r="A1218" s="199"/>
      <c r="B1218" s="199"/>
      <c r="C1218" s="199"/>
      <c r="D1218" s="248"/>
      <c r="E1218" s="248"/>
      <c r="F1218" s="248"/>
      <c r="G1218" s="248"/>
      <c r="H1218" s="283"/>
      <c r="I1218" s="199"/>
      <c r="J1218" s="199"/>
      <c r="K1218" s="199"/>
      <c r="L1218" s="248"/>
      <c r="M1218" s="248"/>
      <c r="N1218" s="248"/>
      <c r="O1218" s="248"/>
    </row>
    <row r="1219">
      <c r="A1219" s="199"/>
      <c r="B1219" s="199"/>
      <c r="C1219" s="199"/>
      <c r="D1219" s="248"/>
      <c r="E1219" s="248"/>
      <c r="F1219" s="248"/>
      <c r="G1219" s="248"/>
      <c r="H1219" s="283"/>
      <c r="I1219" s="199"/>
      <c r="J1219" s="199"/>
      <c r="K1219" s="199"/>
      <c r="L1219" s="248"/>
      <c r="M1219" s="248"/>
      <c r="N1219" s="248"/>
      <c r="O1219" s="248"/>
    </row>
    <row r="1220">
      <c r="A1220" s="199"/>
      <c r="B1220" s="199"/>
      <c r="C1220" s="199"/>
      <c r="D1220" s="248"/>
      <c r="E1220" s="248"/>
      <c r="F1220" s="248"/>
      <c r="G1220" s="248"/>
      <c r="H1220" s="283"/>
      <c r="I1220" s="199"/>
      <c r="J1220" s="199"/>
      <c r="K1220" s="199"/>
      <c r="L1220" s="248"/>
      <c r="M1220" s="248"/>
      <c r="N1220" s="248"/>
      <c r="O1220" s="248"/>
    </row>
    <row r="1221">
      <c r="A1221" s="199"/>
      <c r="B1221" s="199"/>
      <c r="C1221" s="199"/>
      <c r="D1221" s="248"/>
      <c r="E1221" s="248"/>
      <c r="F1221" s="248"/>
      <c r="G1221" s="248"/>
      <c r="H1221" s="283"/>
      <c r="I1221" s="199"/>
      <c r="J1221" s="199"/>
      <c r="K1221" s="199"/>
      <c r="L1221" s="248"/>
      <c r="M1221" s="248"/>
      <c r="N1221" s="248"/>
      <c r="O1221" s="248"/>
    </row>
    <row r="1222">
      <c r="A1222" s="199"/>
      <c r="B1222" s="199"/>
      <c r="C1222" s="199"/>
      <c r="D1222" s="248"/>
      <c r="E1222" s="248"/>
      <c r="F1222" s="248"/>
      <c r="G1222" s="248"/>
      <c r="H1222" s="283"/>
      <c r="I1222" s="199"/>
      <c r="J1222" s="199"/>
      <c r="K1222" s="199"/>
      <c r="L1222" s="248"/>
      <c r="M1222" s="248"/>
      <c r="N1222" s="248"/>
      <c r="O1222" s="248"/>
    </row>
    <row r="1223">
      <c r="A1223" s="199"/>
      <c r="B1223" s="199"/>
      <c r="C1223" s="199"/>
      <c r="D1223" s="248"/>
      <c r="E1223" s="248"/>
      <c r="F1223" s="248"/>
      <c r="G1223" s="248"/>
      <c r="H1223" s="283"/>
      <c r="I1223" s="199"/>
      <c r="J1223" s="199"/>
      <c r="K1223" s="199"/>
      <c r="L1223" s="248"/>
      <c r="M1223" s="248"/>
      <c r="N1223" s="248"/>
      <c r="O1223" s="248"/>
    </row>
    <row r="1224">
      <c r="A1224" s="199"/>
      <c r="B1224" s="199"/>
      <c r="C1224" s="199"/>
      <c r="D1224" s="248"/>
      <c r="E1224" s="248"/>
      <c r="F1224" s="248"/>
      <c r="G1224" s="248"/>
      <c r="H1224" s="283"/>
      <c r="I1224" s="199"/>
      <c r="J1224" s="199"/>
      <c r="K1224" s="199"/>
      <c r="L1224" s="248"/>
      <c r="M1224" s="248"/>
      <c r="N1224" s="248"/>
      <c r="O1224" s="248"/>
    </row>
    <row r="1225">
      <c r="A1225" s="199"/>
      <c r="B1225" s="199"/>
      <c r="C1225" s="199"/>
      <c r="D1225" s="248"/>
      <c r="E1225" s="248"/>
      <c r="F1225" s="248"/>
      <c r="G1225" s="248"/>
      <c r="H1225" s="283"/>
      <c r="I1225" s="199"/>
      <c r="J1225" s="199"/>
      <c r="K1225" s="199"/>
      <c r="L1225" s="248"/>
      <c r="M1225" s="248"/>
      <c r="N1225" s="248"/>
      <c r="O1225" s="248"/>
    </row>
    <row r="1226">
      <c r="A1226" s="199"/>
      <c r="B1226" s="199"/>
      <c r="C1226" s="199"/>
      <c r="D1226" s="248"/>
      <c r="E1226" s="248"/>
      <c r="F1226" s="248"/>
      <c r="G1226" s="248"/>
      <c r="H1226" s="283"/>
      <c r="I1226" s="199"/>
      <c r="J1226" s="199"/>
      <c r="K1226" s="199"/>
      <c r="L1226" s="248"/>
      <c r="M1226" s="248"/>
      <c r="N1226" s="248"/>
      <c r="O1226" s="248"/>
    </row>
    <row r="1227">
      <c r="A1227" s="199"/>
      <c r="B1227" s="199"/>
      <c r="C1227" s="199"/>
      <c r="D1227" s="248"/>
      <c r="E1227" s="248"/>
      <c r="F1227" s="248"/>
      <c r="G1227" s="248"/>
      <c r="H1227" s="283"/>
      <c r="I1227" s="199"/>
      <c r="J1227" s="199"/>
      <c r="K1227" s="199"/>
      <c r="L1227" s="248"/>
      <c r="M1227" s="248"/>
      <c r="N1227" s="248"/>
      <c r="O1227" s="248"/>
    </row>
    <row r="1228">
      <c r="A1228" s="199"/>
      <c r="B1228" s="199"/>
      <c r="C1228" s="199"/>
      <c r="D1228" s="248"/>
      <c r="E1228" s="248"/>
      <c r="F1228" s="248"/>
      <c r="G1228" s="248"/>
      <c r="H1228" s="283"/>
      <c r="I1228" s="199"/>
      <c r="J1228" s="199"/>
      <c r="K1228" s="199"/>
      <c r="L1228" s="248"/>
      <c r="M1228" s="248"/>
      <c r="N1228" s="248"/>
      <c r="O1228" s="248"/>
    </row>
    <row r="1229">
      <c r="A1229" s="199"/>
      <c r="B1229" s="199"/>
      <c r="C1229" s="199"/>
      <c r="D1229" s="248"/>
      <c r="E1229" s="248"/>
      <c r="F1229" s="248"/>
      <c r="G1229" s="248"/>
      <c r="H1229" s="283"/>
      <c r="I1229" s="199"/>
      <c r="J1229" s="199"/>
      <c r="K1229" s="199"/>
      <c r="L1229" s="248"/>
      <c r="M1229" s="248"/>
      <c r="N1229" s="248"/>
      <c r="O1229" s="248"/>
    </row>
    <row r="1230">
      <c r="A1230" s="199"/>
      <c r="B1230" s="199"/>
      <c r="C1230" s="199"/>
      <c r="D1230" s="248"/>
      <c r="E1230" s="248"/>
      <c r="F1230" s="248"/>
      <c r="G1230" s="248"/>
      <c r="H1230" s="283"/>
      <c r="I1230" s="199"/>
      <c r="J1230" s="199"/>
      <c r="K1230" s="199"/>
      <c r="L1230" s="248"/>
      <c r="M1230" s="248"/>
      <c r="N1230" s="248"/>
      <c r="O1230" s="248"/>
    </row>
    <row r="1231">
      <c r="A1231" s="199"/>
      <c r="B1231" s="199"/>
      <c r="C1231" s="199"/>
      <c r="D1231" s="248"/>
      <c r="E1231" s="248"/>
      <c r="F1231" s="248"/>
      <c r="G1231" s="248"/>
      <c r="H1231" s="283"/>
      <c r="I1231" s="199"/>
      <c r="J1231" s="199"/>
      <c r="K1231" s="199"/>
      <c r="L1231" s="248"/>
      <c r="M1231" s="248"/>
      <c r="N1231" s="248"/>
      <c r="O1231" s="248"/>
    </row>
    <row r="1232">
      <c r="A1232" s="199"/>
      <c r="B1232" s="199"/>
      <c r="C1232" s="199"/>
      <c r="D1232" s="248"/>
      <c r="E1232" s="248"/>
      <c r="F1232" s="248"/>
      <c r="G1232" s="248"/>
      <c r="H1232" s="283"/>
      <c r="I1232" s="199"/>
      <c r="J1232" s="199"/>
      <c r="K1232" s="199"/>
      <c r="L1232" s="248"/>
      <c r="M1232" s="248"/>
      <c r="N1232" s="248"/>
      <c r="O1232" s="248"/>
    </row>
    <row r="1233">
      <c r="A1233" s="199"/>
      <c r="B1233" s="199"/>
      <c r="C1233" s="199"/>
      <c r="D1233" s="248"/>
      <c r="E1233" s="248"/>
      <c r="F1233" s="248"/>
      <c r="G1233" s="248"/>
      <c r="H1233" s="283"/>
      <c r="I1233" s="199"/>
      <c r="J1233" s="199"/>
      <c r="K1233" s="199"/>
      <c r="L1233" s="248"/>
      <c r="M1233" s="248"/>
      <c r="N1233" s="248"/>
      <c r="O1233" s="248"/>
    </row>
    <row r="1234">
      <c r="A1234" s="199"/>
      <c r="B1234" s="199"/>
      <c r="C1234" s="199"/>
      <c r="D1234" s="248"/>
      <c r="E1234" s="248"/>
      <c r="F1234" s="248"/>
      <c r="G1234" s="248"/>
      <c r="H1234" s="283"/>
      <c r="I1234" s="199"/>
      <c r="J1234" s="199"/>
      <c r="K1234" s="199"/>
      <c r="L1234" s="248"/>
      <c r="M1234" s="248"/>
      <c r="N1234" s="248"/>
      <c r="O1234" s="248"/>
    </row>
    <row r="1235">
      <c r="A1235" s="199"/>
      <c r="B1235" s="199"/>
      <c r="C1235" s="199"/>
      <c r="D1235" s="248"/>
      <c r="E1235" s="248"/>
      <c r="F1235" s="248"/>
      <c r="G1235" s="248"/>
      <c r="H1235" s="283"/>
      <c r="I1235" s="199"/>
      <c r="J1235" s="199"/>
      <c r="K1235" s="199"/>
      <c r="L1235" s="248"/>
      <c r="M1235" s="248"/>
      <c r="N1235" s="248"/>
      <c r="O1235" s="248"/>
    </row>
    <row r="1236">
      <c r="A1236" s="199"/>
      <c r="B1236" s="199"/>
      <c r="C1236" s="199"/>
      <c r="D1236" s="248"/>
      <c r="E1236" s="248"/>
      <c r="F1236" s="248"/>
      <c r="G1236" s="248"/>
      <c r="H1236" s="283"/>
      <c r="I1236" s="199"/>
      <c r="J1236" s="199"/>
      <c r="K1236" s="199"/>
      <c r="L1236" s="248"/>
      <c r="M1236" s="248"/>
      <c r="N1236" s="248"/>
      <c r="O1236" s="248"/>
    </row>
    <row r="1237">
      <c r="A1237" s="199"/>
      <c r="B1237" s="199"/>
      <c r="C1237" s="199"/>
      <c r="D1237" s="248"/>
      <c r="E1237" s="248"/>
      <c r="F1237" s="248"/>
      <c r="G1237" s="248"/>
      <c r="H1237" s="283"/>
      <c r="I1237" s="199"/>
      <c r="J1237" s="199"/>
      <c r="K1237" s="199"/>
      <c r="L1237" s="248"/>
      <c r="M1237" s="248"/>
      <c r="N1237" s="248"/>
      <c r="O1237" s="248"/>
    </row>
    <row r="1238">
      <c r="A1238" s="199"/>
      <c r="B1238" s="199"/>
      <c r="C1238" s="199"/>
      <c r="D1238" s="248"/>
      <c r="E1238" s="248"/>
      <c r="F1238" s="248"/>
      <c r="G1238" s="248"/>
      <c r="H1238" s="283"/>
      <c r="I1238" s="199"/>
      <c r="J1238" s="199"/>
      <c r="K1238" s="199"/>
      <c r="L1238" s="248"/>
      <c r="M1238" s="248"/>
      <c r="N1238" s="248"/>
      <c r="O1238" s="248"/>
    </row>
    <row r="1239">
      <c r="A1239" s="199"/>
      <c r="B1239" s="199"/>
      <c r="C1239" s="199"/>
      <c r="D1239" s="248"/>
      <c r="E1239" s="248"/>
      <c r="F1239" s="248"/>
      <c r="G1239" s="248"/>
      <c r="H1239" s="283"/>
      <c r="I1239" s="199"/>
      <c r="J1239" s="199"/>
      <c r="K1239" s="199"/>
      <c r="L1239" s="248"/>
      <c r="M1239" s="248"/>
      <c r="N1239" s="248"/>
      <c r="O1239" s="248"/>
    </row>
    <row r="1240">
      <c r="A1240" s="199"/>
      <c r="B1240" s="199"/>
      <c r="C1240" s="199"/>
      <c r="D1240" s="248"/>
      <c r="E1240" s="248"/>
      <c r="F1240" s="248"/>
      <c r="G1240" s="248"/>
      <c r="H1240" s="283"/>
      <c r="I1240" s="199"/>
      <c r="J1240" s="199"/>
      <c r="K1240" s="199"/>
      <c r="L1240" s="248"/>
      <c r="M1240" s="248"/>
      <c r="N1240" s="248"/>
      <c r="O1240" s="248"/>
    </row>
    <row r="1241">
      <c r="A1241" s="199"/>
      <c r="B1241" s="199"/>
      <c r="C1241" s="199"/>
      <c r="D1241" s="248"/>
      <c r="E1241" s="248"/>
      <c r="F1241" s="248"/>
      <c r="G1241" s="248"/>
      <c r="H1241" s="283"/>
      <c r="I1241" s="199"/>
      <c r="J1241" s="199"/>
      <c r="K1241" s="199"/>
      <c r="L1241" s="248"/>
      <c r="M1241" s="248"/>
      <c r="N1241" s="248"/>
      <c r="O1241" s="248"/>
    </row>
    <row r="1242">
      <c r="A1242" s="199"/>
      <c r="B1242" s="199"/>
      <c r="C1242" s="199"/>
      <c r="D1242" s="248"/>
      <c r="E1242" s="248"/>
      <c r="F1242" s="248"/>
      <c r="G1242" s="248"/>
      <c r="H1242" s="283"/>
      <c r="I1242" s="199"/>
      <c r="J1242" s="199"/>
      <c r="K1242" s="199"/>
      <c r="L1242" s="248"/>
      <c r="M1242" s="248"/>
      <c r="N1242" s="248"/>
      <c r="O1242" s="248"/>
    </row>
    <row r="1243">
      <c r="A1243" s="199"/>
      <c r="B1243" s="199"/>
      <c r="C1243" s="199"/>
      <c r="D1243" s="248"/>
      <c r="E1243" s="248"/>
      <c r="F1243" s="248"/>
      <c r="G1243" s="248"/>
      <c r="H1243" s="283"/>
      <c r="I1243" s="199"/>
      <c r="J1243" s="199"/>
      <c r="K1243" s="199"/>
      <c r="L1243" s="248"/>
      <c r="M1243" s="248"/>
      <c r="N1243" s="248"/>
      <c r="O1243" s="248"/>
    </row>
    <row r="1244">
      <c r="A1244" s="199"/>
      <c r="B1244" s="199"/>
      <c r="C1244" s="199"/>
      <c r="D1244" s="248"/>
      <c r="E1244" s="248"/>
      <c r="F1244" s="248"/>
      <c r="G1244" s="248"/>
      <c r="H1244" s="283"/>
      <c r="I1244" s="199"/>
      <c r="J1244" s="199"/>
      <c r="K1244" s="199"/>
      <c r="L1244" s="248"/>
      <c r="M1244" s="248"/>
      <c r="N1244" s="248"/>
      <c r="O1244" s="248"/>
    </row>
    <row r="1245">
      <c r="A1245" s="199"/>
      <c r="B1245" s="199"/>
      <c r="C1245" s="199"/>
      <c r="D1245" s="248"/>
      <c r="E1245" s="248"/>
      <c r="F1245" s="248"/>
      <c r="G1245" s="248"/>
      <c r="H1245" s="283"/>
      <c r="I1245" s="199"/>
      <c r="J1245" s="199"/>
      <c r="K1245" s="199"/>
      <c r="L1245" s="248"/>
      <c r="M1245" s="248"/>
      <c r="N1245" s="248"/>
      <c r="O1245" s="248"/>
    </row>
    <row r="1246">
      <c r="A1246" s="199"/>
      <c r="B1246" s="199"/>
      <c r="C1246" s="199"/>
      <c r="D1246" s="248"/>
      <c r="E1246" s="248"/>
      <c r="F1246" s="248"/>
      <c r="G1246" s="248"/>
      <c r="H1246" s="283"/>
      <c r="I1246" s="199"/>
      <c r="J1246" s="199"/>
      <c r="K1246" s="199"/>
      <c r="L1246" s="248"/>
      <c r="M1246" s="248"/>
      <c r="N1246" s="248"/>
      <c r="O1246" s="248"/>
    </row>
    <row r="1247">
      <c r="A1247" s="199"/>
      <c r="B1247" s="199"/>
      <c r="C1247" s="199"/>
      <c r="D1247" s="248"/>
      <c r="E1247" s="248"/>
      <c r="F1247" s="248"/>
      <c r="G1247" s="248"/>
      <c r="H1247" s="283"/>
      <c r="I1247" s="199"/>
      <c r="J1247" s="199"/>
      <c r="K1247" s="199"/>
      <c r="L1247" s="248"/>
      <c r="M1247" s="248"/>
      <c r="N1247" s="248"/>
      <c r="O1247" s="248"/>
    </row>
    <row r="1248">
      <c r="A1248" s="199"/>
      <c r="B1248" s="199"/>
      <c r="C1248" s="199"/>
      <c r="D1248" s="248"/>
      <c r="E1248" s="248"/>
      <c r="F1248" s="248"/>
      <c r="G1248" s="248"/>
      <c r="H1248" s="283"/>
      <c r="I1248" s="199"/>
      <c r="J1248" s="199"/>
      <c r="K1248" s="199"/>
      <c r="L1248" s="248"/>
      <c r="M1248" s="248"/>
      <c r="N1248" s="248"/>
      <c r="O1248" s="248"/>
    </row>
    <row r="1249">
      <c r="A1249" s="199"/>
      <c r="B1249" s="199"/>
      <c r="C1249" s="199"/>
      <c r="D1249" s="248"/>
      <c r="E1249" s="248"/>
      <c r="F1249" s="248"/>
      <c r="G1249" s="248"/>
      <c r="H1249" s="283"/>
      <c r="I1249" s="199"/>
      <c r="J1249" s="199"/>
      <c r="K1249" s="199"/>
      <c r="L1249" s="248"/>
      <c r="M1249" s="248"/>
      <c r="N1249" s="248"/>
      <c r="O1249" s="248"/>
    </row>
    <row r="1250">
      <c r="A1250" s="199"/>
      <c r="B1250" s="199"/>
      <c r="C1250" s="199"/>
      <c r="D1250" s="248"/>
      <c r="E1250" s="248"/>
      <c r="F1250" s="248"/>
      <c r="G1250" s="248"/>
      <c r="H1250" s="283"/>
      <c r="I1250" s="199"/>
      <c r="J1250" s="199"/>
      <c r="K1250" s="199"/>
      <c r="L1250" s="248"/>
      <c r="M1250" s="248"/>
      <c r="N1250" s="248"/>
      <c r="O1250" s="248"/>
    </row>
    <row r="1251">
      <c r="A1251" s="199"/>
      <c r="B1251" s="199"/>
      <c r="C1251" s="199"/>
      <c r="D1251" s="248"/>
      <c r="E1251" s="248"/>
      <c r="F1251" s="248"/>
      <c r="G1251" s="248"/>
      <c r="H1251" s="283"/>
      <c r="I1251" s="199"/>
      <c r="J1251" s="199"/>
      <c r="K1251" s="199"/>
      <c r="L1251" s="248"/>
      <c r="M1251" s="248"/>
      <c r="N1251" s="248"/>
      <c r="O1251" s="248"/>
    </row>
    <row r="1252">
      <c r="A1252" s="199"/>
      <c r="B1252" s="199"/>
      <c r="C1252" s="199"/>
      <c r="D1252" s="248"/>
      <c r="E1252" s="248"/>
      <c r="F1252" s="248"/>
      <c r="G1252" s="248"/>
      <c r="H1252" s="283"/>
      <c r="I1252" s="199"/>
      <c r="J1252" s="199"/>
      <c r="K1252" s="199"/>
      <c r="L1252" s="248"/>
      <c r="M1252" s="248"/>
      <c r="N1252" s="248"/>
      <c r="O1252" s="248"/>
    </row>
    <row r="1253">
      <c r="A1253" s="199"/>
      <c r="B1253" s="199"/>
      <c r="C1253" s="199"/>
      <c r="D1253" s="248"/>
      <c r="E1253" s="248"/>
      <c r="F1253" s="248"/>
      <c r="G1253" s="248"/>
      <c r="H1253" s="283"/>
      <c r="I1253" s="199"/>
      <c r="J1253" s="199"/>
      <c r="K1253" s="199"/>
      <c r="L1253" s="248"/>
      <c r="M1253" s="248"/>
      <c r="N1253" s="248"/>
      <c r="O1253" s="248"/>
    </row>
    <row r="1254">
      <c r="A1254" s="199"/>
      <c r="B1254" s="199"/>
      <c r="C1254" s="199"/>
      <c r="D1254" s="248"/>
      <c r="E1254" s="248"/>
      <c r="F1254" s="248"/>
      <c r="G1254" s="248"/>
      <c r="H1254" s="283"/>
      <c r="I1254" s="199"/>
      <c r="J1254" s="199"/>
      <c r="K1254" s="199"/>
      <c r="L1254" s="248"/>
      <c r="M1254" s="248"/>
      <c r="N1254" s="248"/>
      <c r="O1254" s="248"/>
    </row>
    <row r="1255">
      <c r="A1255" s="199"/>
      <c r="B1255" s="199"/>
      <c r="C1255" s="199"/>
      <c r="D1255" s="248"/>
      <c r="E1255" s="248"/>
      <c r="F1255" s="248"/>
      <c r="G1255" s="248"/>
      <c r="H1255" s="283"/>
      <c r="I1255" s="199"/>
      <c r="J1255" s="199"/>
      <c r="K1255" s="199"/>
      <c r="L1255" s="248"/>
      <c r="M1255" s="248"/>
      <c r="N1255" s="248"/>
      <c r="O1255" s="248"/>
    </row>
    <row r="1256">
      <c r="A1256" s="199"/>
      <c r="B1256" s="199"/>
      <c r="C1256" s="199"/>
      <c r="D1256" s="248"/>
      <c r="E1256" s="248"/>
      <c r="F1256" s="248"/>
      <c r="G1256" s="248"/>
      <c r="H1256" s="283"/>
      <c r="I1256" s="199"/>
      <c r="J1256" s="199"/>
      <c r="K1256" s="199"/>
      <c r="L1256" s="248"/>
      <c r="M1256" s="248"/>
      <c r="N1256" s="248"/>
      <c r="O1256" s="248"/>
    </row>
    <row r="1257">
      <c r="A1257" s="199"/>
      <c r="B1257" s="199"/>
      <c r="C1257" s="199"/>
      <c r="D1257" s="248"/>
      <c r="E1257" s="248"/>
      <c r="F1257" s="248"/>
      <c r="G1257" s="248"/>
      <c r="H1257" s="283"/>
      <c r="I1257" s="199"/>
      <c r="J1257" s="199"/>
      <c r="K1257" s="199"/>
      <c r="L1257" s="248"/>
      <c r="M1257" s="248"/>
      <c r="N1257" s="248"/>
      <c r="O1257" s="248"/>
    </row>
    <row r="1258">
      <c r="A1258" s="199"/>
      <c r="B1258" s="199"/>
      <c r="C1258" s="199"/>
      <c r="D1258" s="248"/>
      <c r="E1258" s="248"/>
      <c r="F1258" s="248"/>
      <c r="G1258" s="248"/>
      <c r="H1258" s="283"/>
      <c r="I1258" s="199"/>
      <c r="J1258" s="199"/>
      <c r="K1258" s="199"/>
      <c r="L1258" s="248"/>
      <c r="M1258" s="248"/>
      <c r="N1258" s="248"/>
      <c r="O1258" s="248"/>
    </row>
    <row r="1259">
      <c r="A1259" s="199"/>
      <c r="B1259" s="199"/>
      <c r="C1259" s="199"/>
      <c r="D1259" s="248"/>
      <c r="E1259" s="248"/>
      <c r="F1259" s="248"/>
      <c r="G1259" s="248"/>
      <c r="H1259" s="283"/>
      <c r="I1259" s="199"/>
      <c r="J1259" s="199"/>
      <c r="K1259" s="199"/>
      <c r="L1259" s="248"/>
      <c r="M1259" s="248"/>
      <c r="N1259" s="248"/>
      <c r="O1259" s="248"/>
    </row>
    <row r="1260">
      <c r="A1260" s="199"/>
      <c r="B1260" s="199"/>
      <c r="C1260" s="199"/>
      <c r="D1260" s="248"/>
      <c r="E1260" s="248"/>
      <c r="F1260" s="248"/>
      <c r="G1260" s="248"/>
      <c r="H1260" s="283"/>
      <c r="I1260" s="199"/>
      <c r="J1260" s="199"/>
      <c r="K1260" s="199"/>
      <c r="L1260" s="248"/>
      <c r="M1260" s="248"/>
      <c r="N1260" s="248"/>
      <c r="O1260" s="248"/>
    </row>
    <row r="1261">
      <c r="A1261" s="199"/>
      <c r="B1261" s="199"/>
      <c r="C1261" s="199"/>
      <c r="D1261" s="248"/>
      <c r="E1261" s="248"/>
      <c r="F1261" s="248"/>
      <c r="G1261" s="248"/>
      <c r="H1261" s="283"/>
      <c r="I1261" s="199"/>
      <c r="J1261" s="199"/>
      <c r="K1261" s="199"/>
      <c r="L1261" s="248"/>
      <c r="M1261" s="248"/>
      <c r="N1261" s="248"/>
      <c r="O1261" s="248"/>
    </row>
    <row r="1262">
      <c r="A1262" s="199"/>
      <c r="B1262" s="199"/>
      <c r="C1262" s="199"/>
      <c r="D1262" s="248"/>
      <c r="E1262" s="248"/>
      <c r="F1262" s="248"/>
      <c r="G1262" s="248"/>
      <c r="H1262" s="283"/>
      <c r="I1262" s="199"/>
      <c r="J1262" s="199"/>
      <c r="K1262" s="199"/>
      <c r="L1262" s="248"/>
      <c r="M1262" s="248"/>
      <c r="N1262" s="248"/>
      <c r="O1262" s="248"/>
    </row>
    <row r="1263">
      <c r="A1263" s="199"/>
      <c r="B1263" s="199"/>
      <c r="C1263" s="199"/>
      <c r="D1263" s="248"/>
      <c r="E1263" s="248"/>
      <c r="F1263" s="248"/>
      <c r="G1263" s="248"/>
      <c r="H1263" s="283"/>
      <c r="I1263" s="199"/>
      <c r="J1263" s="199"/>
      <c r="K1263" s="199"/>
      <c r="L1263" s="248"/>
      <c r="M1263" s="248"/>
      <c r="N1263" s="248"/>
      <c r="O1263" s="248"/>
    </row>
    <row r="1264">
      <c r="A1264" s="199"/>
      <c r="B1264" s="199"/>
      <c r="C1264" s="199"/>
      <c r="D1264" s="248"/>
      <c r="E1264" s="248"/>
      <c r="F1264" s="248"/>
      <c r="G1264" s="248"/>
      <c r="H1264" s="283"/>
      <c r="I1264" s="199"/>
      <c r="J1264" s="199"/>
      <c r="K1264" s="199"/>
      <c r="L1264" s="248"/>
      <c r="M1264" s="248"/>
      <c r="N1264" s="248"/>
      <c r="O1264" s="248"/>
    </row>
    <row r="1265">
      <c r="A1265" s="199"/>
      <c r="B1265" s="199"/>
      <c r="C1265" s="199"/>
      <c r="D1265" s="248"/>
      <c r="E1265" s="248"/>
      <c r="F1265" s="248"/>
      <c r="G1265" s="248"/>
      <c r="H1265" s="283"/>
      <c r="I1265" s="199"/>
      <c r="J1265" s="199"/>
      <c r="K1265" s="199"/>
      <c r="L1265" s="248"/>
      <c r="M1265" s="248"/>
      <c r="N1265" s="248"/>
      <c r="O1265" s="248"/>
    </row>
    <row r="1266">
      <c r="A1266" s="199"/>
      <c r="B1266" s="199"/>
      <c r="C1266" s="199"/>
      <c r="D1266" s="248"/>
      <c r="E1266" s="248"/>
      <c r="F1266" s="248"/>
      <c r="G1266" s="248"/>
      <c r="H1266" s="283"/>
      <c r="I1266" s="199"/>
      <c r="J1266" s="199"/>
      <c r="K1266" s="199"/>
      <c r="L1266" s="248"/>
      <c r="M1266" s="248"/>
      <c r="N1266" s="248"/>
      <c r="O1266" s="248"/>
    </row>
    <row r="1267">
      <c r="A1267" s="199"/>
      <c r="B1267" s="199"/>
      <c r="C1267" s="199"/>
      <c r="D1267" s="248"/>
      <c r="E1267" s="248"/>
      <c r="F1267" s="248"/>
      <c r="G1267" s="248"/>
      <c r="H1267" s="283"/>
      <c r="I1267" s="199"/>
      <c r="J1267" s="199"/>
      <c r="K1267" s="199"/>
      <c r="L1267" s="248"/>
      <c r="M1267" s="248"/>
      <c r="N1267" s="248"/>
      <c r="O1267" s="248"/>
    </row>
    <row r="1268">
      <c r="A1268" s="199"/>
      <c r="B1268" s="199"/>
      <c r="C1268" s="199"/>
      <c r="D1268" s="248"/>
      <c r="E1268" s="248"/>
      <c r="F1268" s="248"/>
      <c r="G1268" s="248"/>
      <c r="H1268" s="283"/>
      <c r="I1268" s="199"/>
      <c r="J1268" s="199"/>
      <c r="K1268" s="199"/>
      <c r="L1268" s="248"/>
      <c r="M1268" s="248"/>
      <c r="N1268" s="248"/>
      <c r="O1268" s="248"/>
    </row>
    <row r="1269">
      <c r="A1269" s="199"/>
      <c r="B1269" s="199"/>
      <c r="C1269" s="199"/>
      <c r="D1269" s="248"/>
      <c r="E1269" s="248"/>
      <c r="F1269" s="248"/>
      <c r="G1269" s="248"/>
      <c r="H1269" s="283"/>
      <c r="I1269" s="199"/>
      <c r="J1269" s="199"/>
      <c r="K1269" s="199"/>
      <c r="L1269" s="248"/>
      <c r="M1269" s="248"/>
      <c r="N1269" s="248"/>
      <c r="O1269" s="248"/>
    </row>
    <row r="1270">
      <c r="A1270" s="199"/>
      <c r="B1270" s="199"/>
      <c r="C1270" s="199"/>
      <c r="D1270" s="248"/>
      <c r="E1270" s="248"/>
      <c r="F1270" s="248"/>
      <c r="G1270" s="248"/>
      <c r="H1270" s="283"/>
      <c r="I1270" s="199"/>
      <c r="J1270" s="199"/>
      <c r="K1270" s="199"/>
      <c r="L1270" s="248"/>
      <c r="M1270" s="248"/>
      <c r="N1270" s="248"/>
      <c r="O1270" s="248"/>
    </row>
    <row r="1271">
      <c r="A1271" s="199"/>
      <c r="B1271" s="199"/>
      <c r="C1271" s="199"/>
      <c r="D1271" s="248"/>
      <c r="E1271" s="248"/>
      <c r="F1271" s="248"/>
      <c r="G1271" s="248"/>
      <c r="H1271" s="283"/>
      <c r="I1271" s="199"/>
      <c r="J1271" s="199"/>
      <c r="K1271" s="199"/>
      <c r="L1271" s="248"/>
      <c r="M1271" s="248"/>
      <c r="N1271" s="248"/>
      <c r="O1271" s="248"/>
    </row>
    <row r="1272">
      <c r="A1272" s="199"/>
      <c r="B1272" s="199"/>
      <c r="C1272" s="199"/>
      <c r="D1272" s="248"/>
      <c r="E1272" s="248"/>
      <c r="F1272" s="248"/>
      <c r="G1272" s="248"/>
      <c r="H1272" s="283"/>
      <c r="I1272" s="199"/>
      <c r="J1272" s="199"/>
      <c r="K1272" s="199"/>
      <c r="L1272" s="248"/>
      <c r="M1272" s="248"/>
      <c r="N1272" s="248"/>
      <c r="O1272" s="248"/>
    </row>
    <row r="1273">
      <c r="A1273" s="199"/>
      <c r="B1273" s="199"/>
      <c r="C1273" s="199"/>
      <c r="D1273" s="248"/>
      <c r="E1273" s="248"/>
      <c r="F1273" s="248"/>
      <c r="G1273" s="248"/>
      <c r="H1273" s="283"/>
      <c r="I1273" s="199"/>
      <c r="J1273" s="199"/>
      <c r="K1273" s="199"/>
      <c r="L1273" s="248"/>
      <c r="M1273" s="248"/>
      <c r="N1273" s="248"/>
      <c r="O1273" s="248"/>
    </row>
    <row r="1274">
      <c r="A1274" s="199"/>
      <c r="B1274" s="199"/>
      <c r="C1274" s="199"/>
      <c r="D1274" s="248"/>
      <c r="E1274" s="248"/>
      <c r="F1274" s="248"/>
      <c r="G1274" s="248"/>
      <c r="H1274" s="283"/>
      <c r="I1274" s="199"/>
      <c r="J1274" s="199"/>
      <c r="K1274" s="199"/>
      <c r="L1274" s="248"/>
      <c r="M1274" s="248"/>
      <c r="N1274" s="248"/>
      <c r="O1274" s="248"/>
    </row>
    <row r="1275">
      <c r="A1275" s="199"/>
      <c r="B1275" s="199"/>
      <c r="C1275" s="199"/>
      <c r="D1275" s="248"/>
      <c r="E1275" s="248"/>
      <c r="F1275" s="248"/>
      <c r="G1275" s="248"/>
      <c r="H1275" s="283"/>
      <c r="I1275" s="199"/>
      <c r="J1275" s="199"/>
      <c r="K1275" s="199"/>
      <c r="L1275" s="248"/>
      <c r="M1275" s="248"/>
      <c r="N1275" s="248"/>
      <c r="O1275" s="248"/>
    </row>
    <row r="1276">
      <c r="A1276" s="199"/>
      <c r="B1276" s="199"/>
      <c r="C1276" s="199"/>
      <c r="D1276" s="248"/>
      <c r="E1276" s="248"/>
      <c r="F1276" s="248"/>
      <c r="G1276" s="248"/>
      <c r="H1276" s="283"/>
      <c r="I1276" s="199"/>
      <c r="J1276" s="199"/>
      <c r="K1276" s="199"/>
      <c r="L1276" s="248"/>
      <c r="M1276" s="248"/>
      <c r="N1276" s="248"/>
      <c r="O1276" s="248"/>
    </row>
    <row r="1277">
      <c r="A1277" s="199"/>
      <c r="B1277" s="199"/>
      <c r="C1277" s="199"/>
      <c r="D1277" s="248"/>
      <c r="E1277" s="248"/>
      <c r="F1277" s="248"/>
      <c r="G1277" s="248"/>
      <c r="H1277" s="283"/>
      <c r="I1277" s="199"/>
      <c r="J1277" s="199"/>
      <c r="K1277" s="199"/>
      <c r="L1277" s="248"/>
      <c r="M1277" s="248"/>
      <c r="N1277" s="248"/>
      <c r="O1277" s="248"/>
    </row>
    <row r="1278">
      <c r="A1278" s="199"/>
      <c r="B1278" s="199"/>
      <c r="C1278" s="199"/>
      <c r="D1278" s="248"/>
      <c r="E1278" s="248"/>
      <c r="F1278" s="248"/>
      <c r="G1278" s="248"/>
      <c r="H1278" s="283"/>
      <c r="I1278" s="199"/>
      <c r="J1278" s="199"/>
      <c r="K1278" s="199"/>
      <c r="L1278" s="248"/>
      <c r="M1278" s="248"/>
      <c r="N1278" s="248"/>
      <c r="O1278" s="248"/>
    </row>
    <row r="1279">
      <c r="A1279" s="199"/>
      <c r="B1279" s="199"/>
      <c r="C1279" s="199"/>
      <c r="D1279" s="248"/>
      <c r="E1279" s="248"/>
      <c r="F1279" s="248"/>
      <c r="G1279" s="248"/>
      <c r="H1279" s="283"/>
      <c r="I1279" s="199"/>
      <c r="J1279" s="199"/>
      <c r="K1279" s="199"/>
      <c r="L1279" s="248"/>
      <c r="M1279" s="248"/>
      <c r="N1279" s="248"/>
      <c r="O1279" s="248"/>
    </row>
    <row r="1280">
      <c r="A1280" s="199"/>
      <c r="B1280" s="199"/>
      <c r="C1280" s="199"/>
      <c r="D1280" s="248"/>
      <c r="E1280" s="248"/>
      <c r="F1280" s="248"/>
      <c r="G1280" s="248"/>
      <c r="H1280" s="283"/>
      <c r="I1280" s="199"/>
      <c r="J1280" s="199"/>
      <c r="K1280" s="199"/>
      <c r="L1280" s="248"/>
      <c r="M1280" s="248"/>
      <c r="N1280" s="248"/>
      <c r="O1280" s="248"/>
    </row>
    <row r="1281">
      <c r="A1281" s="199"/>
      <c r="B1281" s="199"/>
      <c r="C1281" s="199"/>
      <c r="D1281" s="248"/>
      <c r="E1281" s="248"/>
      <c r="F1281" s="248"/>
      <c r="G1281" s="248"/>
      <c r="H1281" s="283"/>
      <c r="I1281" s="199"/>
      <c r="J1281" s="199"/>
      <c r="K1281" s="199"/>
      <c r="L1281" s="248"/>
      <c r="M1281" s="248"/>
      <c r="N1281" s="248"/>
      <c r="O1281" s="248"/>
    </row>
    <row r="1282">
      <c r="A1282" s="199"/>
      <c r="B1282" s="199"/>
      <c r="C1282" s="199"/>
      <c r="D1282" s="248"/>
      <c r="E1282" s="248"/>
      <c r="F1282" s="248"/>
      <c r="G1282" s="248"/>
      <c r="H1282" s="283"/>
      <c r="I1282" s="199"/>
      <c r="J1282" s="199"/>
      <c r="K1282" s="199"/>
      <c r="L1282" s="248"/>
      <c r="M1282" s="248"/>
      <c r="N1282" s="248"/>
      <c r="O1282" s="248"/>
    </row>
    <row r="1283">
      <c r="A1283" s="199"/>
      <c r="B1283" s="199"/>
      <c r="C1283" s="199"/>
      <c r="D1283" s="248"/>
      <c r="E1283" s="248"/>
      <c r="F1283" s="248"/>
      <c r="G1283" s="248"/>
      <c r="H1283" s="283"/>
      <c r="I1283" s="199"/>
      <c r="J1283" s="199"/>
      <c r="K1283" s="199"/>
      <c r="L1283" s="248"/>
      <c r="M1283" s="248"/>
      <c r="N1283" s="248"/>
      <c r="O1283" s="248"/>
    </row>
    <row r="1284">
      <c r="A1284" s="199"/>
      <c r="B1284" s="199"/>
      <c r="C1284" s="199"/>
      <c r="D1284" s="248"/>
      <c r="E1284" s="248"/>
      <c r="F1284" s="248"/>
      <c r="G1284" s="248"/>
      <c r="H1284" s="283"/>
      <c r="I1284" s="199"/>
      <c r="J1284" s="199"/>
      <c r="K1284" s="199"/>
      <c r="L1284" s="248"/>
      <c r="M1284" s="248"/>
      <c r="N1284" s="248"/>
      <c r="O1284" s="248"/>
    </row>
    <row r="1285">
      <c r="A1285" s="199"/>
      <c r="B1285" s="199"/>
      <c r="C1285" s="199"/>
      <c r="D1285" s="248"/>
      <c r="E1285" s="248"/>
      <c r="F1285" s="248"/>
      <c r="G1285" s="248"/>
      <c r="H1285" s="283"/>
      <c r="I1285" s="199"/>
      <c r="J1285" s="199"/>
      <c r="K1285" s="199"/>
      <c r="L1285" s="248"/>
      <c r="M1285" s="248"/>
      <c r="N1285" s="248"/>
      <c r="O1285" s="248"/>
    </row>
    <row r="1286">
      <c r="A1286" s="199"/>
      <c r="B1286" s="199"/>
      <c r="C1286" s="199"/>
      <c r="D1286" s="248"/>
      <c r="E1286" s="248"/>
      <c r="F1286" s="248"/>
      <c r="G1286" s="248"/>
      <c r="H1286" s="283"/>
      <c r="I1286" s="199"/>
      <c r="J1286" s="199"/>
      <c r="K1286" s="199"/>
      <c r="L1286" s="248"/>
      <c r="M1286" s="248"/>
      <c r="N1286" s="248"/>
      <c r="O1286" s="248"/>
    </row>
    <row r="1287">
      <c r="A1287" s="199"/>
      <c r="B1287" s="199"/>
      <c r="C1287" s="199"/>
      <c r="D1287" s="248"/>
      <c r="E1287" s="248"/>
      <c r="F1287" s="248"/>
      <c r="G1287" s="248"/>
      <c r="H1287" s="283"/>
      <c r="I1287" s="199"/>
      <c r="J1287" s="199"/>
      <c r="K1287" s="199"/>
      <c r="L1287" s="248"/>
      <c r="M1287" s="248"/>
      <c r="N1287" s="248"/>
      <c r="O1287" s="248"/>
    </row>
    <row r="1288">
      <c r="A1288" s="199"/>
      <c r="B1288" s="199"/>
      <c r="C1288" s="199"/>
      <c r="D1288" s="248"/>
      <c r="E1288" s="248"/>
      <c r="F1288" s="248"/>
      <c r="G1288" s="248"/>
      <c r="H1288" s="283"/>
      <c r="I1288" s="199"/>
      <c r="J1288" s="199"/>
      <c r="K1288" s="199"/>
      <c r="L1288" s="248"/>
      <c r="M1288" s="248"/>
      <c r="N1288" s="248"/>
      <c r="O1288" s="248"/>
    </row>
    <row r="1289">
      <c r="A1289" s="199"/>
      <c r="B1289" s="199"/>
      <c r="C1289" s="199"/>
      <c r="D1289" s="248"/>
      <c r="E1289" s="248"/>
      <c r="F1289" s="248"/>
      <c r="G1289" s="248"/>
      <c r="H1289" s="283"/>
      <c r="I1289" s="199"/>
      <c r="J1289" s="199"/>
      <c r="K1289" s="199"/>
      <c r="L1289" s="248"/>
      <c r="M1289" s="248"/>
      <c r="N1289" s="248"/>
      <c r="O1289" s="248"/>
    </row>
    <row r="1290">
      <c r="A1290" s="199"/>
      <c r="B1290" s="199"/>
      <c r="C1290" s="199"/>
      <c r="D1290" s="248"/>
      <c r="E1290" s="248"/>
      <c r="F1290" s="248"/>
      <c r="G1290" s="248"/>
      <c r="H1290" s="283"/>
      <c r="I1290" s="199"/>
      <c r="J1290" s="199"/>
      <c r="K1290" s="199"/>
      <c r="L1290" s="248"/>
      <c r="M1290" s="248"/>
      <c r="N1290" s="248"/>
      <c r="O1290" s="248"/>
    </row>
    <row r="1291">
      <c r="A1291" s="199"/>
      <c r="B1291" s="199"/>
      <c r="C1291" s="199"/>
      <c r="D1291" s="248"/>
      <c r="E1291" s="248"/>
      <c r="F1291" s="248"/>
      <c r="G1291" s="248"/>
      <c r="H1291" s="283"/>
      <c r="I1291" s="199"/>
      <c r="J1291" s="199"/>
      <c r="K1291" s="199"/>
      <c r="L1291" s="248"/>
      <c r="M1291" s="248"/>
      <c r="N1291" s="248"/>
      <c r="O1291" s="248"/>
    </row>
    <row r="1292">
      <c r="A1292" s="199"/>
      <c r="B1292" s="199"/>
      <c r="C1292" s="199"/>
      <c r="D1292" s="248"/>
      <c r="E1292" s="248"/>
      <c r="F1292" s="248"/>
      <c r="G1292" s="248"/>
      <c r="H1292" s="283"/>
      <c r="I1292" s="199"/>
      <c r="J1292" s="199"/>
      <c r="K1292" s="199"/>
      <c r="L1292" s="248"/>
      <c r="M1292" s="248"/>
      <c r="N1292" s="248"/>
      <c r="O1292" s="248"/>
    </row>
    <row r="1293">
      <c r="A1293" s="199"/>
      <c r="B1293" s="199"/>
      <c r="C1293" s="199"/>
      <c r="D1293" s="248"/>
      <c r="E1293" s="248"/>
      <c r="F1293" s="248"/>
      <c r="G1293" s="248"/>
      <c r="H1293" s="283"/>
      <c r="I1293" s="199"/>
      <c r="J1293" s="199"/>
      <c r="K1293" s="199"/>
      <c r="L1293" s="248"/>
      <c r="M1293" s="248"/>
      <c r="N1293" s="248"/>
      <c r="O1293" s="248"/>
    </row>
    <row r="1294">
      <c r="A1294" s="199"/>
      <c r="B1294" s="199"/>
      <c r="C1294" s="199"/>
      <c r="D1294" s="248"/>
      <c r="E1294" s="248"/>
      <c r="F1294" s="248"/>
      <c r="G1294" s="248"/>
      <c r="H1294" s="283"/>
      <c r="I1294" s="199"/>
      <c r="J1294" s="199"/>
      <c r="K1294" s="199"/>
      <c r="L1294" s="248"/>
      <c r="M1294" s="248"/>
      <c r="N1294" s="248"/>
      <c r="O1294" s="248"/>
    </row>
    <row r="1295">
      <c r="A1295" s="199"/>
      <c r="B1295" s="199"/>
      <c r="C1295" s="199"/>
      <c r="D1295" s="248"/>
      <c r="E1295" s="248"/>
      <c r="F1295" s="248"/>
      <c r="G1295" s="248"/>
      <c r="H1295" s="283"/>
      <c r="I1295" s="199"/>
      <c r="J1295" s="199"/>
      <c r="K1295" s="199"/>
      <c r="L1295" s="248"/>
      <c r="M1295" s="248"/>
      <c r="N1295" s="248"/>
      <c r="O1295" s="248"/>
    </row>
    <row r="1296">
      <c r="A1296" s="199"/>
      <c r="B1296" s="199"/>
      <c r="C1296" s="199"/>
      <c r="D1296" s="248"/>
      <c r="E1296" s="248"/>
      <c r="F1296" s="248"/>
      <c r="G1296" s="248"/>
      <c r="H1296" s="283"/>
      <c r="I1296" s="199"/>
      <c r="J1296" s="199"/>
      <c r="K1296" s="199"/>
      <c r="L1296" s="248"/>
      <c r="M1296" s="248"/>
      <c r="N1296" s="248"/>
      <c r="O1296" s="248"/>
    </row>
    <row r="1297">
      <c r="A1297" s="199"/>
      <c r="B1297" s="199"/>
      <c r="C1297" s="199"/>
      <c r="D1297" s="248"/>
      <c r="E1297" s="248"/>
      <c r="F1297" s="248"/>
      <c r="G1297" s="248"/>
      <c r="H1297" s="283"/>
      <c r="I1297" s="199"/>
      <c r="J1297" s="199"/>
      <c r="K1297" s="199"/>
      <c r="L1297" s="248"/>
      <c r="M1297" s="248"/>
      <c r="N1297" s="248"/>
      <c r="O1297" s="248"/>
    </row>
    <row r="1298">
      <c r="A1298" s="199"/>
      <c r="B1298" s="199"/>
      <c r="C1298" s="199"/>
      <c r="D1298" s="248"/>
      <c r="E1298" s="248"/>
      <c r="F1298" s="248"/>
      <c r="G1298" s="248"/>
      <c r="H1298" s="283"/>
      <c r="I1298" s="199"/>
      <c r="J1298" s="199"/>
      <c r="K1298" s="199"/>
      <c r="L1298" s="248"/>
      <c r="M1298" s="248"/>
      <c r="N1298" s="248"/>
      <c r="O1298" s="248"/>
    </row>
    <row r="1299">
      <c r="A1299" s="199"/>
      <c r="B1299" s="199"/>
      <c r="C1299" s="199"/>
      <c r="D1299" s="248"/>
      <c r="E1299" s="248"/>
      <c r="F1299" s="248"/>
      <c r="G1299" s="248"/>
      <c r="H1299" s="283"/>
      <c r="I1299" s="199"/>
      <c r="J1299" s="199"/>
      <c r="K1299" s="199"/>
      <c r="L1299" s="248"/>
      <c r="M1299" s="248"/>
      <c r="N1299" s="248"/>
      <c r="O1299" s="248"/>
    </row>
    <row r="1300">
      <c r="A1300" s="199"/>
      <c r="B1300" s="199"/>
      <c r="C1300" s="199"/>
      <c r="D1300" s="248"/>
      <c r="E1300" s="248"/>
      <c r="F1300" s="248"/>
      <c r="G1300" s="248"/>
      <c r="H1300" s="283"/>
      <c r="I1300" s="199"/>
      <c r="J1300" s="199"/>
      <c r="K1300" s="199"/>
      <c r="L1300" s="248"/>
      <c r="M1300" s="248"/>
      <c r="N1300" s="248"/>
      <c r="O1300" s="248"/>
    </row>
    <row r="1301">
      <c r="A1301" s="199"/>
      <c r="B1301" s="199"/>
      <c r="C1301" s="199"/>
      <c r="D1301" s="248"/>
      <c r="E1301" s="248"/>
      <c r="F1301" s="248"/>
      <c r="G1301" s="248"/>
      <c r="H1301" s="283"/>
      <c r="I1301" s="199"/>
      <c r="J1301" s="199"/>
      <c r="K1301" s="199"/>
      <c r="L1301" s="248"/>
      <c r="M1301" s="248"/>
      <c r="N1301" s="248"/>
      <c r="O1301" s="248"/>
    </row>
    <row r="1302">
      <c r="A1302" s="199"/>
      <c r="B1302" s="199"/>
      <c r="C1302" s="199"/>
      <c r="D1302" s="248"/>
      <c r="E1302" s="248"/>
      <c r="F1302" s="248"/>
      <c r="G1302" s="248"/>
      <c r="H1302" s="283"/>
      <c r="I1302" s="199"/>
      <c r="J1302" s="199"/>
      <c r="K1302" s="199"/>
      <c r="L1302" s="248"/>
      <c r="M1302" s="248"/>
      <c r="N1302" s="248"/>
      <c r="O1302" s="248"/>
    </row>
    <row r="1303">
      <c r="A1303" s="199"/>
      <c r="B1303" s="199"/>
      <c r="C1303" s="199"/>
      <c r="D1303" s="248"/>
      <c r="E1303" s="248"/>
      <c r="F1303" s="248"/>
      <c r="G1303" s="248"/>
      <c r="H1303" s="283"/>
      <c r="I1303" s="199"/>
      <c r="J1303" s="199"/>
      <c r="K1303" s="199"/>
      <c r="L1303" s="248"/>
      <c r="M1303" s="248"/>
      <c r="N1303" s="248"/>
      <c r="O1303" s="248"/>
    </row>
    <row r="1304">
      <c r="A1304" s="199"/>
      <c r="B1304" s="199"/>
      <c r="C1304" s="199"/>
      <c r="D1304" s="248"/>
      <c r="E1304" s="248"/>
      <c r="F1304" s="248"/>
      <c r="G1304" s="248"/>
      <c r="H1304" s="283"/>
      <c r="I1304" s="199"/>
      <c r="J1304" s="199"/>
      <c r="K1304" s="199"/>
      <c r="L1304" s="248"/>
      <c r="M1304" s="248"/>
      <c r="N1304" s="248"/>
      <c r="O1304" s="248"/>
    </row>
    <row r="1305">
      <c r="A1305" s="199"/>
      <c r="B1305" s="199"/>
      <c r="C1305" s="199"/>
      <c r="D1305" s="248"/>
      <c r="E1305" s="248"/>
      <c r="F1305" s="248"/>
      <c r="G1305" s="248"/>
      <c r="H1305" s="283"/>
      <c r="I1305" s="199"/>
      <c r="J1305" s="199"/>
      <c r="K1305" s="199"/>
      <c r="L1305" s="248"/>
      <c r="M1305" s="248"/>
      <c r="N1305" s="248"/>
      <c r="O1305" s="248"/>
    </row>
    <row r="1306">
      <c r="A1306" s="199"/>
      <c r="B1306" s="199"/>
      <c r="C1306" s="199"/>
      <c r="D1306" s="248"/>
      <c r="E1306" s="248"/>
      <c r="F1306" s="248"/>
      <c r="G1306" s="248"/>
      <c r="H1306" s="283"/>
      <c r="I1306" s="199"/>
      <c r="J1306" s="199"/>
      <c r="K1306" s="199"/>
      <c r="L1306" s="248"/>
      <c r="M1306" s="248"/>
      <c r="N1306" s="248"/>
      <c r="O1306" s="248"/>
    </row>
    <row r="1307">
      <c r="A1307" s="199"/>
      <c r="B1307" s="199"/>
      <c r="C1307" s="199"/>
      <c r="D1307" s="248"/>
      <c r="E1307" s="248"/>
      <c r="F1307" s="248"/>
      <c r="G1307" s="248"/>
      <c r="H1307" s="283"/>
      <c r="I1307" s="199"/>
      <c r="J1307" s="199"/>
      <c r="K1307" s="199"/>
      <c r="L1307" s="248"/>
      <c r="M1307" s="248"/>
      <c r="N1307" s="248"/>
      <c r="O1307" s="248"/>
    </row>
    <row r="1308">
      <c r="A1308" s="199"/>
      <c r="B1308" s="199"/>
      <c r="C1308" s="199"/>
      <c r="D1308" s="248"/>
      <c r="E1308" s="248"/>
      <c r="F1308" s="248"/>
      <c r="G1308" s="248"/>
      <c r="H1308" s="283"/>
      <c r="I1308" s="199"/>
      <c r="J1308" s="199"/>
      <c r="K1308" s="199"/>
      <c r="L1308" s="248"/>
      <c r="M1308" s="248"/>
      <c r="N1308" s="248"/>
      <c r="O1308" s="248"/>
    </row>
    <row r="1309">
      <c r="A1309" s="199"/>
      <c r="B1309" s="199"/>
      <c r="C1309" s="199"/>
      <c r="D1309" s="248"/>
      <c r="E1309" s="248"/>
      <c r="F1309" s="248"/>
      <c r="G1309" s="248"/>
      <c r="H1309" s="283"/>
      <c r="I1309" s="199"/>
      <c r="J1309" s="199"/>
      <c r="K1309" s="199"/>
      <c r="L1309" s="248"/>
      <c r="M1309" s="248"/>
      <c r="N1309" s="248"/>
      <c r="O1309" s="248"/>
    </row>
    <row r="1310">
      <c r="A1310" s="199"/>
      <c r="B1310" s="199"/>
      <c r="C1310" s="199"/>
      <c r="D1310" s="248"/>
      <c r="E1310" s="248"/>
      <c r="F1310" s="248"/>
      <c r="G1310" s="248"/>
      <c r="H1310" s="283"/>
      <c r="I1310" s="199"/>
      <c r="J1310" s="199"/>
      <c r="K1310" s="199"/>
      <c r="L1310" s="248"/>
      <c r="M1310" s="248"/>
      <c r="N1310" s="248"/>
      <c r="O1310" s="248"/>
    </row>
    <row r="1311">
      <c r="A1311" s="199"/>
      <c r="B1311" s="199"/>
      <c r="C1311" s="199"/>
      <c r="D1311" s="248"/>
      <c r="E1311" s="248"/>
      <c r="F1311" s="248"/>
      <c r="G1311" s="248"/>
      <c r="H1311" s="283"/>
      <c r="I1311" s="199"/>
      <c r="J1311" s="199"/>
      <c r="K1311" s="199"/>
      <c r="L1311" s="248"/>
      <c r="M1311" s="248"/>
      <c r="N1311" s="248"/>
      <c r="O1311" s="248"/>
    </row>
    <row r="1312">
      <c r="A1312" s="199"/>
      <c r="B1312" s="199"/>
      <c r="C1312" s="199"/>
      <c r="D1312" s="248"/>
      <c r="E1312" s="248"/>
      <c r="F1312" s="248"/>
      <c r="G1312" s="248"/>
      <c r="H1312" s="283"/>
      <c r="I1312" s="199"/>
      <c r="J1312" s="199"/>
      <c r="K1312" s="199"/>
      <c r="L1312" s="248"/>
      <c r="M1312" s="248"/>
      <c r="N1312" s="248"/>
      <c r="O1312" s="248"/>
    </row>
    <row r="1313">
      <c r="A1313" s="199"/>
      <c r="B1313" s="199"/>
      <c r="C1313" s="199"/>
      <c r="D1313" s="248"/>
      <c r="E1313" s="248"/>
      <c r="F1313" s="248"/>
      <c r="G1313" s="248"/>
      <c r="H1313" s="283"/>
      <c r="I1313" s="199"/>
      <c r="J1313" s="199"/>
      <c r="K1313" s="199"/>
      <c r="L1313" s="248"/>
      <c r="M1313" s="248"/>
      <c r="N1313" s="248"/>
      <c r="O1313" s="248"/>
    </row>
    <row r="1314">
      <c r="A1314" s="199"/>
      <c r="B1314" s="199"/>
      <c r="C1314" s="199"/>
      <c r="D1314" s="248"/>
      <c r="E1314" s="248"/>
      <c r="F1314" s="248"/>
      <c r="G1314" s="248"/>
      <c r="H1314" s="283"/>
      <c r="I1314" s="199"/>
      <c r="J1314" s="199"/>
      <c r="K1314" s="199"/>
      <c r="L1314" s="248"/>
      <c r="M1314" s="248"/>
      <c r="N1314" s="248"/>
      <c r="O1314" s="248"/>
    </row>
    <row r="1315">
      <c r="A1315" s="199"/>
      <c r="B1315" s="199"/>
      <c r="C1315" s="199"/>
      <c r="D1315" s="248"/>
      <c r="E1315" s="248"/>
      <c r="F1315" s="248"/>
      <c r="G1315" s="248"/>
      <c r="H1315" s="283"/>
      <c r="I1315" s="199"/>
      <c r="J1315" s="199"/>
      <c r="K1315" s="199"/>
      <c r="L1315" s="248"/>
      <c r="M1315" s="248"/>
      <c r="N1315" s="248"/>
      <c r="O1315" s="248"/>
    </row>
    <row r="1316">
      <c r="A1316" s="199"/>
      <c r="B1316" s="199"/>
      <c r="C1316" s="199"/>
      <c r="D1316" s="248"/>
      <c r="E1316" s="248"/>
      <c r="F1316" s="248"/>
      <c r="G1316" s="248"/>
      <c r="H1316" s="283"/>
      <c r="I1316" s="199"/>
      <c r="J1316" s="199"/>
      <c r="K1316" s="199"/>
      <c r="L1316" s="248"/>
      <c r="M1316" s="248"/>
      <c r="N1316" s="248"/>
      <c r="O1316" s="248"/>
    </row>
    <row r="1317">
      <c r="A1317" s="199"/>
      <c r="B1317" s="199"/>
      <c r="C1317" s="199"/>
      <c r="D1317" s="248"/>
      <c r="E1317" s="248"/>
      <c r="F1317" s="248"/>
      <c r="G1317" s="248"/>
      <c r="H1317" s="283"/>
      <c r="I1317" s="199"/>
      <c r="J1317" s="199"/>
      <c r="K1317" s="199"/>
      <c r="L1317" s="248"/>
      <c r="M1317" s="248"/>
      <c r="N1317" s="248"/>
      <c r="O1317" s="248"/>
    </row>
    <row r="1318">
      <c r="A1318" s="199"/>
      <c r="B1318" s="199"/>
      <c r="C1318" s="199"/>
      <c r="D1318" s="248"/>
      <c r="E1318" s="248"/>
      <c r="F1318" s="248"/>
      <c r="G1318" s="248"/>
      <c r="H1318" s="283"/>
      <c r="I1318" s="199"/>
      <c r="J1318" s="199"/>
      <c r="K1318" s="199"/>
      <c r="L1318" s="248"/>
      <c r="M1318" s="248"/>
      <c r="N1318" s="248"/>
      <c r="O1318" s="248"/>
    </row>
    <row r="1319">
      <c r="A1319" s="199"/>
      <c r="B1319" s="199"/>
      <c r="C1319" s="199"/>
      <c r="D1319" s="248"/>
      <c r="E1319" s="248"/>
      <c r="F1319" s="248"/>
      <c r="G1319" s="248"/>
      <c r="H1319" s="283"/>
      <c r="I1319" s="199"/>
      <c r="J1319" s="199"/>
      <c r="K1319" s="199"/>
      <c r="L1319" s="248"/>
      <c r="M1319" s="248"/>
      <c r="N1319" s="248"/>
      <c r="O1319" s="248"/>
    </row>
    <row r="1320">
      <c r="A1320" s="199"/>
      <c r="B1320" s="199"/>
      <c r="C1320" s="199"/>
      <c r="D1320" s="248"/>
      <c r="E1320" s="248"/>
      <c r="F1320" s="248"/>
      <c r="G1320" s="248"/>
      <c r="H1320" s="283"/>
      <c r="I1320" s="199"/>
      <c r="J1320" s="199"/>
      <c r="K1320" s="199"/>
      <c r="L1320" s="248"/>
      <c r="M1320" s="248"/>
      <c r="N1320" s="248"/>
      <c r="O1320" s="248"/>
    </row>
    <row r="1321">
      <c r="A1321" s="199"/>
      <c r="B1321" s="199"/>
      <c r="C1321" s="199"/>
      <c r="D1321" s="248"/>
      <c r="E1321" s="248"/>
      <c r="F1321" s="248"/>
      <c r="G1321" s="248"/>
      <c r="H1321" s="283"/>
      <c r="I1321" s="199"/>
      <c r="J1321" s="199"/>
      <c r="K1321" s="199"/>
      <c r="L1321" s="248"/>
      <c r="M1321" s="248"/>
      <c r="N1321" s="248"/>
      <c r="O1321" s="248"/>
    </row>
    <row r="1322">
      <c r="A1322" s="199"/>
      <c r="B1322" s="199"/>
      <c r="C1322" s="199"/>
      <c r="D1322" s="248"/>
      <c r="E1322" s="248"/>
      <c r="F1322" s="248"/>
      <c r="G1322" s="248"/>
      <c r="H1322" s="283"/>
      <c r="I1322" s="199"/>
      <c r="J1322" s="199"/>
      <c r="K1322" s="199"/>
      <c r="L1322" s="248"/>
      <c r="M1322" s="248"/>
      <c r="N1322" s="248"/>
      <c r="O1322" s="248"/>
    </row>
    <row r="1323">
      <c r="A1323" s="199"/>
      <c r="B1323" s="199"/>
      <c r="C1323" s="199"/>
      <c r="D1323" s="248"/>
      <c r="E1323" s="248"/>
      <c r="F1323" s="248"/>
      <c r="G1323" s="248"/>
      <c r="H1323" s="283"/>
      <c r="I1323" s="199"/>
      <c r="J1323" s="199"/>
      <c r="K1323" s="199"/>
      <c r="L1323" s="248"/>
      <c r="M1323" s="248"/>
      <c r="N1323" s="248"/>
      <c r="O1323" s="248"/>
    </row>
    <row r="1324">
      <c r="A1324" s="199"/>
      <c r="B1324" s="199"/>
      <c r="C1324" s="199"/>
      <c r="D1324" s="248"/>
      <c r="E1324" s="248"/>
      <c r="F1324" s="248"/>
      <c r="G1324" s="248"/>
      <c r="H1324" s="283"/>
      <c r="I1324" s="199"/>
      <c r="J1324" s="199"/>
      <c r="K1324" s="199"/>
      <c r="L1324" s="248"/>
      <c r="M1324" s="248"/>
      <c r="N1324" s="248"/>
      <c r="O1324" s="248"/>
    </row>
    <row r="1325">
      <c r="A1325" s="199"/>
      <c r="B1325" s="199"/>
      <c r="C1325" s="199"/>
      <c r="D1325" s="248"/>
      <c r="E1325" s="248"/>
      <c r="F1325" s="248"/>
      <c r="G1325" s="248"/>
      <c r="H1325" s="283"/>
      <c r="I1325" s="199"/>
      <c r="J1325" s="199"/>
      <c r="K1325" s="199"/>
      <c r="L1325" s="248"/>
      <c r="M1325" s="248"/>
      <c r="N1325" s="248"/>
      <c r="O1325" s="248"/>
    </row>
    <row r="1326">
      <c r="A1326" s="199"/>
      <c r="B1326" s="199"/>
      <c r="C1326" s="199"/>
      <c r="D1326" s="248"/>
      <c r="E1326" s="248"/>
      <c r="F1326" s="248"/>
      <c r="G1326" s="248"/>
      <c r="H1326" s="283"/>
      <c r="I1326" s="199"/>
      <c r="J1326" s="199"/>
      <c r="K1326" s="199"/>
      <c r="L1326" s="248"/>
      <c r="M1326" s="248"/>
      <c r="N1326" s="248"/>
      <c r="O1326" s="248"/>
    </row>
    <row r="1327">
      <c r="A1327" s="199"/>
      <c r="B1327" s="199"/>
      <c r="C1327" s="199"/>
      <c r="D1327" s="248"/>
      <c r="E1327" s="248"/>
      <c r="F1327" s="248"/>
      <c r="G1327" s="248"/>
      <c r="H1327" s="283"/>
      <c r="I1327" s="199"/>
      <c r="J1327" s="199"/>
      <c r="K1327" s="199"/>
      <c r="L1327" s="248"/>
      <c r="M1327" s="248"/>
      <c r="N1327" s="248"/>
      <c r="O1327" s="248"/>
    </row>
    <row r="1328">
      <c r="A1328" s="199"/>
      <c r="B1328" s="199"/>
      <c r="C1328" s="199"/>
      <c r="D1328" s="248"/>
      <c r="E1328" s="248"/>
      <c r="F1328" s="248"/>
      <c r="G1328" s="248"/>
      <c r="H1328" s="283"/>
      <c r="I1328" s="199"/>
      <c r="J1328" s="199"/>
      <c r="K1328" s="199"/>
      <c r="L1328" s="248"/>
      <c r="M1328" s="248"/>
      <c r="N1328" s="248"/>
      <c r="O1328" s="248"/>
    </row>
    <row r="1329">
      <c r="A1329" s="199"/>
      <c r="B1329" s="199"/>
      <c r="C1329" s="199"/>
      <c r="D1329" s="248"/>
      <c r="E1329" s="248"/>
      <c r="F1329" s="248"/>
      <c r="G1329" s="248"/>
      <c r="H1329" s="283"/>
      <c r="I1329" s="199"/>
      <c r="J1329" s="199"/>
      <c r="K1329" s="199"/>
      <c r="L1329" s="248"/>
      <c r="M1329" s="248"/>
      <c r="N1329" s="248"/>
      <c r="O1329" s="248"/>
    </row>
    <row r="1330">
      <c r="A1330" s="199"/>
      <c r="B1330" s="199"/>
      <c r="C1330" s="199"/>
      <c r="D1330" s="248"/>
      <c r="E1330" s="248"/>
      <c r="F1330" s="248"/>
      <c r="G1330" s="248"/>
      <c r="H1330" s="283"/>
      <c r="I1330" s="199"/>
      <c r="J1330" s="199"/>
      <c r="K1330" s="199"/>
      <c r="L1330" s="248"/>
      <c r="M1330" s="248"/>
      <c r="N1330" s="248"/>
      <c r="O1330" s="248"/>
    </row>
    <row r="1331">
      <c r="A1331" s="199"/>
      <c r="B1331" s="199"/>
      <c r="C1331" s="199"/>
      <c r="D1331" s="248"/>
      <c r="E1331" s="248"/>
      <c r="F1331" s="248"/>
      <c r="G1331" s="248"/>
      <c r="H1331" s="283"/>
      <c r="I1331" s="199"/>
      <c r="J1331" s="199"/>
      <c r="K1331" s="199"/>
      <c r="L1331" s="248"/>
      <c r="M1331" s="248"/>
      <c r="N1331" s="248"/>
      <c r="O1331" s="248"/>
    </row>
    <row r="1332">
      <c r="A1332" s="199"/>
      <c r="B1332" s="199"/>
      <c r="C1332" s="199"/>
      <c r="D1332" s="248"/>
      <c r="E1332" s="248"/>
      <c r="F1332" s="248"/>
      <c r="G1332" s="248"/>
      <c r="H1332" s="283"/>
      <c r="I1332" s="199"/>
      <c r="J1332" s="199"/>
      <c r="K1332" s="199"/>
      <c r="L1332" s="248"/>
      <c r="M1332" s="248"/>
      <c r="N1332" s="248"/>
      <c r="O1332" s="248"/>
    </row>
    <row r="1333">
      <c r="A1333" s="199"/>
      <c r="B1333" s="199"/>
      <c r="C1333" s="199"/>
      <c r="D1333" s="248"/>
      <c r="E1333" s="248"/>
      <c r="F1333" s="248"/>
      <c r="G1333" s="248"/>
      <c r="H1333" s="283"/>
      <c r="I1333" s="199"/>
      <c r="J1333" s="199"/>
      <c r="K1333" s="199"/>
      <c r="L1333" s="248"/>
      <c r="M1333" s="248"/>
      <c r="N1333" s="248"/>
      <c r="O1333" s="248"/>
    </row>
    <row r="1334">
      <c r="A1334" s="199"/>
      <c r="B1334" s="199"/>
      <c r="C1334" s="199"/>
      <c r="D1334" s="248"/>
      <c r="E1334" s="248"/>
      <c r="F1334" s="248"/>
      <c r="G1334" s="248"/>
      <c r="H1334" s="283"/>
      <c r="I1334" s="199"/>
      <c r="J1334" s="199"/>
      <c r="K1334" s="199"/>
      <c r="L1334" s="248"/>
      <c r="M1334" s="248"/>
      <c r="N1334" s="248"/>
      <c r="O1334" s="248"/>
    </row>
    <row r="1335">
      <c r="A1335" s="199"/>
      <c r="B1335" s="199"/>
      <c r="C1335" s="199"/>
      <c r="D1335" s="248"/>
      <c r="E1335" s="248"/>
      <c r="F1335" s="248"/>
      <c r="G1335" s="248"/>
      <c r="H1335" s="283"/>
      <c r="I1335" s="199"/>
      <c r="J1335" s="199"/>
      <c r="K1335" s="199"/>
      <c r="L1335" s="248"/>
      <c r="M1335" s="248"/>
      <c r="N1335" s="248"/>
      <c r="O1335" s="248"/>
    </row>
    <row r="1336">
      <c r="A1336" s="199"/>
      <c r="B1336" s="199"/>
      <c r="C1336" s="199"/>
      <c r="D1336" s="248"/>
      <c r="E1336" s="248"/>
      <c r="F1336" s="248"/>
      <c r="G1336" s="248"/>
      <c r="H1336" s="283"/>
      <c r="I1336" s="199"/>
      <c r="J1336" s="199"/>
      <c r="K1336" s="199"/>
      <c r="L1336" s="248"/>
      <c r="M1336" s="248"/>
      <c r="N1336" s="248"/>
      <c r="O1336" s="248"/>
    </row>
    <row r="1337">
      <c r="A1337" s="199"/>
      <c r="B1337" s="199"/>
      <c r="C1337" s="199"/>
      <c r="D1337" s="248"/>
      <c r="E1337" s="248"/>
      <c r="F1337" s="248"/>
      <c r="G1337" s="248"/>
      <c r="H1337" s="283"/>
      <c r="I1337" s="199"/>
      <c r="J1337" s="199"/>
      <c r="K1337" s="199"/>
      <c r="L1337" s="248"/>
      <c r="M1337" s="248"/>
      <c r="N1337" s="248"/>
      <c r="O1337" s="248"/>
    </row>
    <row r="1338">
      <c r="A1338" s="199"/>
      <c r="B1338" s="199"/>
      <c r="C1338" s="199"/>
      <c r="D1338" s="248"/>
      <c r="E1338" s="248"/>
      <c r="F1338" s="248"/>
      <c r="G1338" s="248"/>
      <c r="H1338" s="283"/>
      <c r="I1338" s="199"/>
      <c r="J1338" s="199"/>
      <c r="K1338" s="199"/>
      <c r="L1338" s="248"/>
      <c r="M1338" s="248"/>
      <c r="N1338" s="248"/>
      <c r="O1338" s="248"/>
    </row>
    <row r="1339">
      <c r="A1339" s="199"/>
      <c r="B1339" s="199"/>
      <c r="C1339" s="199"/>
      <c r="D1339" s="248"/>
      <c r="E1339" s="248"/>
      <c r="F1339" s="248"/>
      <c r="G1339" s="248"/>
      <c r="H1339" s="283"/>
      <c r="I1339" s="199"/>
      <c r="J1339" s="199"/>
      <c r="K1339" s="199"/>
      <c r="L1339" s="248"/>
      <c r="M1339" s="248"/>
      <c r="N1339" s="248"/>
      <c r="O1339" s="248"/>
    </row>
    <row r="1340">
      <c r="A1340" s="199"/>
      <c r="B1340" s="199"/>
      <c r="C1340" s="199"/>
      <c r="D1340" s="248"/>
      <c r="E1340" s="248"/>
      <c r="F1340" s="248"/>
      <c r="G1340" s="248"/>
      <c r="H1340" s="283"/>
      <c r="I1340" s="199"/>
      <c r="J1340" s="199"/>
      <c r="K1340" s="199"/>
      <c r="L1340" s="248"/>
      <c r="M1340" s="248"/>
      <c r="N1340" s="248"/>
      <c r="O1340" s="248"/>
    </row>
    <row r="1341">
      <c r="A1341" s="199"/>
      <c r="B1341" s="199"/>
      <c r="C1341" s="199"/>
      <c r="D1341" s="248"/>
      <c r="E1341" s="248"/>
      <c r="F1341" s="248"/>
      <c r="G1341" s="248"/>
      <c r="H1341" s="283"/>
      <c r="I1341" s="199"/>
      <c r="J1341" s="199"/>
      <c r="K1341" s="199"/>
      <c r="L1341" s="248"/>
      <c r="M1341" s="248"/>
      <c r="N1341" s="248"/>
      <c r="O1341" s="248"/>
    </row>
    <row r="1342">
      <c r="A1342" s="199"/>
      <c r="B1342" s="199"/>
      <c r="C1342" s="199"/>
      <c r="D1342" s="248"/>
      <c r="E1342" s="248"/>
      <c r="F1342" s="248"/>
      <c r="G1342" s="248"/>
      <c r="H1342" s="283"/>
      <c r="I1342" s="199"/>
      <c r="J1342" s="199"/>
      <c r="K1342" s="199"/>
      <c r="L1342" s="248"/>
      <c r="M1342" s="248"/>
      <c r="N1342" s="248"/>
      <c r="O1342" s="248"/>
    </row>
    <row r="1343">
      <c r="A1343" s="199"/>
      <c r="B1343" s="199"/>
      <c r="C1343" s="199"/>
      <c r="D1343" s="248"/>
      <c r="E1343" s="248"/>
      <c r="F1343" s="248"/>
      <c r="G1343" s="248"/>
      <c r="H1343" s="283"/>
      <c r="I1343" s="199"/>
      <c r="J1343" s="199"/>
      <c r="K1343" s="199"/>
      <c r="L1343" s="248"/>
      <c r="M1343" s="248"/>
      <c r="N1343" s="248"/>
      <c r="O1343" s="248"/>
    </row>
    <row r="1344">
      <c r="A1344" s="199"/>
      <c r="B1344" s="199"/>
      <c r="C1344" s="199"/>
      <c r="D1344" s="248"/>
      <c r="E1344" s="248"/>
      <c r="F1344" s="248"/>
      <c r="G1344" s="248"/>
      <c r="H1344" s="283"/>
      <c r="I1344" s="199"/>
      <c r="J1344" s="199"/>
      <c r="K1344" s="199"/>
      <c r="L1344" s="248"/>
      <c r="M1344" s="248"/>
      <c r="N1344" s="248"/>
      <c r="O1344" s="248"/>
    </row>
    <row r="1345">
      <c r="A1345" s="199"/>
      <c r="B1345" s="199"/>
      <c r="C1345" s="199"/>
      <c r="D1345" s="248"/>
      <c r="E1345" s="248"/>
      <c r="F1345" s="248"/>
      <c r="G1345" s="248"/>
      <c r="H1345" s="283"/>
      <c r="I1345" s="199"/>
      <c r="J1345" s="199"/>
      <c r="K1345" s="199"/>
      <c r="L1345" s="248"/>
      <c r="M1345" s="248"/>
      <c r="N1345" s="248"/>
      <c r="O1345" s="248"/>
    </row>
    <row r="1346">
      <c r="A1346" s="199"/>
      <c r="B1346" s="199"/>
      <c r="C1346" s="199"/>
      <c r="D1346" s="248"/>
      <c r="E1346" s="248"/>
      <c r="F1346" s="248"/>
      <c r="G1346" s="248"/>
      <c r="H1346" s="283"/>
      <c r="I1346" s="199"/>
      <c r="J1346" s="199"/>
      <c r="K1346" s="199"/>
      <c r="L1346" s="248"/>
      <c r="M1346" s="248"/>
      <c r="N1346" s="248"/>
      <c r="O1346" s="248"/>
    </row>
    <row r="1347">
      <c r="A1347" s="199"/>
      <c r="B1347" s="199"/>
      <c r="C1347" s="199"/>
      <c r="D1347" s="248"/>
      <c r="E1347" s="248"/>
      <c r="F1347" s="248"/>
      <c r="G1347" s="248"/>
      <c r="H1347" s="283"/>
      <c r="I1347" s="199"/>
      <c r="J1347" s="199"/>
      <c r="K1347" s="199"/>
      <c r="L1347" s="248"/>
      <c r="M1347" s="248"/>
      <c r="N1347" s="248"/>
      <c r="O1347" s="248"/>
    </row>
    <row r="1348">
      <c r="A1348" s="199"/>
      <c r="B1348" s="199"/>
      <c r="C1348" s="199"/>
      <c r="D1348" s="248"/>
      <c r="E1348" s="248"/>
      <c r="F1348" s="248"/>
      <c r="G1348" s="248"/>
      <c r="H1348" s="283"/>
      <c r="I1348" s="199"/>
      <c r="J1348" s="199"/>
      <c r="K1348" s="199"/>
      <c r="L1348" s="248"/>
      <c r="M1348" s="248"/>
      <c r="N1348" s="248"/>
      <c r="O1348" s="248"/>
    </row>
    <row r="1349">
      <c r="A1349" s="199"/>
      <c r="B1349" s="199"/>
      <c r="C1349" s="199"/>
      <c r="D1349" s="248"/>
      <c r="E1349" s="248"/>
      <c r="F1349" s="248"/>
      <c r="G1349" s="248"/>
      <c r="H1349" s="283"/>
      <c r="I1349" s="199"/>
      <c r="J1349" s="199"/>
      <c r="K1349" s="199"/>
      <c r="L1349" s="248"/>
      <c r="M1349" s="248"/>
      <c r="N1349" s="248"/>
      <c r="O1349" s="248"/>
    </row>
    <row r="1350">
      <c r="A1350" s="199"/>
      <c r="B1350" s="199"/>
      <c r="C1350" s="199"/>
      <c r="D1350" s="248"/>
      <c r="E1350" s="248"/>
      <c r="F1350" s="248"/>
      <c r="G1350" s="248"/>
      <c r="H1350" s="283"/>
      <c r="I1350" s="199"/>
      <c r="J1350" s="199"/>
      <c r="K1350" s="199"/>
      <c r="L1350" s="248"/>
      <c r="M1350" s="248"/>
      <c r="N1350" s="248"/>
      <c r="O1350" s="248"/>
    </row>
    <row r="1351">
      <c r="A1351" s="199"/>
      <c r="B1351" s="199"/>
      <c r="C1351" s="199"/>
      <c r="D1351" s="248"/>
      <c r="E1351" s="248"/>
      <c r="F1351" s="248"/>
      <c r="G1351" s="248"/>
      <c r="H1351" s="283"/>
      <c r="I1351" s="199"/>
      <c r="J1351" s="199"/>
      <c r="K1351" s="199"/>
      <c r="L1351" s="248"/>
      <c r="M1351" s="248"/>
      <c r="N1351" s="248"/>
      <c r="O1351" s="248"/>
    </row>
    <row r="1352">
      <c r="A1352" s="199"/>
      <c r="B1352" s="199"/>
      <c r="C1352" s="199"/>
      <c r="D1352" s="248"/>
      <c r="E1352" s="248"/>
      <c r="F1352" s="248"/>
      <c r="G1352" s="248"/>
      <c r="H1352" s="283"/>
      <c r="I1352" s="199"/>
      <c r="J1352" s="199"/>
      <c r="K1352" s="199"/>
      <c r="L1352" s="248"/>
      <c r="M1352" s="248"/>
      <c r="N1352" s="248"/>
      <c r="O1352" s="248"/>
    </row>
    <row r="1353">
      <c r="A1353" s="199"/>
      <c r="B1353" s="199"/>
      <c r="C1353" s="199"/>
      <c r="D1353" s="248"/>
      <c r="E1353" s="248"/>
      <c r="F1353" s="248"/>
      <c r="G1353" s="248"/>
      <c r="H1353" s="283"/>
      <c r="I1353" s="199"/>
      <c r="J1353" s="199"/>
      <c r="K1353" s="199"/>
      <c r="L1353" s="248"/>
      <c r="M1353" s="248"/>
      <c r="N1353" s="248"/>
      <c r="O1353" s="248"/>
    </row>
    <row r="1354">
      <c r="A1354" s="199"/>
      <c r="B1354" s="199"/>
      <c r="C1354" s="199"/>
      <c r="D1354" s="248"/>
      <c r="E1354" s="248"/>
      <c r="F1354" s="248"/>
      <c r="G1354" s="248"/>
      <c r="H1354" s="283"/>
      <c r="I1354" s="199"/>
      <c r="J1354" s="199"/>
      <c r="K1354" s="199"/>
      <c r="L1354" s="248"/>
      <c r="M1354" s="248"/>
      <c r="N1354" s="248"/>
      <c r="O1354" s="248"/>
    </row>
    <row r="1355">
      <c r="A1355" s="199"/>
      <c r="B1355" s="199"/>
      <c r="C1355" s="199"/>
      <c r="D1355" s="248"/>
      <c r="E1355" s="248"/>
      <c r="F1355" s="248"/>
      <c r="G1355" s="248"/>
      <c r="H1355" s="283"/>
      <c r="I1355" s="199"/>
      <c r="J1355" s="199"/>
      <c r="K1355" s="199"/>
      <c r="L1355" s="248"/>
      <c r="M1355" s="248"/>
      <c r="N1355" s="248"/>
      <c r="O1355" s="248"/>
    </row>
    <row r="1356">
      <c r="A1356" s="199"/>
      <c r="B1356" s="199"/>
      <c r="C1356" s="199"/>
      <c r="D1356" s="248"/>
      <c r="E1356" s="248"/>
      <c r="F1356" s="248"/>
      <c r="G1356" s="248"/>
      <c r="H1356" s="283"/>
      <c r="I1356" s="199"/>
      <c r="J1356" s="199"/>
      <c r="K1356" s="199"/>
      <c r="L1356" s="248"/>
      <c r="M1356" s="248"/>
      <c r="N1356" s="248"/>
      <c r="O1356" s="248"/>
    </row>
    <row r="1357">
      <c r="A1357" s="199"/>
      <c r="B1357" s="199"/>
      <c r="C1357" s="199"/>
      <c r="D1357" s="248"/>
      <c r="E1357" s="248"/>
      <c r="F1357" s="248"/>
      <c r="G1357" s="248"/>
      <c r="H1357" s="283"/>
      <c r="I1357" s="199"/>
      <c r="J1357" s="199"/>
      <c r="K1357" s="199"/>
      <c r="L1357" s="248"/>
      <c r="M1357" s="248"/>
      <c r="N1357" s="248"/>
      <c r="O1357" s="248"/>
    </row>
    <row r="1358">
      <c r="A1358" s="199"/>
      <c r="B1358" s="199"/>
      <c r="C1358" s="199"/>
      <c r="D1358" s="248"/>
      <c r="E1358" s="248"/>
      <c r="F1358" s="248"/>
      <c r="G1358" s="248"/>
      <c r="H1358" s="283"/>
      <c r="I1358" s="199"/>
      <c r="J1358" s="199"/>
      <c r="K1358" s="199"/>
      <c r="L1358" s="248"/>
      <c r="M1358" s="248"/>
      <c r="N1358" s="248"/>
      <c r="O1358" s="248"/>
    </row>
    <row r="1359">
      <c r="A1359" s="199"/>
      <c r="B1359" s="199"/>
      <c r="C1359" s="199"/>
      <c r="D1359" s="248"/>
      <c r="E1359" s="248"/>
      <c r="F1359" s="248"/>
      <c r="G1359" s="248"/>
      <c r="H1359" s="283"/>
      <c r="I1359" s="199"/>
      <c r="J1359" s="199"/>
      <c r="K1359" s="199"/>
      <c r="L1359" s="248"/>
      <c r="M1359" s="248"/>
      <c r="N1359" s="248"/>
      <c r="O1359" s="248"/>
    </row>
    <row r="1360">
      <c r="A1360" s="199"/>
      <c r="B1360" s="199"/>
      <c r="C1360" s="199"/>
      <c r="D1360" s="248"/>
      <c r="E1360" s="248"/>
      <c r="F1360" s="248"/>
      <c r="G1360" s="248"/>
      <c r="H1360" s="283"/>
      <c r="I1360" s="199"/>
      <c r="J1360" s="199"/>
      <c r="K1360" s="199"/>
      <c r="L1360" s="248"/>
      <c r="M1360" s="248"/>
      <c r="N1360" s="248"/>
      <c r="O1360" s="248"/>
    </row>
    <row r="1361">
      <c r="A1361" s="199"/>
      <c r="B1361" s="199"/>
      <c r="C1361" s="199"/>
      <c r="D1361" s="248"/>
      <c r="E1361" s="248"/>
      <c r="F1361" s="248"/>
      <c r="G1361" s="248"/>
      <c r="H1361" s="283"/>
      <c r="I1361" s="199"/>
      <c r="J1361" s="199"/>
      <c r="K1361" s="199"/>
      <c r="L1361" s="248"/>
      <c r="M1361" s="248"/>
      <c r="N1361" s="248"/>
      <c r="O1361" s="248"/>
    </row>
    <row r="1362">
      <c r="A1362" s="199"/>
      <c r="B1362" s="199"/>
      <c r="C1362" s="199"/>
      <c r="D1362" s="248"/>
      <c r="E1362" s="248"/>
      <c r="F1362" s="248"/>
      <c r="G1362" s="248"/>
      <c r="H1362" s="283"/>
      <c r="I1362" s="199"/>
      <c r="J1362" s="199"/>
      <c r="K1362" s="199"/>
      <c r="L1362" s="248"/>
      <c r="M1362" s="248"/>
      <c r="N1362" s="248"/>
      <c r="O1362" s="248"/>
    </row>
    <row r="1363">
      <c r="A1363" s="199"/>
      <c r="B1363" s="199"/>
      <c r="C1363" s="199"/>
      <c r="D1363" s="248"/>
      <c r="E1363" s="248"/>
      <c r="F1363" s="248"/>
      <c r="G1363" s="248"/>
      <c r="H1363" s="283"/>
      <c r="I1363" s="199"/>
      <c r="J1363" s="199"/>
      <c r="K1363" s="199"/>
      <c r="L1363" s="248"/>
      <c r="M1363" s="248"/>
      <c r="N1363" s="248"/>
      <c r="O1363" s="248"/>
    </row>
    <row r="1364">
      <c r="A1364" s="199"/>
      <c r="B1364" s="199"/>
      <c r="C1364" s="199"/>
      <c r="D1364" s="248"/>
      <c r="E1364" s="248"/>
      <c r="F1364" s="248"/>
      <c r="G1364" s="248"/>
      <c r="H1364" s="283"/>
      <c r="I1364" s="199"/>
      <c r="J1364" s="199"/>
      <c r="K1364" s="199"/>
      <c r="L1364" s="248"/>
      <c r="M1364" s="248"/>
      <c r="N1364" s="248"/>
      <c r="O1364" s="248"/>
    </row>
    <row r="1365">
      <c r="A1365" s="199"/>
      <c r="B1365" s="199"/>
      <c r="C1365" s="199"/>
      <c r="D1365" s="248"/>
      <c r="E1365" s="248"/>
      <c r="F1365" s="248"/>
      <c r="G1365" s="248"/>
      <c r="H1365" s="283"/>
      <c r="I1365" s="199"/>
      <c r="J1365" s="199"/>
      <c r="K1365" s="199"/>
      <c r="L1365" s="248"/>
      <c r="M1365" s="248"/>
      <c r="N1365" s="248"/>
      <c r="O1365" s="248"/>
    </row>
    <row r="1366">
      <c r="A1366" s="199"/>
      <c r="B1366" s="199"/>
      <c r="C1366" s="199"/>
      <c r="D1366" s="248"/>
      <c r="E1366" s="248"/>
      <c r="F1366" s="248"/>
      <c r="G1366" s="248"/>
      <c r="H1366" s="283"/>
      <c r="I1366" s="199"/>
      <c r="J1366" s="199"/>
      <c r="K1366" s="199"/>
      <c r="L1366" s="248"/>
      <c r="M1366" s="248"/>
      <c r="N1366" s="248"/>
      <c r="O1366" s="248"/>
    </row>
    <row r="1367">
      <c r="A1367" s="199"/>
      <c r="B1367" s="199"/>
      <c r="C1367" s="199"/>
      <c r="D1367" s="248"/>
      <c r="E1367" s="248"/>
      <c r="F1367" s="248"/>
      <c r="G1367" s="248"/>
      <c r="H1367" s="283"/>
      <c r="I1367" s="199"/>
      <c r="J1367" s="199"/>
      <c r="K1367" s="199"/>
      <c r="L1367" s="248"/>
      <c r="M1367" s="248"/>
      <c r="N1367" s="248"/>
      <c r="O1367" s="248"/>
    </row>
    <row r="1368">
      <c r="A1368" s="199"/>
      <c r="B1368" s="199"/>
      <c r="C1368" s="199"/>
      <c r="D1368" s="248"/>
      <c r="E1368" s="248"/>
      <c r="F1368" s="248"/>
      <c r="G1368" s="248"/>
      <c r="H1368" s="283"/>
      <c r="I1368" s="199"/>
      <c r="J1368" s="199"/>
      <c r="K1368" s="199"/>
      <c r="L1368" s="248"/>
      <c r="M1368" s="248"/>
      <c r="N1368" s="248"/>
      <c r="O1368" s="248"/>
    </row>
    <row r="1369">
      <c r="A1369" s="199"/>
      <c r="B1369" s="199"/>
      <c r="C1369" s="199"/>
      <c r="D1369" s="248"/>
      <c r="E1369" s="248"/>
      <c r="F1369" s="248"/>
      <c r="G1369" s="248"/>
      <c r="H1369" s="283"/>
      <c r="I1369" s="199"/>
      <c r="J1369" s="199"/>
      <c r="K1369" s="199"/>
      <c r="L1369" s="248"/>
      <c r="M1369" s="248"/>
      <c r="N1369" s="248"/>
      <c r="O1369" s="248"/>
    </row>
    <row r="1370">
      <c r="A1370" s="199"/>
      <c r="B1370" s="199"/>
      <c r="C1370" s="199"/>
      <c r="D1370" s="248"/>
      <c r="E1370" s="248"/>
      <c r="F1370" s="248"/>
      <c r="G1370" s="248"/>
      <c r="H1370" s="283"/>
      <c r="I1370" s="199"/>
      <c r="J1370" s="199"/>
      <c r="K1370" s="199"/>
      <c r="L1370" s="248"/>
      <c r="M1370" s="248"/>
      <c r="N1370" s="248"/>
      <c r="O1370" s="248"/>
    </row>
    <row r="1371">
      <c r="A1371" s="199"/>
      <c r="B1371" s="199"/>
      <c r="C1371" s="199"/>
      <c r="D1371" s="248"/>
      <c r="E1371" s="248"/>
      <c r="F1371" s="248"/>
      <c r="G1371" s="248"/>
      <c r="H1371" s="283"/>
      <c r="I1371" s="199"/>
      <c r="J1371" s="199"/>
      <c r="K1371" s="199"/>
      <c r="L1371" s="248"/>
      <c r="M1371" s="248"/>
      <c r="N1371" s="248"/>
      <c r="O1371" s="248"/>
    </row>
    <row r="1372">
      <c r="A1372" s="199"/>
      <c r="B1372" s="199"/>
      <c r="C1372" s="199"/>
      <c r="D1372" s="248"/>
      <c r="E1372" s="248"/>
      <c r="F1372" s="248"/>
      <c r="G1372" s="248"/>
      <c r="H1372" s="283"/>
      <c r="I1372" s="199"/>
      <c r="J1372" s="199"/>
      <c r="K1372" s="199"/>
      <c r="L1372" s="248"/>
      <c r="M1372" s="248"/>
      <c r="N1372" s="248"/>
      <c r="O1372" s="248"/>
    </row>
    <row r="1373">
      <c r="A1373" s="199"/>
      <c r="B1373" s="199"/>
      <c r="C1373" s="199"/>
      <c r="D1373" s="248"/>
      <c r="E1373" s="248"/>
      <c r="F1373" s="248"/>
      <c r="G1373" s="248"/>
      <c r="H1373" s="283"/>
      <c r="I1373" s="199"/>
      <c r="J1373" s="199"/>
      <c r="K1373" s="199"/>
      <c r="L1373" s="248"/>
      <c r="M1373" s="248"/>
      <c r="N1373" s="248"/>
      <c r="O1373" s="248"/>
    </row>
    <row r="1374">
      <c r="A1374" s="199"/>
      <c r="B1374" s="199"/>
      <c r="C1374" s="199"/>
      <c r="D1374" s="248"/>
      <c r="E1374" s="248"/>
      <c r="F1374" s="248"/>
      <c r="G1374" s="248"/>
      <c r="H1374" s="283"/>
      <c r="I1374" s="199"/>
      <c r="J1374" s="199"/>
      <c r="K1374" s="199"/>
      <c r="L1374" s="248"/>
      <c r="M1374" s="248"/>
      <c r="N1374" s="248"/>
      <c r="O1374" s="248"/>
    </row>
    <row r="1375">
      <c r="A1375" s="199"/>
      <c r="B1375" s="199"/>
      <c r="C1375" s="199"/>
      <c r="D1375" s="248"/>
      <c r="E1375" s="248"/>
      <c r="F1375" s="248"/>
      <c r="G1375" s="248"/>
      <c r="H1375" s="283"/>
      <c r="I1375" s="199"/>
      <c r="J1375" s="199"/>
      <c r="K1375" s="199"/>
      <c r="L1375" s="248"/>
      <c r="M1375" s="248"/>
      <c r="N1375" s="248"/>
      <c r="O1375" s="248"/>
    </row>
    <row r="1376">
      <c r="A1376" s="199"/>
      <c r="B1376" s="199"/>
      <c r="C1376" s="199"/>
      <c r="D1376" s="248"/>
      <c r="E1376" s="248"/>
      <c r="F1376" s="248"/>
      <c r="G1376" s="248"/>
      <c r="H1376" s="283"/>
      <c r="I1376" s="199"/>
      <c r="J1376" s="199"/>
      <c r="K1376" s="199"/>
      <c r="L1376" s="248"/>
      <c r="M1376" s="248"/>
      <c r="N1376" s="248"/>
      <c r="O1376" s="248"/>
    </row>
    <row r="1377">
      <c r="A1377" s="199"/>
      <c r="B1377" s="199"/>
      <c r="C1377" s="199"/>
      <c r="D1377" s="248"/>
      <c r="E1377" s="248"/>
      <c r="F1377" s="248"/>
      <c r="G1377" s="248"/>
      <c r="H1377" s="283"/>
      <c r="I1377" s="199"/>
      <c r="J1377" s="199"/>
      <c r="K1377" s="199"/>
      <c r="L1377" s="248"/>
      <c r="M1377" s="248"/>
      <c r="N1377" s="248"/>
      <c r="O1377" s="248"/>
    </row>
    <row r="1378">
      <c r="A1378" s="199"/>
      <c r="B1378" s="199"/>
      <c r="C1378" s="199"/>
      <c r="D1378" s="248"/>
      <c r="E1378" s="248"/>
      <c r="F1378" s="248"/>
      <c r="G1378" s="248"/>
      <c r="H1378" s="283"/>
      <c r="I1378" s="199"/>
      <c r="J1378" s="199"/>
      <c r="K1378" s="199"/>
      <c r="L1378" s="248"/>
      <c r="M1378" s="248"/>
      <c r="N1378" s="248"/>
      <c r="O1378" s="248"/>
    </row>
    <row r="1379">
      <c r="A1379" s="199"/>
      <c r="B1379" s="199"/>
      <c r="C1379" s="199"/>
      <c r="D1379" s="248"/>
      <c r="E1379" s="248"/>
      <c r="F1379" s="248"/>
      <c r="G1379" s="248"/>
      <c r="H1379" s="283"/>
      <c r="I1379" s="199"/>
      <c r="J1379" s="199"/>
      <c r="K1379" s="199"/>
      <c r="L1379" s="248"/>
      <c r="M1379" s="248"/>
      <c r="N1379" s="248"/>
      <c r="O1379" s="248"/>
    </row>
    <row r="1380">
      <c r="A1380" s="199"/>
      <c r="B1380" s="199"/>
      <c r="C1380" s="199"/>
      <c r="D1380" s="248"/>
      <c r="E1380" s="248"/>
      <c r="F1380" s="248"/>
      <c r="G1380" s="248"/>
      <c r="H1380" s="283"/>
      <c r="I1380" s="199"/>
      <c r="J1380" s="199"/>
      <c r="K1380" s="199"/>
      <c r="L1380" s="248"/>
      <c r="M1380" s="248"/>
      <c r="N1380" s="248"/>
      <c r="O1380" s="248"/>
    </row>
    <row r="1381">
      <c r="A1381" s="199"/>
      <c r="B1381" s="199"/>
      <c r="C1381" s="199"/>
      <c r="D1381" s="248"/>
      <c r="E1381" s="248"/>
      <c r="F1381" s="248"/>
      <c r="G1381" s="248"/>
      <c r="H1381" s="283"/>
      <c r="I1381" s="199"/>
      <c r="J1381" s="199"/>
      <c r="K1381" s="199"/>
      <c r="L1381" s="248"/>
      <c r="M1381" s="248"/>
      <c r="N1381" s="248"/>
      <c r="O1381" s="248"/>
    </row>
    <row r="1382">
      <c r="A1382" s="199"/>
      <c r="B1382" s="199"/>
      <c r="C1382" s="199"/>
      <c r="D1382" s="248"/>
      <c r="E1382" s="248"/>
      <c r="F1382" s="248"/>
      <c r="G1382" s="248"/>
      <c r="H1382" s="283"/>
      <c r="I1382" s="199"/>
      <c r="J1382" s="199"/>
      <c r="K1382" s="199"/>
      <c r="L1382" s="248"/>
      <c r="M1382" s="248"/>
      <c r="N1382" s="248"/>
      <c r="O1382" s="248"/>
    </row>
    <row r="1383">
      <c r="A1383" s="199"/>
      <c r="B1383" s="199"/>
      <c r="C1383" s="199"/>
      <c r="D1383" s="248"/>
      <c r="E1383" s="248"/>
      <c r="F1383" s="248"/>
      <c r="G1383" s="248"/>
      <c r="H1383" s="283"/>
      <c r="I1383" s="199"/>
      <c r="J1383" s="199"/>
      <c r="K1383" s="199"/>
      <c r="L1383" s="248"/>
      <c r="M1383" s="248"/>
      <c r="N1383" s="248"/>
      <c r="O1383" s="248"/>
    </row>
    <row r="1384">
      <c r="A1384" s="199"/>
      <c r="B1384" s="199"/>
      <c r="C1384" s="199"/>
      <c r="D1384" s="248"/>
      <c r="E1384" s="248"/>
      <c r="F1384" s="248"/>
      <c r="G1384" s="248"/>
      <c r="H1384" s="283"/>
      <c r="I1384" s="199"/>
      <c r="J1384" s="199"/>
      <c r="K1384" s="199"/>
      <c r="L1384" s="248"/>
      <c r="M1384" s="248"/>
      <c r="N1384" s="248"/>
      <c r="O1384" s="248"/>
    </row>
    <row r="1385">
      <c r="A1385" s="199"/>
      <c r="B1385" s="199"/>
      <c r="C1385" s="199"/>
      <c r="D1385" s="248"/>
      <c r="E1385" s="248"/>
      <c r="F1385" s="248"/>
      <c r="G1385" s="248"/>
      <c r="H1385" s="283"/>
      <c r="I1385" s="199"/>
      <c r="J1385" s="199"/>
      <c r="K1385" s="199"/>
      <c r="L1385" s="248"/>
      <c r="M1385" s="248"/>
      <c r="N1385" s="248"/>
      <c r="O1385" s="248"/>
    </row>
    <row r="1386">
      <c r="A1386" s="199"/>
      <c r="B1386" s="199"/>
      <c r="C1386" s="199"/>
      <c r="D1386" s="248"/>
      <c r="E1386" s="248"/>
      <c r="F1386" s="248"/>
      <c r="G1386" s="248"/>
      <c r="H1386" s="283"/>
      <c r="I1386" s="199"/>
      <c r="J1386" s="199"/>
      <c r="K1386" s="199"/>
      <c r="L1386" s="248"/>
      <c r="M1386" s="248"/>
      <c r="N1386" s="248"/>
      <c r="O1386" s="248"/>
    </row>
    <row r="1387">
      <c r="A1387" s="199"/>
      <c r="B1387" s="199"/>
      <c r="C1387" s="199"/>
      <c r="D1387" s="248"/>
      <c r="E1387" s="248"/>
      <c r="F1387" s="248"/>
      <c r="G1387" s="248"/>
      <c r="H1387" s="283"/>
      <c r="I1387" s="199"/>
      <c r="J1387" s="199"/>
      <c r="K1387" s="199"/>
      <c r="L1387" s="248"/>
      <c r="M1387" s="248"/>
      <c r="N1387" s="248"/>
      <c r="O1387" s="248"/>
    </row>
    <row r="1388">
      <c r="A1388" s="199"/>
      <c r="B1388" s="199"/>
      <c r="C1388" s="199"/>
      <c r="D1388" s="248"/>
      <c r="E1388" s="248"/>
      <c r="F1388" s="248"/>
      <c r="G1388" s="248"/>
      <c r="H1388" s="283"/>
      <c r="I1388" s="199"/>
      <c r="J1388" s="199"/>
      <c r="K1388" s="199"/>
      <c r="L1388" s="248"/>
      <c r="M1388" s="248"/>
      <c r="N1388" s="248"/>
      <c r="O1388" s="248"/>
    </row>
    <row r="1389">
      <c r="A1389" s="199"/>
      <c r="B1389" s="199"/>
      <c r="C1389" s="199"/>
      <c r="D1389" s="248"/>
      <c r="E1389" s="248"/>
      <c r="F1389" s="248"/>
      <c r="G1389" s="248"/>
      <c r="H1389" s="283"/>
      <c r="I1389" s="199"/>
      <c r="J1389" s="199"/>
      <c r="K1389" s="199"/>
      <c r="L1389" s="248"/>
      <c r="M1389" s="248"/>
      <c r="N1389" s="248"/>
      <c r="O1389" s="248"/>
    </row>
    <row r="1390">
      <c r="A1390" s="199"/>
      <c r="B1390" s="199"/>
      <c r="C1390" s="199"/>
      <c r="D1390" s="248"/>
      <c r="E1390" s="248"/>
      <c r="F1390" s="248"/>
      <c r="G1390" s="248"/>
      <c r="H1390" s="283"/>
      <c r="I1390" s="199"/>
      <c r="J1390" s="199"/>
      <c r="K1390" s="199"/>
      <c r="L1390" s="248"/>
      <c r="M1390" s="248"/>
      <c r="N1390" s="248"/>
      <c r="O1390" s="248"/>
    </row>
    <row r="1391">
      <c r="A1391" s="199"/>
      <c r="B1391" s="199"/>
      <c r="C1391" s="199"/>
      <c r="D1391" s="248"/>
      <c r="E1391" s="248"/>
      <c r="F1391" s="248"/>
      <c r="G1391" s="248"/>
      <c r="H1391" s="283"/>
      <c r="I1391" s="199"/>
      <c r="J1391" s="199"/>
      <c r="K1391" s="199"/>
      <c r="L1391" s="248"/>
      <c r="M1391" s="248"/>
      <c r="N1391" s="248"/>
      <c r="O1391" s="248"/>
    </row>
    <row r="1392">
      <c r="A1392" s="199"/>
      <c r="B1392" s="199"/>
      <c r="C1392" s="199"/>
      <c r="D1392" s="248"/>
      <c r="E1392" s="248"/>
      <c r="F1392" s="248"/>
      <c r="G1392" s="248"/>
      <c r="H1392" s="283"/>
      <c r="I1392" s="199"/>
      <c r="J1392" s="199"/>
      <c r="K1392" s="199"/>
      <c r="L1392" s="248"/>
      <c r="M1392" s="248"/>
      <c r="N1392" s="248"/>
      <c r="O1392" s="248"/>
    </row>
    <row r="1393">
      <c r="A1393" s="199"/>
      <c r="B1393" s="199"/>
      <c r="C1393" s="199"/>
      <c r="D1393" s="248"/>
      <c r="E1393" s="248"/>
      <c r="F1393" s="248"/>
      <c r="G1393" s="248"/>
      <c r="H1393" s="283"/>
      <c r="I1393" s="199"/>
      <c r="J1393" s="199"/>
      <c r="K1393" s="199"/>
      <c r="L1393" s="248"/>
      <c r="M1393" s="248"/>
      <c r="N1393" s="248"/>
      <c r="O1393" s="248"/>
    </row>
    <row r="1394">
      <c r="A1394" s="199"/>
      <c r="B1394" s="199"/>
      <c r="C1394" s="199"/>
      <c r="D1394" s="248"/>
      <c r="E1394" s="248"/>
      <c r="F1394" s="248"/>
      <c r="G1394" s="248"/>
      <c r="H1394" s="283"/>
      <c r="I1394" s="199"/>
      <c r="J1394" s="199"/>
      <c r="K1394" s="199"/>
      <c r="L1394" s="248"/>
      <c r="M1394" s="248"/>
      <c r="N1394" s="248"/>
      <c r="O1394" s="248"/>
    </row>
    <row r="1395">
      <c r="A1395" s="199"/>
      <c r="B1395" s="199"/>
      <c r="C1395" s="199"/>
      <c r="D1395" s="248"/>
      <c r="E1395" s="248"/>
      <c r="F1395" s="248"/>
      <c r="G1395" s="248"/>
      <c r="H1395" s="283"/>
      <c r="I1395" s="199"/>
      <c r="J1395" s="199"/>
      <c r="K1395" s="199"/>
      <c r="L1395" s="248"/>
      <c r="M1395" s="248"/>
      <c r="N1395" s="248"/>
      <c r="O1395" s="248"/>
    </row>
    <row r="1396">
      <c r="A1396" s="199"/>
      <c r="B1396" s="199"/>
      <c r="C1396" s="199"/>
      <c r="D1396" s="248"/>
      <c r="E1396" s="248"/>
      <c r="F1396" s="248"/>
      <c r="G1396" s="248"/>
      <c r="H1396" s="283"/>
      <c r="I1396" s="199"/>
      <c r="J1396" s="199"/>
      <c r="K1396" s="199"/>
      <c r="L1396" s="248"/>
      <c r="M1396" s="248"/>
      <c r="N1396" s="248"/>
      <c r="O1396" s="248"/>
    </row>
    <row r="1397">
      <c r="A1397" s="199"/>
      <c r="B1397" s="199"/>
      <c r="C1397" s="199"/>
      <c r="D1397" s="248"/>
      <c r="E1397" s="248"/>
      <c r="F1397" s="248"/>
      <c r="G1397" s="248"/>
      <c r="H1397" s="283"/>
      <c r="I1397" s="199"/>
      <c r="J1397" s="199"/>
      <c r="K1397" s="199"/>
      <c r="L1397" s="248"/>
      <c r="M1397" s="248"/>
      <c r="N1397" s="248"/>
      <c r="O1397" s="248"/>
    </row>
    <row r="1398">
      <c r="A1398" s="199"/>
      <c r="B1398" s="199"/>
      <c r="C1398" s="199"/>
      <c r="D1398" s="248"/>
      <c r="E1398" s="248"/>
      <c r="F1398" s="248"/>
      <c r="G1398" s="248"/>
      <c r="H1398" s="283"/>
      <c r="I1398" s="199"/>
      <c r="J1398" s="199"/>
      <c r="K1398" s="199"/>
      <c r="L1398" s="248"/>
      <c r="M1398" s="248"/>
      <c r="N1398" s="248"/>
      <c r="O1398" s="248"/>
    </row>
    <row r="1399">
      <c r="A1399" s="199"/>
      <c r="B1399" s="199"/>
      <c r="C1399" s="199"/>
      <c r="D1399" s="248"/>
      <c r="E1399" s="248"/>
      <c r="F1399" s="248"/>
      <c r="G1399" s="248"/>
      <c r="H1399" s="283"/>
      <c r="I1399" s="199"/>
      <c r="J1399" s="199"/>
      <c r="K1399" s="199"/>
      <c r="L1399" s="248"/>
      <c r="M1399" s="248"/>
      <c r="N1399" s="248"/>
      <c r="O1399" s="248"/>
    </row>
    <row r="1400">
      <c r="A1400" s="199"/>
      <c r="B1400" s="199"/>
      <c r="C1400" s="199"/>
      <c r="D1400" s="248"/>
      <c r="E1400" s="248"/>
      <c r="F1400" s="248"/>
      <c r="G1400" s="248"/>
      <c r="H1400" s="283"/>
      <c r="I1400" s="199"/>
      <c r="J1400" s="199"/>
      <c r="K1400" s="199"/>
      <c r="L1400" s="248"/>
      <c r="M1400" s="248"/>
      <c r="N1400" s="248"/>
      <c r="O1400" s="248"/>
    </row>
    <row r="1401">
      <c r="A1401" s="199"/>
      <c r="B1401" s="199"/>
      <c r="C1401" s="199"/>
      <c r="D1401" s="248"/>
      <c r="E1401" s="248"/>
      <c r="F1401" s="248"/>
      <c r="G1401" s="248"/>
      <c r="H1401" s="283"/>
      <c r="I1401" s="199"/>
      <c r="J1401" s="199"/>
      <c r="K1401" s="199"/>
      <c r="L1401" s="248"/>
      <c r="M1401" s="248"/>
      <c r="N1401" s="248"/>
      <c r="O1401" s="248"/>
    </row>
    <row r="1402">
      <c r="A1402" s="199"/>
      <c r="B1402" s="199"/>
      <c r="C1402" s="199"/>
      <c r="D1402" s="248"/>
      <c r="E1402" s="248"/>
      <c r="F1402" s="248"/>
      <c r="G1402" s="248"/>
      <c r="H1402" s="283"/>
      <c r="I1402" s="199"/>
      <c r="J1402" s="199"/>
      <c r="K1402" s="199"/>
      <c r="L1402" s="248"/>
      <c r="M1402" s="248"/>
      <c r="N1402" s="248"/>
      <c r="O1402" s="248"/>
    </row>
    <row r="1403">
      <c r="A1403" s="199"/>
      <c r="B1403" s="199"/>
      <c r="C1403" s="199"/>
      <c r="D1403" s="248"/>
      <c r="E1403" s="248"/>
      <c r="F1403" s="248"/>
      <c r="G1403" s="248"/>
      <c r="H1403" s="283"/>
      <c r="I1403" s="199"/>
      <c r="J1403" s="199"/>
      <c r="K1403" s="199"/>
      <c r="L1403" s="248"/>
      <c r="M1403" s="248"/>
      <c r="N1403" s="248"/>
      <c r="O1403" s="248"/>
    </row>
    <row r="1404">
      <c r="A1404" s="199"/>
      <c r="B1404" s="199"/>
      <c r="C1404" s="199"/>
      <c r="D1404" s="248"/>
      <c r="E1404" s="248"/>
      <c r="F1404" s="248"/>
      <c r="G1404" s="248"/>
      <c r="H1404" s="283"/>
      <c r="I1404" s="199"/>
      <c r="J1404" s="199"/>
      <c r="K1404" s="199"/>
      <c r="L1404" s="248"/>
      <c r="M1404" s="248"/>
      <c r="N1404" s="248"/>
      <c r="O1404" s="248"/>
    </row>
    <row r="1405">
      <c r="A1405" s="199"/>
      <c r="B1405" s="199"/>
      <c r="C1405" s="199"/>
      <c r="D1405" s="248"/>
      <c r="E1405" s="248"/>
      <c r="F1405" s="248"/>
      <c r="G1405" s="248"/>
      <c r="H1405" s="283"/>
      <c r="I1405" s="199"/>
      <c r="J1405" s="199"/>
      <c r="K1405" s="199"/>
      <c r="L1405" s="248"/>
      <c r="M1405" s="248"/>
      <c r="N1405" s="248"/>
      <c r="O1405" s="248"/>
    </row>
    <row r="1406">
      <c r="A1406" s="199"/>
      <c r="B1406" s="199"/>
      <c r="C1406" s="199"/>
      <c r="D1406" s="248"/>
      <c r="E1406" s="248"/>
      <c r="F1406" s="248"/>
      <c r="G1406" s="248"/>
      <c r="H1406" s="283"/>
      <c r="I1406" s="199"/>
      <c r="J1406" s="199"/>
      <c r="K1406" s="199"/>
      <c r="L1406" s="248"/>
      <c r="M1406" s="248"/>
      <c r="N1406" s="248"/>
      <c r="O1406" s="248"/>
    </row>
    <row r="1407">
      <c r="A1407" s="199"/>
      <c r="B1407" s="199"/>
      <c r="C1407" s="199"/>
      <c r="D1407" s="248"/>
      <c r="E1407" s="248"/>
      <c r="F1407" s="248"/>
      <c r="G1407" s="248"/>
      <c r="H1407" s="283"/>
      <c r="I1407" s="199"/>
      <c r="J1407" s="199"/>
      <c r="K1407" s="199"/>
      <c r="L1407" s="248"/>
      <c r="M1407" s="248"/>
      <c r="N1407" s="248"/>
      <c r="O1407" s="248"/>
    </row>
    <row r="1408">
      <c r="A1408" s="199"/>
      <c r="B1408" s="199"/>
      <c r="C1408" s="199"/>
      <c r="D1408" s="248"/>
      <c r="E1408" s="248"/>
      <c r="F1408" s="248"/>
      <c r="G1408" s="248"/>
      <c r="H1408" s="283"/>
      <c r="I1408" s="199"/>
      <c r="J1408" s="199"/>
      <c r="K1408" s="199"/>
      <c r="L1408" s="248"/>
      <c r="M1408" s="248"/>
      <c r="N1408" s="248"/>
      <c r="O1408" s="248"/>
    </row>
    <row r="1409">
      <c r="A1409" s="199"/>
      <c r="B1409" s="199"/>
      <c r="C1409" s="199"/>
      <c r="D1409" s="248"/>
      <c r="E1409" s="248"/>
      <c r="F1409" s="248"/>
      <c r="G1409" s="248"/>
      <c r="H1409" s="283"/>
      <c r="I1409" s="199"/>
      <c r="J1409" s="199"/>
      <c r="K1409" s="199"/>
      <c r="L1409" s="248"/>
      <c r="M1409" s="248"/>
      <c r="N1409" s="248"/>
      <c r="O1409" s="248"/>
    </row>
    <row r="1410">
      <c r="A1410" s="199"/>
      <c r="B1410" s="199"/>
      <c r="C1410" s="199"/>
      <c r="D1410" s="248"/>
      <c r="E1410" s="248"/>
      <c r="F1410" s="248"/>
      <c r="G1410" s="248"/>
      <c r="H1410" s="283"/>
      <c r="I1410" s="199"/>
      <c r="J1410" s="199"/>
      <c r="K1410" s="199"/>
      <c r="L1410" s="248"/>
      <c r="M1410" s="248"/>
      <c r="N1410" s="248"/>
      <c r="O1410" s="248"/>
    </row>
    <row r="1411">
      <c r="A1411" s="199"/>
      <c r="B1411" s="199"/>
      <c r="C1411" s="199"/>
      <c r="D1411" s="248"/>
      <c r="E1411" s="248"/>
      <c r="F1411" s="248"/>
      <c r="G1411" s="248"/>
      <c r="H1411" s="283"/>
      <c r="I1411" s="199"/>
      <c r="J1411" s="199"/>
      <c r="K1411" s="199"/>
      <c r="L1411" s="248"/>
      <c r="M1411" s="248"/>
      <c r="N1411" s="248"/>
      <c r="O1411" s="248"/>
    </row>
    <row r="1412">
      <c r="A1412" s="199"/>
      <c r="B1412" s="199"/>
      <c r="C1412" s="199"/>
      <c r="D1412" s="248"/>
      <c r="E1412" s="248"/>
      <c r="F1412" s="248"/>
      <c r="G1412" s="248"/>
      <c r="H1412" s="283"/>
      <c r="I1412" s="199"/>
      <c r="J1412" s="199"/>
      <c r="K1412" s="199"/>
      <c r="L1412" s="248"/>
      <c r="M1412" s="248"/>
      <c r="N1412" s="248"/>
      <c r="O1412" s="248"/>
    </row>
    <row r="1413">
      <c r="A1413" s="199"/>
      <c r="B1413" s="199"/>
      <c r="C1413" s="199"/>
      <c r="D1413" s="248"/>
      <c r="E1413" s="248"/>
      <c r="F1413" s="248"/>
      <c r="G1413" s="248"/>
      <c r="H1413" s="283"/>
      <c r="I1413" s="199"/>
      <c r="J1413" s="199"/>
      <c r="K1413" s="199"/>
      <c r="L1413" s="248"/>
      <c r="M1413" s="248"/>
      <c r="N1413" s="248"/>
      <c r="O1413" s="248"/>
    </row>
    <row r="1414">
      <c r="A1414" s="199"/>
      <c r="B1414" s="199"/>
      <c r="C1414" s="199"/>
      <c r="D1414" s="248"/>
      <c r="E1414" s="248"/>
      <c r="F1414" s="248"/>
      <c r="G1414" s="248"/>
      <c r="H1414" s="283"/>
      <c r="I1414" s="199"/>
      <c r="J1414" s="199"/>
      <c r="K1414" s="199"/>
      <c r="L1414" s="248"/>
      <c r="M1414" s="248"/>
      <c r="N1414" s="248"/>
      <c r="O1414" s="248"/>
    </row>
    <row r="1415">
      <c r="A1415" s="199"/>
      <c r="B1415" s="199"/>
      <c r="C1415" s="199"/>
      <c r="D1415" s="248"/>
      <c r="E1415" s="248"/>
      <c r="F1415" s="248"/>
      <c r="G1415" s="248"/>
      <c r="H1415" s="283"/>
      <c r="I1415" s="199"/>
      <c r="J1415" s="199"/>
      <c r="K1415" s="199"/>
      <c r="L1415" s="248"/>
      <c r="M1415" s="248"/>
      <c r="N1415" s="248"/>
      <c r="O1415" s="248"/>
    </row>
    <row r="1416">
      <c r="A1416" s="199"/>
      <c r="B1416" s="199"/>
      <c r="C1416" s="199"/>
      <c r="D1416" s="248"/>
      <c r="E1416" s="248"/>
      <c r="F1416" s="248"/>
      <c r="G1416" s="248"/>
      <c r="H1416" s="283"/>
      <c r="I1416" s="199"/>
      <c r="J1416" s="199"/>
      <c r="K1416" s="199"/>
      <c r="L1416" s="248"/>
      <c r="M1416" s="248"/>
      <c r="N1416" s="248"/>
      <c r="O1416" s="248"/>
    </row>
    <row r="1417">
      <c r="A1417" s="199"/>
      <c r="B1417" s="199"/>
      <c r="C1417" s="199"/>
      <c r="D1417" s="248"/>
      <c r="E1417" s="248"/>
      <c r="F1417" s="248"/>
      <c r="G1417" s="248"/>
      <c r="H1417" s="283"/>
      <c r="I1417" s="199"/>
      <c r="J1417" s="199"/>
      <c r="K1417" s="199"/>
      <c r="L1417" s="248"/>
      <c r="M1417" s="248"/>
      <c r="N1417" s="248"/>
      <c r="O1417" s="248"/>
    </row>
    <row r="1418">
      <c r="A1418" s="199"/>
      <c r="B1418" s="199"/>
      <c r="C1418" s="199"/>
      <c r="D1418" s="248"/>
      <c r="E1418" s="248"/>
      <c r="F1418" s="248"/>
      <c r="G1418" s="248"/>
      <c r="H1418" s="283"/>
      <c r="I1418" s="199"/>
      <c r="J1418" s="199"/>
      <c r="K1418" s="199"/>
      <c r="L1418" s="248"/>
      <c r="M1418" s="248"/>
      <c r="N1418" s="248"/>
      <c r="O1418" s="248"/>
    </row>
    <row r="1419">
      <c r="A1419" s="199"/>
      <c r="B1419" s="199"/>
      <c r="C1419" s="199"/>
      <c r="D1419" s="248"/>
      <c r="E1419" s="248"/>
      <c r="F1419" s="248"/>
      <c r="G1419" s="248"/>
      <c r="H1419" s="283"/>
      <c r="I1419" s="199"/>
      <c r="J1419" s="199"/>
      <c r="K1419" s="199"/>
      <c r="L1419" s="248"/>
      <c r="M1419" s="248"/>
      <c r="N1419" s="248"/>
      <c r="O1419" s="248"/>
    </row>
    <row r="1420">
      <c r="A1420" s="199"/>
      <c r="B1420" s="199"/>
      <c r="C1420" s="199"/>
      <c r="D1420" s="248"/>
      <c r="E1420" s="248"/>
      <c r="F1420" s="248"/>
      <c r="G1420" s="248"/>
      <c r="H1420" s="283"/>
      <c r="I1420" s="199"/>
      <c r="J1420" s="199"/>
      <c r="K1420" s="199"/>
      <c r="L1420" s="248"/>
      <c r="M1420" s="248"/>
      <c r="N1420" s="248"/>
      <c r="O1420" s="248"/>
    </row>
    <row r="1421">
      <c r="A1421" s="199"/>
      <c r="B1421" s="199"/>
      <c r="C1421" s="199"/>
      <c r="D1421" s="248"/>
      <c r="E1421" s="248"/>
      <c r="F1421" s="248"/>
      <c r="G1421" s="248"/>
      <c r="H1421" s="283"/>
      <c r="I1421" s="199"/>
      <c r="J1421" s="199"/>
      <c r="K1421" s="199"/>
      <c r="L1421" s="248"/>
      <c r="M1421" s="248"/>
      <c r="N1421" s="248"/>
      <c r="O1421" s="248"/>
    </row>
    <row r="1422">
      <c r="A1422" s="199"/>
      <c r="B1422" s="199"/>
      <c r="C1422" s="199"/>
      <c r="D1422" s="248"/>
      <c r="E1422" s="248"/>
      <c r="F1422" s="248"/>
      <c r="G1422" s="248"/>
      <c r="H1422" s="283"/>
      <c r="I1422" s="199"/>
      <c r="J1422" s="199"/>
      <c r="K1422" s="199"/>
      <c r="L1422" s="248"/>
      <c r="M1422" s="248"/>
      <c r="N1422" s="248"/>
      <c r="O1422" s="248"/>
    </row>
    <row r="1423">
      <c r="A1423" s="199"/>
      <c r="B1423" s="199"/>
      <c r="C1423" s="199"/>
      <c r="D1423" s="248"/>
      <c r="E1423" s="248"/>
      <c r="F1423" s="248"/>
      <c r="G1423" s="248"/>
      <c r="H1423" s="283"/>
      <c r="I1423" s="199"/>
      <c r="J1423" s="199"/>
      <c r="K1423" s="199"/>
      <c r="L1423" s="248"/>
      <c r="M1423" s="248"/>
      <c r="N1423" s="248"/>
      <c r="O1423" s="248"/>
    </row>
    <row r="1424">
      <c r="A1424" s="199"/>
      <c r="B1424" s="199"/>
      <c r="C1424" s="199"/>
      <c r="D1424" s="248"/>
      <c r="E1424" s="248"/>
      <c r="F1424" s="248"/>
      <c r="G1424" s="248"/>
      <c r="H1424" s="283"/>
      <c r="I1424" s="199"/>
      <c r="J1424" s="199"/>
      <c r="K1424" s="199"/>
      <c r="L1424" s="248"/>
      <c r="M1424" s="248"/>
      <c r="N1424" s="248"/>
      <c r="O1424" s="248"/>
    </row>
    <row r="1425">
      <c r="A1425" s="199"/>
      <c r="B1425" s="199"/>
      <c r="C1425" s="199"/>
      <c r="D1425" s="248"/>
      <c r="E1425" s="248"/>
      <c r="F1425" s="248"/>
      <c r="G1425" s="248"/>
      <c r="H1425" s="283"/>
      <c r="I1425" s="199"/>
      <c r="J1425" s="199"/>
      <c r="K1425" s="199"/>
      <c r="L1425" s="248"/>
      <c r="M1425" s="248"/>
      <c r="N1425" s="248"/>
      <c r="O1425" s="248"/>
    </row>
    <row r="1426">
      <c r="A1426" s="199"/>
      <c r="B1426" s="199"/>
      <c r="C1426" s="199"/>
      <c r="D1426" s="248"/>
      <c r="E1426" s="248"/>
      <c r="F1426" s="248"/>
      <c r="G1426" s="248"/>
      <c r="H1426" s="283"/>
      <c r="I1426" s="199"/>
      <c r="J1426" s="199"/>
      <c r="K1426" s="199"/>
      <c r="L1426" s="248"/>
      <c r="M1426" s="248"/>
      <c r="N1426" s="248"/>
      <c r="O1426" s="248"/>
    </row>
    <row r="1427">
      <c r="A1427" s="199"/>
      <c r="B1427" s="199"/>
      <c r="C1427" s="199"/>
      <c r="D1427" s="248"/>
      <c r="E1427" s="248"/>
      <c r="F1427" s="248"/>
      <c r="G1427" s="248"/>
      <c r="H1427" s="283"/>
      <c r="I1427" s="199"/>
      <c r="J1427" s="199"/>
      <c r="K1427" s="199"/>
      <c r="L1427" s="248"/>
      <c r="M1427" s="248"/>
      <c r="N1427" s="248"/>
      <c r="O1427" s="248"/>
    </row>
    <row r="1428">
      <c r="A1428" s="199"/>
      <c r="B1428" s="199"/>
      <c r="C1428" s="199"/>
      <c r="D1428" s="248"/>
      <c r="E1428" s="248"/>
      <c r="F1428" s="248"/>
      <c r="G1428" s="248"/>
      <c r="H1428" s="283"/>
      <c r="I1428" s="199"/>
      <c r="J1428" s="199"/>
      <c r="K1428" s="199"/>
      <c r="L1428" s="248"/>
      <c r="M1428" s="248"/>
      <c r="N1428" s="248"/>
      <c r="O1428" s="248"/>
    </row>
    <row r="1429">
      <c r="A1429" s="199"/>
      <c r="B1429" s="199"/>
      <c r="C1429" s="199"/>
      <c r="D1429" s="248"/>
      <c r="E1429" s="248"/>
      <c r="F1429" s="248"/>
      <c r="G1429" s="248"/>
      <c r="H1429" s="283"/>
      <c r="I1429" s="199"/>
      <c r="J1429" s="199"/>
      <c r="K1429" s="199"/>
      <c r="L1429" s="248"/>
      <c r="M1429" s="248"/>
      <c r="N1429" s="248"/>
      <c r="O1429" s="248"/>
    </row>
    <row r="1430">
      <c r="A1430" s="199"/>
      <c r="B1430" s="199"/>
      <c r="C1430" s="199"/>
      <c r="D1430" s="248"/>
      <c r="E1430" s="248"/>
      <c r="F1430" s="248"/>
      <c r="G1430" s="248"/>
      <c r="H1430" s="283"/>
      <c r="I1430" s="199"/>
      <c r="J1430" s="199"/>
      <c r="K1430" s="199"/>
      <c r="L1430" s="248"/>
      <c r="M1430" s="248"/>
      <c r="N1430" s="248"/>
      <c r="O1430" s="248"/>
    </row>
    <row r="1431">
      <c r="A1431" s="199"/>
      <c r="B1431" s="199"/>
      <c r="C1431" s="199"/>
      <c r="D1431" s="248"/>
      <c r="E1431" s="248"/>
      <c r="F1431" s="248"/>
      <c r="G1431" s="248"/>
      <c r="H1431" s="283"/>
      <c r="I1431" s="199"/>
      <c r="J1431" s="199"/>
      <c r="K1431" s="199"/>
      <c r="L1431" s="248"/>
      <c r="M1431" s="248"/>
      <c r="N1431" s="248"/>
      <c r="O1431" s="248"/>
    </row>
    <row r="1432">
      <c r="A1432" s="199"/>
      <c r="B1432" s="199"/>
      <c r="C1432" s="199"/>
      <c r="D1432" s="248"/>
      <c r="E1432" s="248"/>
      <c r="F1432" s="248"/>
      <c r="G1432" s="248"/>
      <c r="H1432" s="283"/>
      <c r="I1432" s="199"/>
      <c r="J1432" s="199"/>
      <c r="K1432" s="199"/>
      <c r="L1432" s="248"/>
      <c r="M1432" s="248"/>
      <c r="N1432" s="248"/>
      <c r="O1432" s="248"/>
    </row>
    <row r="1433">
      <c r="A1433" s="199"/>
      <c r="B1433" s="199"/>
      <c r="C1433" s="199"/>
      <c r="D1433" s="248"/>
      <c r="E1433" s="248"/>
      <c r="F1433" s="248"/>
      <c r="G1433" s="248"/>
      <c r="H1433" s="283"/>
      <c r="I1433" s="199"/>
      <c r="J1433" s="199"/>
      <c r="K1433" s="199"/>
      <c r="L1433" s="248"/>
      <c r="M1433" s="248"/>
      <c r="N1433" s="248"/>
      <c r="O1433" s="248"/>
    </row>
    <row r="1434">
      <c r="A1434" s="199"/>
      <c r="B1434" s="199"/>
      <c r="C1434" s="199"/>
      <c r="D1434" s="248"/>
      <c r="E1434" s="248"/>
      <c r="F1434" s="248"/>
      <c r="G1434" s="248"/>
      <c r="H1434" s="283"/>
      <c r="I1434" s="199"/>
      <c r="J1434" s="199"/>
      <c r="K1434" s="199"/>
      <c r="L1434" s="248"/>
      <c r="M1434" s="248"/>
      <c r="N1434" s="248"/>
      <c r="O1434" s="248"/>
    </row>
    <row r="1435">
      <c r="A1435" s="199"/>
      <c r="B1435" s="199"/>
      <c r="C1435" s="199"/>
      <c r="D1435" s="248"/>
      <c r="E1435" s="248"/>
      <c r="F1435" s="248"/>
      <c r="G1435" s="248"/>
      <c r="H1435" s="283"/>
      <c r="I1435" s="199"/>
      <c r="J1435" s="199"/>
      <c r="K1435" s="199"/>
      <c r="L1435" s="248"/>
      <c r="M1435" s="248"/>
      <c r="N1435" s="248"/>
      <c r="O1435" s="248"/>
    </row>
    <row r="1436">
      <c r="A1436" s="199"/>
      <c r="B1436" s="199"/>
      <c r="C1436" s="199"/>
      <c r="D1436" s="248"/>
      <c r="E1436" s="248"/>
      <c r="F1436" s="248"/>
      <c r="G1436" s="248"/>
      <c r="H1436" s="283"/>
      <c r="I1436" s="199"/>
      <c r="J1436" s="199"/>
      <c r="K1436" s="199"/>
      <c r="L1436" s="248"/>
      <c r="M1436" s="248"/>
      <c r="N1436" s="248"/>
      <c r="O1436" s="248"/>
    </row>
    <row r="1437">
      <c r="A1437" s="199"/>
      <c r="B1437" s="199"/>
      <c r="C1437" s="199"/>
      <c r="D1437" s="248"/>
      <c r="E1437" s="248"/>
      <c r="F1437" s="248"/>
      <c r="G1437" s="248"/>
      <c r="H1437" s="283"/>
      <c r="I1437" s="199"/>
      <c r="J1437" s="199"/>
      <c r="K1437" s="199"/>
      <c r="L1437" s="248"/>
      <c r="M1437" s="248"/>
      <c r="N1437" s="248"/>
      <c r="O1437" s="248"/>
    </row>
    <row r="1438">
      <c r="A1438" s="199"/>
      <c r="B1438" s="199"/>
      <c r="C1438" s="199"/>
      <c r="D1438" s="248"/>
      <c r="E1438" s="248"/>
      <c r="F1438" s="248"/>
      <c r="G1438" s="248"/>
      <c r="H1438" s="283"/>
      <c r="I1438" s="199"/>
      <c r="J1438" s="199"/>
      <c r="K1438" s="199"/>
      <c r="L1438" s="248"/>
      <c r="M1438" s="248"/>
      <c r="N1438" s="248"/>
      <c r="O1438" s="248"/>
    </row>
    <row r="1439">
      <c r="A1439" s="199"/>
      <c r="B1439" s="199"/>
      <c r="C1439" s="199"/>
      <c r="D1439" s="248"/>
      <c r="E1439" s="248"/>
      <c r="F1439" s="248"/>
      <c r="G1439" s="248"/>
      <c r="H1439" s="283"/>
      <c r="I1439" s="199"/>
      <c r="J1439" s="199"/>
      <c r="K1439" s="199"/>
      <c r="L1439" s="248"/>
      <c r="M1439" s="248"/>
      <c r="N1439" s="248"/>
      <c r="O1439" s="248"/>
    </row>
    <row r="1440">
      <c r="A1440" s="199"/>
      <c r="B1440" s="199"/>
      <c r="C1440" s="199"/>
      <c r="D1440" s="248"/>
      <c r="E1440" s="248"/>
      <c r="F1440" s="248"/>
      <c r="G1440" s="248"/>
      <c r="H1440" s="283"/>
      <c r="I1440" s="199"/>
      <c r="J1440" s="199"/>
      <c r="K1440" s="199"/>
      <c r="L1440" s="248"/>
      <c r="M1440" s="248"/>
      <c r="N1440" s="248"/>
      <c r="O1440" s="248"/>
    </row>
    <row r="1441">
      <c r="A1441" s="199"/>
      <c r="B1441" s="199"/>
      <c r="C1441" s="199"/>
      <c r="D1441" s="248"/>
      <c r="E1441" s="248"/>
      <c r="F1441" s="248"/>
      <c r="G1441" s="248"/>
      <c r="H1441" s="283"/>
      <c r="I1441" s="199"/>
      <c r="J1441" s="199"/>
      <c r="K1441" s="199"/>
      <c r="L1441" s="248"/>
      <c r="M1441" s="248"/>
      <c r="N1441" s="248"/>
      <c r="O1441" s="248"/>
    </row>
    <row r="1442">
      <c r="A1442" s="199"/>
      <c r="B1442" s="199"/>
      <c r="C1442" s="199"/>
      <c r="D1442" s="248"/>
      <c r="E1442" s="248"/>
      <c r="F1442" s="248"/>
      <c r="G1442" s="248"/>
      <c r="H1442" s="283"/>
      <c r="I1442" s="199"/>
      <c r="J1442" s="199"/>
      <c r="K1442" s="199"/>
      <c r="L1442" s="248"/>
      <c r="M1442" s="248"/>
      <c r="N1442" s="248"/>
      <c r="O1442" s="248"/>
    </row>
    <row r="1443">
      <c r="A1443" s="199"/>
      <c r="B1443" s="199"/>
      <c r="C1443" s="199"/>
      <c r="D1443" s="248"/>
      <c r="E1443" s="248"/>
      <c r="F1443" s="248"/>
      <c r="G1443" s="248"/>
      <c r="H1443" s="283"/>
      <c r="I1443" s="199"/>
      <c r="J1443" s="199"/>
      <c r="K1443" s="199"/>
      <c r="L1443" s="248"/>
      <c r="M1443" s="248"/>
      <c r="N1443" s="248"/>
      <c r="O1443" s="248"/>
    </row>
    <row r="1444">
      <c r="A1444" s="199"/>
      <c r="B1444" s="199"/>
      <c r="C1444" s="199"/>
      <c r="D1444" s="248"/>
      <c r="E1444" s="248"/>
      <c r="F1444" s="248"/>
      <c r="G1444" s="248"/>
      <c r="H1444" s="283"/>
      <c r="I1444" s="199"/>
      <c r="J1444" s="199"/>
      <c r="K1444" s="199"/>
      <c r="L1444" s="248"/>
      <c r="M1444" s="248"/>
      <c r="N1444" s="248"/>
      <c r="O1444" s="248"/>
    </row>
    <row r="1445">
      <c r="A1445" s="199"/>
      <c r="B1445" s="199"/>
      <c r="C1445" s="199"/>
      <c r="D1445" s="248"/>
      <c r="E1445" s="248"/>
      <c r="F1445" s="248"/>
      <c r="G1445" s="248"/>
      <c r="H1445" s="283"/>
      <c r="I1445" s="199"/>
      <c r="J1445" s="199"/>
      <c r="K1445" s="199"/>
      <c r="L1445" s="248"/>
      <c r="M1445" s="248"/>
      <c r="N1445" s="248"/>
      <c r="O1445" s="248"/>
    </row>
    <row r="1446">
      <c r="A1446" s="199"/>
      <c r="B1446" s="199"/>
      <c r="C1446" s="199"/>
      <c r="D1446" s="248"/>
      <c r="E1446" s="248"/>
      <c r="F1446" s="248"/>
      <c r="G1446" s="248"/>
      <c r="H1446" s="283"/>
      <c r="I1446" s="199"/>
      <c r="J1446" s="199"/>
      <c r="K1446" s="199"/>
      <c r="L1446" s="248"/>
      <c r="M1446" s="248"/>
      <c r="N1446" s="248"/>
      <c r="O1446" s="248"/>
    </row>
    <row r="1447">
      <c r="A1447" s="199"/>
      <c r="B1447" s="199"/>
      <c r="C1447" s="199"/>
      <c r="D1447" s="248"/>
      <c r="E1447" s="248"/>
      <c r="F1447" s="248"/>
      <c r="G1447" s="248"/>
      <c r="H1447" s="283"/>
      <c r="I1447" s="199"/>
      <c r="J1447" s="199"/>
      <c r="K1447" s="199"/>
      <c r="L1447" s="248"/>
      <c r="M1447" s="248"/>
      <c r="N1447" s="248"/>
      <c r="O1447" s="248"/>
    </row>
    <row r="1448">
      <c r="A1448" s="199"/>
      <c r="B1448" s="199"/>
      <c r="C1448" s="199"/>
      <c r="D1448" s="248"/>
      <c r="E1448" s="248"/>
      <c r="F1448" s="248"/>
      <c r="G1448" s="248"/>
      <c r="H1448" s="283"/>
      <c r="I1448" s="199"/>
      <c r="J1448" s="199"/>
      <c r="K1448" s="199"/>
      <c r="L1448" s="248"/>
      <c r="M1448" s="248"/>
      <c r="N1448" s="248"/>
      <c r="O1448" s="248"/>
    </row>
    <row r="1449">
      <c r="A1449" s="199"/>
      <c r="B1449" s="199"/>
      <c r="C1449" s="199"/>
      <c r="D1449" s="248"/>
      <c r="E1449" s="248"/>
      <c r="F1449" s="248"/>
      <c r="G1449" s="248"/>
      <c r="H1449" s="283"/>
      <c r="I1449" s="199"/>
      <c r="J1449" s="199"/>
      <c r="K1449" s="199"/>
      <c r="L1449" s="248"/>
      <c r="M1449" s="248"/>
      <c r="N1449" s="248"/>
      <c r="O1449" s="248"/>
    </row>
    <row r="1450">
      <c r="A1450" s="199"/>
      <c r="B1450" s="199"/>
      <c r="C1450" s="199"/>
      <c r="D1450" s="248"/>
      <c r="E1450" s="248"/>
      <c r="F1450" s="248"/>
      <c r="G1450" s="248"/>
      <c r="H1450" s="283"/>
      <c r="I1450" s="199"/>
      <c r="J1450" s="199"/>
      <c r="K1450" s="199"/>
      <c r="L1450" s="248"/>
      <c r="M1450" s="248"/>
      <c r="N1450" s="248"/>
      <c r="O1450" s="248"/>
    </row>
    <row r="1451">
      <c r="A1451" s="199"/>
      <c r="B1451" s="199"/>
      <c r="C1451" s="199"/>
      <c r="D1451" s="248"/>
      <c r="E1451" s="248"/>
      <c r="F1451" s="248"/>
      <c r="G1451" s="248"/>
      <c r="H1451" s="283"/>
      <c r="I1451" s="199"/>
      <c r="J1451" s="199"/>
      <c r="K1451" s="199"/>
      <c r="L1451" s="248"/>
      <c r="M1451" s="248"/>
      <c r="N1451" s="248"/>
      <c r="O1451" s="248"/>
    </row>
    <row r="1452">
      <c r="A1452" s="199"/>
      <c r="B1452" s="199"/>
      <c r="C1452" s="199"/>
      <c r="D1452" s="248"/>
      <c r="E1452" s="248"/>
      <c r="F1452" s="248"/>
      <c r="G1452" s="248"/>
      <c r="H1452" s="283"/>
      <c r="I1452" s="199"/>
      <c r="J1452" s="199"/>
      <c r="K1452" s="199"/>
      <c r="L1452" s="248"/>
      <c r="M1452" s="248"/>
      <c r="N1452" s="248"/>
      <c r="O1452" s="248"/>
    </row>
    <row r="1453">
      <c r="A1453" s="199"/>
      <c r="B1453" s="199"/>
      <c r="C1453" s="199"/>
      <c r="D1453" s="248"/>
      <c r="E1453" s="248"/>
      <c r="F1453" s="248"/>
      <c r="G1453" s="248"/>
      <c r="H1453" s="283"/>
      <c r="I1453" s="199"/>
      <c r="J1453" s="199"/>
      <c r="K1453" s="199"/>
      <c r="L1453" s="248"/>
      <c r="M1453" s="248"/>
      <c r="N1453" s="248"/>
      <c r="O1453" s="248"/>
    </row>
    <row r="1454">
      <c r="A1454" s="199"/>
      <c r="B1454" s="199"/>
      <c r="C1454" s="199"/>
      <c r="D1454" s="248"/>
      <c r="E1454" s="248"/>
      <c r="F1454" s="248"/>
      <c r="G1454" s="248"/>
      <c r="H1454" s="283"/>
      <c r="I1454" s="199"/>
      <c r="J1454" s="199"/>
      <c r="K1454" s="199"/>
      <c r="L1454" s="248"/>
      <c r="M1454" s="248"/>
      <c r="N1454" s="248"/>
      <c r="O1454" s="248"/>
    </row>
    <row r="1455">
      <c r="A1455" s="199"/>
      <c r="B1455" s="199"/>
      <c r="C1455" s="199"/>
      <c r="D1455" s="248"/>
      <c r="E1455" s="248"/>
      <c r="F1455" s="248"/>
      <c r="G1455" s="248"/>
      <c r="H1455" s="283"/>
      <c r="I1455" s="199"/>
      <c r="J1455" s="199"/>
      <c r="K1455" s="199"/>
      <c r="L1455" s="248"/>
      <c r="M1455" s="248"/>
      <c r="N1455" s="248"/>
      <c r="O1455" s="248"/>
    </row>
    <row r="1456">
      <c r="A1456" s="199"/>
      <c r="B1456" s="199"/>
      <c r="C1456" s="199"/>
      <c r="D1456" s="248"/>
      <c r="E1456" s="248"/>
      <c r="F1456" s="248"/>
      <c r="G1456" s="248"/>
      <c r="H1456" s="283"/>
      <c r="I1456" s="199"/>
      <c r="J1456" s="199"/>
      <c r="K1456" s="199"/>
      <c r="L1456" s="248"/>
      <c r="M1456" s="248"/>
      <c r="N1456" s="248"/>
      <c r="O1456" s="248"/>
    </row>
    <row r="1457">
      <c r="A1457" s="199"/>
      <c r="B1457" s="199"/>
      <c r="C1457" s="199"/>
      <c r="D1457" s="248"/>
      <c r="E1457" s="248"/>
      <c r="F1457" s="248"/>
      <c r="G1457" s="248"/>
      <c r="H1457" s="283"/>
      <c r="I1457" s="199"/>
      <c r="J1457" s="199"/>
      <c r="K1457" s="199"/>
      <c r="L1457" s="248"/>
      <c r="M1457" s="248"/>
      <c r="N1457" s="248"/>
      <c r="O1457" s="248"/>
    </row>
    <row r="1458">
      <c r="A1458" s="199"/>
      <c r="B1458" s="199"/>
      <c r="C1458" s="199"/>
      <c r="D1458" s="248"/>
      <c r="E1458" s="248"/>
      <c r="F1458" s="248"/>
      <c r="G1458" s="248"/>
      <c r="H1458" s="283"/>
      <c r="I1458" s="199"/>
      <c r="J1458" s="199"/>
      <c r="K1458" s="199"/>
      <c r="L1458" s="248"/>
      <c r="M1458" s="248"/>
      <c r="N1458" s="248"/>
      <c r="O1458" s="248"/>
    </row>
    <row r="1459">
      <c r="A1459" s="199"/>
      <c r="B1459" s="199"/>
      <c r="C1459" s="199"/>
      <c r="D1459" s="248"/>
      <c r="E1459" s="248"/>
      <c r="F1459" s="248"/>
      <c r="G1459" s="248"/>
      <c r="H1459" s="283"/>
      <c r="I1459" s="199"/>
      <c r="J1459" s="199"/>
      <c r="K1459" s="199"/>
      <c r="L1459" s="248"/>
      <c r="M1459" s="248"/>
      <c r="N1459" s="248"/>
      <c r="O1459" s="248"/>
    </row>
    <row r="1460">
      <c r="A1460" s="199"/>
      <c r="B1460" s="199"/>
      <c r="C1460" s="199"/>
      <c r="D1460" s="248"/>
      <c r="E1460" s="248"/>
      <c r="F1460" s="248"/>
      <c r="G1460" s="248"/>
      <c r="H1460" s="283"/>
      <c r="I1460" s="199"/>
      <c r="J1460" s="199"/>
      <c r="K1460" s="199"/>
      <c r="L1460" s="248"/>
      <c r="M1460" s="248"/>
      <c r="N1460" s="248"/>
      <c r="O1460" s="248"/>
    </row>
    <row r="1461">
      <c r="A1461" s="199"/>
      <c r="B1461" s="199"/>
      <c r="C1461" s="199"/>
      <c r="D1461" s="248"/>
      <c r="E1461" s="248"/>
      <c r="F1461" s="248"/>
      <c r="G1461" s="248"/>
      <c r="H1461" s="283"/>
      <c r="I1461" s="199"/>
      <c r="J1461" s="199"/>
      <c r="K1461" s="199"/>
      <c r="L1461" s="248"/>
      <c r="M1461" s="248"/>
      <c r="N1461" s="248"/>
      <c r="O1461" s="248"/>
    </row>
    <row r="1462">
      <c r="A1462" s="199"/>
      <c r="B1462" s="199"/>
      <c r="C1462" s="199"/>
      <c r="D1462" s="248"/>
      <c r="E1462" s="248"/>
      <c r="F1462" s="248"/>
      <c r="G1462" s="248"/>
      <c r="H1462" s="283"/>
      <c r="I1462" s="199"/>
      <c r="J1462" s="199"/>
      <c r="K1462" s="199"/>
      <c r="L1462" s="248"/>
      <c r="M1462" s="248"/>
      <c r="N1462" s="248"/>
      <c r="O1462" s="248"/>
    </row>
    <row r="1463">
      <c r="A1463" s="199"/>
      <c r="B1463" s="199"/>
      <c r="C1463" s="199"/>
      <c r="D1463" s="248"/>
      <c r="E1463" s="248"/>
      <c r="F1463" s="248"/>
      <c r="G1463" s="248"/>
      <c r="H1463" s="283"/>
      <c r="I1463" s="199"/>
      <c r="J1463" s="199"/>
      <c r="K1463" s="199"/>
      <c r="L1463" s="248"/>
      <c r="M1463" s="248"/>
      <c r="N1463" s="248"/>
      <c r="O1463" s="248"/>
    </row>
    <row r="1464">
      <c r="A1464" s="199"/>
      <c r="B1464" s="199"/>
      <c r="C1464" s="199"/>
      <c r="D1464" s="248"/>
      <c r="E1464" s="248"/>
      <c r="F1464" s="248"/>
      <c r="G1464" s="248"/>
      <c r="H1464" s="283"/>
      <c r="I1464" s="199"/>
      <c r="J1464" s="199"/>
      <c r="K1464" s="199"/>
      <c r="L1464" s="248"/>
      <c r="M1464" s="248"/>
      <c r="N1464" s="248"/>
      <c r="O1464" s="248"/>
    </row>
    <row r="1465">
      <c r="A1465" s="199"/>
      <c r="B1465" s="199"/>
      <c r="C1465" s="199"/>
      <c r="D1465" s="248"/>
      <c r="E1465" s="248"/>
      <c r="F1465" s="248"/>
      <c r="G1465" s="248"/>
      <c r="H1465" s="283"/>
      <c r="I1465" s="199"/>
      <c r="J1465" s="199"/>
      <c r="K1465" s="199"/>
      <c r="L1465" s="248"/>
      <c r="M1465" s="248"/>
      <c r="N1465" s="248"/>
      <c r="O1465" s="248"/>
    </row>
    <row r="1466">
      <c r="A1466" s="199"/>
      <c r="B1466" s="199"/>
      <c r="C1466" s="199"/>
      <c r="D1466" s="248"/>
      <c r="E1466" s="248"/>
      <c r="F1466" s="248"/>
      <c r="G1466" s="248"/>
      <c r="H1466" s="283"/>
      <c r="I1466" s="199"/>
      <c r="J1466" s="199"/>
      <c r="K1466" s="199"/>
      <c r="L1466" s="248"/>
      <c r="M1466" s="248"/>
      <c r="N1466" s="248"/>
      <c r="O1466" s="248"/>
    </row>
    <row r="1467">
      <c r="A1467" s="199"/>
      <c r="B1467" s="199"/>
      <c r="C1467" s="199"/>
      <c r="D1467" s="248"/>
      <c r="E1467" s="248"/>
      <c r="F1467" s="248"/>
      <c r="G1467" s="248"/>
      <c r="H1467" s="283"/>
      <c r="I1467" s="199"/>
      <c r="J1467" s="199"/>
      <c r="K1467" s="199"/>
      <c r="L1467" s="248"/>
      <c r="M1467" s="248"/>
      <c r="N1467" s="248"/>
      <c r="O1467" s="248"/>
    </row>
    <row r="1468">
      <c r="A1468" s="199"/>
      <c r="B1468" s="199"/>
      <c r="C1468" s="199"/>
      <c r="D1468" s="248"/>
      <c r="E1468" s="248"/>
      <c r="F1468" s="248"/>
      <c r="G1468" s="248"/>
      <c r="H1468" s="283"/>
      <c r="I1468" s="199"/>
      <c r="J1468" s="199"/>
      <c r="K1468" s="199"/>
      <c r="L1468" s="248"/>
      <c r="M1468" s="248"/>
      <c r="N1468" s="248"/>
      <c r="O1468" s="248"/>
    </row>
    <row r="1469">
      <c r="A1469" s="199"/>
      <c r="B1469" s="199"/>
      <c r="C1469" s="199"/>
      <c r="D1469" s="248"/>
      <c r="E1469" s="248"/>
      <c r="F1469" s="248"/>
      <c r="G1469" s="248"/>
      <c r="H1469" s="283"/>
      <c r="I1469" s="199"/>
      <c r="J1469" s="199"/>
      <c r="K1469" s="199"/>
      <c r="L1469" s="248"/>
      <c r="M1469" s="248"/>
      <c r="N1469" s="248"/>
      <c r="O1469" s="248"/>
    </row>
    <row r="1470">
      <c r="A1470" s="199"/>
      <c r="B1470" s="199"/>
      <c r="C1470" s="199"/>
      <c r="D1470" s="248"/>
      <c r="E1470" s="248"/>
      <c r="F1470" s="248"/>
      <c r="G1470" s="248"/>
      <c r="H1470" s="283"/>
      <c r="I1470" s="199"/>
      <c r="J1470" s="199"/>
      <c r="K1470" s="199"/>
      <c r="L1470" s="248"/>
      <c r="M1470" s="248"/>
      <c r="N1470" s="248"/>
      <c r="O1470" s="248"/>
    </row>
    <row r="1471">
      <c r="A1471" s="199"/>
      <c r="B1471" s="199"/>
      <c r="C1471" s="199"/>
      <c r="D1471" s="248"/>
      <c r="E1471" s="248"/>
      <c r="F1471" s="248"/>
      <c r="G1471" s="248"/>
      <c r="H1471" s="283"/>
      <c r="I1471" s="199"/>
      <c r="J1471" s="199"/>
      <c r="K1471" s="199"/>
      <c r="L1471" s="248"/>
      <c r="M1471" s="248"/>
      <c r="N1471" s="248"/>
      <c r="O1471" s="248"/>
    </row>
    <row r="1472">
      <c r="A1472" s="199"/>
      <c r="B1472" s="199"/>
      <c r="C1472" s="199"/>
      <c r="D1472" s="248"/>
      <c r="E1472" s="248"/>
      <c r="F1472" s="248"/>
      <c r="G1472" s="248"/>
      <c r="H1472" s="283"/>
      <c r="I1472" s="199"/>
      <c r="J1472" s="199"/>
      <c r="K1472" s="199"/>
      <c r="L1472" s="248"/>
      <c r="M1472" s="248"/>
      <c r="N1472" s="248"/>
      <c r="O1472" s="248"/>
    </row>
    <row r="1473">
      <c r="A1473" s="199"/>
      <c r="B1473" s="199"/>
      <c r="C1473" s="199"/>
      <c r="D1473" s="248"/>
      <c r="E1473" s="248"/>
      <c r="F1473" s="248"/>
      <c r="G1473" s="248"/>
      <c r="H1473" s="283"/>
      <c r="I1473" s="199"/>
      <c r="J1473" s="199"/>
      <c r="K1473" s="199"/>
      <c r="L1473" s="248"/>
      <c r="M1473" s="248"/>
      <c r="N1473" s="248"/>
      <c r="O1473" s="248"/>
    </row>
    <row r="1474">
      <c r="A1474" s="199"/>
      <c r="B1474" s="199"/>
      <c r="C1474" s="199"/>
      <c r="D1474" s="248"/>
      <c r="E1474" s="248"/>
      <c r="F1474" s="248"/>
      <c r="G1474" s="248"/>
      <c r="H1474" s="283"/>
      <c r="I1474" s="199"/>
      <c r="J1474" s="199"/>
      <c r="K1474" s="199"/>
      <c r="L1474" s="248"/>
      <c r="M1474" s="248"/>
      <c r="N1474" s="248"/>
      <c r="O1474" s="248"/>
    </row>
    <row r="1475">
      <c r="A1475" s="199"/>
      <c r="B1475" s="199"/>
      <c r="C1475" s="199"/>
      <c r="D1475" s="248"/>
      <c r="E1475" s="248"/>
      <c r="F1475" s="248"/>
      <c r="G1475" s="248"/>
      <c r="H1475" s="283"/>
      <c r="I1475" s="199"/>
      <c r="J1475" s="199"/>
      <c r="K1475" s="199"/>
      <c r="L1475" s="248"/>
      <c r="M1475" s="248"/>
      <c r="N1475" s="248"/>
      <c r="O1475" s="248"/>
    </row>
    <row r="1476">
      <c r="A1476" s="199"/>
      <c r="B1476" s="199"/>
      <c r="C1476" s="199"/>
      <c r="D1476" s="248"/>
      <c r="E1476" s="248"/>
      <c r="F1476" s="248"/>
      <c r="G1476" s="248"/>
      <c r="H1476" s="283"/>
      <c r="I1476" s="199"/>
      <c r="J1476" s="199"/>
      <c r="K1476" s="199"/>
      <c r="L1476" s="248"/>
      <c r="M1476" s="248"/>
      <c r="N1476" s="248"/>
      <c r="O1476" s="248"/>
    </row>
    <row r="1477">
      <c r="A1477" s="199"/>
      <c r="B1477" s="199"/>
      <c r="C1477" s="199"/>
      <c r="D1477" s="248"/>
      <c r="E1477" s="248"/>
      <c r="F1477" s="248"/>
      <c r="G1477" s="248"/>
      <c r="H1477" s="283"/>
      <c r="I1477" s="199"/>
      <c r="J1477" s="199"/>
      <c r="K1477" s="199"/>
      <c r="L1477" s="248"/>
      <c r="M1477" s="248"/>
      <c r="N1477" s="248"/>
      <c r="O1477" s="248"/>
    </row>
    <row r="1478">
      <c r="A1478" s="199"/>
      <c r="B1478" s="199"/>
      <c r="C1478" s="199"/>
      <c r="D1478" s="248"/>
      <c r="E1478" s="248"/>
      <c r="F1478" s="248"/>
      <c r="G1478" s="248"/>
      <c r="H1478" s="283"/>
      <c r="I1478" s="199"/>
      <c r="J1478" s="199"/>
      <c r="K1478" s="199"/>
      <c r="L1478" s="248"/>
      <c r="M1478" s="248"/>
      <c r="N1478" s="248"/>
      <c r="O1478" s="248"/>
    </row>
    <row r="1479">
      <c r="A1479" s="199"/>
      <c r="B1479" s="199"/>
      <c r="C1479" s="199"/>
      <c r="D1479" s="248"/>
      <c r="E1479" s="248"/>
      <c r="F1479" s="248"/>
      <c r="G1479" s="248"/>
      <c r="H1479" s="283"/>
      <c r="I1479" s="199"/>
      <c r="J1479" s="199"/>
      <c r="K1479" s="199"/>
      <c r="L1479" s="248"/>
      <c r="M1479" s="248"/>
      <c r="N1479" s="248"/>
      <c r="O1479" s="248"/>
    </row>
    <row r="1480">
      <c r="A1480" s="199"/>
      <c r="B1480" s="199"/>
      <c r="C1480" s="199"/>
      <c r="D1480" s="248"/>
      <c r="E1480" s="248"/>
      <c r="F1480" s="248"/>
      <c r="G1480" s="248"/>
      <c r="H1480" s="283"/>
      <c r="I1480" s="199"/>
      <c r="J1480" s="199"/>
      <c r="K1480" s="199"/>
      <c r="L1480" s="248"/>
      <c r="M1480" s="248"/>
      <c r="N1480" s="248"/>
      <c r="O1480" s="248"/>
    </row>
    <row r="1481">
      <c r="A1481" s="199"/>
      <c r="B1481" s="199"/>
      <c r="C1481" s="199"/>
      <c r="D1481" s="248"/>
      <c r="E1481" s="248"/>
      <c r="F1481" s="248"/>
      <c r="G1481" s="248"/>
      <c r="H1481" s="283"/>
      <c r="I1481" s="199"/>
      <c r="J1481" s="199"/>
      <c r="K1481" s="199"/>
      <c r="L1481" s="248"/>
      <c r="M1481" s="248"/>
      <c r="N1481" s="248"/>
      <c r="O1481" s="248"/>
    </row>
    <row r="1482">
      <c r="A1482" s="199"/>
      <c r="B1482" s="199"/>
      <c r="C1482" s="199"/>
      <c r="D1482" s="248"/>
      <c r="E1482" s="248"/>
      <c r="F1482" s="248"/>
      <c r="G1482" s="248"/>
      <c r="H1482" s="283"/>
      <c r="I1482" s="199"/>
      <c r="J1482" s="199"/>
      <c r="K1482" s="199"/>
      <c r="L1482" s="248"/>
      <c r="M1482" s="248"/>
      <c r="N1482" s="248"/>
      <c r="O1482" s="248"/>
    </row>
    <row r="1483">
      <c r="A1483" s="199"/>
      <c r="B1483" s="199"/>
      <c r="C1483" s="199"/>
      <c r="D1483" s="248"/>
      <c r="E1483" s="248"/>
      <c r="F1483" s="248"/>
      <c r="G1483" s="248"/>
      <c r="H1483" s="283"/>
      <c r="I1483" s="199"/>
      <c r="J1483" s="199"/>
      <c r="K1483" s="199"/>
      <c r="L1483" s="248"/>
      <c r="M1483" s="248"/>
      <c r="N1483" s="248"/>
      <c r="O1483" s="248"/>
    </row>
    <row r="1484">
      <c r="A1484" s="199"/>
      <c r="B1484" s="199"/>
      <c r="C1484" s="199"/>
      <c r="D1484" s="248"/>
      <c r="E1484" s="248"/>
      <c r="F1484" s="248"/>
      <c r="G1484" s="248"/>
      <c r="H1484" s="283"/>
      <c r="I1484" s="199"/>
      <c r="J1484" s="199"/>
      <c r="K1484" s="199"/>
      <c r="L1484" s="248"/>
      <c r="M1484" s="248"/>
      <c r="N1484" s="248"/>
      <c r="O1484" s="248"/>
    </row>
    <row r="1485">
      <c r="A1485" s="199"/>
      <c r="B1485" s="199"/>
      <c r="C1485" s="199"/>
      <c r="D1485" s="248"/>
      <c r="E1485" s="248"/>
      <c r="F1485" s="248"/>
      <c r="G1485" s="248"/>
      <c r="H1485" s="283"/>
      <c r="I1485" s="199"/>
      <c r="J1485" s="199"/>
      <c r="K1485" s="199"/>
      <c r="L1485" s="248"/>
      <c r="M1485" s="248"/>
      <c r="N1485" s="248"/>
      <c r="O1485" s="248"/>
    </row>
    <row r="1486">
      <c r="A1486" s="199"/>
      <c r="B1486" s="199"/>
      <c r="C1486" s="199"/>
      <c r="D1486" s="248"/>
      <c r="E1486" s="248"/>
      <c r="F1486" s="248"/>
      <c r="G1486" s="248"/>
      <c r="H1486" s="283"/>
      <c r="I1486" s="199"/>
      <c r="J1486" s="199"/>
      <c r="K1486" s="199"/>
      <c r="L1486" s="248"/>
      <c r="M1486" s="248"/>
      <c r="N1486" s="248"/>
      <c r="O1486" s="248"/>
    </row>
    <row r="1487">
      <c r="A1487" s="199"/>
      <c r="B1487" s="199"/>
      <c r="C1487" s="199"/>
      <c r="D1487" s="248"/>
      <c r="E1487" s="248"/>
      <c r="F1487" s="248"/>
      <c r="G1487" s="248"/>
      <c r="H1487" s="283"/>
      <c r="I1487" s="199"/>
      <c r="J1487" s="199"/>
      <c r="K1487" s="199"/>
      <c r="L1487" s="248"/>
      <c r="M1487" s="248"/>
      <c r="N1487" s="248"/>
      <c r="O1487" s="248"/>
    </row>
    <row r="1488">
      <c r="A1488" s="199"/>
      <c r="B1488" s="199"/>
      <c r="C1488" s="199"/>
      <c r="D1488" s="248"/>
      <c r="E1488" s="248"/>
      <c r="F1488" s="248"/>
      <c r="G1488" s="248"/>
      <c r="H1488" s="283"/>
      <c r="I1488" s="199"/>
      <c r="J1488" s="199"/>
      <c r="K1488" s="199"/>
      <c r="L1488" s="248"/>
      <c r="M1488" s="248"/>
      <c r="N1488" s="248"/>
      <c r="O1488" s="248"/>
    </row>
    <row r="1489">
      <c r="A1489" s="199"/>
      <c r="B1489" s="199"/>
      <c r="C1489" s="199"/>
      <c r="D1489" s="248"/>
      <c r="E1489" s="248"/>
      <c r="F1489" s="248"/>
      <c r="G1489" s="248"/>
      <c r="H1489" s="283"/>
      <c r="I1489" s="199"/>
      <c r="J1489" s="199"/>
      <c r="K1489" s="199"/>
      <c r="L1489" s="248"/>
      <c r="M1489" s="248"/>
      <c r="N1489" s="248"/>
      <c r="O1489" s="248"/>
    </row>
    <row r="1490">
      <c r="A1490" s="199"/>
      <c r="B1490" s="199"/>
      <c r="C1490" s="199"/>
      <c r="D1490" s="248"/>
      <c r="E1490" s="248"/>
      <c r="F1490" s="248"/>
      <c r="G1490" s="248"/>
      <c r="H1490" s="283"/>
      <c r="I1490" s="199"/>
      <c r="J1490" s="199"/>
      <c r="K1490" s="199"/>
      <c r="L1490" s="248"/>
      <c r="M1490" s="248"/>
      <c r="N1490" s="248"/>
      <c r="O1490" s="248"/>
    </row>
    <row r="1491">
      <c r="A1491" s="199"/>
      <c r="B1491" s="199"/>
      <c r="C1491" s="199"/>
      <c r="D1491" s="248"/>
      <c r="E1491" s="248"/>
      <c r="F1491" s="248"/>
      <c r="G1491" s="248"/>
      <c r="H1491" s="283"/>
      <c r="I1491" s="199"/>
      <c r="J1491" s="199"/>
      <c r="K1491" s="199"/>
      <c r="L1491" s="248"/>
      <c r="M1491" s="248"/>
      <c r="N1491" s="248"/>
      <c r="O1491" s="248"/>
    </row>
    <row r="1492">
      <c r="A1492" s="199"/>
      <c r="B1492" s="199"/>
      <c r="C1492" s="199"/>
      <c r="D1492" s="248"/>
      <c r="E1492" s="248"/>
      <c r="F1492" s="248"/>
      <c r="G1492" s="248"/>
      <c r="H1492" s="283"/>
      <c r="I1492" s="199"/>
      <c r="J1492" s="199"/>
      <c r="K1492" s="199"/>
      <c r="L1492" s="248"/>
      <c r="M1492" s="248"/>
      <c r="N1492" s="248"/>
      <c r="O1492" s="248"/>
    </row>
    <row r="1493">
      <c r="A1493" s="199"/>
      <c r="B1493" s="199"/>
      <c r="C1493" s="199"/>
      <c r="D1493" s="248"/>
      <c r="E1493" s="248"/>
      <c r="F1493" s="248"/>
      <c r="G1493" s="248"/>
      <c r="H1493" s="283"/>
      <c r="I1493" s="199"/>
      <c r="J1493" s="199"/>
      <c r="K1493" s="199"/>
      <c r="L1493" s="248"/>
      <c r="M1493" s="248"/>
      <c r="N1493" s="248"/>
      <c r="O1493" s="248"/>
    </row>
    <row r="1494">
      <c r="A1494" s="199"/>
      <c r="B1494" s="199"/>
      <c r="C1494" s="199"/>
      <c r="D1494" s="248"/>
      <c r="E1494" s="248"/>
      <c r="F1494" s="248"/>
      <c r="G1494" s="248"/>
      <c r="H1494" s="283"/>
      <c r="I1494" s="199"/>
      <c r="J1494" s="199"/>
      <c r="K1494" s="199"/>
      <c r="L1494" s="248"/>
      <c r="M1494" s="248"/>
      <c r="N1494" s="248"/>
      <c r="O1494" s="248"/>
    </row>
    <row r="1495">
      <c r="A1495" s="199"/>
      <c r="B1495" s="199"/>
      <c r="C1495" s="199"/>
      <c r="D1495" s="248"/>
      <c r="E1495" s="248"/>
      <c r="F1495" s="248"/>
      <c r="G1495" s="248"/>
      <c r="H1495" s="283"/>
      <c r="I1495" s="199"/>
      <c r="J1495" s="199"/>
      <c r="K1495" s="199"/>
      <c r="L1495" s="248"/>
      <c r="M1495" s="248"/>
      <c r="N1495" s="248"/>
      <c r="O1495" s="248"/>
    </row>
    <row r="1496">
      <c r="A1496" s="199"/>
      <c r="B1496" s="199"/>
      <c r="C1496" s="199"/>
      <c r="D1496" s="248"/>
      <c r="E1496" s="248"/>
      <c r="F1496" s="248"/>
      <c r="G1496" s="248"/>
      <c r="H1496" s="283"/>
      <c r="I1496" s="199"/>
      <c r="J1496" s="199"/>
      <c r="K1496" s="199"/>
      <c r="L1496" s="248"/>
      <c r="M1496" s="248"/>
      <c r="N1496" s="248"/>
      <c r="O1496" s="248"/>
    </row>
    <row r="1497">
      <c r="A1497" s="199"/>
      <c r="B1497" s="199"/>
      <c r="C1497" s="199"/>
      <c r="D1497" s="248"/>
      <c r="E1497" s="248"/>
      <c r="F1497" s="248"/>
      <c r="G1497" s="248"/>
      <c r="H1497" s="283"/>
      <c r="I1497" s="199"/>
      <c r="J1497" s="199"/>
      <c r="K1497" s="199"/>
      <c r="L1497" s="248"/>
      <c r="M1497" s="248"/>
      <c r="N1497" s="248"/>
      <c r="O1497" s="248"/>
    </row>
    <row r="1498">
      <c r="A1498" s="199"/>
      <c r="B1498" s="199"/>
      <c r="C1498" s="199"/>
      <c r="D1498" s="248"/>
      <c r="E1498" s="248"/>
      <c r="F1498" s="248"/>
      <c r="G1498" s="248"/>
      <c r="H1498" s="283"/>
      <c r="I1498" s="199"/>
      <c r="J1498" s="199"/>
      <c r="K1498" s="199"/>
      <c r="L1498" s="248"/>
      <c r="M1498" s="248"/>
      <c r="N1498" s="248"/>
      <c r="O1498" s="248"/>
    </row>
    <row r="1499">
      <c r="A1499" s="199"/>
      <c r="B1499" s="199"/>
      <c r="C1499" s="199"/>
      <c r="D1499" s="248"/>
      <c r="E1499" s="248"/>
      <c r="F1499" s="248"/>
      <c r="G1499" s="248"/>
      <c r="H1499" s="283"/>
      <c r="I1499" s="199"/>
      <c r="J1499" s="199"/>
      <c r="K1499" s="199"/>
      <c r="L1499" s="248"/>
      <c r="M1499" s="248"/>
      <c r="N1499" s="248"/>
      <c r="O1499" s="248"/>
    </row>
    <row r="1500">
      <c r="A1500" s="199"/>
      <c r="B1500" s="199"/>
      <c r="C1500" s="199"/>
      <c r="D1500" s="248"/>
      <c r="E1500" s="248"/>
      <c r="F1500" s="248"/>
      <c r="G1500" s="248"/>
      <c r="H1500" s="283"/>
      <c r="I1500" s="199"/>
      <c r="J1500" s="199"/>
      <c r="K1500" s="199"/>
      <c r="L1500" s="248"/>
      <c r="M1500" s="248"/>
      <c r="N1500" s="248"/>
      <c r="O1500" s="248"/>
    </row>
    <row r="1501">
      <c r="A1501" s="199"/>
      <c r="B1501" s="199"/>
      <c r="C1501" s="199"/>
      <c r="D1501" s="248"/>
      <c r="E1501" s="248"/>
      <c r="F1501" s="248"/>
      <c r="G1501" s="248"/>
      <c r="H1501" s="283"/>
      <c r="I1501" s="199"/>
      <c r="J1501" s="199"/>
      <c r="K1501" s="199"/>
      <c r="L1501" s="248"/>
      <c r="M1501" s="248"/>
      <c r="N1501" s="248"/>
      <c r="O1501" s="248"/>
    </row>
    <row r="1502">
      <c r="A1502" s="199"/>
      <c r="B1502" s="199"/>
      <c r="C1502" s="199"/>
      <c r="D1502" s="248"/>
      <c r="E1502" s="248"/>
      <c r="F1502" s="248"/>
      <c r="G1502" s="248"/>
      <c r="H1502" s="283"/>
      <c r="I1502" s="199"/>
      <c r="J1502" s="199"/>
      <c r="K1502" s="199"/>
      <c r="L1502" s="248"/>
      <c r="M1502" s="248"/>
      <c r="N1502" s="248"/>
      <c r="O1502" s="248"/>
    </row>
    <row r="1503">
      <c r="A1503" s="199"/>
      <c r="B1503" s="199"/>
      <c r="C1503" s="199"/>
      <c r="D1503" s="248"/>
      <c r="E1503" s="248"/>
      <c r="F1503" s="248"/>
      <c r="G1503" s="248"/>
      <c r="H1503" s="283"/>
      <c r="I1503" s="199"/>
      <c r="J1503" s="199"/>
      <c r="K1503" s="199"/>
      <c r="L1503" s="248"/>
      <c r="M1503" s="248"/>
      <c r="N1503" s="248"/>
      <c r="O1503" s="248"/>
    </row>
    <row r="1504">
      <c r="A1504" s="199"/>
      <c r="B1504" s="199"/>
      <c r="C1504" s="199"/>
      <c r="D1504" s="248"/>
      <c r="E1504" s="248"/>
      <c r="F1504" s="248"/>
      <c r="G1504" s="248"/>
      <c r="H1504" s="283"/>
      <c r="I1504" s="199"/>
      <c r="J1504" s="199"/>
      <c r="K1504" s="199"/>
      <c r="L1504" s="248"/>
      <c r="M1504" s="248"/>
      <c r="N1504" s="248"/>
      <c r="O1504" s="248"/>
    </row>
    <row r="1505">
      <c r="A1505" s="199"/>
      <c r="B1505" s="199"/>
      <c r="C1505" s="199"/>
      <c r="D1505" s="248"/>
      <c r="E1505" s="248"/>
      <c r="F1505" s="248"/>
      <c r="G1505" s="248"/>
      <c r="H1505" s="283"/>
      <c r="I1505" s="199"/>
      <c r="J1505" s="199"/>
      <c r="K1505" s="199"/>
      <c r="L1505" s="248"/>
      <c r="M1505" s="248"/>
      <c r="N1505" s="248"/>
      <c r="O1505" s="248"/>
    </row>
    <row r="1506">
      <c r="A1506" s="199"/>
      <c r="B1506" s="199"/>
      <c r="C1506" s="199"/>
      <c r="D1506" s="248"/>
      <c r="E1506" s="248"/>
      <c r="F1506" s="248"/>
      <c r="G1506" s="248"/>
      <c r="H1506" s="283"/>
      <c r="I1506" s="199"/>
      <c r="J1506" s="199"/>
      <c r="K1506" s="199"/>
      <c r="L1506" s="248"/>
      <c r="M1506" s="248"/>
      <c r="N1506" s="248"/>
      <c r="O1506" s="248"/>
    </row>
    <row r="1507">
      <c r="A1507" s="199"/>
      <c r="B1507" s="199"/>
      <c r="C1507" s="199"/>
      <c r="D1507" s="248"/>
      <c r="E1507" s="248"/>
      <c r="F1507" s="248"/>
      <c r="G1507" s="248"/>
      <c r="H1507" s="283"/>
      <c r="I1507" s="199"/>
      <c r="J1507" s="199"/>
      <c r="K1507" s="199"/>
      <c r="L1507" s="248"/>
      <c r="M1507" s="248"/>
      <c r="N1507" s="248"/>
      <c r="O1507" s="248"/>
    </row>
    <row r="1508">
      <c r="A1508" s="199"/>
      <c r="B1508" s="199"/>
      <c r="C1508" s="199"/>
      <c r="D1508" s="248"/>
      <c r="E1508" s="248"/>
      <c r="F1508" s="248"/>
      <c r="G1508" s="248"/>
      <c r="H1508" s="283"/>
      <c r="I1508" s="199"/>
      <c r="J1508" s="199"/>
      <c r="K1508" s="199"/>
      <c r="L1508" s="248"/>
      <c r="M1508" s="248"/>
      <c r="N1508" s="248"/>
      <c r="O1508" s="248"/>
    </row>
    <row r="1509">
      <c r="A1509" s="199"/>
      <c r="B1509" s="199"/>
      <c r="C1509" s="199"/>
      <c r="D1509" s="248"/>
      <c r="E1509" s="248"/>
      <c r="F1509" s="248"/>
      <c r="G1509" s="248"/>
      <c r="H1509" s="283"/>
      <c r="I1509" s="199"/>
      <c r="J1509" s="199"/>
      <c r="K1509" s="199"/>
      <c r="L1509" s="248"/>
      <c r="M1509" s="248"/>
      <c r="N1509" s="248"/>
      <c r="O1509" s="248"/>
    </row>
    <row r="1510">
      <c r="A1510" s="199"/>
      <c r="B1510" s="199"/>
      <c r="C1510" s="199"/>
      <c r="D1510" s="248"/>
      <c r="E1510" s="248"/>
      <c r="F1510" s="248"/>
      <c r="G1510" s="248"/>
      <c r="H1510" s="283"/>
      <c r="I1510" s="199"/>
      <c r="J1510" s="199"/>
      <c r="K1510" s="199"/>
      <c r="L1510" s="248"/>
      <c r="M1510" s="248"/>
      <c r="N1510" s="248"/>
      <c r="O1510" s="248"/>
    </row>
    <row r="1511">
      <c r="A1511" s="199"/>
      <c r="B1511" s="199"/>
      <c r="C1511" s="199"/>
      <c r="D1511" s="248"/>
      <c r="E1511" s="248"/>
      <c r="F1511" s="248"/>
      <c r="G1511" s="248"/>
      <c r="H1511" s="283"/>
      <c r="I1511" s="199"/>
      <c r="J1511" s="199"/>
      <c r="K1511" s="199"/>
      <c r="L1511" s="248"/>
      <c r="M1511" s="248"/>
      <c r="N1511" s="248"/>
      <c r="O1511" s="248"/>
    </row>
    <row r="1512">
      <c r="A1512" s="199"/>
      <c r="B1512" s="199"/>
      <c r="C1512" s="199"/>
      <c r="D1512" s="248"/>
      <c r="E1512" s="248"/>
      <c r="F1512" s="248"/>
      <c r="G1512" s="248"/>
      <c r="H1512" s="283"/>
      <c r="I1512" s="199"/>
      <c r="J1512" s="199"/>
      <c r="K1512" s="199"/>
      <c r="L1512" s="248"/>
      <c r="M1512" s="248"/>
      <c r="N1512" s="248"/>
      <c r="O1512" s="248"/>
    </row>
    <row r="1513">
      <c r="A1513" s="199"/>
      <c r="B1513" s="199"/>
      <c r="C1513" s="199"/>
      <c r="D1513" s="248"/>
      <c r="E1513" s="248"/>
      <c r="F1513" s="248"/>
      <c r="G1513" s="248"/>
      <c r="H1513" s="283"/>
      <c r="I1513" s="199"/>
      <c r="J1513" s="199"/>
      <c r="K1513" s="199"/>
      <c r="L1513" s="248"/>
      <c r="M1513" s="248"/>
      <c r="N1513" s="248"/>
      <c r="O1513" s="248"/>
    </row>
    <row r="1514">
      <c r="A1514" s="199"/>
      <c r="B1514" s="199"/>
      <c r="C1514" s="199"/>
      <c r="D1514" s="248"/>
      <c r="E1514" s="248"/>
      <c r="F1514" s="248"/>
      <c r="G1514" s="248"/>
      <c r="H1514" s="283"/>
      <c r="I1514" s="199"/>
      <c r="J1514" s="199"/>
      <c r="K1514" s="199"/>
      <c r="L1514" s="248"/>
      <c r="M1514" s="248"/>
      <c r="N1514" s="248"/>
      <c r="O1514" s="248"/>
    </row>
    <row r="1515">
      <c r="A1515" s="199"/>
      <c r="B1515" s="199"/>
      <c r="C1515" s="199"/>
      <c r="D1515" s="248"/>
      <c r="E1515" s="248"/>
      <c r="F1515" s="248"/>
      <c r="G1515" s="248"/>
      <c r="H1515" s="283"/>
      <c r="I1515" s="199"/>
      <c r="J1515" s="199"/>
      <c r="K1515" s="199"/>
      <c r="L1515" s="248"/>
      <c r="M1515" s="248"/>
      <c r="N1515" s="248"/>
      <c r="O1515" s="248"/>
    </row>
    <row r="1516">
      <c r="A1516" s="199"/>
      <c r="B1516" s="199"/>
      <c r="C1516" s="199"/>
      <c r="D1516" s="248"/>
      <c r="E1516" s="248"/>
      <c r="F1516" s="248"/>
      <c r="G1516" s="248"/>
      <c r="H1516" s="283"/>
      <c r="I1516" s="199"/>
      <c r="J1516" s="199"/>
      <c r="K1516" s="199"/>
      <c r="L1516" s="248"/>
      <c r="M1516" s="248"/>
      <c r="N1516" s="248"/>
      <c r="O1516" s="248"/>
    </row>
    <row r="1517">
      <c r="A1517" s="199"/>
      <c r="B1517" s="199"/>
      <c r="C1517" s="199"/>
      <c r="D1517" s="248"/>
      <c r="E1517" s="248"/>
      <c r="F1517" s="248"/>
      <c r="G1517" s="248"/>
      <c r="H1517" s="283"/>
      <c r="I1517" s="199"/>
      <c r="J1517" s="199"/>
      <c r="K1517" s="199"/>
      <c r="L1517" s="248"/>
      <c r="M1517" s="248"/>
      <c r="N1517" s="248"/>
      <c r="O1517" s="248"/>
    </row>
    <row r="1518">
      <c r="A1518" s="199"/>
      <c r="B1518" s="199"/>
      <c r="C1518" s="199"/>
      <c r="D1518" s="248"/>
      <c r="E1518" s="248"/>
      <c r="F1518" s="248"/>
      <c r="G1518" s="248"/>
      <c r="H1518" s="283"/>
      <c r="I1518" s="199"/>
      <c r="J1518" s="199"/>
      <c r="K1518" s="199"/>
      <c r="L1518" s="248"/>
      <c r="M1518" s="248"/>
      <c r="N1518" s="248"/>
      <c r="O1518" s="248"/>
    </row>
    <row r="1519">
      <c r="A1519" s="199"/>
      <c r="B1519" s="199"/>
      <c r="C1519" s="199"/>
      <c r="D1519" s="248"/>
      <c r="E1519" s="248"/>
      <c r="F1519" s="248"/>
      <c r="G1519" s="248"/>
      <c r="H1519" s="283"/>
      <c r="I1519" s="199"/>
      <c r="J1519" s="199"/>
      <c r="K1519" s="199"/>
      <c r="L1519" s="248"/>
      <c r="M1519" s="248"/>
      <c r="N1519" s="248"/>
      <c r="O1519" s="248"/>
    </row>
    <row r="1520">
      <c r="A1520" s="199"/>
      <c r="B1520" s="199"/>
      <c r="C1520" s="199"/>
      <c r="D1520" s="248"/>
      <c r="E1520" s="248"/>
      <c r="F1520" s="248"/>
      <c r="G1520" s="248"/>
      <c r="H1520" s="283"/>
      <c r="I1520" s="199"/>
      <c r="J1520" s="199"/>
      <c r="K1520" s="199"/>
      <c r="L1520" s="248"/>
      <c r="M1520" s="248"/>
      <c r="N1520" s="248"/>
      <c r="O1520" s="248"/>
    </row>
    <row r="1521">
      <c r="A1521" s="199"/>
      <c r="B1521" s="199"/>
      <c r="C1521" s="199"/>
      <c r="D1521" s="248"/>
      <c r="E1521" s="248"/>
      <c r="F1521" s="248"/>
      <c r="G1521" s="248"/>
      <c r="H1521" s="283"/>
      <c r="I1521" s="199"/>
      <c r="J1521" s="199"/>
      <c r="K1521" s="199"/>
      <c r="L1521" s="248"/>
      <c r="M1521" s="248"/>
      <c r="N1521" s="248"/>
      <c r="O1521" s="248"/>
    </row>
    <row r="1522">
      <c r="A1522" s="199"/>
      <c r="B1522" s="199"/>
      <c r="C1522" s="199"/>
      <c r="D1522" s="248"/>
      <c r="E1522" s="248"/>
      <c r="F1522" s="248"/>
      <c r="G1522" s="248"/>
      <c r="H1522" s="283"/>
      <c r="I1522" s="199"/>
      <c r="J1522" s="199"/>
      <c r="K1522" s="199"/>
      <c r="L1522" s="248"/>
      <c r="M1522" s="248"/>
      <c r="N1522" s="248"/>
      <c r="O1522" s="248"/>
    </row>
    <row r="1523">
      <c r="A1523" s="199"/>
      <c r="B1523" s="199"/>
      <c r="C1523" s="199"/>
      <c r="D1523" s="248"/>
      <c r="E1523" s="248"/>
      <c r="F1523" s="248"/>
      <c r="G1523" s="248"/>
      <c r="H1523" s="283"/>
      <c r="I1523" s="199"/>
      <c r="J1523" s="199"/>
      <c r="K1523" s="199"/>
      <c r="L1523" s="248"/>
      <c r="M1523" s="248"/>
      <c r="N1523" s="248"/>
      <c r="O1523" s="248"/>
    </row>
    <row r="1524">
      <c r="A1524" s="199"/>
      <c r="B1524" s="199"/>
      <c r="C1524" s="199"/>
      <c r="D1524" s="248"/>
      <c r="E1524" s="248"/>
      <c r="F1524" s="248"/>
      <c r="G1524" s="248"/>
      <c r="H1524" s="283"/>
      <c r="I1524" s="199"/>
      <c r="J1524" s="199"/>
      <c r="K1524" s="199"/>
      <c r="L1524" s="248"/>
      <c r="M1524" s="248"/>
      <c r="N1524" s="248"/>
      <c r="O1524" s="248"/>
    </row>
    <row r="1525">
      <c r="A1525" s="199"/>
      <c r="B1525" s="199"/>
      <c r="C1525" s="199"/>
      <c r="D1525" s="248"/>
      <c r="E1525" s="248"/>
      <c r="F1525" s="248"/>
      <c r="G1525" s="248"/>
      <c r="H1525" s="283"/>
      <c r="I1525" s="199"/>
      <c r="J1525" s="199"/>
      <c r="K1525" s="199"/>
      <c r="L1525" s="248"/>
      <c r="M1525" s="248"/>
      <c r="N1525" s="248"/>
      <c r="O1525" s="248"/>
    </row>
    <row r="1526">
      <c r="A1526" s="199"/>
      <c r="B1526" s="199"/>
      <c r="C1526" s="199"/>
      <c r="D1526" s="248"/>
      <c r="E1526" s="248"/>
      <c r="F1526" s="248"/>
      <c r="G1526" s="248"/>
      <c r="H1526" s="283"/>
      <c r="I1526" s="199"/>
      <c r="J1526" s="199"/>
      <c r="K1526" s="199"/>
      <c r="L1526" s="248"/>
      <c r="M1526" s="248"/>
      <c r="N1526" s="248"/>
      <c r="O1526" s="248"/>
    </row>
    <row r="1527">
      <c r="A1527" s="199"/>
      <c r="B1527" s="199"/>
      <c r="C1527" s="199"/>
      <c r="D1527" s="248"/>
      <c r="E1527" s="248"/>
      <c r="F1527" s="248"/>
      <c r="G1527" s="248"/>
      <c r="H1527" s="283"/>
      <c r="I1527" s="199"/>
      <c r="J1527" s="199"/>
      <c r="K1527" s="199"/>
      <c r="L1527" s="248"/>
      <c r="M1527" s="248"/>
      <c r="N1527" s="248"/>
      <c r="O1527" s="248"/>
    </row>
    <row r="1528">
      <c r="A1528" s="199"/>
      <c r="B1528" s="199"/>
      <c r="C1528" s="199"/>
      <c r="D1528" s="248"/>
      <c r="E1528" s="248"/>
      <c r="F1528" s="248"/>
      <c r="G1528" s="248"/>
      <c r="H1528" s="283"/>
      <c r="I1528" s="199"/>
      <c r="J1528" s="199"/>
      <c r="K1528" s="199"/>
      <c r="L1528" s="248"/>
      <c r="M1528" s="248"/>
      <c r="N1528" s="248"/>
      <c r="O1528" s="248"/>
    </row>
    <row r="1529">
      <c r="A1529" s="199"/>
      <c r="B1529" s="199"/>
      <c r="C1529" s="199"/>
      <c r="D1529" s="248"/>
      <c r="E1529" s="248"/>
      <c r="F1529" s="248"/>
      <c r="G1529" s="248"/>
      <c r="H1529" s="283"/>
      <c r="I1529" s="199"/>
      <c r="J1529" s="199"/>
      <c r="K1529" s="199"/>
      <c r="L1529" s="248"/>
      <c r="M1529" s="248"/>
      <c r="N1529" s="248"/>
      <c r="O1529" s="248"/>
    </row>
    <row r="1530">
      <c r="A1530" s="199"/>
      <c r="B1530" s="199"/>
      <c r="C1530" s="199"/>
      <c r="D1530" s="248"/>
      <c r="E1530" s="248"/>
      <c r="F1530" s="248"/>
      <c r="G1530" s="248"/>
      <c r="H1530" s="283"/>
      <c r="I1530" s="199"/>
      <c r="J1530" s="199"/>
      <c r="K1530" s="199"/>
      <c r="L1530" s="248"/>
      <c r="M1530" s="248"/>
      <c r="N1530" s="248"/>
      <c r="O1530" s="248"/>
    </row>
    <row r="1531">
      <c r="A1531" s="199"/>
      <c r="B1531" s="199"/>
      <c r="C1531" s="199"/>
      <c r="D1531" s="248"/>
      <c r="E1531" s="248"/>
      <c r="F1531" s="248"/>
      <c r="G1531" s="248"/>
      <c r="H1531" s="283"/>
      <c r="I1531" s="199"/>
      <c r="J1531" s="199"/>
      <c r="K1531" s="199"/>
      <c r="L1531" s="248"/>
      <c r="M1531" s="248"/>
      <c r="N1531" s="248"/>
      <c r="O1531" s="248"/>
    </row>
    <row r="1532">
      <c r="A1532" s="199"/>
      <c r="B1532" s="199"/>
      <c r="C1532" s="199"/>
      <c r="D1532" s="248"/>
      <c r="E1532" s="248"/>
      <c r="F1532" s="248"/>
      <c r="G1532" s="248"/>
      <c r="H1532" s="283"/>
      <c r="I1532" s="199"/>
      <c r="J1532" s="199"/>
      <c r="K1532" s="199"/>
      <c r="L1532" s="248"/>
      <c r="M1532" s="248"/>
      <c r="N1532" s="248"/>
      <c r="O1532" s="248"/>
    </row>
    <row r="1533">
      <c r="A1533" s="199"/>
      <c r="B1533" s="199"/>
      <c r="C1533" s="199"/>
      <c r="D1533" s="248"/>
      <c r="E1533" s="248"/>
      <c r="F1533" s="248"/>
      <c r="G1533" s="248"/>
      <c r="H1533" s="283"/>
      <c r="I1533" s="199"/>
      <c r="J1533" s="199"/>
      <c r="K1533" s="199"/>
      <c r="L1533" s="248"/>
      <c r="M1533" s="248"/>
      <c r="N1533" s="248"/>
      <c r="O1533" s="248"/>
    </row>
    <row r="1534">
      <c r="A1534" s="199"/>
      <c r="B1534" s="199"/>
      <c r="C1534" s="199"/>
      <c r="D1534" s="248"/>
      <c r="E1534" s="248"/>
      <c r="F1534" s="248"/>
      <c r="G1534" s="248"/>
      <c r="H1534" s="283"/>
      <c r="I1534" s="199"/>
      <c r="J1534" s="199"/>
      <c r="K1534" s="199"/>
      <c r="L1534" s="248"/>
      <c r="M1534" s="248"/>
      <c r="N1534" s="248"/>
      <c r="O1534" s="248"/>
    </row>
    <row r="1535">
      <c r="A1535" s="199"/>
      <c r="B1535" s="199"/>
      <c r="C1535" s="199"/>
      <c r="D1535" s="248"/>
      <c r="E1535" s="248"/>
      <c r="F1535" s="248"/>
      <c r="G1535" s="248"/>
      <c r="H1535" s="283"/>
      <c r="I1535" s="199"/>
      <c r="J1535" s="199"/>
      <c r="K1535" s="199"/>
      <c r="L1535" s="248"/>
      <c r="M1535" s="248"/>
      <c r="N1535" s="248"/>
      <c r="O1535" s="248"/>
    </row>
    <row r="1536">
      <c r="A1536" s="199"/>
      <c r="B1536" s="199"/>
      <c r="C1536" s="199"/>
      <c r="D1536" s="248"/>
      <c r="E1536" s="248"/>
      <c r="F1536" s="248"/>
      <c r="G1536" s="248"/>
      <c r="H1536" s="283"/>
      <c r="I1536" s="199"/>
      <c r="J1536" s="199"/>
      <c r="K1536" s="199"/>
      <c r="L1536" s="248"/>
      <c r="M1536" s="248"/>
      <c r="N1536" s="248"/>
      <c r="O1536" s="248"/>
    </row>
    <row r="1537">
      <c r="A1537" s="199"/>
      <c r="B1537" s="199"/>
      <c r="C1537" s="199"/>
      <c r="D1537" s="248"/>
      <c r="E1537" s="248"/>
      <c r="F1537" s="248"/>
      <c r="G1537" s="248"/>
      <c r="H1537" s="283"/>
      <c r="I1537" s="199"/>
      <c r="J1537" s="199"/>
      <c r="K1537" s="199"/>
      <c r="L1537" s="248"/>
      <c r="M1537" s="248"/>
      <c r="N1537" s="248"/>
      <c r="O1537" s="248"/>
    </row>
    <row r="1538">
      <c r="A1538" s="199"/>
      <c r="B1538" s="199"/>
      <c r="C1538" s="199"/>
      <c r="D1538" s="248"/>
      <c r="E1538" s="248"/>
      <c r="F1538" s="248"/>
      <c r="G1538" s="248"/>
      <c r="H1538" s="283"/>
      <c r="I1538" s="199"/>
      <c r="J1538" s="199"/>
      <c r="K1538" s="199"/>
      <c r="L1538" s="248"/>
      <c r="M1538" s="248"/>
      <c r="N1538" s="248"/>
      <c r="O1538" s="248"/>
    </row>
    <row r="1539">
      <c r="A1539" s="199"/>
      <c r="B1539" s="199"/>
      <c r="C1539" s="199"/>
      <c r="D1539" s="248"/>
      <c r="E1539" s="248"/>
      <c r="F1539" s="248"/>
      <c r="G1539" s="248"/>
      <c r="H1539" s="283"/>
      <c r="I1539" s="199"/>
      <c r="J1539" s="199"/>
      <c r="K1539" s="199"/>
      <c r="L1539" s="248"/>
      <c r="M1539" s="248"/>
      <c r="N1539" s="248"/>
      <c r="O1539" s="248"/>
    </row>
    <row r="1540">
      <c r="A1540" s="199"/>
      <c r="B1540" s="199"/>
      <c r="C1540" s="199"/>
      <c r="D1540" s="248"/>
      <c r="E1540" s="248"/>
      <c r="F1540" s="248"/>
      <c r="G1540" s="248"/>
      <c r="H1540" s="283"/>
      <c r="I1540" s="199"/>
      <c r="J1540" s="199"/>
      <c r="K1540" s="199"/>
      <c r="L1540" s="248"/>
      <c r="M1540" s="248"/>
      <c r="N1540" s="248"/>
      <c r="O1540" s="248"/>
    </row>
    <row r="1541">
      <c r="A1541" s="199"/>
      <c r="B1541" s="199"/>
      <c r="C1541" s="199"/>
      <c r="D1541" s="248"/>
      <c r="E1541" s="248"/>
      <c r="F1541" s="248"/>
      <c r="G1541" s="248"/>
      <c r="H1541" s="283"/>
      <c r="I1541" s="199"/>
      <c r="J1541" s="199"/>
      <c r="K1541" s="199"/>
      <c r="L1541" s="248"/>
      <c r="M1541" s="248"/>
      <c r="N1541" s="248"/>
      <c r="O1541" s="248"/>
    </row>
    <row r="1542">
      <c r="A1542" s="199"/>
      <c r="B1542" s="199"/>
      <c r="C1542" s="199"/>
      <c r="D1542" s="248"/>
      <c r="E1542" s="248"/>
      <c r="F1542" s="248"/>
      <c r="G1542" s="248"/>
      <c r="H1542" s="283"/>
      <c r="I1542" s="199"/>
      <c r="J1542" s="199"/>
      <c r="K1542" s="199"/>
      <c r="L1542" s="248"/>
      <c r="M1542" s="248"/>
      <c r="N1542" s="248"/>
      <c r="O1542" s="248"/>
    </row>
    <row r="1543">
      <c r="A1543" s="199"/>
      <c r="B1543" s="199"/>
      <c r="C1543" s="199"/>
      <c r="D1543" s="248"/>
      <c r="E1543" s="248"/>
      <c r="F1543" s="248"/>
      <c r="G1543" s="248"/>
      <c r="H1543" s="283"/>
      <c r="I1543" s="199"/>
      <c r="J1543" s="199"/>
      <c r="K1543" s="199"/>
      <c r="L1543" s="248"/>
      <c r="M1543" s="248"/>
      <c r="N1543" s="248"/>
      <c r="O1543" s="248"/>
    </row>
    <row r="1544">
      <c r="A1544" s="199"/>
      <c r="B1544" s="199"/>
      <c r="C1544" s="199"/>
      <c r="D1544" s="248"/>
      <c r="E1544" s="248"/>
      <c r="F1544" s="248"/>
      <c r="G1544" s="248"/>
      <c r="H1544" s="283"/>
      <c r="I1544" s="199"/>
      <c r="J1544" s="199"/>
      <c r="K1544" s="199"/>
      <c r="L1544" s="248"/>
      <c r="M1544" s="248"/>
      <c r="N1544" s="248"/>
      <c r="O1544" s="248"/>
    </row>
    <row r="1545">
      <c r="A1545" s="199"/>
      <c r="B1545" s="199"/>
      <c r="C1545" s="199"/>
      <c r="D1545" s="248"/>
      <c r="E1545" s="248"/>
      <c r="F1545" s="248"/>
      <c r="G1545" s="248"/>
      <c r="H1545" s="283"/>
      <c r="I1545" s="199"/>
      <c r="J1545" s="199"/>
      <c r="K1545" s="199"/>
      <c r="L1545" s="248"/>
      <c r="M1545" s="248"/>
      <c r="N1545" s="248"/>
      <c r="O1545" s="248"/>
    </row>
    <row r="1546">
      <c r="A1546" s="199"/>
      <c r="B1546" s="199"/>
      <c r="C1546" s="199"/>
      <c r="D1546" s="248"/>
      <c r="E1546" s="248"/>
      <c r="F1546" s="248"/>
      <c r="G1546" s="248"/>
      <c r="H1546" s="283"/>
      <c r="I1546" s="199"/>
      <c r="J1546" s="199"/>
      <c r="K1546" s="199"/>
      <c r="L1546" s="248"/>
      <c r="M1546" s="248"/>
      <c r="N1546" s="248"/>
      <c r="O1546" s="248"/>
    </row>
    <row r="1547">
      <c r="A1547" s="199"/>
      <c r="B1547" s="199"/>
      <c r="C1547" s="199"/>
      <c r="D1547" s="248"/>
      <c r="E1547" s="248"/>
      <c r="F1547" s="248"/>
      <c r="G1547" s="248"/>
      <c r="H1547" s="283"/>
      <c r="I1547" s="199"/>
      <c r="J1547" s="199"/>
      <c r="K1547" s="199"/>
      <c r="L1547" s="248"/>
      <c r="M1547" s="248"/>
      <c r="N1547" s="248"/>
      <c r="O1547" s="248"/>
    </row>
    <row r="1548">
      <c r="A1548" s="199"/>
      <c r="B1548" s="199"/>
      <c r="C1548" s="199"/>
      <c r="D1548" s="248"/>
      <c r="E1548" s="248"/>
      <c r="F1548" s="248"/>
      <c r="G1548" s="248"/>
      <c r="H1548" s="283"/>
      <c r="I1548" s="199"/>
      <c r="J1548" s="199"/>
      <c r="K1548" s="199"/>
      <c r="L1548" s="248"/>
      <c r="M1548" s="248"/>
      <c r="N1548" s="248"/>
      <c r="O1548" s="248"/>
    </row>
    <row r="1549">
      <c r="A1549" s="199"/>
      <c r="B1549" s="199"/>
      <c r="C1549" s="199"/>
      <c r="D1549" s="248"/>
      <c r="E1549" s="248"/>
      <c r="F1549" s="248"/>
      <c r="G1549" s="248"/>
      <c r="H1549" s="283"/>
      <c r="I1549" s="199"/>
      <c r="J1549" s="199"/>
      <c r="K1549" s="199"/>
      <c r="L1549" s="248"/>
      <c r="M1549" s="248"/>
      <c r="N1549" s="248"/>
      <c r="O1549" s="248"/>
    </row>
    <row r="1550">
      <c r="A1550" s="199"/>
      <c r="B1550" s="199"/>
      <c r="C1550" s="199"/>
      <c r="D1550" s="248"/>
      <c r="E1550" s="248"/>
      <c r="F1550" s="248"/>
      <c r="G1550" s="248"/>
      <c r="H1550" s="283"/>
      <c r="I1550" s="199"/>
      <c r="J1550" s="199"/>
      <c r="K1550" s="199"/>
      <c r="L1550" s="248"/>
      <c r="M1550" s="248"/>
      <c r="N1550" s="248"/>
      <c r="O1550" s="248"/>
    </row>
    <row r="1551">
      <c r="A1551" s="199"/>
      <c r="B1551" s="199"/>
      <c r="C1551" s="199"/>
      <c r="D1551" s="248"/>
      <c r="E1551" s="248"/>
      <c r="F1551" s="248"/>
      <c r="G1551" s="248"/>
      <c r="H1551" s="283"/>
      <c r="I1551" s="199"/>
      <c r="J1551" s="199"/>
      <c r="K1551" s="199"/>
      <c r="L1551" s="248"/>
      <c r="M1551" s="248"/>
      <c r="N1551" s="248"/>
      <c r="O1551" s="248"/>
    </row>
    <row r="1552">
      <c r="A1552" s="199"/>
      <c r="B1552" s="199"/>
      <c r="C1552" s="199"/>
      <c r="D1552" s="248"/>
      <c r="E1552" s="248"/>
      <c r="F1552" s="248"/>
      <c r="G1552" s="248"/>
      <c r="H1552" s="283"/>
      <c r="I1552" s="199"/>
      <c r="J1552" s="199"/>
      <c r="K1552" s="199"/>
      <c r="L1552" s="248"/>
      <c r="M1552" s="248"/>
      <c r="N1552" s="248"/>
      <c r="O1552" s="248"/>
    </row>
    <row r="1553">
      <c r="A1553" s="199"/>
      <c r="B1553" s="199"/>
      <c r="C1553" s="199"/>
      <c r="D1553" s="248"/>
      <c r="E1553" s="248"/>
      <c r="F1553" s="248"/>
      <c r="G1553" s="248"/>
      <c r="H1553" s="283"/>
      <c r="I1553" s="199"/>
      <c r="J1553" s="199"/>
      <c r="K1553" s="199"/>
      <c r="L1553" s="248"/>
      <c r="M1553" s="248"/>
      <c r="N1553" s="248"/>
      <c r="O1553" s="248"/>
    </row>
    <row r="1554">
      <c r="A1554" s="199"/>
      <c r="B1554" s="199"/>
      <c r="C1554" s="199"/>
      <c r="D1554" s="248"/>
      <c r="E1554" s="248"/>
      <c r="F1554" s="248"/>
      <c r="G1554" s="248"/>
      <c r="H1554" s="283"/>
      <c r="I1554" s="199"/>
      <c r="J1554" s="199"/>
      <c r="K1554" s="199"/>
      <c r="L1554" s="248"/>
      <c r="M1554" s="248"/>
      <c r="N1554" s="248"/>
      <c r="O1554" s="248"/>
    </row>
    <row r="1555">
      <c r="A1555" s="199"/>
      <c r="B1555" s="199"/>
      <c r="C1555" s="199"/>
      <c r="D1555" s="248"/>
      <c r="E1555" s="248"/>
      <c r="F1555" s="248"/>
      <c r="G1555" s="248"/>
      <c r="H1555" s="283"/>
      <c r="I1555" s="199"/>
      <c r="J1555" s="199"/>
      <c r="K1555" s="199"/>
      <c r="L1555" s="248"/>
      <c r="M1555" s="248"/>
      <c r="N1555" s="248"/>
      <c r="O1555" s="248"/>
    </row>
    <row r="1556">
      <c r="A1556" s="199"/>
      <c r="B1556" s="199"/>
      <c r="C1556" s="199"/>
      <c r="D1556" s="248"/>
      <c r="E1556" s="248"/>
      <c r="F1556" s="248"/>
      <c r="G1556" s="248"/>
      <c r="H1556" s="283"/>
      <c r="I1556" s="199"/>
      <c r="J1556" s="199"/>
      <c r="K1556" s="199"/>
      <c r="L1556" s="248"/>
      <c r="M1556" s="248"/>
      <c r="N1556" s="248"/>
      <c r="O1556" s="248"/>
    </row>
    <row r="1557">
      <c r="A1557" s="199"/>
      <c r="B1557" s="199"/>
      <c r="C1557" s="199"/>
      <c r="D1557" s="248"/>
      <c r="E1557" s="248"/>
      <c r="F1557" s="248"/>
      <c r="G1557" s="248"/>
      <c r="H1557" s="283"/>
      <c r="I1557" s="199"/>
      <c r="J1557" s="199"/>
      <c r="K1557" s="199"/>
      <c r="L1557" s="248"/>
      <c r="M1557" s="248"/>
      <c r="N1557" s="248"/>
      <c r="O1557" s="248"/>
    </row>
    <row r="1558">
      <c r="A1558" s="199"/>
      <c r="B1558" s="199"/>
      <c r="C1558" s="199"/>
      <c r="D1558" s="248"/>
      <c r="E1558" s="248"/>
      <c r="F1558" s="248"/>
      <c r="G1558" s="248"/>
      <c r="H1558" s="283"/>
      <c r="I1558" s="199"/>
      <c r="J1558" s="199"/>
      <c r="K1558" s="199"/>
      <c r="L1558" s="248"/>
      <c r="M1558" s="248"/>
      <c r="N1558" s="248"/>
      <c r="O1558" s="248"/>
    </row>
    <row r="1559">
      <c r="A1559" s="199"/>
      <c r="B1559" s="199"/>
      <c r="C1559" s="199"/>
      <c r="D1559" s="248"/>
      <c r="E1559" s="248"/>
      <c r="F1559" s="248"/>
      <c r="G1559" s="248"/>
      <c r="H1559" s="283"/>
      <c r="I1559" s="199"/>
      <c r="J1559" s="199"/>
      <c r="K1559" s="199"/>
      <c r="L1559" s="248"/>
      <c r="M1559" s="248"/>
      <c r="N1559" s="248"/>
      <c r="O1559" s="248"/>
    </row>
    <row r="1560">
      <c r="A1560" s="199"/>
      <c r="B1560" s="199"/>
      <c r="C1560" s="199"/>
      <c r="D1560" s="248"/>
      <c r="E1560" s="248"/>
      <c r="F1560" s="248"/>
      <c r="G1560" s="248"/>
      <c r="H1560" s="283"/>
      <c r="I1560" s="199"/>
      <c r="J1560" s="199"/>
      <c r="K1560" s="199"/>
      <c r="L1560" s="248"/>
      <c r="M1560" s="248"/>
      <c r="N1560" s="248"/>
      <c r="O1560" s="248"/>
    </row>
    <row r="1561">
      <c r="A1561" s="199"/>
      <c r="B1561" s="199"/>
      <c r="C1561" s="199"/>
      <c r="D1561" s="248"/>
      <c r="E1561" s="248"/>
      <c r="F1561" s="248"/>
      <c r="G1561" s="248"/>
      <c r="H1561" s="283"/>
      <c r="I1561" s="199"/>
      <c r="J1561" s="199"/>
      <c r="K1561" s="199"/>
      <c r="L1561" s="248"/>
      <c r="M1561" s="248"/>
      <c r="N1561" s="248"/>
      <c r="O1561" s="248"/>
    </row>
    <row r="1562">
      <c r="A1562" s="199"/>
      <c r="B1562" s="199"/>
      <c r="C1562" s="199"/>
      <c r="D1562" s="248"/>
      <c r="E1562" s="248"/>
      <c r="F1562" s="248"/>
      <c r="G1562" s="248"/>
      <c r="H1562" s="283"/>
      <c r="I1562" s="199"/>
      <c r="J1562" s="199"/>
      <c r="K1562" s="199"/>
      <c r="L1562" s="248"/>
      <c r="M1562" s="248"/>
      <c r="N1562" s="248"/>
      <c r="O1562" s="248"/>
    </row>
    <row r="1563">
      <c r="A1563" s="199"/>
      <c r="B1563" s="199"/>
      <c r="C1563" s="199"/>
      <c r="D1563" s="248"/>
      <c r="E1563" s="248"/>
      <c r="F1563" s="248"/>
      <c r="G1563" s="248"/>
      <c r="H1563" s="283"/>
      <c r="I1563" s="199"/>
      <c r="J1563" s="199"/>
      <c r="K1563" s="199"/>
      <c r="L1563" s="248"/>
      <c r="M1563" s="248"/>
      <c r="N1563" s="248"/>
      <c r="O1563" s="248"/>
    </row>
    <row r="1564">
      <c r="A1564" s="199"/>
      <c r="B1564" s="199"/>
      <c r="C1564" s="199"/>
      <c r="D1564" s="248"/>
      <c r="E1564" s="248"/>
      <c r="F1564" s="248"/>
      <c r="G1564" s="248"/>
      <c r="H1564" s="283"/>
      <c r="I1564" s="199"/>
      <c r="J1564" s="199"/>
      <c r="K1564" s="199"/>
      <c r="L1564" s="248"/>
      <c r="M1564" s="248"/>
      <c r="N1564" s="248"/>
      <c r="O1564" s="248"/>
    </row>
    <row r="1565">
      <c r="A1565" s="199"/>
      <c r="B1565" s="199"/>
      <c r="C1565" s="199"/>
      <c r="D1565" s="248"/>
      <c r="E1565" s="248"/>
      <c r="F1565" s="248"/>
      <c r="G1565" s="248"/>
      <c r="H1565" s="283"/>
      <c r="I1565" s="199"/>
      <c r="J1565" s="199"/>
      <c r="K1565" s="199"/>
      <c r="L1565" s="248"/>
      <c r="M1565" s="248"/>
      <c r="N1565" s="248"/>
      <c r="O1565" s="248"/>
    </row>
    <row r="1566">
      <c r="A1566" s="199"/>
      <c r="B1566" s="199"/>
      <c r="C1566" s="199"/>
      <c r="D1566" s="248"/>
      <c r="E1566" s="248"/>
      <c r="F1566" s="248"/>
      <c r="G1566" s="248"/>
      <c r="H1566" s="283"/>
      <c r="I1566" s="199"/>
      <c r="J1566" s="199"/>
      <c r="K1566" s="199"/>
      <c r="L1566" s="248"/>
      <c r="M1566" s="248"/>
      <c r="N1566" s="248"/>
      <c r="O1566" s="248"/>
    </row>
    <row r="1567">
      <c r="A1567" s="199"/>
      <c r="B1567" s="199"/>
      <c r="C1567" s="199"/>
      <c r="D1567" s="248"/>
      <c r="E1567" s="248"/>
      <c r="F1567" s="248"/>
      <c r="G1567" s="248"/>
      <c r="H1567" s="283"/>
      <c r="I1567" s="199"/>
      <c r="J1567" s="199"/>
      <c r="K1567" s="199"/>
      <c r="L1567" s="248"/>
      <c r="M1567" s="248"/>
      <c r="N1567" s="248"/>
      <c r="O1567" s="248"/>
    </row>
    <row r="1568">
      <c r="A1568" s="199"/>
      <c r="B1568" s="199"/>
      <c r="C1568" s="199"/>
      <c r="D1568" s="248"/>
      <c r="E1568" s="248"/>
      <c r="F1568" s="248"/>
      <c r="G1568" s="248"/>
      <c r="H1568" s="283"/>
      <c r="I1568" s="199"/>
      <c r="J1568" s="199"/>
      <c r="K1568" s="199"/>
      <c r="L1568" s="248"/>
      <c r="M1568" s="248"/>
      <c r="N1568" s="248"/>
      <c r="O1568" s="248"/>
    </row>
    <row r="1569">
      <c r="A1569" s="199"/>
      <c r="B1569" s="199"/>
      <c r="C1569" s="199"/>
      <c r="D1569" s="248"/>
      <c r="E1569" s="248"/>
      <c r="F1569" s="248"/>
      <c r="G1569" s="248"/>
      <c r="H1569" s="283"/>
      <c r="I1569" s="199"/>
      <c r="J1569" s="199"/>
      <c r="K1569" s="199"/>
      <c r="L1569" s="248"/>
      <c r="M1569" s="248"/>
      <c r="N1569" s="248"/>
      <c r="O1569" s="248"/>
    </row>
    <row r="1570">
      <c r="A1570" s="199"/>
      <c r="B1570" s="199"/>
      <c r="C1570" s="199"/>
      <c r="D1570" s="248"/>
      <c r="E1570" s="248"/>
      <c r="F1570" s="248"/>
      <c r="G1570" s="248"/>
      <c r="H1570" s="283"/>
      <c r="I1570" s="199"/>
      <c r="J1570" s="199"/>
      <c r="K1570" s="199"/>
      <c r="L1570" s="248"/>
      <c r="M1570" s="248"/>
      <c r="N1570" s="248"/>
      <c r="O1570" s="248"/>
    </row>
    <row r="1571">
      <c r="A1571" s="199"/>
      <c r="B1571" s="199"/>
      <c r="C1571" s="199"/>
      <c r="D1571" s="248"/>
      <c r="E1571" s="248"/>
      <c r="F1571" s="248"/>
      <c r="G1571" s="248"/>
      <c r="H1571" s="283"/>
      <c r="I1571" s="199"/>
      <c r="J1571" s="199"/>
      <c r="K1571" s="199"/>
      <c r="L1571" s="248"/>
      <c r="M1571" s="248"/>
      <c r="N1571" s="248"/>
      <c r="O1571" s="248"/>
    </row>
    <row r="1572">
      <c r="A1572" s="199"/>
      <c r="B1572" s="199"/>
      <c r="C1572" s="199"/>
      <c r="D1572" s="248"/>
      <c r="E1572" s="248"/>
      <c r="F1572" s="248"/>
      <c r="G1572" s="248"/>
      <c r="H1572" s="283"/>
      <c r="I1572" s="199"/>
      <c r="J1572" s="199"/>
      <c r="K1572" s="199"/>
      <c r="L1572" s="248"/>
      <c r="M1572" s="248"/>
      <c r="N1572" s="248"/>
      <c r="O1572" s="248"/>
    </row>
    <row r="1573">
      <c r="A1573" s="199"/>
      <c r="B1573" s="199"/>
      <c r="C1573" s="199"/>
      <c r="D1573" s="248"/>
      <c r="E1573" s="248"/>
      <c r="F1573" s="248"/>
      <c r="G1573" s="248"/>
      <c r="H1573" s="283"/>
      <c r="I1573" s="199"/>
      <c r="J1573" s="199"/>
      <c r="K1573" s="199"/>
      <c r="L1573" s="248"/>
      <c r="M1573" s="248"/>
      <c r="N1573" s="248"/>
      <c r="O1573" s="248"/>
    </row>
    <row r="1574">
      <c r="A1574" s="199"/>
      <c r="B1574" s="199"/>
      <c r="C1574" s="199"/>
      <c r="D1574" s="248"/>
      <c r="E1574" s="248"/>
      <c r="F1574" s="248"/>
      <c r="G1574" s="248"/>
      <c r="H1574" s="283"/>
      <c r="I1574" s="199"/>
      <c r="J1574" s="199"/>
      <c r="K1574" s="199"/>
      <c r="L1574" s="248"/>
      <c r="M1574" s="248"/>
      <c r="N1574" s="248"/>
      <c r="O1574" s="248"/>
    </row>
    <row r="1575">
      <c r="A1575" s="199"/>
      <c r="B1575" s="199"/>
      <c r="C1575" s="199"/>
      <c r="D1575" s="248"/>
      <c r="E1575" s="248"/>
      <c r="F1575" s="248"/>
      <c r="G1575" s="248"/>
      <c r="H1575" s="283"/>
      <c r="I1575" s="199"/>
      <c r="J1575" s="199"/>
      <c r="K1575" s="199"/>
      <c r="L1575" s="248"/>
      <c r="M1575" s="248"/>
      <c r="N1575" s="248"/>
      <c r="O1575" s="248"/>
    </row>
    <row r="1576">
      <c r="A1576" s="199"/>
      <c r="B1576" s="199"/>
      <c r="C1576" s="199"/>
      <c r="D1576" s="248"/>
      <c r="E1576" s="248"/>
      <c r="F1576" s="248"/>
      <c r="G1576" s="248"/>
      <c r="H1576" s="283"/>
      <c r="I1576" s="199"/>
      <c r="J1576" s="199"/>
      <c r="K1576" s="199"/>
      <c r="L1576" s="248"/>
      <c r="M1576" s="248"/>
      <c r="N1576" s="248"/>
      <c r="O1576" s="248"/>
    </row>
    <row r="1577">
      <c r="A1577" s="199"/>
      <c r="B1577" s="199"/>
      <c r="C1577" s="199"/>
      <c r="D1577" s="248"/>
      <c r="E1577" s="248"/>
      <c r="F1577" s="248"/>
      <c r="G1577" s="248"/>
      <c r="H1577" s="283"/>
      <c r="I1577" s="199"/>
      <c r="J1577" s="199"/>
      <c r="K1577" s="199"/>
      <c r="L1577" s="248"/>
      <c r="M1577" s="248"/>
      <c r="N1577" s="248"/>
      <c r="O1577" s="248"/>
    </row>
    <row r="1578">
      <c r="A1578" s="199"/>
      <c r="B1578" s="199"/>
      <c r="C1578" s="199"/>
      <c r="D1578" s="248"/>
      <c r="E1578" s="248"/>
      <c r="F1578" s="248"/>
      <c r="G1578" s="248"/>
      <c r="H1578" s="283"/>
      <c r="I1578" s="199"/>
      <c r="J1578" s="199"/>
      <c r="K1578" s="199"/>
      <c r="L1578" s="248"/>
      <c r="M1578" s="248"/>
      <c r="N1578" s="248"/>
      <c r="O1578" s="248"/>
    </row>
    <row r="1579">
      <c r="A1579" s="199"/>
      <c r="B1579" s="199"/>
      <c r="C1579" s="199"/>
      <c r="D1579" s="248"/>
      <c r="E1579" s="248"/>
      <c r="F1579" s="248"/>
      <c r="G1579" s="248"/>
      <c r="H1579" s="283"/>
      <c r="I1579" s="199"/>
      <c r="J1579" s="199"/>
      <c r="K1579" s="199"/>
      <c r="L1579" s="248"/>
      <c r="M1579" s="248"/>
      <c r="N1579" s="248"/>
      <c r="O1579" s="248"/>
    </row>
    <row r="1580">
      <c r="A1580" s="199"/>
      <c r="B1580" s="199"/>
      <c r="C1580" s="199"/>
      <c r="D1580" s="248"/>
      <c r="E1580" s="248"/>
      <c r="F1580" s="248"/>
      <c r="G1580" s="248"/>
      <c r="H1580" s="283"/>
      <c r="I1580" s="199"/>
      <c r="J1580" s="199"/>
      <c r="K1580" s="199"/>
      <c r="L1580" s="248"/>
      <c r="M1580" s="248"/>
      <c r="N1580" s="248"/>
      <c r="O1580" s="248"/>
    </row>
    <row r="1581">
      <c r="A1581" s="199"/>
      <c r="B1581" s="199"/>
      <c r="C1581" s="199"/>
      <c r="D1581" s="248"/>
      <c r="E1581" s="248"/>
      <c r="F1581" s="248"/>
      <c r="G1581" s="248"/>
      <c r="H1581" s="283"/>
      <c r="I1581" s="199"/>
      <c r="J1581" s="199"/>
      <c r="K1581" s="199"/>
      <c r="L1581" s="248"/>
      <c r="M1581" s="248"/>
      <c r="N1581" s="248"/>
      <c r="O1581" s="248"/>
    </row>
    <row r="1582">
      <c r="A1582" s="199"/>
      <c r="B1582" s="199"/>
      <c r="C1582" s="199"/>
      <c r="D1582" s="248"/>
      <c r="E1582" s="248"/>
      <c r="F1582" s="248"/>
      <c r="G1582" s="248"/>
      <c r="H1582" s="283"/>
      <c r="I1582" s="199"/>
      <c r="J1582" s="199"/>
      <c r="K1582" s="199"/>
      <c r="L1582" s="248"/>
      <c r="M1582" s="248"/>
      <c r="N1582" s="248"/>
      <c r="O1582" s="248"/>
    </row>
    <row r="1583">
      <c r="A1583" s="199"/>
      <c r="B1583" s="199"/>
      <c r="C1583" s="199"/>
      <c r="D1583" s="248"/>
      <c r="E1583" s="248"/>
      <c r="F1583" s="248"/>
      <c r="G1583" s="248"/>
      <c r="H1583" s="283"/>
      <c r="I1583" s="199"/>
      <c r="J1583" s="199"/>
      <c r="K1583" s="199"/>
      <c r="L1583" s="248"/>
      <c r="M1583" s="248"/>
      <c r="N1583" s="248"/>
      <c r="O1583" s="248"/>
    </row>
    <row r="1584">
      <c r="A1584" s="199"/>
      <c r="B1584" s="199"/>
      <c r="C1584" s="199"/>
      <c r="D1584" s="248"/>
      <c r="E1584" s="248"/>
      <c r="F1584" s="248"/>
      <c r="G1584" s="248"/>
      <c r="H1584" s="283"/>
      <c r="I1584" s="199"/>
      <c r="J1584" s="199"/>
      <c r="K1584" s="199"/>
      <c r="L1584" s="248"/>
      <c r="M1584" s="248"/>
      <c r="N1584" s="248"/>
      <c r="O1584" s="248"/>
    </row>
    <row r="1585">
      <c r="A1585" s="199"/>
      <c r="B1585" s="199"/>
      <c r="C1585" s="199"/>
      <c r="D1585" s="248"/>
      <c r="E1585" s="248"/>
      <c r="F1585" s="248"/>
      <c r="G1585" s="248"/>
      <c r="H1585" s="283"/>
      <c r="I1585" s="199"/>
      <c r="J1585" s="199"/>
      <c r="K1585" s="199"/>
      <c r="L1585" s="248"/>
      <c r="M1585" s="248"/>
      <c r="N1585" s="248"/>
      <c r="O1585" s="248"/>
    </row>
    <row r="1586">
      <c r="A1586" s="199"/>
      <c r="B1586" s="199"/>
      <c r="C1586" s="199"/>
      <c r="D1586" s="248"/>
      <c r="E1586" s="248"/>
      <c r="F1586" s="248"/>
      <c r="G1586" s="248"/>
      <c r="H1586" s="283"/>
      <c r="I1586" s="199"/>
      <c r="J1586" s="199"/>
      <c r="K1586" s="199"/>
      <c r="L1586" s="248"/>
      <c r="M1586" s="248"/>
      <c r="N1586" s="248"/>
      <c r="O1586" s="248"/>
    </row>
    <row r="1587">
      <c r="A1587" s="199"/>
      <c r="B1587" s="199"/>
      <c r="C1587" s="199"/>
      <c r="D1587" s="248"/>
      <c r="E1587" s="248"/>
      <c r="F1587" s="248"/>
      <c r="G1587" s="248"/>
      <c r="H1587" s="283"/>
      <c r="I1587" s="199"/>
      <c r="J1587" s="199"/>
      <c r="K1587" s="199"/>
      <c r="L1587" s="248"/>
      <c r="M1587" s="248"/>
      <c r="N1587" s="248"/>
      <c r="O1587" s="248"/>
    </row>
    <row r="1588">
      <c r="A1588" s="199"/>
      <c r="B1588" s="199"/>
      <c r="C1588" s="199"/>
      <c r="D1588" s="248"/>
      <c r="E1588" s="248"/>
      <c r="F1588" s="248"/>
      <c r="G1588" s="248"/>
      <c r="H1588" s="283"/>
      <c r="I1588" s="199"/>
      <c r="J1588" s="199"/>
      <c r="K1588" s="199"/>
      <c r="L1588" s="248"/>
      <c r="M1588" s="248"/>
      <c r="N1588" s="248"/>
      <c r="O1588" s="248"/>
    </row>
    <row r="1589">
      <c r="A1589" s="199"/>
      <c r="B1589" s="199"/>
      <c r="C1589" s="199"/>
      <c r="D1589" s="248"/>
      <c r="E1589" s="248"/>
      <c r="F1589" s="248"/>
      <c r="G1589" s="248"/>
      <c r="H1589" s="283"/>
      <c r="I1589" s="199"/>
      <c r="J1589" s="199"/>
      <c r="K1589" s="199"/>
      <c r="L1589" s="248"/>
      <c r="M1589" s="248"/>
      <c r="N1589" s="248"/>
      <c r="O1589" s="248"/>
    </row>
    <row r="1590">
      <c r="A1590" s="199"/>
      <c r="B1590" s="199"/>
      <c r="C1590" s="199"/>
      <c r="D1590" s="248"/>
      <c r="E1590" s="248"/>
      <c r="F1590" s="248"/>
      <c r="G1590" s="248"/>
      <c r="H1590" s="283"/>
      <c r="I1590" s="199"/>
      <c r="J1590" s="199"/>
      <c r="K1590" s="199"/>
      <c r="L1590" s="248"/>
      <c r="M1590" s="248"/>
      <c r="N1590" s="248"/>
      <c r="O1590" s="248"/>
    </row>
    <row r="1591">
      <c r="A1591" s="199"/>
      <c r="B1591" s="199"/>
      <c r="C1591" s="199"/>
      <c r="D1591" s="248"/>
      <c r="E1591" s="248"/>
      <c r="F1591" s="248"/>
      <c r="G1591" s="248"/>
      <c r="H1591" s="283"/>
      <c r="I1591" s="199"/>
      <c r="J1591" s="199"/>
      <c r="K1591" s="199"/>
      <c r="L1591" s="248"/>
      <c r="M1591" s="248"/>
      <c r="N1591" s="248"/>
      <c r="O1591" s="248"/>
    </row>
    <row r="1592">
      <c r="A1592" s="199"/>
      <c r="B1592" s="199"/>
      <c r="C1592" s="199"/>
      <c r="D1592" s="248"/>
      <c r="E1592" s="248"/>
      <c r="F1592" s="248"/>
      <c r="G1592" s="248"/>
      <c r="H1592" s="283"/>
      <c r="I1592" s="199"/>
      <c r="J1592" s="199"/>
      <c r="K1592" s="199"/>
      <c r="L1592" s="248"/>
      <c r="M1592" s="248"/>
      <c r="N1592" s="248"/>
      <c r="O1592" s="248"/>
    </row>
    <row r="1593">
      <c r="A1593" s="199"/>
      <c r="B1593" s="199"/>
      <c r="C1593" s="199"/>
      <c r="D1593" s="248"/>
      <c r="E1593" s="248"/>
      <c r="F1593" s="248"/>
      <c r="G1593" s="248"/>
      <c r="H1593" s="283"/>
      <c r="I1593" s="199"/>
      <c r="J1593" s="199"/>
      <c r="K1593" s="199"/>
      <c r="L1593" s="248"/>
      <c r="M1593" s="248"/>
      <c r="N1593" s="248"/>
      <c r="O1593" s="248"/>
    </row>
    <row r="1594">
      <c r="A1594" s="199"/>
      <c r="B1594" s="199"/>
      <c r="C1594" s="199"/>
      <c r="D1594" s="248"/>
      <c r="E1594" s="248"/>
      <c r="F1594" s="248"/>
      <c r="G1594" s="248"/>
      <c r="H1594" s="283"/>
      <c r="I1594" s="199"/>
      <c r="J1594" s="199"/>
      <c r="K1594" s="199"/>
      <c r="L1594" s="248"/>
      <c r="M1594" s="248"/>
      <c r="N1594" s="248"/>
      <c r="O1594" s="248"/>
    </row>
    <row r="1595">
      <c r="A1595" s="199"/>
      <c r="B1595" s="199"/>
      <c r="C1595" s="199"/>
      <c r="D1595" s="248"/>
      <c r="E1595" s="248"/>
      <c r="F1595" s="248"/>
      <c r="G1595" s="248"/>
      <c r="H1595" s="283"/>
      <c r="I1595" s="199"/>
      <c r="J1595" s="199"/>
      <c r="K1595" s="199"/>
      <c r="L1595" s="248"/>
      <c r="M1595" s="248"/>
      <c r="N1595" s="248"/>
      <c r="O1595" s="248"/>
    </row>
    <row r="1596">
      <c r="A1596" s="199"/>
      <c r="B1596" s="199"/>
      <c r="C1596" s="199"/>
      <c r="D1596" s="248"/>
      <c r="E1596" s="248"/>
      <c r="F1596" s="248"/>
      <c r="G1596" s="248"/>
      <c r="H1596" s="283"/>
      <c r="I1596" s="199"/>
      <c r="J1596" s="199"/>
      <c r="K1596" s="199"/>
      <c r="L1596" s="248"/>
      <c r="M1596" s="248"/>
      <c r="N1596" s="248"/>
      <c r="O1596" s="248"/>
    </row>
    <row r="1597">
      <c r="A1597" s="199"/>
      <c r="B1597" s="199"/>
      <c r="C1597" s="199"/>
      <c r="D1597" s="248"/>
      <c r="E1597" s="248"/>
      <c r="F1597" s="248"/>
      <c r="G1597" s="248"/>
      <c r="H1597" s="283"/>
      <c r="I1597" s="199"/>
      <c r="J1597" s="199"/>
      <c r="K1597" s="199"/>
      <c r="L1597" s="248"/>
      <c r="M1597" s="248"/>
      <c r="N1597" s="248"/>
      <c r="O1597" s="248"/>
    </row>
    <row r="1598">
      <c r="A1598" s="199"/>
      <c r="B1598" s="199"/>
      <c r="C1598" s="199"/>
      <c r="D1598" s="248"/>
      <c r="E1598" s="248"/>
      <c r="F1598" s="248"/>
      <c r="G1598" s="248"/>
      <c r="H1598" s="283"/>
      <c r="I1598" s="199"/>
      <c r="J1598" s="199"/>
      <c r="K1598" s="199"/>
      <c r="L1598" s="248"/>
      <c r="M1598" s="248"/>
      <c r="N1598" s="248"/>
      <c r="O1598" s="248"/>
    </row>
    <row r="1599">
      <c r="A1599" s="199"/>
      <c r="B1599" s="199"/>
      <c r="C1599" s="199"/>
      <c r="D1599" s="248"/>
      <c r="E1599" s="248"/>
      <c r="F1599" s="248"/>
      <c r="G1599" s="248"/>
      <c r="H1599" s="283"/>
      <c r="I1599" s="199"/>
      <c r="J1599" s="199"/>
      <c r="K1599" s="199"/>
      <c r="L1599" s="248"/>
      <c r="M1599" s="248"/>
      <c r="N1599" s="248"/>
      <c r="O1599" s="248"/>
    </row>
    <row r="1600">
      <c r="A1600" s="199"/>
      <c r="B1600" s="199"/>
      <c r="C1600" s="199"/>
      <c r="D1600" s="248"/>
      <c r="E1600" s="248"/>
      <c r="F1600" s="248"/>
      <c r="G1600" s="248"/>
      <c r="H1600" s="283"/>
      <c r="I1600" s="199"/>
      <c r="J1600" s="199"/>
      <c r="K1600" s="199"/>
      <c r="L1600" s="248"/>
      <c r="M1600" s="248"/>
      <c r="N1600" s="248"/>
      <c r="O1600" s="248"/>
    </row>
    <row r="1601">
      <c r="A1601" s="199"/>
      <c r="B1601" s="199"/>
      <c r="C1601" s="199"/>
      <c r="D1601" s="248"/>
      <c r="E1601" s="248"/>
      <c r="F1601" s="248"/>
      <c r="G1601" s="248"/>
      <c r="H1601" s="283"/>
      <c r="I1601" s="199"/>
      <c r="J1601" s="199"/>
      <c r="K1601" s="199"/>
      <c r="L1601" s="248"/>
      <c r="M1601" s="248"/>
      <c r="N1601" s="248"/>
      <c r="O1601" s="248"/>
    </row>
    <row r="1602">
      <c r="A1602" s="199"/>
      <c r="B1602" s="199"/>
      <c r="C1602" s="199"/>
      <c r="D1602" s="248"/>
      <c r="E1602" s="248"/>
      <c r="F1602" s="248"/>
      <c r="G1602" s="248"/>
      <c r="H1602" s="283"/>
      <c r="I1602" s="199"/>
      <c r="J1602" s="199"/>
      <c r="K1602" s="199"/>
      <c r="L1602" s="248"/>
      <c r="M1602" s="248"/>
      <c r="N1602" s="248"/>
      <c r="O1602" s="248"/>
    </row>
    <row r="1603">
      <c r="A1603" s="199"/>
      <c r="B1603" s="199"/>
      <c r="C1603" s="199"/>
      <c r="D1603" s="248"/>
      <c r="E1603" s="248"/>
      <c r="F1603" s="248"/>
      <c r="G1603" s="248"/>
      <c r="H1603" s="283"/>
      <c r="I1603" s="199"/>
      <c r="J1603" s="199"/>
      <c r="K1603" s="199"/>
      <c r="L1603" s="248"/>
      <c r="M1603" s="248"/>
      <c r="N1603" s="248"/>
      <c r="O1603" s="248"/>
    </row>
    <row r="1604">
      <c r="A1604" s="199"/>
      <c r="B1604" s="199"/>
      <c r="C1604" s="199"/>
      <c r="D1604" s="248"/>
      <c r="E1604" s="248"/>
      <c r="F1604" s="248"/>
      <c r="G1604" s="248"/>
      <c r="H1604" s="283"/>
      <c r="I1604" s="199"/>
      <c r="J1604" s="199"/>
      <c r="K1604" s="199"/>
      <c r="L1604" s="248"/>
      <c r="M1604" s="248"/>
      <c r="N1604" s="248"/>
      <c r="O1604" s="248"/>
    </row>
    <row r="1605">
      <c r="A1605" s="199"/>
      <c r="B1605" s="199"/>
      <c r="C1605" s="199"/>
      <c r="D1605" s="248"/>
      <c r="E1605" s="248"/>
      <c r="F1605" s="248"/>
      <c r="G1605" s="248"/>
      <c r="H1605" s="283"/>
      <c r="I1605" s="199"/>
      <c r="J1605" s="199"/>
      <c r="K1605" s="199"/>
      <c r="L1605" s="248"/>
      <c r="M1605" s="248"/>
      <c r="N1605" s="248"/>
      <c r="O1605" s="248"/>
    </row>
    <row r="1606">
      <c r="A1606" s="199"/>
      <c r="B1606" s="199"/>
      <c r="C1606" s="199"/>
      <c r="D1606" s="248"/>
      <c r="E1606" s="248"/>
      <c r="F1606" s="248"/>
      <c r="G1606" s="248"/>
      <c r="H1606" s="283"/>
      <c r="I1606" s="199"/>
      <c r="J1606" s="199"/>
      <c r="K1606" s="199"/>
      <c r="L1606" s="248"/>
      <c r="M1606" s="248"/>
      <c r="N1606" s="248"/>
      <c r="O1606" s="248"/>
    </row>
    <row r="1607">
      <c r="A1607" s="199"/>
      <c r="B1607" s="199"/>
      <c r="C1607" s="199"/>
      <c r="D1607" s="248"/>
      <c r="E1607" s="248"/>
      <c r="F1607" s="248"/>
      <c r="G1607" s="248"/>
      <c r="H1607" s="283"/>
      <c r="I1607" s="199"/>
      <c r="J1607" s="199"/>
      <c r="K1607" s="199"/>
      <c r="L1607" s="248"/>
      <c r="M1607" s="248"/>
      <c r="N1607" s="248"/>
      <c r="O1607" s="248"/>
    </row>
    <row r="1608">
      <c r="A1608" s="199"/>
      <c r="B1608" s="199"/>
      <c r="C1608" s="199"/>
      <c r="D1608" s="248"/>
      <c r="E1608" s="248"/>
      <c r="F1608" s="248"/>
      <c r="G1608" s="248"/>
      <c r="H1608" s="283"/>
      <c r="I1608" s="199"/>
      <c r="J1608" s="199"/>
      <c r="K1608" s="199"/>
      <c r="L1608" s="248"/>
      <c r="M1608" s="248"/>
      <c r="N1608" s="248"/>
      <c r="O1608" s="248"/>
    </row>
    <row r="1609">
      <c r="A1609" s="199"/>
      <c r="B1609" s="199"/>
      <c r="C1609" s="199"/>
      <c r="D1609" s="248"/>
      <c r="E1609" s="248"/>
      <c r="F1609" s="248"/>
      <c r="G1609" s="248"/>
      <c r="H1609" s="283"/>
      <c r="I1609" s="199"/>
      <c r="J1609" s="199"/>
      <c r="K1609" s="199"/>
      <c r="L1609" s="248"/>
      <c r="M1609" s="248"/>
      <c r="N1609" s="248"/>
      <c r="O1609" s="248"/>
    </row>
    <row r="1610">
      <c r="A1610" s="199"/>
      <c r="B1610" s="199"/>
      <c r="C1610" s="199"/>
      <c r="D1610" s="248"/>
      <c r="E1610" s="248"/>
      <c r="F1610" s="248"/>
      <c r="G1610" s="248"/>
      <c r="H1610" s="283"/>
      <c r="I1610" s="199"/>
      <c r="J1610" s="199"/>
      <c r="K1610" s="199"/>
      <c r="L1610" s="248"/>
      <c r="M1610" s="248"/>
      <c r="N1610" s="248"/>
      <c r="O1610" s="248"/>
    </row>
    <row r="1611">
      <c r="A1611" s="199"/>
      <c r="B1611" s="199"/>
      <c r="C1611" s="199"/>
      <c r="D1611" s="248"/>
      <c r="E1611" s="248"/>
      <c r="F1611" s="248"/>
      <c r="G1611" s="248"/>
      <c r="H1611" s="283"/>
      <c r="I1611" s="199"/>
      <c r="J1611" s="199"/>
      <c r="K1611" s="199"/>
      <c r="L1611" s="248"/>
      <c r="M1611" s="248"/>
      <c r="N1611" s="248"/>
      <c r="O1611" s="248"/>
    </row>
    <row r="1612">
      <c r="A1612" s="199"/>
      <c r="B1612" s="199"/>
      <c r="C1612" s="199"/>
      <c r="D1612" s="248"/>
      <c r="E1612" s="248"/>
      <c r="F1612" s="248"/>
      <c r="G1612" s="248"/>
      <c r="H1612" s="283"/>
      <c r="I1612" s="199"/>
      <c r="J1612" s="199"/>
      <c r="K1612" s="199"/>
      <c r="L1612" s="248"/>
      <c r="M1612" s="248"/>
      <c r="N1612" s="248"/>
      <c r="O1612" s="248"/>
    </row>
    <row r="1613">
      <c r="A1613" s="199"/>
      <c r="B1613" s="199"/>
      <c r="C1613" s="199"/>
      <c r="D1613" s="248"/>
      <c r="E1613" s="248"/>
      <c r="F1613" s="248"/>
      <c r="G1613" s="248"/>
      <c r="H1613" s="283"/>
      <c r="I1613" s="199"/>
      <c r="J1613" s="199"/>
      <c r="K1613" s="199"/>
      <c r="L1613" s="248"/>
      <c r="M1613" s="248"/>
      <c r="N1613" s="248"/>
      <c r="O1613" s="248"/>
    </row>
    <row r="1614">
      <c r="A1614" s="199"/>
      <c r="B1614" s="199"/>
      <c r="C1614" s="199"/>
      <c r="D1614" s="248"/>
      <c r="E1614" s="248"/>
      <c r="F1614" s="248"/>
      <c r="G1614" s="248"/>
      <c r="H1614" s="283"/>
      <c r="I1614" s="199"/>
      <c r="J1614" s="199"/>
      <c r="K1614" s="199"/>
      <c r="L1614" s="248"/>
      <c r="M1614" s="248"/>
      <c r="N1614" s="248"/>
      <c r="O1614" s="248"/>
    </row>
    <row r="1615">
      <c r="A1615" s="199"/>
      <c r="B1615" s="199"/>
      <c r="C1615" s="199"/>
      <c r="D1615" s="248"/>
      <c r="E1615" s="248"/>
      <c r="F1615" s="248"/>
      <c r="G1615" s="248"/>
      <c r="H1615" s="283"/>
      <c r="I1615" s="199"/>
      <c r="J1615" s="199"/>
      <c r="K1615" s="199"/>
      <c r="L1615" s="248"/>
      <c r="M1615" s="248"/>
      <c r="N1615" s="248"/>
      <c r="O1615" s="248"/>
    </row>
    <row r="1616">
      <c r="A1616" s="199"/>
      <c r="B1616" s="199"/>
      <c r="C1616" s="199"/>
      <c r="D1616" s="248"/>
      <c r="E1616" s="248"/>
      <c r="F1616" s="248"/>
      <c r="G1616" s="248"/>
      <c r="H1616" s="283"/>
      <c r="I1616" s="199"/>
      <c r="J1616" s="199"/>
      <c r="K1616" s="199"/>
      <c r="L1616" s="248"/>
      <c r="M1616" s="248"/>
      <c r="N1616" s="248"/>
      <c r="O1616" s="248"/>
    </row>
    <row r="1617">
      <c r="A1617" s="199"/>
      <c r="B1617" s="199"/>
      <c r="C1617" s="199"/>
      <c r="D1617" s="248"/>
      <c r="E1617" s="248"/>
      <c r="F1617" s="248"/>
      <c r="G1617" s="248"/>
      <c r="H1617" s="283"/>
      <c r="I1617" s="199"/>
      <c r="J1617" s="199"/>
      <c r="K1617" s="199"/>
      <c r="L1617" s="248"/>
      <c r="M1617" s="248"/>
      <c r="N1617" s="248"/>
      <c r="O1617" s="248"/>
    </row>
    <row r="1618">
      <c r="A1618" s="199"/>
      <c r="B1618" s="199"/>
      <c r="C1618" s="199"/>
      <c r="D1618" s="248"/>
      <c r="E1618" s="248"/>
      <c r="F1618" s="248"/>
      <c r="G1618" s="248"/>
      <c r="H1618" s="283"/>
      <c r="I1618" s="199"/>
      <c r="J1618" s="199"/>
      <c r="K1618" s="199"/>
      <c r="L1618" s="248"/>
      <c r="M1618" s="248"/>
      <c r="N1618" s="248"/>
      <c r="O1618" s="248"/>
    </row>
    <row r="1619">
      <c r="A1619" s="199"/>
      <c r="B1619" s="199"/>
      <c r="C1619" s="199"/>
      <c r="D1619" s="248"/>
      <c r="E1619" s="248"/>
      <c r="F1619" s="248"/>
      <c r="G1619" s="248"/>
      <c r="H1619" s="283"/>
      <c r="I1619" s="199"/>
      <c r="J1619" s="199"/>
      <c r="K1619" s="199"/>
      <c r="L1619" s="248"/>
      <c r="M1619" s="248"/>
      <c r="N1619" s="248"/>
      <c r="O1619" s="248"/>
    </row>
    <row r="1620">
      <c r="A1620" s="199"/>
      <c r="B1620" s="199"/>
      <c r="C1620" s="199"/>
      <c r="D1620" s="248"/>
      <c r="E1620" s="248"/>
      <c r="F1620" s="248"/>
      <c r="G1620" s="248"/>
      <c r="H1620" s="283"/>
      <c r="I1620" s="199"/>
      <c r="J1620" s="199"/>
      <c r="K1620" s="199"/>
      <c r="L1620" s="248"/>
      <c r="M1620" s="248"/>
      <c r="N1620" s="248"/>
      <c r="O1620" s="248"/>
    </row>
    <row r="1621">
      <c r="A1621" s="199"/>
      <c r="B1621" s="199"/>
      <c r="C1621" s="199"/>
      <c r="D1621" s="248"/>
      <c r="E1621" s="248"/>
      <c r="F1621" s="248"/>
      <c r="G1621" s="248"/>
      <c r="H1621" s="283"/>
      <c r="I1621" s="199"/>
      <c r="J1621" s="199"/>
      <c r="K1621" s="199"/>
      <c r="L1621" s="248"/>
      <c r="M1621" s="248"/>
      <c r="N1621" s="248"/>
      <c r="O1621" s="248"/>
    </row>
    <row r="1622">
      <c r="A1622" s="199"/>
      <c r="B1622" s="199"/>
      <c r="C1622" s="199"/>
      <c r="D1622" s="248"/>
      <c r="E1622" s="248"/>
      <c r="F1622" s="248"/>
      <c r="G1622" s="248"/>
      <c r="H1622" s="283"/>
      <c r="I1622" s="199"/>
      <c r="J1622" s="199"/>
      <c r="K1622" s="199"/>
      <c r="L1622" s="248"/>
      <c r="M1622" s="248"/>
      <c r="N1622" s="248"/>
      <c r="O1622" s="248"/>
    </row>
    <row r="1623">
      <c r="A1623" s="199"/>
      <c r="B1623" s="199"/>
      <c r="C1623" s="199"/>
      <c r="D1623" s="248"/>
      <c r="E1623" s="248"/>
      <c r="F1623" s="248"/>
      <c r="G1623" s="248"/>
      <c r="H1623" s="283"/>
      <c r="I1623" s="199"/>
      <c r="J1623" s="199"/>
      <c r="K1623" s="199"/>
      <c r="L1623" s="248"/>
      <c r="M1623" s="248"/>
      <c r="N1623" s="248"/>
      <c r="O1623" s="248"/>
    </row>
    <row r="1624">
      <c r="A1624" s="199"/>
      <c r="B1624" s="199"/>
      <c r="C1624" s="199"/>
      <c r="D1624" s="248"/>
      <c r="E1624" s="248"/>
      <c r="F1624" s="248"/>
      <c r="G1624" s="248"/>
      <c r="H1624" s="283"/>
      <c r="I1624" s="199"/>
      <c r="J1624" s="199"/>
      <c r="K1624" s="199"/>
      <c r="L1624" s="248"/>
      <c r="M1624" s="248"/>
      <c r="N1624" s="248"/>
      <c r="O1624" s="248"/>
    </row>
    <row r="1625">
      <c r="A1625" s="199"/>
      <c r="B1625" s="199"/>
      <c r="C1625" s="199"/>
      <c r="D1625" s="248"/>
      <c r="E1625" s="248"/>
      <c r="F1625" s="248"/>
      <c r="G1625" s="248"/>
      <c r="H1625" s="283"/>
      <c r="I1625" s="199"/>
      <c r="J1625" s="199"/>
      <c r="K1625" s="199"/>
      <c r="L1625" s="248"/>
      <c r="M1625" s="248"/>
      <c r="N1625" s="248"/>
      <c r="O1625" s="248"/>
    </row>
    <row r="1626">
      <c r="A1626" s="199"/>
      <c r="B1626" s="199"/>
      <c r="C1626" s="199"/>
      <c r="D1626" s="248"/>
      <c r="E1626" s="248"/>
      <c r="F1626" s="248"/>
      <c r="G1626" s="248"/>
      <c r="H1626" s="283"/>
      <c r="I1626" s="199"/>
      <c r="J1626" s="199"/>
      <c r="K1626" s="199"/>
      <c r="L1626" s="248"/>
      <c r="M1626" s="248"/>
      <c r="N1626" s="248"/>
      <c r="O1626" s="248"/>
    </row>
    <row r="1627">
      <c r="A1627" s="199"/>
      <c r="B1627" s="199"/>
      <c r="C1627" s="199"/>
      <c r="D1627" s="248"/>
      <c r="E1627" s="248"/>
      <c r="F1627" s="248"/>
      <c r="G1627" s="248"/>
      <c r="H1627" s="283"/>
      <c r="I1627" s="199"/>
      <c r="J1627" s="199"/>
      <c r="K1627" s="199"/>
      <c r="L1627" s="248"/>
      <c r="M1627" s="248"/>
      <c r="N1627" s="248"/>
      <c r="O1627" s="248"/>
    </row>
    <row r="1628">
      <c r="A1628" s="199"/>
      <c r="B1628" s="199"/>
      <c r="C1628" s="199"/>
      <c r="D1628" s="248"/>
      <c r="E1628" s="248"/>
      <c r="F1628" s="248"/>
      <c r="G1628" s="248"/>
      <c r="H1628" s="283"/>
      <c r="I1628" s="199"/>
      <c r="J1628" s="199"/>
      <c r="K1628" s="199"/>
      <c r="L1628" s="248"/>
      <c r="M1628" s="248"/>
      <c r="N1628" s="248"/>
      <c r="O1628" s="248"/>
    </row>
    <row r="1629">
      <c r="A1629" s="199"/>
      <c r="B1629" s="199"/>
      <c r="C1629" s="199"/>
      <c r="D1629" s="248"/>
      <c r="E1629" s="248"/>
      <c r="F1629" s="248"/>
      <c r="G1629" s="248"/>
      <c r="H1629" s="283"/>
      <c r="I1629" s="199"/>
      <c r="J1629" s="199"/>
      <c r="K1629" s="199"/>
      <c r="L1629" s="248"/>
      <c r="M1629" s="248"/>
      <c r="N1629" s="248"/>
      <c r="O1629" s="248"/>
    </row>
    <row r="1630">
      <c r="A1630" s="199"/>
      <c r="B1630" s="199"/>
      <c r="C1630" s="199"/>
      <c r="D1630" s="248"/>
      <c r="E1630" s="248"/>
      <c r="F1630" s="248"/>
      <c r="G1630" s="248"/>
      <c r="H1630" s="283"/>
      <c r="I1630" s="199"/>
      <c r="J1630" s="199"/>
      <c r="K1630" s="199"/>
      <c r="L1630" s="248"/>
      <c r="M1630" s="248"/>
      <c r="N1630" s="248"/>
      <c r="O1630" s="248"/>
    </row>
    <row r="1631">
      <c r="A1631" s="199"/>
      <c r="B1631" s="199"/>
      <c r="C1631" s="199"/>
      <c r="D1631" s="248"/>
      <c r="E1631" s="248"/>
      <c r="F1631" s="248"/>
      <c r="G1631" s="248"/>
      <c r="H1631" s="283"/>
      <c r="I1631" s="199"/>
      <c r="J1631" s="199"/>
      <c r="K1631" s="199"/>
      <c r="L1631" s="248"/>
      <c r="M1631" s="248"/>
      <c r="N1631" s="248"/>
      <c r="O1631" s="248"/>
    </row>
    <row r="1632">
      <c r="A1632" s="199"/>
      <c r="B1632" s="199"/>
      <c r="C1632" s="199"/>
      <c r="D1632" s="248"/>
      <c r="E1632" s="248"/>
      <c r="F1632" s="248"/>
      <c r="G1632" s="248"/>
      <c r="H1632" s="283"/>
      <c r="I1632" s="199"/>
      <c r="J1632" s="199"/>
      <c r="K1632" s="199"/>
      <c r="L1632" s="248"/>
      <c r="M1632" s="248"/>
      <c r="N1632" s="248"/>
      <c r="O1632" s="248"/>
    </row>
    <row r="1633">
      <c r="A1633" s="199"/>
      <c r="B1633" s="199"/>
      <c r="C1633" s="199"/>
      <c r="D1633" s="248"/>
      <c r="E1633" s="248"/>
      <c r="F1633" s="248"/>
      <c r="G1633" s="248"/>
      <c r="H1633" s="283"/>
      <c r="I1633" s="199"/>
      <c r="J1633" s="199"/>
      <c r="K1633" s="199"/>
      <c r="L1633" s="248"/>
      <c r="M1633" s="248"/>
      <c r="N1633" s="248"/>
      <c r="O1633" s="248"/>
    </row>
    <row r="1634">
      <c r="A1634" s="199"/>
      <c r="B1634" s="199"/>
      <c r="C1634" s="199"/>
      <c r="D1634" s="248"/>
      <c r="E1634" s="248"/>
      <c r="F1634" s="248"/>
      <c r="G1634" s="248"/>
      <c r="H1634" s="283"/>
      <c r="I1634" s="199"/>
      <c r="J1634" s="199"/>
      <c r="K1634" s="199"/>
      <c r="L1634" s="248"/>
      <c r="M1634" s="248"/>
      <c r="N1634" s="248"/>
      <c r="O1634" s="248"/>
    </row>
    <row r="1635">
      <c r="A1635" s="199"/>
      <c r="B1635" s="199"/>
      <c r="C1635" s="199"/>
      <c r="D1635" s="248"/>
      <c r="E1635" s="248"/>
      <c r="F1635" s="248"/>
      <c r="G1635" s="248"/>
      <c r="H1635" s="283"/>
      <c r="I1635" s="199"/>
      <c r="J1635" s="199"/>
      <c r="K1635" s="199"/>
      <c r="L1635" s="248"/>
      <c r="M1635" s="248"/>
      <c r="N1635" s="248"/>
      <c r="O1635" s="248"/>
    </row>
    <row r="1636">
      <c r="A1636" s="199"/>
      <c r="B1636" s="199"/>
      <c r="C1636" s="199"/>
      <c r="D1636" s="248"/>
      <c r="E1636" s="248"/>
      <c r="F1636" s="248"/>
      <c r="G1636" s="248"/>
      <c r="H1636" s="283"/>
      <c r="I1636" s="199"/>
      <c r="J1636" s="199"/>
      <c r="K1636" s="199"/>
      <c r="L1636" s="248"/>
      <c r="M1636" s="248"/>
      <c r="N1636" s="248"/>
      <c r="O1636" s="248"/>
    </row>
    <row r="1637">
      <c r="A1637" s="199"/>
      <c r="B1637" s="199"/>
      <c r="C1637" s="199"/>
      <c r="D1637" s="248"/>
      <c r="E1637" s="248"/>
      <c r="F1637" s="248"/>
      <c r="G1637" s="248"/>
      <c r="H1637" s="283"/>
      <c r="I1637" s="199"/>
      <c r="J1637" s="199"/>
      <c r="K1637" s="199"/>
      <c r="L1637" s="248"/>
      <c r="M1637" s="248"/>
      <c r="N1637" s="248"/>
      <c r="O1637" s="248"/>
    </row>
    <row r="1638">
      <c r="A1638" s="199"/>
      <c r="B1638" s="199"/>
      <c r="C1638" s="199"/>
      <c r="D1638" s="248"/>
      <c r="E1638" s="248"/>
      <c r="F1638" s="248"/>
      <c r="G1638" s="248"/>
      <c r="H1638" s="283"/>
      <c r="I1638" s="199"/>
      <c r="J1638" s="199"/>
      <c r="K1638" s="199"/>
      <c r="L1638" s="248"/>
      <c r="M1638" s="248"/>
      <c r="N1638" s="248"/>
      <c r="O1638" s="248"/>
    </row>
    <row r="1639">
      <c r="A1639" s="199"/>
      <c r="B1639" s="199"/>
      <c r="C1639" s="199"/>
      <c r="D1639" s="248"/>
      <c r="E1639" s="248"/>
      <c r="F1639" s="248"/>
      <c r="G1639" s="248"/>
      <c r="H1639" s="283"/>
      <c r="I1639" s="199"/>
      <c r="J1639" s="199"/>
      <c r="K1639" s="199"/>
      <c r="L1639" s="248"/>
      <c r="M1639" s="248"/>
      <c r="N1639" s="248"/>
      <c r="O1639" s="248"/>
    </row>
    <row r="1640">
      <c r="A1640" s="199"/>
      <c r="B1640" s="199"/>
      <c r="C1640" s="199"/>
      <c r="D1640" s="248"/>
      <c r="E1640" s="248"/>
      <c r="F1640" s="248"/>
      <c r="G1640" s="248"/>
      <c r="H1640" s="283"/>
      <c r="I1640" s="199"/>
      <c r="J1640" s="199"/>
      <c r="K1640" s="199"/>
      <c r="L1640" s="248"/>
      <c r="M1640" s="248"/>
      <c r="N1640" s="248"/>
      <c r="O1640" s="248"/>
    </row>
    <row r="1641">
      <c r="A1641" s="199"/>
      <c r="B1641" s="199"/>
      <c r="C1641" s="199"/>
      <c r="D1641" s="248"/>
      <c r="E1641" s="248"/>
      <c r="F1641" s="248"/>
      <c r="G1641" s="248"/>
      <c r="H1641" s="283"/>
      <c r="I1641" s="199"/>
      <c r="J1641" s="199"/>
      <c r="K1641" s="199"/>
      <c r="L1641" s="248"/>
      <c r="M1641" s="248"/>
      <c r="N1641" s="248"/>
      <c r="O1641" s="248"/>
    </row>
    <row r="1642">
      <c r="A1642" s="199"/>
      <c r="B1642" s="199"/>
      <c r="C1642" s="199"/>
      <c r="D1642" s="248"/>
      <c r="E1642" s="248"/>
      <c r="F1642" s="248"/>
      <c r="G1642" s="248"/>
      <c r="H1642" s="283"/>
      <c r="I1642" s="199"/>
      <c r="J1642" s="199"/>
      <c r="K1642" s="199"/>
      <c r="L1642" s="248"/>
      <c r="M1642" s="248"/>
      <c r="N1642" s="248"/>
      <c r="O1642" s="248"/>
    </row>
    <row r="1643">
      <c r="A1643" s="199"/>
      <c r="B1643" s="199"/>
      <c r="C1643" s="199"/>
      <c r="D1643" s="248"/>
      <c r="E1643" s="248"/>
      <c r="F1643" s="248"/>
      <c r="G1643" s="248"/>
      <c r="H1643" s="283"/>
      <c r="I1643" s="199"/>
      <c r="J1643" s="199"/>
      <c r="K1643" s="199"/>
      <c r="L1643" s="248"/>
      <c r="M1643" s="248"/>
      <c r="N1643" s="248"/>
      <c r="O1643" s="248"/>
    </row>
    <row r="1644">
      <c r="A1644" s="199"/>
      <c r="B1644" s="199"/>
      <c r="C1644" s="199"/>
      <c r="D1644" s="248"/>
      <c r="E1644" s="248"/>
      <c r="F1644" s="248"/>
      <c r="G1644" s="248"/>
      <c r="H1644" s="283"/>
      <c r="I1644" s="199"/>
      <c r="J1644" s="199"/>
      <c r="K1644" s="199"/>
      <c r="L1644" s="248"/>
      <c r="M1644" s="248"/>
      <c r="N1644" s="248"/>
      <c r="O1644" s="248"/>
    </row>
    <row r="1645">
      <c r="A1645" s="199"/>
      <c r="B1645" s="199"/>
      <c r="C1645" s="199"/>
      <c r="D1645" s="248"/>
      <c r="E1645" s="248"/>
      <c r="F1645" s="248"/>
      <c r="G1645" s="248"/>
      <c r="H1645" s="283"/>
      <c r="I1645" s="199"/>
      <c r="J1645" s="199"/>
      <c r="K1645" s="199"/>
      <c r="L1645" s="248"/>
      <c r="M1645" s="248"/>
      <c r="N1645" s="248"/>
      <c r="O1645" s="248"/>
    </row>
    <row r="1646">
      <c r="A1646" s="199"/>
      <c r="B1646" s="199"/>
      <c r="C1646" s="199"/>
      <c r="D1646" s="248"/>
      <c r="E1646" s="248"/>
      <c r="F1646" s="248"/>
      <c r="G1646" s="248"/>
      <c r="H1646" s="283"/>
      <c r="I1646" s="199"/>
      <c r="J1646" s="199"/>
      <c r="K1646" s="199"/>
      <c r="L1646" s="248"/>
      <c r="M1646" s="248"/>
      <c r="N1646" s="248"/>
      <c r="O1646" s="248"/>
    </row>
    <row r="1647">
      <c r="A1647" s="199"/>
      <c r="B1647" s="199"/>
      <c r="C1647" s="199"/>
      <c r="D1647" s="248"/>
      <c r="E1647" s="248"/>
      <c r="F1647" s="248"/>
      <c r="G1647" s="248"/>
      <c r="H1647" s="283"/>
      <c r="I1647" s="199"/>
      <c r="J1647" s="199"/>
      <c r="K1647" s="199"/>
      <c r="L1647" s="248"/>
      <c r="M1647" s="248"/>
      <c r="N1647" s="248"/>
      <c r="O1647" s="248"/>
    </row>
    <row r="1648">
      <c r="A1648" s="199"/>
      <c r="B1648" s="199"/>
      <c r="C1648" s="199"/>
      <c r="D1648" s="248"/>
      <c r="E1648" s="248"/>
      <c r="F1648" s="248"/>
      <c r="G1648" s="248"/>
      <c r="H1648" s="283"/>
      <c r="I1648" s="199"/>
      <c r="J1648" s="199"/>
      <c r="K1648" s="199"/>
      <c r="L1648" s="248"/>
      <c r="M1648" s="248"/>
      <c r="N1648" s="248"/>
      <c r="O1648" s="248"/>
    </row>
    <row r="1649">
      <c r="A1649" s="199"/>
      <c r="B1649" s="199"/>
      <c r="C1649" s="199"/>
      <c r="D1649" s="248"/>
      <c r="E1649" s="248"/>
      <c r="F1649" s="248"/>
      <c r="G1649" s="248"/>
      <c r="H1649" s="283"/>
      <c r="I1649" s="199"/>
      <c r="J1649" s="199"/>
      <c r="K1649" s="199"/>
      <c r="L1649" s="248"/>
      <c r="M1649" s="248"/>
      <c r="N1649" s="248"/>
      <c r="O1649" s="248"/>
    </row>
    <row r="1650">
      <c r="A1650" s="199"/>
      <c r="B1650" s="199"/>
      <c r="C1650" s="199"/>
      <c r="D1650" s="248"/>
      <c r="E1650" s="248"/>
      <c r="F1650" s="248"/>
      <c r="G1650" s="248"/>
      <c r="H1650" s="283"/>
      <c r="I1650" s="199"/>
      <c r="J1650" s="199"/>
      <c r="K1650" s="199"/>
      <c r="L1650" s="248"/>
      <c r="M1650" s="248"/>
      <c r="N1650" s="248"/>
      <c r="O1650" s="248"/>
    </row>
    <row r="1651">
      <c r="A1651" s="199"/>
      <c r="B1651" s="199"/>
      <c r="C1651" s="199"/>
      <c r="D1651" s="248"/>
      <c r="E1651" s="248"/>
      <c r="F1651" s="248"/>
      <c r="G1651" s="248"/>
      <c r="H1651" s="283"/>
      <c r="I1651" s="199"/>
      <c r="J1651" s="199"/>
      <c r="K1651" s="199"/>
      <c r="L1651" s="248"/>
      <c r="M1651" s="248"/>
      <c r="N1651" s="248"/>
      <c r="O1651" s="248"/>
    </row>
    <row r="1652">
      <c r="A1652" s="199"/>
      <c r="B1652" s="199"/>
      <c r="C1652" s="199"/>
      <c r="D1652" s="248"/>
      <c r="E1652" s="248"/>
      <c r="F1652" s="248"/>
      <c r="G1652" s="248"/>
      <c r="H1652" s="283"/>
      <c r="I1652" s="199"/>
      <c r="J1652" s="199"/>
      <c r="K1652" s="199"/>
      <c r="L1652" s="248"/>
      <c r="M1652" s="248"/>
      <c r="N1652" s="248"/>
      <c r="O1652" s="248"/>
    </row>
    <row r="1653">
      <c r="A1653" s="199"/>
      <c r="B1653" s="199"/>
      <c r="C1653" s="199"/>
      <c r="D1653" s="248"/>
      <c r="E1653" s="248"/>
      <c r="F1653" s="248"/>
      <c r="G1653" s="248"/>
      <c r="H1653" s="283"/>
      <c r="I1653" s="199"/>
      <c r="J1653" s="199"/>
      <c r="K1653" s="199"/>
      <c r="L1653" s="248"/>
      <c r="M1653" s="248"/>
      <c r="N1653" s="248"/>
      <c r="O1653" s="248"/>
    </row>
    <row r="1654">
      <c r="A1654" s="199"/>
      <c r="B1654" s="199"/>
      <c r="C1654" s="199"/>
      <c r="D1654" s="248"/>
      <c r="E1654" s="248"/>
      <c r="F1654" s="248"/>
      <c r="G1654" s="248"/>
      <c r="H1654" s="283"/>
      <c r="I1654" s="199"/>
      <c r="J1654" s="199"/>
      <c r="K1654" s="199"/>
      <c r="L1654" s="248"/>
      <c r="M1654" s="248"/>
      <c r="N1654" s="248"/>
      <c r="O1654" s="248"/>
    </row>
    <row r="1655">
      <c r="A1655" s="199"/>
      <c r="B1655" s="199"/>
      <c r="C1655" s="199"/>
      <c r="D1655" s="248"/>
      <c r="E1655" s="248"/>
      <c r="F1655" s="248"/>
      <c r="G1655" s="248"/>
      <c r="H1655" s="283"/>
      <c r="I1655" s="199"/>
      <c r="J1655" s="199"/>
      <c r="K1655" s="199"/>
      <c r="L1655" s="248"/>
      <c r="M1655" s="248"/>
      <c r="N1655" s="248"/>
      <c r="O1655" s="248"/>
    </row>
    <row r="1656">
      <c r="A1656" s="199"/>
      <c r="B1656" s="199"/>
      <c r="C1656" s="199"/>
      <c r="D1656" s="248"/>
      <c r="E1656" s="248"/>
      <c r="F1656" s="248"/>
      <c r="G1656" s="248"/>
      <c r="H1656" s="283"/>
      <c r="I1656" s="199"/>
      <c r="J1656" s="199"/>
      <c r="K1656" s="199"/>
      <c r="L1656" s="248"/>
      <c r="M1656" s="248"/>
      <c r="N1656" s="248"/>
      <c r="O1656" s="248"/>
    </row>
    <row r="1657">
      <c r="A1657" s="199"/>
      <c r="B1657" s="199"/>
      <c r="C1657" s="199"/>
      <c r="D1657" s="248"/>
      <c r="E1657" s="248"/>
      <c r="F1657" s="248"/>
      <c r="G1657" s="248"/>
      <c r="H1657" s="283"/>
      <c r="I1657" s="199"/>
      <c r="J1657" s="199"/>
      <c r="K1657" s="199"/>
      <c r="L1657" s="248"/>
      <c r="M1657" s="248"/>
      <c r="N1657" s="248"/>
      <c r="O1657" s="248"/>
    </row>
    <row r="1658">
      <c r="A1658" s="199"/>
      <c r="B1658" s="199"/>
      <c r="C1658" s="199"/>
      <c r="D1658" s="248"/>
      <c r="E1658" s="248"/>
      <c r="F1658" s="248"/>
      <c r="G1658" s="248"/>
      <c r="H1658" s="283"/>
      <c r="I1658" s="199"/>
      <c r="J1658" s="199"/>
      <c r="K1658" s="199"/>
      <c r="L1658" s="248"/>
      <c r="M1658" s="248"/>
      <c r="N1658" s="248"/>
      <c r="O1658" s="248"/>
    </row>
    <row r="1659">
      <c r="A1659" s="199"/>
      <c r="B1659" s="199"/>
      <c r="C1659" s="199"/>
      <c r="D1659" s="248"/>
      <c r="E1659" s="248"/>
      <c r="F1659" s="248"/>
      <c r="G1659" s="248"/>
      <c r="H1659" s="283"/>
      <c r="I1659" s="199"/>
      <c r="J1659" s="199"/>
      <c r="K1659" s="199"/>
      <c r="L1659" s="248"/>
      <c r="M1659" s="248"/>
      <c r="N1659" s="248"/>
      <c r="O1659" s="248"/>
    </row>
    <row r="1660">
      <c r="A1660" s="199"/>
      <c r="B1660" s="199"/>
      <c r="C1660" s="199"/>
      <c r="D1660" s="248"/>
      <c r="E1660" s="248"/>
      <c r="F1660" s="248"/>
      <c r="G1660" s="248"/>
      <c r="H1660" s="283"/>
      <c r="I1660" s="199"/>
      <c r="J1660" s="199"/>
      <c r="K1660" s="199"/>
      <c r="L1660" s="248"/>
      <c r="M1660" s="248"/>
      <c r="N1660" s="248"/>
      <c r="O1660" s="248"/>
    </row>
    <row r="1661">
      <c r="A1661" s="199"/>
      <c r="B1661" s="199"/>
      <c r="C1661" s="199"/>
      <c r="D1661" s="248"/>
      <c r="E1661" s="248"/>
      <c r="F1661" s="248"/>
      <c r="G1661" s="248"/>
      <c r="H1661" s="283"/>
      <c r="I1661" s="199"/>
      <c r="J1661" s="199"/>
      <c r="K1661" s="199"/>
      <c r="L1661" s="248"/>
      <c r="M1661" s="248"/>
      <c r="N1661" s="248"/>
      <c r="O1661" s="248"/>
    </row>
    <row r="1662">
      <c r="A1662" s="199"/>
      <c r="B1662" s="199"/>
      <c r="C1662" s="199"/>
      <c r="D1662" s="248"/>
      <c r="E1662" s="248"/>
      <c r="F1662" s="248"/>
      <c r="G1662" s="248"/>
      <c r="H1662" s="283"/>
      <c r="I1662" s="199"/>
      <c r="J1662" s="199"/>
      <c r="K1662" s="199"/>
      <c r="L1662" s="248"/>
      <c r="M1662" s="248"/>
      <c r="N1662" s="248"/>
      <c r="O1662" s="248"/>
    </row>
    <row r="1663">
      <c r="A1663" s="199"/>
      <c r="B1663" s="199"/>
      <c r="C1663" s="199"/>
      <c r="D1663" s="248"/>
      <c r="E1663" s="248"/>
      <c r="F1663" s="248"/>
      <c r="G1663" s="248"/>
      <c r="H1663" s="283"/>
      <c r="I1663" s="199"/>
      <c r="J1663" s="199"/>
      <c r="K1663" s="199"/>
      <c r="L1663" s="248"/>
      <c r="M1663" s="248"/>
      <c r="N1663" s="248"/>
      <c r="O1663" s="248"/>
    </row>
    <row r="1664">
      <c r="A1664" s="199"/>
      <c r="B1664" s="199"/>
      <c r="C1664" s="199"/>
      <c r="D1664" s="248"/>
      <c r="E1664" s="248"/>
      <c r="F1664" s="248"/>
      <c r="G1664" s="248"/>
      <c r="H1664" s="283"/>
      <c r="I1664" s="199"/>
      <c r="J1664" s="199"/>
      <c r="K1664" s="199"/>
      <c r="L1664" s="248"/>
      <c r="M1664" s="248"/>
      <c r="N1664" s="248"/>
      <c r="O1664" s="248"/>
    </row>
    <row r="1665">
      <c r="A1665" s="199"/>
      <c r="B1665" s="199"/>
      <c r="C1665" s="199"/>
      <c r="D1665" s="248"/>
      <c r="E1665" s="248"/>
      <c r="F1665" s="248"/>
      <c r="G1665" s="248"/>
      <c r="H1665" s="283"/>
      <c r="I1665" s="199"/>
      <c r="J1665" s="199"/>
      <c r="K1665" s="199"/>
      <c r="L1665" s="248"/>
      <c r="M1665" s="248"/>
      <c r="N1665" s="248"/>
      <c r="O1665" s="248"/>
    </row>
    <row r="1666">
      <c r="A1666" s="199"/>
      <c r="B1666" s="199"/>
      <c r="C1666" s="199"/>
      <c r="D1666" s="248"/>
      <c r="E1666" s="248"/>
      <c r="F1666" s="248"/>
      <c r="G1666" s="248"/>
      <c r="H1666" s="283"/>
      <c r="I1666" s="199"/>
      <c r="J1666" s="199"/>
      <c r="K1666" s="199"/>
      <c r="L1666" s="248"/>
      <c r="M1666" s="248"/>
      <c r="N1666" s="248"/>
      <c r="O1666" s="248"/>
    </row>
    <row r="1667">
      <c r="A1667" s="199"/>
      <c r="B1667" s="199"/>
      <c r="C1667" s="199"/>
      <c r="D1667" s="248"/>
      <c r="E1667" s="248"/>
      <c r="F1667" s="248"/>
      <c r="G1667" s="248"/>
      <c r="H1667" s="283"/>
      <c r="I1667" s="199"/>
      <c r="J1667" s="199"/>
      <c r="K1667" s="199"/>
      <c r="L1667" s="248"/>
      <c r="M1667" s="248"/>
      <c r="N1667" s="248"/>
      <c r="O1667" s="248"/>
    </row>
    <row r="1668">
      <c r="A1668" s="199"/>
      <c r="B1668" s="199"/>
      <c r="C1668" s="199"/>
      <c r="D1668" s="248"/>
      <c r="E1668" s="248"/>
      <c r="F1668" s="248"/>
      <c r="G1668" s="248"/>
      <c r="H1668" s="283"/>
      <c r="I1668" s="199"/>
      <c r="J1668" s="199"/>
      <c r="K1668" s="199"/>
      <c r="L1668" s="248"/>
      <c r="M1668" s="248"/>
      <c r="N1668" s="248"/>
      <c r="O1668" s="248"/>
    </row>
    <row r="1669">
      <c r="A1669" s="199"/>
      <c r="B1669" s="199"/>
      <c r="C1669" s="199"/>
      <c r="D1669" s="248"/>
      <c r="E1669" s="248"/>
      <c r="F1669" s="248"/>
      <c r="G1669" s="248"/>
      <c r="H1669" s="283"/>
      <c r="I1669" s="199"/>
      <c r="J1669" s="199"/>
      <c r="K1669" s="199"/>
      <c r="L1669" s="248"/>
      <c r="M1669" s="248"/>
      <c r="N1669" s="248"/>
      <c r="O1669" s="248"/>
    </row>
    <row r="1670">
      <c r="A1670" s="199"/>
      <c r="B1670" s="199"/>
      <c r="C1670" s="199"/>
      <c r="D1670" s="248"/>
      <c r="E1670" s="248"/>
      <c r="F1670" s="248"/>
      <c r="G1670" s="248"/>
      <c r="H1670" s="283"/>
      <c r="I1670" s="199"/>
      <c r="J1670" s="199"/>
      <c r="K1670" s="199"/>
      <c r="L1670" s="248"/>
      <c r="M1670" s="248"/>
      <c r="N1670" s="248"/>
      <c r="O1670" s="248"/>
    </row>
    <row r="1671">
      <c r="A1671" s="199"/>
      <c r="B1671" s="199"/>
      <c r="C1671" s="199"/>
      <c r="D1671" s="248"/>
      <c r="E1671" s="248"/>
      <c r="F1671" s="248"/>
      <c r="G1671" s="248"/>
      <c r="H1671" s="283"/>
      <c r="I1671" s="199"/>
      <c r="J1671" s="199"/>
      <c r="K1671" s="199"/>
      <c r="L1671" s="248"/>
      <c r="M1671" s="248"/>
      <c r="N1671" s="248"/>
      <c r="O1671" s="248"/>
    </row>
    <row r="1672">
      <c r="A1672" s="199"/>
      <c r="B1672" s="199"/>
      <c r="C1672" s="199"/>
      <c r="D1672" s="248"/>
      <c r="E1672" s="248"/>
      <c r="F1672" s="248"/>
      <c r="G1672" s="248"/>
      <c r="H1672" s="283"/>
      <c r="I1672" s="199"/>
      <c r="J1672" s="199"/>
      <c r="K1672" s="199"/>
      <c r="L1672" s="248"/>
      <c r="M1672" s="248"/>
      <c r="N1672" s="248"/>
      <c r="O1672" s="248"/>
    </row>
    <row r="1673">
      <c r="A1673" s="199"/>
      <c r="B1673" s="199"/>
      <c r="C1673" s="199"/>
      <c r="D1673" s="248"/>
      <c r="E1673" s="248"/>
      <c r="F1673" s="248"/>
      <c r="G1673" s="248"/>
      <c r="H1673" s="283"/>
      <c r="I1673" s="199"/>
      <c r="J1673" s="199"/>
      <c r="K1673" s="199"/>
      <c r="L1673" s="248"/>
      <c r="M1673" s="248"/>
      <c r="N1673" s="248"/>
      <c r="O1673" s="248"/>
    </row>
    <row r="1674">
      <c r="A1674" s="199"/>
      <c r="B1674" s="199"/>
      <c r="C1674" s="199"/>
      <c r="D1674" s="248"/>
      <c r="E1674" s="248"/>
      <c r="F1674" s="248"/>
      <c r="G1674" s="248"/>
      <c r="H1674" s="283"/>
      <c r="I1674" s="199"/>
      <c r="J1674" s="199"/>
      <c r="K1674" s="199"/>
      <c r="L1674" s="248"/>
      <c r="M1674" s="248"/>
      <c r="N1674" s="248"/>
      <c r="O1674" s="248"/>
    </row>
    <row r="1675">
      <c r="A1675" s="199"/>
      <c r="B1675" s="199"/>
      <c r="C1675" s="199"/>
      <c r="D1675" s="248"/>
      <c r="E1675" s="248"/>
      <c r="F1675" s="248"/>
      <c r="G1675" s="248"/>
      <c r="H1675" s="283"/>
      <c r="I1675" s="199"/>
      <c r="J1675" s="199"/>
      <c r="K1675" s="199"/>
      <c r="L1675" s="248"/>
      <c r="M1675" s="248"/>
      <c r="N1675" s="248"/>
      <c r="O1675" s="248"/>
    </row>
    <row r="1676">
      <c r="A1676" s="199"/>
      <c r="B1676" s="199"/>
      <c r="C1676" s="199"/>
      <c r="D1676" s="248"/>
      <c r="E1676" s="248"/>
      <c r="F1676" s="248"/>
      <c r="G1676" s="248"/>
      <c r="H1676" s="283"/>
      <c r="I1676" s="199"/>
      <c r="J1676" s="199"/>
      <c r="K1676" s="199"/>
      <c r="L1676" s="248"/>
      <c r="M1676" s="248"/>
      <c r="N1676" s="248"/>
      <c r="O1676" s="248"/>
    </row>
    <row r="1677">
      <c r="A1677" s="199"/>
      <c r="B1677" s="199"/>
      <c r="C1677" s="199"/>
      <c r="D1677" s="248"/>
      <c r="E1677" s="248"/>
      <c r="F1677" s="248"/>
      <c r="G1677" s="248"/>
      <c r="H1677" s="283"/>
      <c r="I1677" s="199"/>
      <c r="J1677" s="199"/>
      <c r="K1677" s="199"/>
      <c r="L1677" s="248"/>
      <c r="M1677" s="248"/>
      <c r="N1677" s="248"/>
      <c r="O1677" s="248"/>
    </row>
    <row r="1678">
      <c r="A1678" s="199"/>
      <c r="B1678" s="199"/>
      <c r="C1678" s="199"/>
      <c r="D1678" s="248"/>
      <c r="E1678" s="248"/>
      <c r="F1678" s="248"/>
      <c r="G1678" s="248"/>
      <c r="H1678" s="283"/>
      <c r="I1678" s="199"/>
      <c r="J1678" s="199"/>
      <c r="K1678" s="199"/>
      <c r="L1678" s="248"/>
      <c r="M1678" s="248"/>
      <c r="N1678" s="248"/>
      <c r="O1678" s="248"/>
    </row>
    <row r="1679">
      <c r="A1679" s="199"/>
      <c r="B1679" s="199"/>
      <c r="C1679" s="199"/>
      <c r="D1679" s="248"/>
      <c r="E1679" s="248"/>
      <c r="F1679" s="248"/>
      <c r="G1679" s="248"/>
      <c r="H1679" s="283"/>
      <c r="I1679" s="199"/>
      <c r="J1679" s="199"/>
      <c r="K1679" s="199"/>
      <c r="L1679" s="248"/>
      <c r="M1679" s="248"/>
      <c r="N1679" s="248"/>
      <c r="O1679" s="248"/>
    </row>
    <row r="1680">
      <c r="A1680" s="199"/>
      <c r="B1680" s="199"/>
      <c r="C1680" s="199"/>
      <c r="D1680" s="248"/>
      <c r="E1680" s="248"/>
      <c r="F1680" s="248"/>
      <c r="G1680" s="248"/>
      <c r="H1680" s="283"/>
      <c r="I1680" s="199"/>
      <c r="J1680" s="199"/>
      <c r="K1680" s="199"/>
      <c r="L1680" s="248"/>
      <c r="M1680" s="248"/>
      <c r="N1680" s="248"/>
      <c r="O1680" s="248"/>
    </row>
    <row r="1681">
      <c r="A1681" s="199"/>
      <c r="B1681" s="199"/>
      <c r="C1681" s="199"/>
      <c r="D1681" s="248"/>
      <c r="E1681" s="248"/>
      <c r="F1681" s="248"/>
      <c r="G1681" s="248"/>
      <c r="H1681" s="283"/>
      <c r="I1681" s="199"/>
      <c r="J1681" s="199"/>
      <c r="K1681" s="199"/>
      <c r="L1681" s="248"/>
      <c r="M1681" s="248"/>
      <c r="N1681" s="248"/>
      <c r="O1681" s="248"/>
    </row>
    <row r="1682">
      <c r="A1682" s="199"/>
      <c r="B1682" s="199"/>
      <c r="C1682" s="199"/>
      <c r="D1682" s="248"/>
      <c r="E1682" s="248"/>
      <c r="F1682" s="248"/>
      <c r="G1682" s="248"/>
      <c r="H1682" s="283"/>
      <c r="I1682" s="199"/>
      <c r="J1682" s="199"/>
      <c r="K1682" s="199"/>
      <c r="L1682" s="248"/>
      <c r="M1682" s="248"/>
      <c r="N1682" s="248"/>
      <c r="O1682" s="248"/>
    </row>
    <row r="1683">
      <c r="A1683" s="199"/>
      <c r="B1683" s="199"/>
      <c r="C1683" s="199"/>
      <c r="D1683" s="248"/>
      <c r="E1683" s="248"/>
      <c r="F1683" s="248"/>
      <c r="G1683" s="248"/>
      <c r="H1683" s="283"/>
      <c r="I1683" s="199"/>
      <c r="J1683" s="199"/>
      <c r="K1683" s="199"/>
      <c r="L1683" s="248"/>
      <c r="M1683" s="248"/>
      <c r="N1683" s="248"/>
      <c r="O1683" s="248"/>
    </row>
    <row r="1684">
      <c r="A1684" s="199"/>
      <c r="B1684" s="199"/>
      <c r="C1684" s="199"/>
      <c r="D1684" s="248"/>
      <c r="E1684" s="248"/>
      <c r="F1684" s="248"/>
      <c r="G1684" s="248"/>
      <c r="H1684" s="283"/>
      <c r="I1684" s="199"/>
      <c r="J1684" s="199"/>
      <c r="K1684" s="199"/>
      <c r="L1684" s="248"/>
      <c r="M1684" s="248"/>
      <c r="N1684" s="248"/>
      <c r="O1684" s="248"/>
    </row>
    <row r="1685">
      <c r="A1685" s="199"/>
      <c r="B1685" s="199"/>
      <c r="C1685" s="199"/>
      <c r="D1685" s="248"/>
      <c r="E1685" s="248"/>
      <c r="F1685" s="248"/>
      <c r="G1685" s="248"/>
      <c r="H1685" s="283"/>
      <c r="I1685" s="199"/>
      <c r="J1685" s="199"/>
      <c r="K1685" s="199"/>
      <c r="L1685" s="248"/>
      <c r="M1685" s="248"/>
      <c r="N1685" s="248"/>
      <c r="O1685" s="248"/>
    </row>
    <row r="1686">
      <c r="A1686" s="199"/>
      <c r="B1686" s="199"/>
      <c r="C1686" s="199"/>
      <c r="D1686" s="248"/>
      <c r="E1686" s="248"/>
      <c r="F1686" s="248"/>
      <c r="G1686" s="248"/>
      <c r="H1686" s="283"/>
      <c r="I1686" s="199"/>
      <c r="J1686" s="199"/>
      <c r="K1686" s="199"/>
      <c r="L1686" s="248"/>
      <c r="M1686" s="248"/>
      <c r="N1686" s="248"/>
      <c r="O1686" s="248"/>
    </row>
    <row r="1687">
      <c r="A1687" s="199"/>
      <c r="B1687" s="199"/>
      <c r="C1687" s="199"/>
      <c r="D1687" s="248"/>
      <c r="E1687" s="248"/>
      <c r="F1687" s="248"/>
      <c r="G1687" s="248"/>
      <c r="H1687" s="283"/>
      <c r="I1687" s="199"/>
      <c r="J1687" s="199"/>
      <c r="K1687" s="199"/>
      <c r="L1687" s="248"/>
      <c r="M1687" s="248"/>
      <c r="N1687" s="248"/>
      <c r="O1687" s="248"/>
    </row>
    <row r="1688">
      <c r="A1688" s="199"/>
      <c r="B1688" s="199"/>
      <c r="C1688" s="199"/>
      <c r="D1688" s="248"/>
      <c r="E1688" s="248"/>
      <c r="F1688" s="248"/>
      <c r="G1688" s="248"/>
      <c r="H1688" s="283"/>
      <c r="I1688" s="199"/>
      <c r="J1688" s="199"/>
      <c r="K1688" s="199"/>
      <c r="L1688" s="248"/>
      <c r="M1688" s="248"/>
      <c r="N1688" s="248"/>
      <c r="O1688" s="248"/>
    </row>
    <row r="1689">
      <c r="A1689" s="199"/>
      <c r="B1689" s="199"/>
      <c r="C1689" s="199"/>
      <c r="D1689" s="248"/>
      <c r="E1689" s="248"/>
      <c r="F1689" s="248"/>
      <c r="G1689" s="248"/>
      <c r="H1689" s="283"/>
      <c r="I1689" s="199"/>
      <c r="J1689" s="199"/>
      <c r="K1689" s="199"/>
      <c r="L1689" s="248"/>
      <c r="M1689" s="248"/>
      <c r="N1689" s="248"/>
      <c r="O1689" s="248"/>
    </row>
    <row r="1690">
      <c r="A1690" s="199"/>
      <c r="B1690" s="199"/>
      <c r="C1690" s="199"/>
      <c r="D1690" s="248"/>
      <c r="E1690" s="248"/>
      <c r="F1690" s="248"/>
      <c r="G1690" s="248"/>
      <c r="H1690" s="283"/>
      <c r="I1690" s="199"/>
      <c r="J1690" s="199"/>
      <c r="K1690" s="199"/>
      <c r="L1690" s="248"/>
      <c r="M1690" s="248"/>
      <c r="N1690" s="248"/>
      <c r="O1690" s="248"/>
    </row>
    <row r="1691">
      <c r="A1691" s="199"/>
      <c r="B1691" s="199"/>
      <c r="C1691" s="199"/>
      <c r="D1691" s="248"/>
      <c r="E1691" s="248"/>
      <c r="F1691" s="248"/>
      <c r="G1691" s="248"/>
      <c r="H1691" s="283"/>
      <c r="I1691" s="199"/>
      <c r="J1691" s="199"/>
      <c r="K1691" s="199"/>
      <c r="L1691" s="248"/>
      <c r="M1691" s="248"/>
      <c r="N1691" s="248"/>
      <c r="O1691" s="248"/>
    </row>
    <row r="1692">
      <c r="A1692" s="199"/>
      <c r="B1692" s="199"/>
      <c r="C1692" s="199"/>
      <c r="D1692" s="248"/>
      <c r="E1692" s="248"/>
      <c r="F1692" s="248"/>
      <c r="G1692" s="248"/>
      <c r="H1692" s="283"/>
      <c r="I1692" s="199"/>
      <c r="J1692" s="199"/>
      <c r="K1692" s="199"/>
      <c r="L1692" s="248"/>
      <c r="M1692" s="248"/>
      <c r="N1692" s="248"/>
      <c r="O1692" s="248"/>
    </row>
    <row r="1693">
      <c r="A1693" s="199"/>
      <c r="B1693" s="199"/>
      <c r="C1693" s="199"/>
      <c r="D1693" s="248"/>
      <c r="E1693" s="248"/>
      <c r="F1693" s="248"/>
      <c r="G1693" s="248"/>
      <c r="H1693" s="283"/>
      <c r="I1693" s="199"/>
      <c r="J1693" s="199"/>
      <c r="K1693" s="199"/>
      <c r="L1693" s="248"/>
      <c r="M1693" s="248"/>
      <c r="N1693" s="248"/>
      <c r="O1693" s="248"/>
    </row>
    <row r="1694">
      <c r="A1694" s="199"/>
      <c r="B1694" s="199"/>
      <c r="C1694" s="199"/>
      <c r="D1694" s="248"/>
      <c r="E1694" s="248"/>
      <c r="F1694" s="248"/>
      <c r="G1694" s="248"/>
      <c r="H1694" s="283"/>
      <c r="I1694" s="199"/>
      <c r="J1694" s="199"/>
      <c r="K1694" s="199"/>
      <c r="L1694" s="248"/>
      <c r="M1694" s="248"/>
      <c r="N1694" s="248"/>
      <c r="O1694" s="248"/>
    </row>
    <row r="1695">
      <c r="A1695" s="199"/>
      <c r="B1695" s="199"/>
      <c r="C1695" s="199"/>
      <c r="D1695" s="248"/>
      <c r="E1695" s="248"/>
      <c r="F1695" s="248"/>
      <c r="G1695" s="248"/>
      <c r="H1695" s="283"/>
      <c r="I1695" s="199"/>
      <c r="J1695" s="199"/>
      <c r="K1695" s="199"/>
      <c r="L1695" s="248"/>
      <c r="M1695" s="248"/>
      <c r="N1695" s="248"/>
      <c r="O1695" s="248"/>
    </row>
    <row r="1696">
      <c r="A1696" s="199"/>
      <c r="B1696" s="199"/>
      <c r="C1696" s="199"/>
      <c r="D1696" s="248"/>
      <c r="E1696" s="248"/>
      <c r="F1696" s="248"/>
      <c r="G1696" s="248"/>
      <c r="H1696" s="283"/>
      <c r="I1696" s="199"/>
      <c r="J1696" s="199"/>
      <c r="K1696" s="199"/>
      <c r="L1696" s="248"/>
      <c r="M1696" s="248"/>
      <c r="N1696" s="248"/>
      <c r="O1696" s="248"/>
    </row>
    <row r="1697">
      <c r="A1697" s="199"/>
      <c r="B1697" s="199"/>
      <c r="C1697" s="199"/>
      <c r="D1697" s="248"/>
      <c r="E1697" s="248"/>
      <c r="F1697" s="248"/>
      <c r="G1697" s="248"/>
      <c r="H1697" s="283"/>
      <c r="I1697" s="199"/>
      <c r="J1697" s="199"/>
      <c r="K1697" s="199"/>
      <c r="L1697" s="248"/>
      <c r="M1697" s="248"/>
      <c r="N1697" s="248"/>
      <c r="O1697" s="248"/>
    </row>
    <row r="1698">
      <c r="A1698" s="199"/>
      <c r="B1698" s="199"/>
      <c r="C1698" s="199"/>
      <c r="D1698" s="248"/>
      <c r="E1698" s="248"/>
      <c r="F1698" s="248"/>
      <c r="G1698" s="248"/>
      <c r="H1698" s="283"/>
      <c r="I1698" s="199"/>
      <c r="J1698" s="199"/>
      <c r="K1698" s="199"/>
      <c r="L1698" s="248"/>
      <c r="M1698" s="248"/>
      <c r="N1698" s="248"/>
      <c r="O1698" s="248"/>
    </row>
    <row r="1699">
      <c r="A1699" s="199"/>
      <c r="B1699" s="199"/>
      <c r="C1699" s="199"/>
      <c r="D1699" s="248"/>
      <c r="E1699" s="248"/>
      <c r="F1699" s="248"/>
      <c r="G1699" s="248"/>
      <c r="H1699" s="283"/>
      <c r="I1699" s="199"/>
      <c r="J1699" s="199"/>
      <c r="K1699" s="199"/>
      <c r="L1699" s="248"/>
      <c r="M1699" s="248"/>
      <c r="N1699" s="248"/>
      <c r="O1699" s="248"/>
    </row>
    <row r="1700">
      <c r="A1700" s="199"/>
      <c r="B1700" s="199"/>
      <c r="C1700" s="199"/>
      <c r="D1700" s="248"/>
      <c r="E1700" s="248"/>
      <c r="F1700" s="248"/>
      <c r="G1700" s="248"/>
      <c r="H1700" s="283"/>
      <c r="I1700" s="199"/>
      <c r="J1700" s="199"/>
      <c r="K1700" s="199"/>
      <c r="L1700" s="248"/>
      <c r="M1700" s="248"/>
      <c r="N1700" s="248"/>
      <c r="O1700" s="248"/>
    </row>
    <row r="1701">
      <c r="A1701" s="199"/>
      <c r="B1701" s="199"/>
      <c r="C1701" s="199"/>
      <c r="D1701" s="248"/>
      <c r="E1701" s="248"/>
      <c r="F1701" s="248"/>
      <c r="G1701" s="248"/>
      <c r="H1701" s="283"/>
      <c r="I1701" s="199"/>
      <c r="J1701" s="199"/>
      <c r="K1701" s="199"/>
      <c r="L1701" s="248"/>
      <c r="M1701" s="248"/>
      <c r="N1701" s="248"/>
      <c r="O1701" s="248"/>
    </row>
    <row r="1702">
      <c r="A1702" s="199"/>
      <c r="B1702" s="199"/>
      <c r="C1702" s="199"/>
      <c r="D1702" s="248"/>
      <c r="E1702" s="248"/>
      <c r="F1702" s="248"/>
      <c r="G1702" s="248"/>
      <c r="H1702" s="283"/>
      <c r="I1702" s="199"/>
      <c r="J1702" s="199"/>
      <c r="K1702" s="199"/>
      <c r="L1702" s="248"/>
      <c r="M1702" s="248"/>
      <c r="N1702" s="248"/>
      <c r="O1702" s="248"/>
    </row>
    <row r="1703">
      <c r="A1703" s="199"/>
      <c r="B1703" s="199"/>
      <c r="C1703" s="199"/>
      <c r="D1703" s="248"/>
      <c r="E1703" s="248"/>
      <c r="F1703" s="248"/>
      <c r="G1703" s="248"/>
      <c r="H1703" s="283"/>
      <c r="I1703" s="199"/>
      <c r="J1703" s="199"/>
      <c r="K1703" s="199"/>
      <c r="L1703" s="248"/>
      <c r="M1703" s="248"/>
      <c r="N1703" s="248"/>
      <c r="O1703" s="248"/>
    </row>
    <row r="1704">
      <c r="A1704" s="199"/>
      <c r="B1704" s="199"/>
      <c r="C1704" s="199"/>
      <c r="D1704" s="248"/>
      <c r="E1704" s="248"/>
      <c r="F1704" s="248"/>
      <c r="G1704" s="248"/>
      <c r="H1704" s="283"/>
      <c r="I1704" s="199"/>
      <c r="J1704" s="199"/>
      <c r="K1704" s="199"/>
      <c r="L1704" s="248"/>
      <c r="M1704" s="248"/>
      <c r="N1704" s="248"/>
      <c r="O1704" s="248"/>
    </row>
    <row r="1705">
      <c r="A1705" s="199"/>
      <c r="B1705" s="199"/>
      <c r="C1705" s="199"/>
      <c r="D1705" s="248"/>
      <c r="E1705" s="248"/>
      <c r="F1705" s="248"/>
      <c r="G1705" s="248"/>
      <c r="H1705" s="283"/>
      <c r="I1705" s="199"/>
      <c r="J1705" s="199"/>
      <c r="K1705" s="199"/>
      <c r="L1705" s="248"/>
      <c r="M1705" s="248"/>
      <c r="N1705" s="248"/>
      <c r="O1705" s="248"/>
    </row>
    <row r="1706">
      <c r="A1706" s="199"/>
      <c r="B1706" s="199"/>
      <c r="C1706" s="199"/>
      <c r="D1706" s="248"/>
      <c r="E1706" s="248"/>
      <c r="F1706" s="248"/>
      <c r="G1706" s="248"/>
      <c r="H1706" s="283"/>
      <c r="I1706" s="199"/>
      <c r="J1706" s="199"/>
      <c r="K1706" s="199"/>
      <c r="L1706" s="248"/>
      <c r="M1706" s="248"/>
      <c r="N1706" s="248"/>
      <c r="O1706" s="248"/>
    </row>
    <row r="1707">
      <c r="A1707" s="199"/>
      <c r="B1707" s="199"/>
      <c r="C1707" s="199"/>
      <c r="D1707" s="248"/>
      <c r="E1707" s="248"/>
      <c r="F1707" s="248"/>
      <c r="G1707" s="248"/>
      <c r="H1707" s="283"/>
      <c r="I1707" s="199"/>
      <c r="J1707" s="199"/>
      <c r="K1707" s="199"/>
      <c r="L1707" s="248"/>
      <c r="M1707" s="248"/>
      <c r="N1707" s="248"/>
      <c r="O1707" s="248"/>
    </row>
    <row r="1708">
      <c r="A1708" s="199"/>
      <c r="B1708" s="199"/>
      <c r="C1708" s="199"/>
      <c r="D1708" s="248"/>
      <c r="E1708" s="248"/>
      <c r="F1708" s="248"/>
      <c r="G1708" s="248"/>
      <c r="H1708" s="283"/>
      <c r="I1708" s="199"/>
      <c r="J1708" s="199"/>
      <c r="K1708" s="199"/>
      <c r="L1708" s="248"/>
      <c r="M1708" s="248"/>
      <c r="N1708" s="248"/>
      <c r="O1708" s="248"/>
    </row>
    <row r="1709">
      <c r="A1709" s="199"/>
      <c r="B1709" s="199"/>
      <c r="C1709" s="199"/>
      <c r="D1709" s="248"/>
      <c r="E1709" s="248"/>
      <c r="F1709" s="248"/>
      <c r="G1709" s="248"/>
      <c r="H1709" s="283"/>
      <c r="I1709" s="199"/>
      <c r="J1709" s="199"/>
      <c r="K1709" s="199"/>
      <c r="L1709" s="248"/>
      <c r="M1709" s="248"/>
      <c r="N1709" s="248"/>
      <c r="O1709" s="248"/>
    </row>
    <row r="1710">
      <c r="A1710" s="199"/>
      <c r="B1710" s="199"/>
      <c r="C1710" s="199"/>
      <c r="D1710" s="248"/>
      <c r="E1710" s="248"/>
      <c r="F1710" s="248"/>
      <c r="G1710" s="248"/>
      <c r="H1710" s="283"/>
      <c r="I1710" s="199"/>
      <c r="J1710" s="199"/>
      <c r="K1710" s="199"/>
      <c r="L1710" s="248"/>
      <c r="M1710" s="248"/>
      <c r="N1710" s="248"/>
      <c r="O1710" s="248"/>
    </row>
    <row r="1711">
      <c r="A1711" s="199"/>
      <c r="B1711" s="199"/>
      <c r="C1711" s="199"/>
      <c r="D1711" s="248"/>
      <c r="E1711" s="248"/>
      <c r="F1711" s="248"/>
      <c r="G1711" s="248"/>
      <c r="H1711" s="283"/>
      <c r="I1711" s="199"/>
      <c r="J1711" s="199"/>
      <c r="K1711" s="199"/>
      <c r="L1711" s="248"/>
      <c r="M1711" s="248"/>
      <c r="N1711" s="248"/>
      <c r="O1711" s="248"/>
    </row>
    <row r="1712">
      <c r="A1712" s="199"/>
      <c r="B1712" s="199"/>
      <c r="C1712" s="199"/>
      <c r="D1712" s="248"/>
      <c r="E1712" s="248"/>
      <c r="F1712" s="248"/>
      <c r="G1712" s="248"/>
      <c r="H1712" s="283"/>
      <c r="I1712" s="199"/>
      <c r="J1712" s="199"/>
      <c r="K1712" s="199"/>
      <c r="L1712" s="248"/>
      <c r="M1712" s="248"/>
      <c r="N1712" s="248"/>
      <c r="O1712" s="248"/>
    </row>
    <row r="1713">
      <c r="A1713" s="199"/>
      <c r="B1713" s="199"/>
      <c r="C1713" s="199"/>
      <c r="D1713" s="248"/>
      <c r="E1713" s="248"/>
      <c r="F1713" s="248"/>
      <c r="G1713" s="248"/>
      <c r="H1713" s="283"/>
      <c r="I1713" s="199"/>
      <c r="J1713" s="199"/>
      <c r="K1713" s="199"/>
      <c r="L1713" s="248"/>
      <c r="M1713" s="248"/>
      <c r="N1713" s="248"/>
      <c r="O1713" s="248"/>
    </row>
    <row r="1714">
      <c r="A1714" s="199"/>
      <c r="B1714" s="199"/>
      <c r="C1714" s="199"/>
      <c r="D1714" s="248"/>
      <c r="E1714" s="248"/>
      <c r="F1714" s="248"/>
      <c r="G1714" s="248"/>
      <c r="H1714" s="283"/>
      <c r="I1714" s="199"/>
      <c r="J1714" s="199"/>
      <c r="K1714" s="199"/>
      <c r="L1714" s="248"/>
      <c r="M1714" s="248"/>
      <c r="N1714" s="248"/>
      <c r="O1714" s="248"/>
    </row>
    <row r="1715">
      <c r="A1715" s="199"/>
      <c r="B1715" s="199"/>
      <c r="C1715" s="199"/>
      <c r="D1715" s="248"/>
      <c r="E1715" s="248"/>
      <c r="F1715" s="248"/>
      <c r="G1715" s="248"/>
      <c r="H1715" s="283"/>
      <c r="I1715" s="199"/>
      <c r="J1715" s="199"/>
      <c r="K1715" s="199"/>
      <c r="L1715" s="248"/>
      <c r="M1715" s="248"/>
      <c r="N1715" s="248"/>
      <c r="O1715" s="248"/>
    </row>
    <row r="1716">
      <c r="A1716" s="199"/>
      <c r="B1716" s="199"/>
      <c r="C1716" s="199"/>
      <c r="D1716" s="248"/>
      <c r="E1716" s="248"/>
      <c r="F1716" s="248"/>
      <c r="G1716" s="248"/>
      <c r="H1716" s="283"/>
      <c r="I1716" s="199"/>
      <c r="J1716" s="199"/>
      <c r="K1716" s="199"/>
      <c r="L1716" s="248"/>
      <c r="M1716" s="248"/>
      <c r="N1716" s="248"/>
      <c r="O1716" s="248"/>
    </row>
    <row r="1717">
      <c r="A1717" s="199"/>
      <c r="B1717" s="199"/>
      <c r="C1717" s="199"/>
      <c r="D1717" s="248"/>
      <c r="E1717" s="248"/>
      <c r="F1717" s="248"/>
      <c r="G1717" s="248"/>
      <c r="H1717" s="283"/>
      <c r="I1717" s="199"/>
      <c r="J1717" s="199"/>
      <c r="K1717" s="199"/>
      <c r="L1717" s="248"/>
      <c r="M1717" s="248"/>
      <c r="N1717" s="248"/>
      <c r="O1717" s="248"/>
    </row>
    <row r="1718">
      <c r="A1718" s="199"/>
      <c r="B1718" s="199"/>
      <c r="C1718" s="199"/>
      <c r="D1718" s="248"/>
      <c r="E1718" s="248"/>
      <c r="F1718" s="248"/>
      <c r="G1718" s="248"/>
      <c r="H1718" s="283"/>
      <c r="I1718" s="199"/>
      <c r="J1718" s="199"/>
      <c r="K1718" s="199"/>
      <c r="L1718" s="248"/>
      <c r="M1718" s="248"/>
      <c r="N1718" s="248"/>
      <c r="O1718" s="248"/>
    </row>
    <row r="1719">
      <c r="A1719" s="199"/>
      <c r="B1719" s="199"/>
      <c r="C1719" s="199"/>
      <c r="D1719" s="248"/>
      <c r="E1719" s="248"/>
      <c r="F1719" s="248"/>
      <c r="G1719" s="248"/>
      <c r="H1719" s="283"/>
      <c r="I1719" s="199"/>
      <c r="J1719" s="199"/>
      <c r="K1719" s="199"/>
      <c r="L1719" s="248"/>
      <c r="M1719" s="248"/>
      <c r="N1719" s="248"/>
      <c r="O1719" s="248"/>
    </row>
    <row r="1720">
      <c r="A1720" s="199"/>
      <c r="B1720" s="199"/>
      <c r="C1720" s="199"/>
      <c r="D1720" s="248"/>
      <c r="E1720" s="248"/>
      <c r="F1720" s="248"/>
      <c r="G1720" s="248"/>
      <c r="H1720" s="283"/>
      <c r="I1720" s="199"/>
      <c r="J1720" s="199"/>
      <c r="K1720" s="199"/>
      <c r="L1720" s="248"/>
      <c r="M1720" s="248"/>
      <c r="N1720" s="248"/>
      <c r="O1720" s="248"/>
    </row>
    <row r="1721">
      <c r="A1721" s="199"/>
      <c r="B1721" s="199"/>
      <c r="C1721" s="199"/>
      <c r="D1721" s="248"/>
      <c r="E1721" s="248"/>
      <c r="F1721" s="248"/>
      <c r="G1721" s="248"/>
      <c r="H1721" s="283"/>
      <c r="I1721" s="199"/>
      <c r="J1721" s="199"/>
      <c r="K1721" s="199"/>
      <c r="L1721" s="248"/>
      <c r="M1721" s="248"/>
      <c r="N1721" s="248"/>
      <c r="O1721" s="248"/>
    </row>
    <row r="1722">
      <c r="A1722" s="199"/>
      <c r="B1722" s="199"/>
      <c r="C1722" s="199"/>
      <c r="D1722" s="248"/>
      <c r="E1722" s="248"/>
      <c r="F1722" s="248"/>
      <c r="G1722" s="248"/>
      <c r="H1722" s="283"/>
      <c r="I1722" s="199"/>
      <c r="J1722" s="199"/>
      <c r="K1722" s="199"/>
      <c r="L1722" s="248"/>
      <c r="M1722" s="248"/>
      <c r="N1722" s="248"/>
      <c r="O1722" s="248"/>
    </row>
    <row r="1723">
      <c r="A1723" s="199"/>
      <c r="B1723" s="199"/>
      <c r="C1723" s="199"/>
      <c r="D1723" s="248"/>
      <c r="E1723" s="248"/>
      <c r="F1723" s="248"/>
      <c r="G1723" s="248"/>
      <c r="H1723" s="283"/>
      <c r="I1723" s="199"/>
      <c r="J1723" s="199"/>
      <c r="K1723" s="199"/>
      <c r="L1723" s="248"/>
      <c r="M1723" s="248"/>
      <c r="N1723" s="248"/>
      <c r="O1723" s="248"/>
    </row>
    <row r="1724">
      <c r="A1724" s="199"/>
      <c r="B1724" s="199"/>
      <c r="C1724" s="199"/>
      <c r="D1724" s="248"/>
      <c r="E1724" s="248"/>
      <c r="F1724" s="248"/>
      <c r="G1724" s="248"/>
      <c r="H1724" s="283"/>
      <c r="I1724" s="199"/>
      <c r="J1724" s="199"/>
      <c r="K1724" s="199"/>
      <c r="L1724" s="248"/>
      <c r="M1724" s="248"/>
      <c r="N1724" s="248"/>
      <c r="O1724" s="248"/>
    </row>
    <row r="1725">
      <c r="A1725" s="199"/>
      <c r="B1725" s="199"/>
      <c r="C1725" s="199"/>
      <c r="D1725" s="248"/>
      <c r="E1725" s="248"/>
      <c r="F1725" s="248"/>
      <c r="G1725" s="248"/>
      <c r="H1725" s="283"/>
      <c r="I1725" s="199"/>
      <c r="J1725" s="199"/>
      <c r="K1725" s="199"/>
      <c r="L1725" s="248"/>
      <c r="M1725" s="248"/>
      <c r="N1725" s="248"/>
      <c r="O1725" s="248"/>
    </row>
    <row r="1726">
      <c r="A1726" s="199"/>
      <c r="B1726" s="199"/>
      <c r="C1726" s="199"/>
      <c r="D1726" s="248"/>
      <c r="E1726" s="248"/>
      <c r="F1726" s="248"/>
      <c r="G1726" s="248"/>
      <c r="H1726" s="283"/>
      <c r="I1726" s="199"/>
      <c r="J1726" s="199"/>
      <c r="K1726" s="199"/>
      <c r="L1726" s="248"/>
      <c r="M1726" s="248"/>
      <c r="N1726" s="248"/>
      <c r="O1726" s="248"/>
    </row>
    <row r="1727">
      <c r="A1727" s="199"/>
      <c r="B1727" s="199"/>
      <c r="C1727" s="199"/>
      <c r="D1727" s="248"/>
      <c r="E1727" s="248"/>
      <c r="F1727" s="248"/>
      <c r="G1727" s="248"/>
      <c r="H1727" s="283"/>
      <c r="I1727" s="199"/>
      <c r="J1727" s="199"/>
      <c r="K1727" s="199"/>
      <c r="L1727" s="248"/>
      <c r="M1727" s="248"/>
      <c r="N1727" s="248"/>
      <c r="O1727" s="248"/>
    </row>
    <row r="1728">
      <c r="A1728" s="199"/>
      <c r="B1728" s="199"/>
      <c r="C1728" s="199"/>
      <c r="D1728" s="248"/>
      <c r="E1728" s="248"/>
      <c r="F1728" s="248"/>
      <c r="G1728" s="248"/>
      <c r="H1728" s="283"/>
      <c r="I1728" s="199"/>
      <c r="J1728" s="199"/>
      <c r="K1728" s="199"/>
      <c r="L1728" s="248"/>
      <c r="M1728" s="248"/>
      <c r="N1728" s="248"/>
      <c r="O1728" s="248"/>
    </row>
    <row r="1729">
      <c r="A1729" s="199"/>
      <c r="B1729" s="199"/>
      <c r="C1729" s="199"/>
      <c r="D1729" s="248"/>
      <c r="E1729" s="248"/>
      <c r="F1729" s="248"/>
      <c r="G1729" s="248"/>
      <c r="H1729" s="283"/>
      <c r="I1729" s="199"/>
      <c r="J1729" s="199"/>
      <c r="K1729" s="199"/>
      <c r="L1729" s="248"/>
      <c r="M1729" s="248"/>
      <c r="N1729" s="248"/>
      <c r="O1729" s="248"/>
    </row>
    <row r="1730">
      <c r="A1730" s="199"/>
      <c r="B1730" s="199"/>
      <c r="C1730" s="199"/>
      <c r="D1730" s="248"/>
      <c r="E1730" s="248"/>
      <c r="F1730" s="248"/>
      <c r="G1730" s="248"/>
      <c r="H1730" s="283"/>
      <c r="I1730" s="199"/>
      <c r="J1730" s="199"/>
      <c r="K1730" s="199"/>
      <c r="L1730" s="248"/>
      <c r="M1730" s="248"/>
      <c r="N1730" s="248"/>
      <c r="O1730" s="248"/>
    </row>
    <row r="1731">
      <c r="A1731" s="199"/>
      <c r="B1731" s="199"/>
      <c r="C1731" s="199"/>
      <c r="D1731" s="248"/>
      <c r="E1731" s="248"/>
      <c r="F1731" s="248"/>
      <c r="G1731" s="248"/>
      <c r="H1731" s="283"/>
      <c r="I1731" s="199"/>
      <c r="J1731" s="199"/>
      <c r="K1731" s="199"/>
      <c r="L1731" s="248"/>
      <c r="M1731" s="248"/>
      <c r="N1731" s="248"/>
      <c r="O1731" s="248"/>
    </row>
    <row r="1732">
      <c r="A1732" s="199"/>
      <c r="B1732" s="199"/>
      <c r="C1732" s="199"/>
      <c r="D1732" s="248"/>
      <c r="E1732" s="248"/>
      <c r="F1732" s="248"/>
      <c r="G1732" s="248"/>
      <c r="H1732" s="283"/>
      <c r="I1732" s="199"/>
      <c r="J1732" s="199"/>
      <c r="K1732" s="199"/>
      <c r="L1732" s="248"/>
      <c r="M1732" s="248"/>
      <c r="N1732" s="248"/>
      <c r="O1732" s="248"/>
    </row>
    <row r="1733">
      <c r="A1733" s="199"/>
      <c r="B1733" s="199"/>
      <c r="C1733" s="199"/>
      <c r="D1733" s="248"/>
      <c r="E1733" s="248"/>
      <c r="F1733" s="248"/>
      <c r="G1733" s="248"/>
      <c r="H1733" s="283"/>
      <c r="I1733" s="199"/>
      <c r="J1733" s="199"/>
      <c r="K1733" s="199"/>
      <c r="L1733" s="248"/>
      <c r="M1733" s="248"/>
      <c r="N1733" s="248"/>
      <c r="O1733" s="248"/>
    </row>
    <row r="1734">
      <c r="A1734" s="199"/>
      <c r="B1734" s="199"/>
      <c r="C1734" s="199"/>
      <c r="D1734" s="248"/>
      <c r="E1734" s="248"/>
      <c r="F1734" s="248"/>
      <c r="G1734" s="248"/>
      <c r="H1734" s="283"/>
      <c r="I1734" s="199"/>
      <c r="J1734" s="199"/>
      <c r="K1734" s="199"/>
      <c r="L1734" s="248"/>
      <c r="M1734" s="248"/>
      <c r="N1734" s="248"/>
      <c r="O1734" s="248"/>
    </row>
    <row r="1735">
      <c r="A1735" s="199"/>
      <c r="B1735" s="199"/>
      <c r="C1735" s="199"/>
      <c r="D1735" s="248"/>
      <c r="E1735" s="248"/>
      <c r="F1735" s="248"/>
      <c r="G1735" s="248"/>
      <c r="H1735" s="283"/>
      <c r="I1735" s="199"/>
      <c r="J1735" s="199"/>
      <c r="K1735" s="199"/>
      <c r="L1735" s="248"/>
      <c r="M1735" s="248"/>
      <c r="N1735" s="248"/>
      <c r="O1735" s="248"/>
    </row>
    <row r="1736">
      <c r="A1736" s="199"/>
      <c r="B1736" s="199"/>
      <c r="C1736" s="199"/>
      <c r="D1736" s="248"/>
      <c r="E1736" s="248"/>
      <c r="F1736" s="248"/>
      <c r="G1736" s="248"/>
      <c r="H1736" s="283"/>
      <c r="I1736" s="199"/>
      <c r="J1736" s="199"/>
      <c r="K1736" s="199"/>
      <c r="L1736" s="248"/>
      <c r="M1736" s="248"/>
      <c r="N1736" s="248"/>
      <c r="O1736" s="248"/>
    </row>
    <row r="1737">
      <c r="A1737" s="199"/>
      <c r="B1737" s="199"/>
      <c r="C1737" s="199"/>
      <c r="D1737" s="248"/>
      <c r="E1737" s="248"/>
      <c r="F1737" s="248"/>
      <c r="G1737" s="248"/>
      <c r="H1737" s="283"/>
      <c r="I1737" s="199"/>
      <c r="J1737" s="199"/>
      <c r="K1737" s="199"/>
      <c r="L1737" s="248"/>
      <c r="M1737" s="248"/>
      <c r="N1737" s="248"/>
      <c r="O1737" s="248"/>
    </row>
    <row r="1738">
      <c r="A1738" s="199"/>
      <c r="B1738" s="199"/>
      <c r="C1738" s="199"/>
      <c r="D1738" s="248"/>
      <c r="E1738" s="248"/>
      <c r="F1738" s="248"/>
      <c r="G1738" s="248"/>
      <c r="H1738" s="283"/>
      <c r="I1738" s="199"/>
      <c r="J1738" s="199"/>
      <c r="K1738" s="199"/>
      <c r="L1738" s="248"/>
      <c r="M1738" s="248"/>
      <c r="N1738" s="248"/>
      <c r="O1738" s="248"/>
    </row>
    <row r="1739">
      <c r="A1739" s="199"/>
      <c r="B1739" s="199"/>
      <c r="C1739" s="199"/>
      <c r="D1739" s="248"/>
      <c r="E1739" s="248"/>
      <c r="F1739" s="248"/>
      <c r="G1739" s="248"/>
      <c r="H1739" s="283"/>
      <c r="I1739" s="199"/>
      <c r="J1739" s="199"/>
      <c r="K1739" s="199"/>
      <c r="L1739" s="248"/>
      <c r="M1739" s="248"/>
      <c r="N1739" s="248"/>
      <c r="O1739" s="248"/>
    </row>
    <row r="1740">
      <c r="A1740" s="199"/>
      <c r="B1740" s="199"/>
      <c r="C1740" s="199"/>
      <c r="D1740" s="248"/>
      <c r="E1740" s="248"/>
      <c r="F1740" s="248"/>
      <c r="G1740" s="248"/>
      <c r="H1740" s="283"/>
      <c r="I1740" s="199"/>
      <c r="J1740" s="199"/>
      <c r="K1740" s="199"/>
      <c r="L1740" s="248"/>
      <c r="M1740" s="248"/>
      <c r="N1740" s="248"/>
      <c r="O1740" s="248"/>
    </row>
    <row r="1741">
      <c r="A1741" s="199"/>
      <c r="B1741" s="199"/>
      <c r="C1741" s="199"/>
      <c r="D1741" s="248"/>
      <c r="E1741" s="248"/>
      <c r="F1741" s="248"/>
      <c r="G1741" s="248"/>
      <c r="H1741" s="283"/>
      <c r="I1741" s="199"/>
      <c r="J1741" s="199"/>
      <c r="K1741" s="199"/>
      <c r="L1741" s="248"/>
      <c r="M1741" s="248"/>
      <c r="N1741" s="248"/>
      <c r="O1741" s="248"/>
    </row>
    <row r="1742">
      <c r="A1742" s="199"/>
      <c r="B1742" s="199"/>
      <c r="C1742" s="199"/>
      <c r="D1742" s="248"/>
      <c r="E1742" s="248"/>
      <c r="F1742" s="248"/>
      <c r="G1742" s="248"/>
      <c r="H1742" s="283"/>
      <c r="I1742" s="199"/>
      <c r="J1742" s="199"/>
      <c r="K1742" s="199"/>
      <c r="L1742" s="248"/>
      <c r="M1742" s="248"/>
      <c r="N1742" s="248"/>
      <c r="O1742" s="248"/>
    </row>
    <row r="1743">
      <c r="A1743" s="199"/>
      <c r="B1743" s="199"/>
      <c r="C1743" s="199"/>
      <c r="D1743" s="248"/>
      <c r="E1743" s="248"/>
      <c r="F1743" s="248"/>
      <c r="G1743" s="248"/>
      <c r="H1743" s="283"/>
      <c r="I1743" s="199"/>
      <c r="J1743" s="199"/>
      <c r="K1743" s="199"/>
      <c r="L1743" s="248"/>
      <c r="M1743" s="248"/>
      <c r="N1743" s="248"/>
      <c r="O1743" s="248"/>
    </row>
  </sheetData>
  <mergeCells count="1545">
    <mergeCell ref="I215:J215"/>
    <mergeCell ref="I216:K216"/>
    <mergeCell ref="I209:J209"/>
    <mergeCell ref="I210:J210"/>
    <mergeCell ref="L210:L216"/>
    <mergeCell ref="I211:J211"/>
    <mergeCell ref="I212:J212"/>
    <mergeCell ref="I213:J213"/>
    <mergeCell ref="I214:J214"/>
    <mergeCell ref="Q179:R179"/>
    <mergeCell ref="Q180:R180"/>
    <mergeCell ref="Q178:R178"/>
    <mergeCell ref="Q181:R181"/>
    <mergeCell ref="Q182:R182"/>
    <mergeCell ref="Q183:R183"/>
    <mergeCell ref="Q184:R184"/>
    <mergeCell ref="I178:J178"/>
    <mergeCell ref="I179:J179"/>
    <mergeCell ref="L179:L185"/>
    <mergeCell ref="O179:O181"/>
    <mergeCell ref="I180:J180"/>
    <mergeCell ref="I181:J181"/>
    <mergeCell ref="I182:J182"/>
    <mergeCell ref="I185:K185"/>
    <mergeCell ref="I183:J183"/>
    <mergeCell ref="I184:J184"/>
    <mergeCell ref="I188:K190"/>
    <mergeCell ref="I198:L198"/>
    <mergeCell ref="I199:K199"/>
    <mergeCell ref="I200:K200"/>
    <mergeCell ref="I201:J201"/>
    <mergeCell ref="I202:J202"/>
    <mergeCell ref="I203:J203"/>
    <mergeCell ref="I204:J204"/>
    <mergeCell ref="I205:J205"/>
    <mergeCell ref="I206:J206"/>
    <mergeCell ref="I207:K207"/>
    <mergeCell ref="I208:K208"/>
    <mergeCell ref="M210:N212"/>
    <mergeCell ref="M213:O216"/>
    <mergeCell ref="M179:N181"/>
    <mergeCell ref="M182:O185"/>
    <mergeCell ref="M188:O188"/>
    <mergeCell ref="M189:O189"/>
    <mergeCell ref="M190:O190"/>
    <mergeCell ref="L199:O209"/>
    <mergeCell ref="O210:O212"/>
    <mergeCell ref="E148:F150"/>
    <mergeCell ref="E151:G154"/>
    <mergeCell ref="E157:G157"/>
    <mergeCell ref="E158:G158"/>
    <mergeCell ref="E159:G159"/>
    <mergeCell ref="I151:J151"/>
    <mergeCell ref="I152:J152"/>
    <mergeCell ref="I157:K159"/>
    <mergeCell ref="A153:B153"/>
    <mergeCell ref="I153:J153"/>
    <mergeCell ref="A154:C154"/>
    <mergeCell ref="I154:K154"/>
    <mergeCell ref="D148:D154"/>
    <mergeCell ref="G148:G150"/>
    <mergeCell ref="I148:J148"/>
    <mergeCell ref="L148:L154"/>
    <mergeCell ref="O148:O150"/>
    <mergeCell ref="A151:B151"/>
    <mergeCell ref="A152:B152"/>
    <mergeCell ref="U158:W158"/>
    <mergeCell ref="U159:W159"/>
    <mergeCell ref="M148:N150"/>
    <mergeCell ref="M151:O154"/>
    <mergeCell ref="M157:O157"/>
    <mergeCell ref="Q157:S159"/>
    <mergeCell ref="U157:W157"/>
    <mergeCell ref="M158:O158"/>
    <mergeCell ref="M159:O159"/>
    <mergeCell ref="A1:C1"/>
    <mergeCell ref="D1:L1"/>
    <mergeCell ref="N2:O2"/>
    <mergeCell ref="N3:O3"/>
    <mergeCell ref="N4:O4"/>
    <mergeCell ref="N5:O5"/>
    <mergeCell ref="N6:O6"/>
    <mergeCell ref="N7:O7"/>
    <mergeCell ref="N8:O8"/>
    <mergeCell ref="N9:O9"/>
    <mergeCell ref="N10:O10"/>
    <mergeCell ref="N11:O11"/>
    <mergeCell ref="N12:O12"/>
    <mergeCell ref="N13:O13"/>
    <mergeCell ref="N21:O21"/>
    <mergeCell ref="N22:O22"/>
    <mergeCell ref="S22:U22"/>
    <mergeCell ref="N14:O14"/>
    <mergeCell ref="N15:O15"/>
    <mergeCell ref="N16:O16"/>
    <mergeCell ref="N17:O17"/>
    <mergeCell ref="N18:O18"/>
    <mergeCell ref="N19:O19"/>
    <mergeCell ref="N20:O20"/>
    <mergeCell ref="E126:G126"/>
    <mergeCell ref="I126:K128"/>
    <mergeCell ref="M126:O126"/>
    <mergeCell ref="E127:G127"/>
    <mergeCell ref="M127:O127"/>
    <mergeCell ref="E128:G128"/>
    <mergeCell ref="M128:O128"/>
    <mergeCell ref="A126:C128"/>
    <mergeCell ref="A136:D136"/>
    <mergeCell ref="A137:C137"/>
    <mergeCell ref="A138:C138"/>
    <mergeCell ref="A139:B139"/>
    <mergeCell ref="A140:B140"/>
    <mergeCell ref="A141:B141"/>
    <mergeCell ref="I149:J149"/>
    <mergeCell ref="I150:J150"/>
    <mergeCell ref="I142:J142"/>
    <mergeCell ref="I143:J143"/>
    <mergeCell ref="I144:J144"/>
    <mergeCell ref="I145:K145"/>
    <mergeCell ref="I136:L136"/>
    <mergeCell ref="I137:K137"/>
    <mergeCell ref="L137:O147"/>
    <mergeCell ref="I138:K138"/>
    <mergeCell ref="I139:J139"/>
    <mergeCell ref="I140:J140"/>
    <mergeCell ref="I141:J141"/>
    <mergeCell ref="I168:K168"/>
    <mergeCell ref="I169:K169"/>
    <mergeCell ref="I167:L167"/>
    <mergeCell ref="I170:J170"/>
    <mergeCell ref="I172:J172"/>
    <mergeCell ref="Q172:R172"/>
    <mergeCell ref="I173:J173"/>
    <mergeCell ref="Q173:R173"/>
    <mergeCell ref="Q170:R170"/>
    <mergeCell ref="I171:J171"/>
    <mergeCell ref="Q171:R171"/>
    <mergeCell ref="I174:J174"/>
    <mergeCell ref="Q174:R174"/>
    <mergeCell ref="I175:J175"/>
    <mergeCell ref="Q175:R175"/>
    <mergeCell ref="I176:K176"/>
    <mergeCell ref="Q176:S176"/>
    <mergeCell ref="I177:K177"/>
    <mergeCell ref="Q177:S177"/>
    <mergeCell ref="I146:K146"/>
    <mergeCell ref="I147:J147"/>
    <mergeCell ref="Q167:T167"/>
    <mergeCell ref="L168:O178"/>
    <mergeCell ref="Q168:S168"/>
    <mergeCell ref="T168:W178"/>
    <mergeCell ref="Q169:S169"/>
    <mergeCell ref="T179:T185"/>
    <mergeCell ref="U179:V181"/>
    <mergeCell ref="W179:W181"/>
    <mergeCell ref="U182:W185"/>
    <mergeCell ref="Q185:S185"/>
    <mergeCell ref="A142:B142"/>
    <mergeCell ref="A143:B143"/>
    <mergeCell ref="A144:B144"/>
    <mergeCell ref="A145:C145"/>
    <mergeCell ref="A146:C146"/>
    <mergeCell ref="A147:B147"/>
    <mergeCell ref="A148:B148"/>
    <mergeCell ref="A170:B170"/>
    <mergeCell ref="A171:B171"/>
    <mergeCell ref="A172:B172"/>
    <mergeCell ref="A173:B173"/>
    <mergeCell ref="A174:B174"/>
    <mergeCell ref="A175:B175"/>
    <mergeCell ref="A181:B181"/>
    <mergeCell ref="A182:B182"/>
    <mergeCell ref="A180:B180"/>
    <mergeCell ref="A183:B183"/>
    <mergeCell ref="A184:B184"/>
    <mergeCell ref="A185:C185"/>
    <mergeCell ref="A188:C190"/>
    <mergeCell ref="A149:B149"/>
    <mergeCell ref="A150:B150"/>
    <mergeCell ref="A157:C159"/>
    <mergeCell ref="A167:D167"/>
    <mergeCell ref="A168:C168"/>
    <mergeCell ref="D168:G178"/>
    <mergeCell ref="A169:C169"/>
    <mergeCell ref="A178:B178"/>
    <mergeCell ref="A176:C176"/>
    <mergeCell ref="A177:C177"/>
    <mergeCell ref="A179:B179"/>
    <mergeCell ref="D179:D185"/>
    <mergeCell ref="E179:F181"/>
    <mergeCell ref="G179:G181"/>
    <mergeCell ref="E182:G185"/>
    <mergeCell ref="A201:B201"/>
    <mergeCell ref="A202:B202"/>
    <mergeCell ref="A203:B203"/>
    <mergeCell ref="A204:B204"/>
    <mergeCell ref="A205:B205"/>
    <mergeCell ref="A206:B206"/>
    <mergeCell ref="A212:B212"/>
    <mergeCell ref="A213:B213"/>
    <mergeCell ref="A211:B211"/>
    <mergeCell ref="A214:B214"/>
    <mergeCell ref="A229:D229"/>
    <mergeCell ref="A230:C230"/>
    <mergeCell ref="A243:B243"/>
    <mergeCell ref="A244:B244"/>
    <mergeCell ref="A237:B237"/>
    <mergeCell ref="A238:C238"/>
    <mergeCell ref="A239:C239"/>
    <mergeCell ref="A240:B240"/>
    <mergeCell ref="D241:D247"/>
    <mergeCell ref="E241:F243"/>
    <mergeCell ref="G241:G243"/>
    <mergeCell ref="I292:K292"/>
    <mergeCell ref="A293:C293"/>
    <mergeCell ref="I293:K293"/>
    <mergeCell ref="A294:B294"/>
    <mergeCell ref="A295:B295"/>
    <mergeCell ref="A296:B296"/>
    <mergeCell ref="A297:B297"/>
    <mergeCell ref="A298:B298"/>
    <mergeCell ref="I298:J298"/>
    <mergeCell ref="A299:B299"/>
    <mergeCell ref="I299:J299"/>
    <mergeCell ref="A300:C300"/>
    <mergeCell ref="I300:K300"/>
    <mergeCell ref="I301:K301"/>
    <mergeCell ref="A277:B277"/>
    <mergeCell ref="I277:J277"/>
    <mergeCell ref="L272:L278"/>
    <mergeCell ref="O272:O274"/>
    <mergeCell ref="A273:B273"/>
    <mergeCell ref="A274:B274"/>
    <mergeCell ref="A275:B275"/>
    <mergeCell ref="E275:G278"/>
    <mergeCell ref="A276:B276"/>
    <mergeCell ref="A278:C278"/>
    <mergeCell ref="I278:K278"/>
    <mergeCell ref="E281:G281"/>
    <mergeCell ref="I281:K283"/>
    <mergeCell ref="E282:G282"/>
    <mergeCell ref="E283:G283"/>
    <mergeCell ref="I291:L291"/>
    <mergeCell ref="A301:C301"/>
    <mergeCell ref="A302:B302"/>
    <mergeCell ref="A303:B303"/>
    <mergeCell ref="E303:F305"/>
    <mergeCell ref="G303:G305"/>
    <mergeCell ref="E306:G309"/>
    <mergeCell ref="A309:C309"/>
    <mergeCell ref="M303:N305"/>
    <mergeCell ref="O303:O305"/>
    <mergeCell ref="M272:N274"/>
    <mergeCell ref="M275:O278"/>
    <mergeCell ref="M281:O281"/>
    <mergeCell ref="M282:O282"/>
    <mergeCell ref="M283:O283"/>
    <mergeCell ref="L292:O302"/>
    <mergeCell ref="L303:L309"/>
    <mergeCell ref="M306:O309"/>
    <mergeCell ref="I307:J307"/>
    <mergeCell ref="I308:J308"/>
    <mergeCell ref="I309:K309"/>
    <mergeCell ref="A250:C252"/>
    <mergeCell ref="A260:D260"/>
    <mergeCell ref="A261:C261"/>
    <mergeCell ref="A262:C262"/>
    <mergeCell ref="A263:B263"/>
    <mergeCell ref="A264:B264"/>
    <mergeCell ref="A265:B265"/>
    <mergeCell ref="A266:B266"/>
    <mergeCell ref="A267:B267"/>
    <mergeCell ref="A268:B268"/>
    <mergeCell ref="A269:C269"/>
    <mergeCell ref="A270:C270"/>
    <mergeCell ref="A271:B271"/>
    <mergeCell ref="A272:B272"/>
    <mergeCell ref="A307:B307"/>
    <mergeCell ref="A308:B308"/>
    <mergeCell ref="A281:C283"/>
    <mergeCell ref="A291:D291"/>
    <mergeCell ref="A292:C292"/>
    <mergeCell ref="D303:D309"/>
    <mergeCell ref="A304:B304"/>
    <mergeCell ref="A305:B305"/>
    <mergeCell ref="A306:B306"/>
    <mergeCell ref="A312:C314"/>
    <mergeCell ref="A322:D322"/>
    <mergeCell ref="A323:C323"/>
    <mergeCell ref="A324:C324"/>
    <mergeCell ref="A325:B325"/>
    <mergeCell ref="A326:B326"/>
    <mergeCell ref="A327:B327"/>
    <mergeCell ref="A334:B334"/>
    <mergeCell ref="A335:B335"/>
    <mergeCell ref="A336:B336"/>
    <mergeCell ref="A337:B337"/>
    <mergeCell ref="A338:B338"/>
    <mergeCell ref="A339:B339"/>
    <mergeCell ref="A328:B328"/>
    <mergeCell ref="A329:B329"/>
    <mergeCell ref="A330:B330"/>
    <mergeCell ref="A331:C331"/>
    <mergeCell ref="A332:C332"/>
    <mergeCell ref="A333:B333"/>
    <mergeCell ref="D334:D340"/>
    <mergeCell ref="A368:B368"/>
    <mergeCell ref="A369:B369"/>
    <mergeCell ref="A340:C340"/>
    <mergeCell ref="A343:C345"/>
    <mergeCell ref="A353:D353"/>
    <mergeCell ref="A354:C354"/>
    <mergeCell ref="D365:D371"/>
    <mergeCell ref="A366:B366"/>
    <mergeCell ref="A367:B367"/>
    <mergeCell ref="A398:B398"/>
    <mergeCell ref="A399:B399"/>
    <mergeCell ref="A400:B400"/>
    <mergeCell ref="A401:B401"/>
    <mergeCell ref="A370:B370"/>
    <mergeCell ref="A371:C371"/>
    <mergeCell ref="A374:C376"/>
    <mergeCell ref="A384:D384"/>
    <mergeCell ref="A385:C385"/>
    <mergeCell ref="D396:D402"/>
    <mergeCell ref="A397:B397"/>
    <mergeCell ref="A464:C464"/>
    <mergeCell ref="A467:C469"/>
    <mergeCell ref="A477:D477"/>
    <mergeCell ref="A478:C478"/>
    <mergeCell ref="D489:D495"/>
    <mergeCell ref="A490:B490"/>
    <mergeCell ref="A491:B491"/>
    <mergeCell ref="A524:B524"/>
    <mergeCell ref="A525:B525"/>
    <mergeCell ref="A526:C526"/>
    <mergeCell ref="A529:C531"/>
    <mergeCell ref="A539:D539"/>
    <mergeCell ref="A540:C540"/>
    <mergeCell ref="A494:B494"/>
    <mergeCell ref="A495:C495"/>
    <mergeCell ref="A498:C500"/>
    <mergeCell ref="A508:D508"/>
    <mergeCell ref="A509:C509"/>
    <mergeCell ref="D520:D526"/>
    <mergeCell ref="A521:B521"/>
    <mergeCell ref="A430:B430"/>
    <mergeCell ref="A431:B431"/>
    <mergeCell ref="A402:C402"/>
    <mergeCell ref="A405:C407"/>
    <mergeCell ref="A415:D415"/>
    <mergeCell ref="A416:C416"/>
    <mergeCell ref="D427:D433"/>
    <mergeCell ref="A428:B428"/>
    <mergeCell ref="A429:B429"/>
    <mergeCell ref="A460:B460"/>
    <mergeCell ref="A461:B461"/>
    <mergeCell ref="A462:B462"/>
    <mergeCell ref="A463:B463"/>
    <mergeCell ref="A432:B432"/>
    <mergeCell ref="A433:C433"/>
    <mergeCell ref="A436:C438"/>
    <mergeCell ref="A446:D446"/>
    <mergeCell ref="A447:C447"/>
    <mergeCell ref="D458:D464"/>
    <mergeCell ref="A459:B459"/>
    <mergeCell ref="A492:B492"/>
    <mergeCell ref="A493:B493"/>
    <mergeCell ref="A522:B522"/>
    <mergeCell ref="A523:B523"/>
    <mergeCell ref="I237:J237"/>
    <mergeCell ref="I238:K238"/>
    <mergeCell ref="I239:K239"/>
    <mergeCell ref="I240:J240"/>
    <mergeCell ref="M220:O220"/>
    <mergeCell ref="M221:O221"/>
    <mergeCell ref="I229:L229"/>
    <mergeCell ref="I230:K230"/>
    <mergeCell ref="L230:O240"/>
    <mergeCell ref="I231:K231"/>
    <mergeCell ref="I232:J232"/>
    <mergeCell ref="I242:J242"/>
    <mergeCell ref="I245:J245"/>
    <mergeCell ref="I246:J246"/>
    <mergeCell ref="I247:K247"/>
    <mergeCell ref="I235:J235"/>
    <mergeCell ref="I236:J236"/>
    <mergeCell ref="I241:J241"/>
    <mergeCell ref="L241:L247"/>
    <mergeCell ref="M241:N243"/>
    <mergeCell ref="O241:O243"/>
    <mergeCell ref="M244:O247"/>
    <mergeCell ref="E250:G250"/>
    <mergeCell ref="E251:G251"/>
    <mergeCell ref="A241:B241"/>
    <mergeCell ref="A242:B242"/>
    <mergeCell ref="E244:G247"/>
    <mergeCell ref="A245:B245"/>
    <mergeCell ref="A246:B246"/>
    <mergeCell ref="A247:C247"/>
    <mergeCell ref="E252:G252"/>
    <mergeCell ref="I261:K261"/>
    <mergeCell ref="I262:K262"/>
    <mergeCell ref="I263:J263"/>
    <mergeCell ref="I264:J264"/>
    <mergeCell ref="I265:J265"/>
    <mergeCell ref="I266:J266"/>
    <mergeCell ref="I267:J267"/>
    <mergeCell ref="I273:J273"/>
    <mergeCell ref="I274:J274"/>
    <mergeCell ref="I268:J268"/>
    <mergeCell ref="I269:K269"/>
    <mergeCell ref="I270:K270"/>
    <mergeCell ref="I271:J271"/>
    <mergeCell ref="E272:F274"/>
    <mergeCell ref="G272:G274"/>
    <mergeCell ref="I272:J272"/>
    <mergeCell ref="E188:G188"/>
    <mergeCell ref="E189:G189"/>
    <mergeCell ref="E190:G190"/>
    <mergeCell ref="A198:D198"/>
    <mergeCell ref="A199:C199"/>
    <mergeCell ref="D199:G209"/>
    <mergeCell ref="A200:C200"/>
    <mergeCell ref="A209:B209"/>
    <mergeCell ref="A215:B215"/>
    <mergeCell ref="A216:C216"/>
    <mergeCell ref="A219:C221"/>
    <mergeCell ref="I219:K221"/>
    <mergeCell ref="M219:O219"/>
    <mergeCell ref="E220:G220"/>
    <mergeCell ref="E221:G221"/>
    <mergeCell ref="A207:C207"/>
    <mergeCell ref="A208:C208"/>
    <mergeCell ref="D210:D216"/>
    <mergeCell ref="E210:F212"/>
    <mergeCell ref="G210:G212"/>
    <mergeCell ref="E213:G216"/>
    <mergeCell ref="E219:G219"/>
    <mergeCell ref="I233:J233"/>
    <mergeCell ref="I234:J234"/>
    <mergeCell ref="A210:B210"/>
    <mergeCell ref="A231:C231"/>
    <mergeCell ref="A232:B232"/>
    <mergeCell ref="A233:B233"/>
    <mergeCell ref="A234:B234"/>
    <mergeCell ref="A235:B235"/>
    <mergeCell ref="A236:B236"/>
    <mergeCell ref="I243:J243"/>
    <mergeCell ref="I244:J244"/>
    <mergeCell ref="I250:K252"/>
    <mergeCell ref="M250:O250"/>
    <mergeCell ref="M251:O251"/>
    <mergeCell ref="M252:O252"/>
    <mergeCell ref="I260:L260"/>
    <mergeCell ref="I275:J275"/>
    <mergeCell ref="I276:J276"/>
    <mergeCell ref="I295:J295"/>
    <mergeCell ref="I296:J296"/>
    <mergeCell ref="I294:J294"/>
    <mergeCell ref="I297:J297"/>
    <mergeCell ref="I302:J302"/>
    <mergeCell ref="I303:J303"/>
    <mergeCell ref="I304:J304"/>
    <mergeCell ref="I305:J305"/>
    <mergeCell ref="I306:J306"/>
    <mergeCell ref="E312:G312"/>
    <mergeCell ref="I312:K314"/>
    <mergeCell ref="M312:O312"/>
    <mergeCell ref="E313:G313"/>
    <mergeCell ref="M313:O313"/>
    <mergeCell ref="E314:G314"/>
    <mergeCell ref="M314:O314"/>
    <mergeCell ref="I328:J328"/>
    <mergeCell ref="I329:J329"/>
    <mergeCell ref="I322:L322"/>
    <mergeCell ref="I323:K323"/>
    <mergeCell ref="L323:O333"/>
    <mergeCell ref="I324:K324"/>
    <mergeCell ref="I325:J325"/>
    <mergeCell ref="I326:J326"/>
    <mergeCell ref="I327:J327"/>
    <mergeCell ref="E334:F336"/>
    <mergeCell ref="E337:G340"/>
    <mergeCell ref="E343:G343"/>
    <mergeCell ref="E344:G344"/>
    <mergeCell ref="E345:G345"/>
    <mergeCell ref="I354:K354"/>
    <mergeCell ref="L354:O364"/>
    <mergeCell ref="I330:J330"/>
    <mergeCell ref="I331:K331"/>
    <mergeCell ref="I343:K345"/>
    <mergeCell ref="M343:O343"/>
    <mergeCell ref="M344:O344"/>
    <mergeCell ref="M345:O345"/>
    <mergeCell ref="I353:L353"/>
    <mergeCell ref="I334:J334"/>
    <mergeCell ref="I335:J335"/>
    <mergeCell ref="M334:N336"/>
    <mergeCell ref="M337:O340"/>
    <mergeCell ref="I332:K332"/>
    <mergeCell ref="I333:J333"/>
    <mergeCell ref="G334:G336"/>
    <mergeCell ref="L334:L340"/>
    <mergeCell ref="O334:O336"/>
    <mergeCell ref="I336:J336"/>
    <mergeCell ref="I337:J337"/>
    <mergeCell ref="I340:K340"/>
    <mergeCell ref="I338:J338"/>
    <mergeCell ref="I339:J339"/>
    <mergeCell ref="A355:C355"/>
    <mergeCell ref="I355:K355"/>
    <mergeCell ref="A356:B356"/>
    <mergeCell ref="I356:J356"/>
    <mergeCell ref="I357:J357"/>
    <mergeCell ref="A364:B364"/>
    <mergeCell ref="A365:B365"/>
    <mergeCell ref="E365:F367"/>
    <mergeCell ref="G365:G367"/>
    <mergeCell ref="A357:B357"/>
    <mergeCell ref="A358:B358"/>
    <mergeCell ref="A359:B359"/>
    <mergeCell ref="A360:B360"/>
    <mergeCell ref="A361:B361"/>
    <mergeCell ref="A362:C362"/>
    <mergeCell ref="A363:C363"/>
    <mergeCell ref="I358:J358"/>
    <mergeCell ref="I359:J359"/>
    <mergeCell ref="I360:J360"/>
    <mergeCell ref="I361:J361"/>
    <mergeCell ref="I362:K362"/>
    <mergeCell ref="I363:K363"/>
    <mergeCell ref="I364:J364"/>
    <mergeCell ref="I512:J512"/>
    <mergeCell ref="I513:J513"/>
    <mergeCell ref="I514:J514"/>
    <mergeCell ref="I515:J515"/>
    <mergeCell ref="I516:J516"/>
    <mergeCell ref="I517:K517"/>
    <mergeCell ref="I518:K518"/>
    <mergeCell ref="I525:J525"/>
    <mergeCell ref="I526:K526"/>
    <mergeCell ref="I519:J519"/>
    <mergeCell ref="I520:J520"/>
    <mergeCell ref="L520:L526"/>
    <mergeCell ref="I521:J521"/>
    <mergeCell ref="I522:J522"/>
    <mergeCell ref="I523:J523"/>
    <mergeCell ref="I524:J524"/>
    <mergeCell ref="I539:L539"/>
    <mergeCell ref="I484:J484"/>
    <mergeCell ref="I485:J485"/>
    <mergeCell ref="I478:K478"/>
    <mergeCell ref="L478:O488"/>
    <mergeCell ref="I479:K479"/>
    <mergeCell ref="I480:J480"/>
    <mergeCell ref="I481:J481"/>
    <mergeCell ref="I482:J482"/>
    <mergeCell ref="I483:J483"/>
    <mergeCell ref="I488:J488"/>
    <mergeCell ref="I491:J491"/>
    <mergeCell ref="I492:J492"/>
    <mergeCell ref="I490:J490"/>
    <mergeCell ref="I493:J493"/>
    <mergeCell ref="M498:O498"/>
    <mergeCell ref="M499:O499"/>
    <mergeCell ref="M500:O500"/>
    <mergeCell ref="L509:O519"/>
    <mergeCell ref="M520:N522"/>
    <mergeCell ref="O520:O522"/>
    <mergeCell ref="M523:O526"/>
    <mergeCell ref="I486:K486"/>
    <mergeCell ref="I487:K487"/>
    <mergeCell ref="I489:J489"/>
    <mergeCell ref="L489:L495"/>
    <mergeCell ref="M489:N491"/>
    <mergeCell ref="O489:O491"/>
    <mergeCell ref="M492:O495"/>
    <mergeCell ref="I494:J494"/>
    <mergeCell ref="I495:K495"/>
    <mergeCell ref="I498:K500"/>
    <mergeCell ref="I508:L508"/>
    <mergeCell ref="I509:K509"/>
    <mergeCell ref="I510:K510"/>
    <mergeCell ref="I511:J511"/>
    <mergeCell ref="A579:C579"/>
    <mergeCell ref="A580:C580"/>
    <mergeCell ref="A581:B581"/>
    <mergeCell ref="A582:B582"/>
    <mergeCell ref="D582:D588"/>
    <mergeCell ref="A583:B583"/>
    <mergeCell ref="A584:B584"/>
    <mergeCell ref="A587:B587"/>
    <mergeCell ref="A588:C588"/>
    <mergeCell ref="A591:C593"/>
    <mergeCell ref="A601:D601"/>
    <mergeCell ref="A602:C602"/>
    <mergeCell ref="A603:C603"/>
    <mergeCell ref="A604:B604"/>
    <mergeCell ref="A513:B513"/>
    <mergeCell ref="A514:B514"/>
    <mergeCell ref="A515:B515"/>
    <mergeCell ref="A516:B516"/>
    <mergeCell ref="A517:C517"/>
    <mergeCell ref="A518:C518"/>
    <mergeCell ref="A519:B519"/>
    <mergeCell ref="A520:B520"/>
    <mergeCell ref="A541:C541"/>
    <mergeCell ref="A542:B542"/>
    <mergeCell ref="A543:B543"/>
    <mergeCell ref="A544:B544"/>
    <mergeCell ref="A545:B545"/>
    <mergeCell ref="A546:B546"/>
    <mergeCell ref="A547:B547"/>
    <mergeCell ref="A548:C548"/>
    <mergeCell ref="A549:C549"/>
    <mergeCell ref="A550:B550"/>
    <mergeCell ref="A551:B551"/>
    <mergeCell ref="A552:B552"/>
    <mergeCell ref="A553:B553"/>
    <mergeCell ref="A554:B554"/>
    <mergeCell ref="A555:B555"/>
    <mergeCell ref="A556:B556"/>
    <mergeCell ref="A557:C557"/>
    <mergeCell ref="A560:C562"/>
    <mergeCell ref="A570:D570"/>
    <mergeCell ref="A571:C571"/>
    <mergeCell ref="A572:C572"/>
    <mergeCell ref="A573:B573"/>
    <mergeCell ref="A574:B574"/>
    <mergeCell ref="A575:B575"/>
    <mergeCell ref="A576:B576"/>
    <mergeCell ref="A577:B577"/>
    <mergeCell ref="A578:B578"/>
    <mergeCell ref="A585:B585"/>
    <mergeCell ref="A586:B586"/>
    <mergeCell ref="A605:B605"/>
    <mergeCell ref="A606:B606"/>
    <mergeCell ref="I709:J709"/>
    <mergeCell ref="I710:J710"/>
    <mergeCell ref="I725:L725"/>
    <mergeCell ref="I726:K726"/>
    <mergeCell ref="L726:O736"/>
    <mergeCell ref="I727:K727"/>
    <mergeCell ref="I728:J728"/>
    <mergeCell ref="I735:K735"/>
    <mergeCell ref="I736:J736"/>
    <mergeCell ref="I737:J737"/>
    <mergeCell ref="L737:L743"/>
    <mergeCell ref="M737:N739"/>
    <mergeCell ref="O737:O739"/>
    <mergeCell ref="M740:O743"/>
    <mergeCell ref="I729:J729"/>
    <mergeCell ref="I730:J730"/>
    <mergeCell ref="I731:J731"/>
    <mergeCell ref="I732:J732"/>
    <mergeCell ref="I733:J733"/>
    <mergeCell ref="I734:K734"/>
    <mergeCell ref="I739:J739"/>
    <mergeCell ref="I740:J740"/>
    <mergeCell ref="I738:J738"/>
    <mergeCell ref="I741:J741"/>
    <mergeCell ref="I742:J742"/>
    <mergeCell ref="I743:K743"/>
    <mergeCell ref="I746:K748"/>
    <mergeCell ref="I756:L756"/>
    <mergeCell ref="I757:K757"/>
    <mergeCell ref="I758:K758"/>
    <mergeCell ref="I759:J759"/>
    <mergeCell ref="M746:O746"/>
    <mergeCell ref="M747:O747"/>
    <mergeCell ref="M748:O748"/>
    <mergeCell ref="L757:O767"/>
    <mergeCell ref="M768:N770"/>
    <mergeCell ref="O768:O770"/>
    <mergeCell ref="M771:O774"/>
    <mergeCell ref="M706:N708"/>
    <mergeCell ref="M709:O712"/>
    <mergeCell ref="M715:O715"/>
    <mergeCell ref="M716:O716"/>
    <mergeCell ref="M717:O717"/>
    <mergeCell ref="A697:B697"/>
    <mergeCell ref="A698:B698"/>
    <mergeCell ref="A699:B699"/>
    <mergeCell ref="I706:J706"/>
    <mergeCell ref="L706:L712"/>
    <mergeCell ref="O706:O708"/>
    <mergeCell ref="A710:B710"/>
    <mergeCell ref="A694:D694"/>
    <mergeCell ref="I694:L694"/>
    <mergeCell ref="A695:C695"/>
    <mergeCell ref="I695:K695"/>
    <mergeCell ref="A696:C696"/>
    <mergeCell ref="I696:K696"/>
    <mergeCell ref="I697:J697"/>
    <mergeCell ref="I707:J707"/>
    <mergeCell ref="A708:B708"/>
    <mergeCell ref="I708:J708"/>
    <mergeCell ref="A711:B711"/>
    <mergeCell ref="I711:J711"/>
    <mergeCell ref="A712:C712"/>
    <mergeCell ref="I712:K712"/>
    <mergeCell ref="E715:G715"/>
    <mergeCell ref="I715:K717"/>
    <mergeCell ref="E716:G716"/>
    <mergeCell ref="E717:G717"/>
    <mergeCell ref="A728:B728"/>
    <mergeCell ref="A729:B729"/>
    <mergeCell ref="A730:B730"/>
    <mergeCell ref="A731:B731"/>
    <mergeCell ref="A732:B732"/>
    <mergeCell ref="A733:B733"/>
    <mergeCell ref="I760:J760"/>
    <mergeCell ref="I761:J761"/>
    <mergeCell ref="I762:J762"/>
    <mergeCell ref="I763:J763"/>
    <mergeCell ref="I764:J764"/>
    <mergeCell ref="I765:K765"/>
    <mergeCell ref="I766:K766"/>
    <mergeCell ref="I773:J773"/>
    <mergeCell ref="I774:K774"/>
    <mergeCell ref="I777:K779"/>
    <mergeCell ref="I787:L787"/>
    <mergeCell ref="I788:K788"/>
    <mergeCell ref="I767:J767"/>
    <mergeCell ref="I768:J768"/>
    <mergeCell ref="L768:L774"/>
    <mergeCell ref="I769:J769"/>
    <mergeCell ref="I770:J770"/>
    <mergeCell ref="I771:J771"/>
    <mergeCell ref="I772:J772"/>
    <mergeCell ref="E746:G746"/>
    <mergeCell ref="E747:G747"/>
    <mergeCell ref="E748:G748"/>
    <mergeCell ref="D757:G767"/>
    <mergeCell ref="E768:F770"/>
    <mergeCell ref="G768:G770"/>
    <mergeCell ref="E771:G774"/>
    <mergeCell ref="E777:G777"/>
    <mergeCell ref="E778:G778"/>
    <mergeCell ref="E779:G779"/>
    <mergeCell ref="D788:G798"/>
    <mergeCell ref="E799:F801"/>
    <mergeCell ref="G799:G801"/>
    <mergeCell ref="E802:G805"/>
    <mergeCell ref="E808:G808"/>
    <mergeCell ref="E809:G809"/>
    <mergeCell ref="E810:G810"/>
    <mergeCell ref="D819:G829"/>
    <mergeCell ref="E830:F832"/>
    <mergeCell ref="G830:G832"/>
    <mergeCell ref="E833:G836"/>
    <mergeCell ref="E870:G870"/>
    <mergeCell ref="E871:G871"/>
    <mergeCell ref="E872:G872"/>
    <mergeCell ref="D881:G891"/>
    <mergeCell ref="E839:G839"/>
    <mergeCell ref="E840:G840"/>
    <mergeCell ref="E841:G841"/>
    <mergeCell ref="D850:G860"/>
    <mergeCell ref="E861:F863"/>
    <mergeCell ref="G861:G863"/>
    <mergeCell ref="E864:G867"/>
    <mergeCell ref="A709:B709"/>
    <mergeCell ref="D709:G709"/>
    <mergeCell ref="A706:B706"/>
    <mergeCell ref="A707:B707"/>
    <mergeCell ref="A715:C717"/>
    <mergeCell ref="A725:D725"/>
    <mergeCell ref="A726:C726"/>
    <mergeCell ref="D726:G736"/>
    <mergeCell ref="A727:C727"/>
    <mergeCell ref="A736:B736"/>
    <mergeCell ref="A739:B739"/>
    <mergeCell ref="A740:B740"/>
    <mergeCell ref="A738:B738"/>
    <mergeCell ref="A741:B741"/>
    <mergeCell ref="A734:C734"/>
    <mergeCell ref="A735:C735"/>
    <mergeCell ref="A737:B737"/>
    <mergeCell ref="D737:D743"/>
    <mergeCell ref="E737:F739"/>
    <mergeCell ref="G737:G739"/>
    <mergeCell ref="E740:G743"/>
    <mergeCell ref="A769:B769"/>
    <mergeCell ref="A770:B770"/>
    <mergeCell ref="A771:B771"/>
    <mergeCell ref="A772:B772"/>
    <mergeCell ref="A773:B773"/>
    <mergeCell ref="A774:C774"/>
    <mergeCell ref="A742:B742"/>
    <mergeCell ref="A743:C743"/>
    <mergeCell ref="A746:C748"/>
    <mergeCell ref="A756:D756"/>
    <mergeCell ref="A757:C757"/>
    <mergeCell ref="A758:C758"/>
    <mergeCell ref="A759:B759"/>
    <mergeCell ref="A760:B760"/>
    <mergeCell ref="A761:B761"/>
    <mergeCell ref="A762:B762"/>
    <mergeCell ref="A763:B763"/>
    <mergeCell ref="A764:B764"/>
    <mergeCell ref="A765:C765"/>
    <mergeCell ref="A766:C766"/>
    <mergeCell ref="A767:B767"/>
    <mergeCell ref="A768:B768"/>
    <mergeCell ref="A777:C779"/>
    <mergeCell ref="A787:D787"/>
    <mergeCell ref="A788:C788"/>
    <mergeCell ref="A789:C789"/>
    <mergeCell ref="A790:B790"/>
    <mergeCell ref="A791:B791"/>
    <mergeCell ref="A792:B792"/>
    <mergeCell ref="A793:B793"/>
    <mergeCell ref="A794:B794"/>
    <mergeCell ref="A795:B795"/>
    <mergeCell ref="A796:C796"/>
    <mergeCell ref="A797:C797"/>
    <mergeCell ref="A798:B798"/>
    <mergeCell ref="A799:B799"/>
    <mergeCell ref="A800:B800"/>
    <mergeCell ref="A801:B801"/>
    <mergeCell ref="A802:B802"/>
    <mergeCell ref="A803:B803"/>
    <mergeCell ref="A804:B804"/>
    <mergeCell ref="A805:C805"/>
    <mergeCell ref="A808:C810"/>
    <mergeCell ref="A818:D818"/>
    <mergeCell ref="A819:C819"/>
    <mergeCell ref="A820:C820"/>
    <mergeCell ref="A821:B821"/>
    <mergeCell ref="A822:B822"/>
    <mergeCell ref="A823:B823"/>
    <mergeCell ref="A824:B824"/>
    <mergeCell ref="A825:B825"/>
    <mergeCell ref="A826:B826"/>
    <mergeCell ref="A827:C827"/>
    <mergeCell ref="A828:C828"/>
    <mergeCell ref="A829:B829"/>
    <mergeCell ref="A830:B830"/>
    <mergeCell ref="A831:B831"/>
    <mergeCell ref="A832:B832"/>
    <mergeCell ref="A833:B833"/>
    <mergeCell ref="A834:B834"/>
    <mergeCell ref="A835:B835"/>
    <mergeCell ref="A836:C836"/>
    <mergeCell ref="I888:J888"/>
    <mergeCell ref="I889:K889"/>
    <mergeCell ref="I890:K890"/>
    <mergeCell ref="I891:J891"/>
    <mergeCell ref="A885:B885"/>
    <mergeCell ref="A886:B886"/>
    <mergeCell ref="I886:J886"/>
    <mergeCell ref="A887:B887"/>
    <mergeCell ref="I887:J887"/>
    <mergeCell ref="A888:B888"/>
    <mergeCell ref="A889:C889"/>
    <mergeCell ref="A839:C841"/>
    <mergeCell ref="A849:D849"/>
    <mergeCell ref="A850:C850"/>
    <mergeCell ref="A851:C851"/>
    <mergeCell ref="A852:B852"/>
    <mergeCell ref="A853:B853"/>
    <mergeCell ref="A854:B854"/>
    <mergeCell ref="A861:B861"/>
    <mergeCell ref="A862:B862"/>
    <mergeCell ref="A863:B863"/>
    <mergeCell ref="A864:B864"/>
    <mergeCell ref="A865:B865"/>
    <mergeCell ref="A866:B866"/>
    <mergeCell ref="A855:B855"/>
    <mergeCell ref="A856:B856"/>
    <mergeCell ref="A857:B857"/>
    <mergeCell ref="A858:C858"/>
    <mergeCell ref="A859:C859"/>
    <mergeCell ref="A860:B860"/>
    <mergeCell ref="D861:D867"/>
    <mergeCell ref="A867:C867"/>
    <mergeCell ref="A870:C872"/>
    <mergeCell ref="A880:D880"/>
    <mergeCell ref="A881:C881"/>
    <mergeCell ref="A882:C882"/>
    <mergeCell ref="A883:B883"/>
    <mergeCell ref="A884:B884"/>
    <mergeCell ref="A890:C890"/>
    <mergeCell ref="A891:B891"/>
    <mergeCell ref="I392:J392"/>
    <mergeCell ref="I393:K393"/>
    <mergeCell ref="I405:K407"/>
    <mergeCell ref="M405:O405"/>
    <mergeCell ref="M406:O406"/>
    <mergeCell ref="M407:O407"/>
    <mergeCell ref="L416:O426"/>
    <mergeCell ref="I426:J426"/>
    <mergeCell ref="I424:K424"/>
    <mergeCell ref="I425:K425"/>
    <mergeCell ref="I427:J427"/>
    <mergeCell ref="L427:L433"/>
    <mergeCell ref="M427:N429"/>
    <mergeCell ref="O427:O429"/>
    <mergeCell ref="M430:O433"/>
    <mergeCell ref="I451:J451"/>
    <mergeCell ref="I452:J452"/>
    <mergeCell ref="I453:J453"/>
    <mergeCell ref="I454:J454"/>
    <mergeCell ref="I460:J460"/>
    <mergeCell ref="I461:J461"/>
    <mergeCell ref="I459:J459"/>
    <mergeCell ref="I462:J462"/>
    <mergeCell ref="I463:J463"/>
    <mergeCell ref="I464:K464"/>
    <mergeCell ref="I467:K469"/>
    <mergeCell ref="M467:O467"/>
    <mergeCell ref="M468:O468"/>
    <mergeCell ref="M469:O469"/>
    <mergeCell ref="I477:L477"/>
    <mergeCell ref="I416:K416"/>
    <mergeCell ref="I417:K417"/>
    <mergeCell ref="I418:J418"/>
    <mergeCell ref="I419:J419"/>
    <mergeCell ref="I420:J420"/>
    <mergeCell ref="I421:J421"/>
    <mergeCell ref="I422:J422"/>
    <mergeCell ref="I423:J423"/>
    <mergeCell ref="I429:J429"/>
    <mergeCell ref="I430:J430"/>
    <mergeCell ref="I432:J432"/>
    <mergeCell ref="I433:K433"/>
    <mergeCell ref="I436:K438"/>
    <mergeCell ref="I446:L446"/>
    <mergeCell ref="I447:K447"/>
    <mergeCell ref="I428:J428"/>
    <mergeCell ref="I431:J431"/>
    <mergeCell ref="I529:K531"/>
    <mergeCell ref="M529:O529"/>
    <mergeCell ref="M530:O530"/>
    <mergeCell ref="M531:O531"/>
    <mergeCell ref="I540:K540"/>
    <mergeCell ref="M591:O591"/>
    <mergeCell ref="M592:O592"/>
    <mergeCell ref="M593:O593"/>
    <mergeCell ref="I603:K603"/>
    <mergeCell ref="I604:J604"/>
    <mergeCell ref="I605:J605"/>
    <mergeCell ref="I606:J606"/>
    <mergeCell ref="M624:O624"/>
    <mergeCell ref="L633:O643"/>
    <mergeCell ref="I638:J638"/>
    <mergeCell ref="I639:J639"/>
    <mergeCell ref="I640:J640"/>
    <mergeCell ref="I641:K641"/>
    <mergeCell ref="I642:K642"/>
    <mergeCell ref="I643:J643"/>
    <mergeCell ref="L602:O612"/>
    <mergeCell ref="L613:L619"/>
    <mergeCell ref="M613:N615"/>
    <mergeCell ref="O613:O615"/>
    <mergeCell ref="M616:O619"/>
    <mergeCell ref="M622:O622"/>
    <mergeCell ref="M623:O623"/>
    <mergeCell ref="I581:J581"/>
    <mergeCell ref="I582:J582"/>
    <mergeCell ref="L582:L588"/>
    <mergeCell ref="I583:J583"/>
    <mergeCell ref="I584:J584"/>
    <mergeCell ref="I585:J585"/>
    <mergeCell ref="I586:J586"/>
    <mergeCell ref="I587:J587"/>
    <mergeCell ref="I588:K588"/>
    <mergeCell ref="I591:K593"/>
    <mergeCell ref="I601:L601"/>
    <mergeCell ref="I602:K602"/>
    <mergeCell ref="A607:B607"/>
    <mergeCell ref="A608:B608"/>
    <mergeCell ref="A609:B609"/>
    <mergeCell ref="I609:J609"/>
    <mergeCell ref="A610:C610"/>
    <mergeCell ref="I610:K610"/>
    <mergeCell ref="A611:C611"/>
    <mergeCell ref="I611:K611"/>
    <mergeCell ref="I612:J612"/>
    <mergeCell ref="I607:J607"/>
    <mergeCell ref="I608:J608"/>
    <mergeCell ref="I613:J613"/>
    <mergeCell ref="I614:J614"/>
    <mergeCell ref="I615:J615"/>
    <mergeCell ref="I616:J616"/>
    <mergeCell ref="I617:J617"/>
    <mergeCell ref="A612:B612"/>
    <mergeCell ref="A613:B613"/>
    <mergeCell ref="A614:B614"/>
    <mergeCell ref="A615:B615"/>
    <mergeCell ref="A616:B616"/>
    <mergeCell ref="A617:B617"/>
    <mergeCell ref="A618:B618"/>
    <mergeCell ref="A619:C619"/>
    <mergeCell ref="A622:C624"/>
    <mergeCell ref="E622:G622"/>
    <mergeCell ref="E623:G623"/>
    <mergeCell ref="E624:G624"/>
    <mergeCell ref="A632:D632"/>
    <mergeCell ref="A633:C633"/>
    <mergeCell ref="A641:C641"/>
    <mergeCell ref="A642:C642"/>
    <mergeCell ref="A643:B643"/>
    <mergeCell ref="A634:C634"/>
    <mergeCell ref="A635:B635"/>
    <mergeCell ref="A636:B636"/>
    <mergeCell ref="A637:B637"/>
    <mergeCell ref="A638:B638"/>
    <mergeCell ref="A639:B639"/>
    <mergeCell ref="A640:B640"/>
    <mergeCell ref="A676:B676"/>
    <mergeCell ref="A677:B677"/>
    <mergeCell ref="I677:J677"/>
    <mergeCell ref="A670:B670"/>
    <mergeCell ref="A671:B671"/>
    <mergeCell ref="A672:C672"/>
    <mergeCell ref="A673:C673"/>
    <mergeCell ref="A674:B674"/>
    <mergeCell ref="A675:B675"/>
    <mergeCell ref="I675:J675"/>
    <mergeCell ref="I636:J636"/>
    <mergeCell ref="I637:J637"/>
    <mergeCell ref="A644:B644"/>
    <mergeCell ref="I644:J644"/>
    <mergeCell ref="M644:N646"/>
    <mergeCell ref="O644:O646"/>
    <mergeCell ref="I645:J645"/>
    <mergeCell ref="I618:J618"/>
    <mergeCell ref="I619:K619"/>
    <mergeCell ref="I622:K624"/>
    <mergeCell ref="I632:L632"/>
    <mergeCell ref="I633:K633"/>
    <mergeCell ref="I634:K634"/>
    <mergeCell ref="I635:J635"/>
    <mergeCell ref="E647:G650"/>
    <mergeCell ref="E653:G653"/>
    <mergeCell ref="E654:G654"/>
    <mergeCell ref="E655:G655"/>
    <mergeCell ref="M647:O650"/>
    <mergeCell ref="M653:O653"/>
    <mergeCell ref="M654:O654"/>
    <mergeCell ref="M655:O655"/>
    <mergeCell ref="A645:B645"/>
    <mergeCell ref="A646:B646"/>
    <mergeCell ref="A647:B647"/>
    <mergeCell ref="A648:B648"/>
    <mergeCell ref="A649:B649"/>
    <mergeCell ref="A650:C650"/>
    <mergeCell ref="A653:C655"/>
    <mergeCell ref="L644:L650"/>
    <mergeCell ref="I646:J646"/>
    <mergeCell ref="I647:J647"/>
    <mergeCell ref="I648:J648"/>
    <mergeCell ref="I649:J649"/>
    <mergeCell ref="I650:K650"/>
    <mergeCell ref="I653:K655"/>
    <mergeCell ref="A663:D663"/>
    <mergeCell ref="A664:C664"/>
    <mergeCell ref="A665:C665"/>
    <mergeCell ref="A666:B666"/>
    <mergeCell ref="A667:B667"/>
    <mergeCell ref="A668:B668"/>
    <mergeCell ref="A669:B669"/>
    <mergeCell ref="A680:B680"/>
    <mergeCell ref="I680:J680"/>
    <mergeCell ref="A681:C681"/>
    <mergeCell ref="I681:K681"/>
    <mergeCell ref="A684:C686"/>
    <mergeCell ref="E684:G684"/>
    <mergeCell ref="I684:K686"/>
    <mergeCell ref="E685:G685"/>
    <mergeCell ref="E686:G686"/>
    <mergeCell ref="A702:B702"/>
    <mergeCell ref="A703:C703"/>
    <mergeCell ref="A704:C704"/>
    <mergeCell ref="I698:J698"/>
    <mergeCell ref="I699:J699"/>
    <mergeCell ref="A700:B700"/>
    <mergeCell ref="I700:J700"/>
    <mergeCell ref="A701:B701"/>
    <mergeCell ref="I701:J701"/>
    <mergeCell ref="I702:J702"/>
    <mergeCell ref="I669:J669"/>
    <mergeCell ref="I670:J670"/>
    <mergeCell ref="I671:J671"/>
    <mergeCell ref="I672:K672"/>
    <mergeCell ref="I663:L663"/>
    <mergeCell ref="I664:K664"/>
    <mergeCell ref="L664:O674"/>
    <mergeCell ref="I665:K665"/>
    <mergeCell ref="I666:J666"/>
    <mergeCell ref="I667:J667"/>
    <mergeCell ref="I668:J668"/>
    <mergeCell ref="M675:N677"/>
    <mergeCell ref="M678:O681"/>
    <mergeCell ref="M684:O684"/>
    <mergeCell ref="M685:O685"/>
    <mergeCell ref="M686:O686"/>
    <mergeCell ref="L695:O705"/>
    <mergeCell ref="I678:J678"/>
    <mergeCell ref="I679:J679"/>
    <mergeCell ref="I673:K673"/>
    <mergeCell ref="I674:J674"/>
    <mergeCell ref="L675:L681"/>
    <mergeCell ref="O675:O677"/>
    <mergeCell ref="I676:J676"/>
    <mergeCell ref="A678:B678"/>
    <mergeCell ref="A679:B679"/>
    <mergeCell ref="I703:K703"/>
    <mergeCell ref="I704:K704"/>
    <mergeCell ref="A705:B705"/>
    <mergeCell ref="I705:J705"/>
    <mergeCell ref="I384:L384"/>
    <mergeCell ref="I385:K385"/>
    <mergeCell ref="L385:O395"/>
    <mergeCell ref="I386:K386"/>
    <mergeCell ref="I387:J387"/>
    <mergeCell ref="I388:J388"/>
    <mergeCell ref="I389:J389"/>
    <mergeCell ref="M396:N398"/>
    <mergeCell ref="M399:O402"/>
    <mergeCell ref="I400:J400"/>
    <mergeCell ref="I401:J401"/>
    <mergeCell ref="I415:L415"/>
    <mergeCell ref="I394:K394"/>
    <mergeCell ref="I395:J395"/>
    <mergeCell ref="L396:L402"/>
    <mergeCell ref="O396:O398"/>
    <mergeCell ref="I397:J397"/>
    <mergeCell ref="I398:J398"/>
    <mergeCell ref="I399:J399"/>
    <mergeCell ref="I402:K402"/>
    <mergeCell ref="M365:N367"/>
    <mergeCell ref="M368:O371"/>
    <mergeCell ref="M374:O374"/>
    <mergeCell ref="M375:O375"/>
    <mergeCell ref="M376:O376"/>
    <mergeCell ref="I365:J365"/>
    <mergeCell ref="L365:L371"/>
    <mergeCell ref="O365:O367"/>
    <mergeCell ref="I366:J366"/>
    <mergeCell ref="I367:J367"/>
    <mergeCell ref="E368:G371"/>
    <mergeCell ref="I368:J368"/>
    <mergeCell ref="I371:K371"/>
    <mergeCell ref="I390:J390"/>
    <mergeCell ref="I391:J391"/>
    <mergeCell ref="I369:J369"/>
    <mergeCell ref="I370:J370"/>
    <mergeCell ref="E374:G374"/>
    <mergeCell ref="I374:K376"/>
    <mergeCell ref="E375:G375"/>
    <mergeCell ref="E376:G376"/>
    <mergeCell ref="D385:G395"/>
    <mergeCell ref="I396:J396"/>
    <mergeCell ref="A386:C386"/>
    <mergeCell ref="A387:B387"/>
    <mergeCell ref="A388:B388"/>
    <mergeCell ref="A389:B389"/>
    <mergeCell ref="A390:B390"/>
    <mergeCell ref="A391:B391"/>
    <mergeCell ref="A392:B392"/>
    <mergeCell ref="A393:C393"/>
    <mergeCell ref="A394:C394"/>
    <mergeCell ref="A395:B395"/>
    <mergeCell ref="A396:B396"/>
    <mergeCell ref="E396:F398"/>
    <mergeCell ref="G396:G398"/>
    <mergeCell ref="E399:G402"/>
    <mergeCell ref="A420:B420"/>
    <mergeCell ref="A421:B421"/>
    <mergeCell ref="M436:O436"/>
    <mergeCell ref="M437:O437"/>
    <mergeCell ref="M438:O438"/>
    <mergeCell ref="L447:O457"/>
    <mergeCell ref="I448:K448"/>
    <mergeCell ref="I449:J449"/>
    <mergeCell ref="I450:J450"/>
    <mergeCell ref="I457:J457"/>
    <mergeCell ref="I455:K455"/>
    <mergeCell ref="I456:K456"/>
    <mergeCell ref="I458:J458"/>
    <mergeCell ref="L458:L464"/>
    <mergeCell ref="M458:N460"/>
    <mergeCell ref="O458:O460"/>
    <mergeCell ref="M461:O464"/>
    <mergeCell ref="A422:B422"/>
    <mergeCell ref="A423:B423"/>
    <mergeCell ref="E405:G405"/>
    <mergeCell ref="E406:G406"/>
    <mergeCell ref="E407:G407"/>
    <mergeCell ref="A417:C417"/>
    <mergeCell ref="A418:B418"/>
    <mergeCell ref="A419:B419"/>
    <mergeCell ref="A426:B426"/>
    <mergeCell ref="A424:C424"/>
    <mergeCell ref="A425:C425"/>
    <mergeCell ref="A427:B427"/>
    <mergeCell ref="A448:C448"/>
    <mergeCell ref="A449:B449"/>
    <mergeCell ref="A450:B450"/>
    <mergeCell ref="A451:B451"/>
    <mergeCell ref="D416:G426"/>
    <mergeCell ref="E427:F429"/>
    <mergeCell ref="G427:G429"/>
    <mergeCell ref="E430:G433"/>
    <mergeCell ref="E436:G436"/>
    <mergeCell ref="E437:G437"/>
    <mergeCell ref="E438:G438"/>
    <mergeCell ref="A452:B452"/>
    <mergeCell ref="A453:B453"/>
    <mergeCell ref="A454:B454"/>
    <mergeCell ref="A455:C455"/>
    <mergeCell ref="A456:C456"/>
    <mergeCell ref="A457:B457"/>
    <mergeCell ref="A458:B458"/>
    <mergeCell ref="A479:C479"/>
    <mergeCell ref="A480:B480"/>
    <mergeCell ref="A481:B481"/>
    <mergeCell ref="A482:B482"/>
    <mergeCell ref="A483:B483"/>
    <mergeCell ref="A484:B484"/>
    <mergeCell ref="A485:B485"/>
    <mergeCell ref="A486:C486"/>
    <mergeCell ref="A487:C487"/>
    <mergeCell ref="A488:B488"/>
    <mergeCell ref="A489:B489"/>
    <mergeCell ref="A510:C510"/>
    <mergeCell ref="A511:B511"/>
    <mergeCell ref="A512:B512"/>
    <mergeCell ref="I541:K541"/>
    <mergeCell ref="I542:J542"/>
    <mergeCell ref="I543:J543"/>
    <mergeCell ref="I544:J544"/>
    <mergeCell ref="I545:J545"/>
    <mergeCell ref="I546:J546"/>
    <mergeCell ref="I547:J547"/>
    <mergeCell ref="I553:J553"/>
    <mergeCell ref="I554:J554"/>
    <mergeCell ref="I552:J552"/>
    <mergeCell ref="I555:J555"/>
    <mergeCell ref="I548:K548"/>
    <mergeCell ref="I549:K549"/>
    <mergeCell ref="I550:J550"/>
    <mergeCell ref="I551:J551"/>
    <mergeCell ref="M551:N553"/>
    <mergeCell ref="O551:O553"/>
    <mergeCell ref="M554:O557"/>
    <mergeCell ref="I556:J556"/>
    <mergeCell ref="I557:K557"/>
    <mergeCell ref="I560:K562"/>
    <mergeCell ref="I570:L570"/>
    <mergeCell ref="I571:K571"/>
    <mergeCell ref="I572:K572"/>
    <mergeCell ref="I573:J573"/>
    <mergeCell ref="I574:J574"/>
    <mergeCell ref="I575:J575"/>
    <mergeCell ref="I576:J576"/>
    <mergeCell ref="I577:J577"/>
    <mergeCell ref="I578:J578"/>
    <mergeCell ref="I579:K579"/>
    <mergeCell ref="I580:K580"/>
    <mergeCell ref="M560:O560"/>
    <mergeCell ref="M561:O561"/>
    <mergeCell ref="M562:O562"/>
    <mergeCell ref="L571:O581"/>
    <mergeCell ref="M582:N584"/>
    <mergeCell ref="O582:O584"/>
    <mergeCell ref="M585:O588"/>
    <mergeCell ref="E675:F677"/>
    <mergeCell ref="E678:G681"/>
    <mergeCell ref="E616:G619"/>
    <mergeCell ref="D633:G643"/>
    <mergeCell ref="E644:F646"/>
    <mergeCell ref="G644:G646"/>
    <mergeCell ref="D664:G674"/>
    <mergeCell ref="D675:D681"/>
    <mergeCell ref="G675:G677"/>
    <mergeCell ref="D447:G457"/>
    <mergeCell ref="E458:F460"/>
    <mergeCell ref="G458:G460"/>
    <mergeCell ref="E461:G464"/>
    <mergeCell ref="E467:G467"/>
    <mergeCell ref="E468:G468"/>
    <mergeCell ref="E469:G469"/>
    <mergeCell ref="D478:G488"/>
    <mergeCell ref="E489:F491"/>
    <mergeCell ref="G489:G491"/>
    <mergeCell ref="E492:G495"/>
    <mergeCell ref="E498:G498"/>
    <mergeCell ref="E499:G499"/>
    <mergeCell ref="E500:G500"/>
    <mergeCell ref="D509:G519"/>
    <mergeCell ref="E520:F522"/>
    <mergeCell ref="G520:G522"/>
    <mergeCell ref="E523:G526"/>
    <mergeCell ref="E529:G529"/>
    <mergeCell ref="E530:G530"/>
    <mergeCell ref="E531:G531"/>
    <mergeCell ref="D540:G550"/>
    <mergeCell ref="E551:F553"/>
    <mergeCell ref="G551:G553"/>
    <mergeCell ref="E554:G557"/>
    <mergeCell ref="E560:G560"/>
    <mergeCell ref="E561:G561"/>
    <mergeCell ref="E562:G562"/>
    <mergeCell ref="D602:G612"/>
    <mergeCell ref="E613:F615"/>
    <mergeCell ref="G613:G615"/>
    <mergeCell ref="E582:F584"/>
    <mergeCell ref="G582:G584"/>
    <mergeCell ref="E585:G588"/>
    <mergeCell ref="E591:G591"/>
    <mergeCell ref="E592:G592"/>
    <mergeCell ref="E593:G593"/>
    <mergeCell ref="D613:D619"/>
    <mergeCell ref="D695:G705"/>
    <mergeCell ref="E706:F708"/>
    <mergeCell ref="G706:G708"/>
    <mergeCell ref="I822:J822"/>
    <mergeCell ref="I823:J823"/>
    <mergeCell ref="I804:J804"/>
    <mergeCell ref="I805:K805"/>
    <mergeCell ref="I808:K810"/>
    <mergeCell ref="I818:L818"/>
    <mergeCell ref="I819:K819"/>
    <mergeCell ref="I820:K820"/>
    <mergeCell ref="I821:J821"/>
    <mergeCell ref="I792:J792"/>
    <mergeCell ref="I793:J793"/>
    <mergeCell ref="I794:J794"/>
    <mergeCell ref="I795:J795"/>
    <mergeCell ref="M777:O777"/>
    <mergeCell ref="M778:O778"/>
    <mergeCell ref="M779:O779"/>
    <mergeCell ref="L788:O798"/>
    <mergeCell ref="I789:K789"/>
    <mergeCell ref="I790:J790"/>
    <mergeCell ref="I791:J791"/>
    <mergeCell ref="I798:J798"/>
    <mergeCell ref="I801:J801"/>
    <mergeCell ref="I802:J802"/>
    <mergeCell ref="M808:O808"/>
    <mergeCell ref="M809:O809"/>
    <mergeCell ref="M810:O810"/>
    <mergeCell ref="L819:O829"/>
    <mergeCell ref="M830:N832"/>
    <mergeCell ref="O830:O832"/>
    <mergeCell ref="M833:O836"/>
    <mergeCell ref="I796:K796"/>
    <mergeCell ref="I797:K797"/>
    <mergeCell ref="I799:J799"/>
    <mergeCell ref="L799:L805"/>
    <mergeCell ref="M799:N801"/>
    <mergeCell ref="O799:O801"/>
    <mergeCell ref="M802:O805"/>
    <mergeCell ref="I800:J800"/>
    <mergeCell ref="I803:J803"/>
    <mergeCell ref="I824:J824"/>
    <mergeCell ref="I825:J825"/>
    <mergeCell ref="I826:J826"/>
    <mergeCell ref="I827:K827"/>
    <mergeCell ref="I828:K828"/>
    <mergeCell ref="I921:K921"/>
    <mergeCell ref="I922:J922"/>
    <mergeCell ref="I884:J884"/>
    <mergeCell ref="I885:J885"/>
    <mergeCell ref="I916:J916"/>
    <mergeCell ref="I917:J917"/>
    <mergeCell ref="I918:J918"/>
    <mergeCell ref="I919:J919"/>
    <mergeCell ref="I920:K920"/>
    <mergeCell ref="I893:J893"/>
    <mergeCell ref="I894:J894"/>
    <mergeCell ref="I901:K903"/>
    <mergeCell ref="I911:L911"/>
    <mergeCell ref="I912:K912"/>
    <mergeCell ref="I913:K913"/>
    <mergeCell ref="I914:J914"/>
    <mergeCell ref="I915:J915"/>
    <mergeCell ref="L923:L929"/>
    <mergeCell ref="I926:J926"/>
    <mergeCell ref="I932:K934"/>
    <mergeCell ref="I942:L942"/>
    <mergeCell ref="I943:K943"/>
    <mergeCell ref="I944:K944"/>
    <mergeCell ref="I945:J945"/>
    <mergeCell ref="I946:J946"/>
    <mergeCell ref="I947:J947"/>
    <mergeCell ref="I948:J948"/>
    <mergeCell ref="I949:J949"/>
    <mergeCell ref="I950:J950"/>
    <mergeCell ref="I951:K951"/>
    <mergeCell ref="I958:J958"/>
    <mergeCell ref="I959:J959"/>
    <mergeCell ref="I952:K952"/>
    <mergeCell ref="I953:J953"/>
    <mergeCell ref="I954:J954"/>
    <mergeCell ref="L954:L960"/>
    <mergeCell ref="I955:J955"/>
    <mergeCell ref="I956:J956"/>
    <mergeCell ref="I957:J957"/>
    <mergeCell ref="I960:K960"/>
    <mergeCell ref="I856:J856"/>
    <mergeCell ref="I857:J857"/>
    <mergeCell ref="I858:K858"/>
    <mergeCell ref="I859:K859"/>
    <mergeCell ref="I860:J860"/>
    <mergeCell ref="I861:J861"/>
    <mergeCell ref="L861:L867"/>
    <mergeCell ref="I866:J866"/>
    <mergeCell ref="I867:K867"/>
    <mergeCell ref="I870:K872"/>
    <mergeCell ref="I880:L880"/>
    <mergeCell ref="I881:K881"/>
    <mergeCell ref="I882:K882"/>
    <mergeCell ref="I883:J883"/>
    <mergeCell ref="A895:B895"/>
    <mergeCell ref="A896:B896"/>
    <mergeCell ref="A892:B892"/>
    <mergeCell ref="G892:G894"/>
    <mergeCell ref="I892:J892"/>
    <mergeCell ref="L892:L898"/>
    <mergeCell ref="I895:J895"/>
    <mergeCell ref="I896:J896"/>
    <mergeCell ref="I897:J897"/>
    <mergeCell ref="I898:K898"/>
    <mergeCell ref="A922:B922"/>
    <mergeCell ref="A923:B923"/>
    <mergeCell ref="I923:J923"/>
    <mergeCell ref="A915:B915"/>
    <mergeCell ref="A916:B916"/>
    <mergeCell ref="A917:B917"/>
    <mergeCell ref="A918:B918"/>
    <mergeCell ref="A919:B919"/>
    <mergeCell ref="A920:C920"/>
    <mergeCell ref="A921:C921"/>
    <mergeCell ref="E923:F925"/>
    <mergeCell ref="E926:G929"/>
    <mergeCell ref="E932:G932"/>
    <mergeCell ref="E933:G933"/>
    <mergeCell ref="E934:G934"/>
    <mergeCell ref="E892:F894"/>
    <mergeCell ref="E895:G898"/>
    <mergeCell ref="E901:G901"/>
    <mergeCell ref="E902:G902"/>
    <mergeCell ref="E903:G903"/>
    <mergeCell ref="D912:G922"/>
    <mergeCell ref="G923:G925"/>
    <mergeCell ref="M861:N863"/>
    <mergeCell ref="O861:O863"/>
    <mergeCell ref="M864:O867"/>
    <mergeCell ref="M870:O870"/>
    <mergeCell ref="M871:O871"/>
    <mergeCell ref="M872:O872"/>
    <mergeCell ref="L881:O891"/>
    <mergeCell ref="L943:O953"/>
    <mergeCell ref="M954:N956"/>
    <mergeCell ref="O954:O956"/>
    <mergeCell ref="M957:O960"/>
    <mergeCell ref="M892:N894"/>
    <mergeCell ref="O892:O894"/>
    <mergeCell ref="M895:O898"/>
    <mergeCell ref="M901:O901"/>
    <mergeCell ref="M902:O902"/>
    <mergeCell ref="M903:O903"/>
    <mergeCell ref="L912:O922"/>
    <mergeCell ref="I835:J835"/>
    <mergeCell ref="I836:K836"/>
    <mergeCell ref="I839:K841"/>
    <mergeCell ref="M839:O839"/>
    <mergeCell ref="M840:O840"/>
    <mergeCell ref="M841:O841"/>
    <mergeCell ref="I829:J829"/>
    <mergeCell ref="I830:J830"/>
    <mergeCell ref="L830:L836"/>
    <mergeCell ref="I831:J831"/>
    <mergeCell ref="I832:J832"/>
    <mergeCell ref="I833:J833"/>
    <mergeCell ref="I834:J834"/>
    <mergeCell ref="I849:L849"/>
    <mergeCell ref="I850:K850"/>
    <mergeCell ref="I851:K851"/>
    <mergeCell ref="I852:J852"/>
    <mergeCell ref="I853:J853"/>
    <mergeCell ref="I854:J854"/>
    <mergeCell ref="I855:J855"/>
    <mergeCell ref="I862:J862"/>
    <mergeCell ref="I863:J863"/>
    <mergeCell ref="I864:J864"/>
    <mergeCell ref="I865:J865"/>
    <mergeCell ref="M923:N925"/>
    <mergeCell ref="O923:O925"/>
    <mergeCell ref="I924:J924"/>
    <mergeCell ref="I925:J925"/>
    <mergeCell ref="I927:J927"/>
    <mergeCell ref="I928:J928"/>
    <mergeCell ref="I929:K929"/>
    <mergeCell ref="M926:O929"/>
    <mergeCell ref="M932:O932"/>
    <mergeCell ref="M933:O933"/>
    <mergeCell ref="M934:O934"/>
    <mergeCell ref="A950:B950"/>
    <mergeCell ref="A951:C951"/>
    <mergeCell ref="A929:C929"/>
    <mergeCell ref="A932:C934"/>
    <mergeCell ref="A942:D942"/>
    <mergeCell ref="A943:C943"/>
    <mergeCell ref="D943:G953"/>
    <mergeCell ref="A944:C944"/>
    <mergeCell ref="A945:B945"/>
    <mergeCell ref="A956:B956"/>
    <mergeCell ref="A957:B957"/>
    <mergeCell ref="A955:B955"/>
    <mergeCell ref="A958:B958"/>
    <mergeCell ref="A959:B959"/>
    <mergeCell ref="A960:C960"/>
    <mergeCell ref="A952:C952"/>
    <mergeCell ref="A953:B953"/>
    <mergeCell ref="A954:B954"/>
    <mergeCell ref="D954:D960"/>
    <mergeCell ref="E954:F956"/>
    <mergeCell ref="G954:G956"/>
    <mergeCell ref="E957:G960"/>
    <mergeCell ref="A894:B894"/>
    <mergeCell ref="A897:B897"/>
    <mergeCell ref="A914:B914"/>
    <mergeCell ref="A924:B924"/>
    <mergeCell ref="A925:B925"/>
    <mergeCell ref="A926:B926"/>
    <mergeCell ref="A927:B927"/>
    <mergeCell ref="A928:B928"/>
    <mergeCell ref="A893:B893"/>
    <mergeCell ref="A898:C898"/>
    <mergeCell ref="A901:C903"/>
    <mergeCell ref="A911:D911"/>
    <mergeCell ref="A912:C912"/>
    <mergeCell ref="A913:C913"/>
    <mergeCell ref="D923:D929"/>
    <mergeCell ref="A946:B946"/>
    <mergeCell ref="A947:B947"/>
    <mergeCell ref="A948:B948"/>
    <mergeCell ref="A949:B949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2"/>
  <legacyDrawing r:id="rId3"/>
  <tableParts count="65"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1" max="1" width="8.8"/>
    <col customWidth="1" min="3" max="3" width="14.9"/>
    <col customWidth="1" min="4" max="4" width="17.0"/>
    <col customWidth="1" min="5" max="5" width="8.3"/>
    <col customWidth="1" min="6" max="6" width="6.3"/>
    <col customWidth="1" min="7" max="7" width="12.8"/>
    <col customWidth="1" min="11" max="11" width="18.6"/>
    <col customWidth="1" min="12" max="12" width="16.2"/>
    <col customWidth="1" min="13" max="13" width="5.5"/>
    <col customWidth="1" min="14" max="14" width="7.0"/>
    <col customWidth="1" min="15" max="15" width="7.4"/>
    <col customWidth="1" min="19" max="19" width="18.3"/>
    <col customWidth="1" min="20" max="20" width="13.4"/>
  </cols>
  <sheetData>
    <row r="1">
      <c r="A1" s="685" t="s">
        <v>959</v>
      </c>
      <c r="B1" s="686"/>
      <c r="C1" s="687"/>
      <c r="D1" s="688" t="s">
        <v>960</v>
      </c>
      <c r="E1" s="686"/>
      <c r="F1" s="686"/>
      <c r="G1" s="686"/>
      <c r="H1" s="686"/>
      <c r="I1" s="686"/>
      <c r="J1" s="686"/>
      <c r="K1" s="686"/>
      <c r="L1" s="689"/>
      <c r="M1" s="690"/>
      <c r="N1" s="691"/>
      <c r="O1" s="692"/>
      <c r="P1" s="693" t="s">
        <v>961</v>
      </c>
      <c r="Q1" s="694" t="s">
        <v>962</v>
      </c>
    </row>
    <row r="2">
      <c r="A2" s="695"/>
      <c r="B2" s="696" t="s">
        <v>916</v>
      </c>
      <c r="C2" s="697" t="s">
        <v>711</v>
      </c>
      <c r="D2" s="698" t="s">
        <v>4</v>
      </c>
      <c r="E2" s="699" t="s">
        <v>5</v>
      </c>
      <c r="F2" s="699" t="s">
        <v>6</v>
      </c>
      <c r="G2" s="699" t="s">
        <v>7</v>
      </c>
      <c r="H2" s="700" t="s">
        <v>8</v>
      </c>
      <c r="I2" s="701" t="s">
        <v>9</v>
      </c>
      <c r="J2" s="699" t="s">
        <v>10</v>
      </c>
      <c r="K2" s="699" t="s">
        <v>11</v>
      </c>
      <c r="L2" s="702" t="s">
        <v>12</v>
      </c>
      <c r="M2" s="4"/>
      <c r="N2" s="703" t="s">
        <v>963</v>
      </c>
      <c r="P2" s="704">
        <f>SUM(H3:H61)</f>
        <v>111918.8</v>
      </c>
      <c r="Q2" s="705"/>
      <c r="R2" s="145"/>
      <c r="S2" s="145"/>
      <c r="T2" s="145"/>
      <c r="U2" s="145"/>
      <c r="V2" s="145"/>
      <c r="W2" s="145"/>
      <c r="X2" s="145"/>
      <c r="Y2" s="145"/>
    </row>
    <row r="3">
      <c r="A3" s="706"/>
      <c r="B3" s="707" t="s">
        <v>916</v>
      </c>
      <c r="C3" s="707" t="s">
        <v>964</v>
      </c>
      <c r="D3" s="11">
        <v>45986.0</v>
      </c>
      <c r="E3" s="10">
        <v>9.340326E7</v>
      </c>
      <c r="F3" s="10" t="s">
        <v>965</v>
      </c>
      <c r="G3" s="10" t="s">
        <v>966</v>
      </c>
      <c r="H3" s="12">
        <v>0.0</v>
      </c>
      <c r="I3" s="13">
        <v>0.0</v>
      </c>
      <c r="J3" s="10" t="s">
        <v>967</v>
      </c>
      <c r="K3" s="708"/>
      <c r="L3" s="709"/>
      <c r="M3" s="10"/>
      <c r="N3" s="710" t="s">
        <v>968</v>
      </c>
      <c r="P3" s="711">
        <f>SUM(I3:I61)</f>
        <v>54573</v>
      </c>
      <c r="Q3" s="705"/>
      <c r="R3" s="145"/>
      <c r="S3" s="145"/>
      <c r="T3" s="145"/>
      <c r="U3" s="145"/>
      <c r="V3" s="145"/>
      <c r="W3" s="145"/>
      <c r="X3" s="145"/>
      <c r="Y3" s="145"/>
    </row>
    <row r="4">
      <c r="A4" s="706"/>
      <c r="B4" s="712" t="s">
        <v>431</v>
      </c>
      <c r="C4" s="713">
        <v>2135.85</v>
      </c>
      <c r="D4" s="11">
        <v>45985.0</v>
      </c>
      <c r="E4" s="10">
        <v>5.35801219E8</v>
      </c>
      <c r="F4" s="10" t="s">
        <v>969</v>
      </c>
      <c r="G4" s="10" t="s">
        <v>970</v>
      </c>
      <c r="H4" s="12">
        <v>250.0</v>
      </c>
      <c r="I4" s="13">
        <v>0.0</v>
      </c>
      <c r="J4" s="10" t="s">
        <v>971</v>
      </c>
      <c r="K4" s="10" t="s">
        <v>185</v>
      </c>
      <c r="L4" s="714">
        <v>3881.0</v>
      </c>
      <c r="M4" s="10"/>
      <c r="N4" s="703" t="s">
        <v>972</v>
      </c>
      <c r="P4" s="704">
        <f>SUM(C4:C30)</f>
        <v>45383.78</v>
      </c>
      <c r="Q4" s="715"/>
      <c r="R4" s="128"/>
      <c r="S4" s="128"/>
      <c r="T4" s="128"/>
      <c r="U4" s="128"/>
      <c r="V4" s="128"/>
      <c r="W4" s="128"/>
      <c r="X4" s="128"/>
      <c r="Y4" s="128"/>
    </row>
    <row r="5">
      <c r="A5" s="706"/>
      <c r="B5" s="712" t="s">
        <v>973</v>
      </c>
      <c r="C5" s="713">
        <v>2673.12</v>
      </c>
      <c r="D5" s="11">
        <v>45985.0</v>
      </c>
      <c r="E5" s="10">
        <v>1572898.0</v>
      </c>
      <c r="F5" s="10" t="s">
        <v>974</v>
      </c>
      <c r="G5" s="10" t="s">
        <v>975</v>
      </c>
      <c r="H5" s="12">
        <v>3100.0</v>
      </c>
      <c r="I5" s="13">
        <v>1528.0</v>
      </c>
      <c r="J5" s="10" t="s">
        <v>976</v>
      </c>
      <c r="K5" s="10" t="s">
        <v>249</v>
      </c>
      <c r="L5" s="714">
        <v>7048.0</v>
      </c>
      <c r="M5" s="10"/>
      <c r="N5" s="710"/>
      <c r="P5" s="126"/>
      <c r="Q5" s="716">
        <v>45383.78</v>
      </c>
      <c r="R5" s="126"/>
      <c r="S5" s="126"/>
      <c r="T5" s="126"/>
      <c r="U5" s="717"/>
      <c r="V5" s="126"/>
      <c r="W5" s="145"/>
      <c r="X5" s="145"/>
      <c r="Y5" s="145"/>
    </row>
    <row r="6">
      <c r="A6" s="706"/>
      <c r="B6" s="712" t="s">
        <v>513</v>
      </c>
      <c r="C6" s="713">
        <v>1062.81</v>
      </c>
      <c r="D6" s="11">
        <v>45985.0</v>
      </c>
      <c r="E6" s="10">
        <v>161551.0</v>
      </c>
      <c r="F6" s="10" t="s">
        <v>977</v>
      </c>
      <c r="G6" s="10" t="s">
        <v>978</v>
      </c>
      <c r="H6" s="12">
        <v>1050.0</v>
      </c>
      <c r="I6" s="13">
        <v>659.0</v>
      </c>
      <c r="J6" s="10" t="s">
        <v>979</v>
      </c>
      <c r="K6" s="10" t="s">
        <v>980</v>
      </c>
      <c r="L6" s="714">
        <v>6338.0</v>
      </c>
      <c r="M6" s="10"/>
      <c r="N6" s="703" t="s">
        <v>981</v>
      </c>
      <c r="P6" s="145"/>
      <c r="Q6" s="718">
        <f>sum(U24:U63)</f>
        <v>3766.26</v>
      </c>
      <c r="R6" s="126"/>
      <c r="S6" s="145"/>
      <c r="T6" s="145"/>
      <c r="U6" s="145"/>
      <c r="V6" s="145"/>
      <c r="W6" s="145"/>
      <c r="X6" s="145"/>
      <c r="Y6" s="145"/>
    </row>
    <row r="7">
      <c r="A7" s="706"/>
      <c r="B7" s="712" t="s">
        <v>982</v>
      </c>
      <c r="C7" s="713">
        <v>1731.16</v>
      </c>
      <c r="D7" s="11">
        <v>45985.0</v>
      </c>
      <c r="E7" s="10" t="s">
        <v>983</v>
      </c>
      <c r="F7" s="10" t="s">
        <v>984</v>
      </c>
      <c r="G7" s="10" t="s">
        <v>985</v>
      </c>
      <c r="H7" s="12">
        <v>2800.0</v>
      </c>
      <c r="I7" s="13">
        <v>1218.0</v>
      </c>
      <c r="J7" s="10" t="s">
        <v>986</v>
      </c>
      <c r="K7" s="10" t="s">
        <v>95</v>
      </c>
      <c r="L7" s="714">
        <v>2516.0</v>
      </c>
      <c r="M7" s="10"/>
      <c r="N7" s="703" t="s">
        <v>987</v>
      </c>
      <c r="P7" s="145"/>
      <c r="Q7" s="705"/>
      <c r="R7" s="145"/>
      <c r="S7" s="145"/>
      <c r="T7" s="126"/>
      <c r="U7" s="717"/>
      <c r="V7" s="145"/>
      <c r="W7" s="145"/>
      <c r="X7" s="126"/>
      <c r="Y7" s="126"/>
    </row>
    <row r="8">
      <c r="A8" s="706"/>
      <c r="B8" s="719">
        <v>2316.0</v>
      </c>
      <c r="C8" s="713">
        <v>2729.63</v>
      </c>
      <c r="D8" s="11">
        <v>45985.0</v>
      </c>
      <c r="E8" s="10">
        <v>5.35295368E8</v>
      </c>
      <c r="F8" s="10" t="s">
        <v>988</v>
      </c>
      <c r="G8" s="10" t="s">
        <v>989</v>
      </c>
      <c r="H8" s="12">
        <v>2300.0</v>
      </c>
      <c r="I8" s="13">
        <v>1155.0</v>
      </c>
      <c r="J8" s="10" t="s">
        <v>990</v>
      </c>
      <c r="K8" s="10" t="s">
        <v>185</v>
      </c>
      <c r="L8" s="714">
        <v>3881.0</v>
      </c>
      <c r="M8" s="10"/>
      <c r="N8" s="703" t="s">
        <v>991</v>
      </c>
      <c r="P8" s="720">
        <f>400*33</f>
        <v>13200</v>
      </c>
      <c r="Q8" s="718">
        <f>SUM(S24:S63)</f>
        <v>8800</v>
      </c>
      <c r="R8" s="145"/>
      <c r="S8" s="145"/>
      <c r="T8" s="145"/>
      <c r="U8" s="145"/>
      <c r="V8" s="145"/>
      <c r="W8" s="145"/>
      <c r="X8" s="145"/>
      <c r="Y8" s="145"/>
    </row>
    <row r="9">
      <c r="A9" s="706"/>
      <c r="B9" s="719">
        <v>2516.0</v>
      </c>
      <c r="C9" s="713">
        <v>747.17</v>
      </c>
      <c r="D9" s="11">
        <v>45985.0</v>
      </c>
      <c r="E9" s="10" t="s">
        <v>992</v>
      </c>
      <c r="F9" s="10" t="s">
        <v>246</v>
      </c>
      <c r="G9" s="10" t="s">
        <v>993</v>
      </c>
      <c r="H9" s="12">
        <v>816.0</v>
      </c>
      <c r="I9" s="13">
        <v>562.0</v>
      </c>
      <c r="J9" s="10" t="s">
        <v>994</v>
      </c>
      <c r="K9" s="10" t="s">
        <v>320</v>
      </c>
      <c r="L9" s="714">
        <v>9348.0</v>
      </c>
      <c r="M9" s="10"/>
      <c r="N9" s="710"/>
      <c r="P9" s="126"/>
      <c r="Q9" s="705"/>
      <c r="R9" s="126"/>
      <c r="S9" s="126"/>
      <c r="T9" s="126"/>
      <c r="U9" s="717"/>
      <c r="V9" s="126"/>
      <c r="W9" s="145"/>
      <c r="X9" s="126"/>
      <c r="Y9" s="126"/>
    </row>
    <row r="10">
      <c r="A10" s="706"/>
      <c r="B10" s="719">
        <v>2675.0</v>
      </c>
      <c r="C10" s="713">
        <v>2610.76</v>
      </c>
      <c r="D10" s="11">
        <v>45985.0</v>
      </c>
      <c r="E10" s="10">
        <v>794771.0</v>
      </c>
      <c r="F10" s="10" t="s">
        <v>995</v>
      </c>
      <c r="G10" s="10" t="s">
        <v>996</v>
      </c>
      <c r="H10" s="12">
        <v>675.0</v>
      </c>
      <c r="I10" s="13">
        <v>571.0</v>
      </c>
      <c r="J10" s="10" t="s">
        <v>997</v>
      </c>
      <c r="K10" s="10" t="s">
        <v>287</v>
      </c>
      <c r="L10" s="714">
        <v>7807.0</v>
      </c>
      <c r="M10" s="10"/>
      <c r="N10" s="710" t="s">
        <v>998</v>
      </c>
      <c r="P10" s="126"/>
      <c r="Q10" s="721">
        <f>SUM(T25:T63)</f>
        <v>3400</v>
      </c>
      <c r="R10" s="126"/>
      <c r="S10" s="145"/>
      <c r="T10" s="145"/>
      <c r="U10" s="145"/>
      <c r="V10" s="145"/>
      <c r="W10" s="145"/>
      <c r="X10" s="145"/>
      <c r="Y10" s="145"/>
    </row>
    <row r="11">
      <c r="A11" s="706"/>
      <c r="B11" s="719">
        <v>2693.0</v>
      </c>
      <c r="C11" s="713">
        <v>3387.6</v>
      </c>
      <c r="D11" s="11">
        <v>45985.0</v>
      </c>
      <c r="E11" s="10">
        <v>1259248.0</v>
      </c>
      <c r="F11" s="10" t="s">
        <v>999</v>
      </c>
      <c r="G11" s="10" t="s">
        <v>1000</v>
      </c>
      <c r="H11" s="12">
        <v>2000.0</v>
      </c>
      <c r="I11" s="13">
        <v>774.0</v>
      </c>
      <c r="J11" s="10" t="s">
        <v>1001</v>
      </c>
      <c r="K11" s="10" t="s">
        <v>1002</v>
      </c>
      <c r="L11" s="714">
        <v>9334.0</v>
      </c>
      <c r="M11" s="708"/>
      <c r="N11" s="710"/>
      <c r="P11" s="145"/>
      <c r="Q11" s="705"/>
      <c r="R11" s="126"/>
      <c r="S11" s="145"/>
      <c r="T11" s="145"/>
      <c r="U11" s="145"/>
      <c r="V11" s="145"/>
      <c r="W11" s="145"/>
      <c r="X11" s="145"/>
      <c r="Y11" s="145"/>
    </row>
    <row r="12">
      <c r="A12" s="706"/>
      <c r="B12" s="719">
        <v>2774.0</v>
      </c>
      <c r="C12" s="713">
        <v>973.82</v>
      </c>
      <c r="D12" s="11">
        <v>45985.0</v>
      </c>
      <c r="E12" s="10" t="s">
        <v>1003</v>
      </c>
      <c r="F12" s="10" t="s">
        <v>246</v>
      </c>
      <c r="G12" s="10" t="s">
        <v>1004</v>
      </c>
      <c r="H12" s="12">
        <v>849.0</v>
      </c>
      <c r="I12" s="13">
        <v>554.0</v>
      </c>
      <c r="J12" s="10" t="s">
        <v>1005</v>
      </c>
      <c r="K12" s="10" t="s">
        <v>278</v>
      </c>
      <c r="L12" s="714">
        <v>3866.0</v>
      </c>
      <c r="M12" s="10"/>
      <c r="N12" s="703" t="s">
        <v>1006</v>
      </c>
      <c r="P12" s="704">
        <f>W24+W25+W26+W27+W28+W29+W30+W32+W33+W34+W35+W36+W37+W38+W39+W41+W42+W43+W44+W45+W46+W48</f>
        <v>42414.234</v>
      </c>
      <c r="Q12" s="705"/>
      <c r="R12" s="145"/>
      <c r="S12" s="145"/>
      <c r="T12" s="126"/>
      <c r="U12" s="717"/>
      <c r="V12" s="145"/>
      <c r="W12" s="145"/>
      <c r="X12" s="145"/>
      <c r="Y12" s="145"/>
    </row>
    <row r="13">
      <c r="A13" s="706"/>
      <c r="B13" s="719">
        <v>2890.0</v>
      </c>
      <c r="C13" s="713">
        <v>1094.4</v>
      </c>
      <c r="D13" s="11">
        <v>45985.0</v>
      </c>
      <c r="E13" s="10">
        <v>5.3548805E8</v>
      </c>
      <c r="F13" s="10" t="s">
        <v>1007</v>
      </c>
      <c r="G13" s="10" t="s">
        <v>1008</v>
      </c>
      <c r="H13" s="12">
        <v>820.0</v>
      </c>
      <c r="I13" s="13">
        <v>498.0</v>
      </c>
      <c r="J13" s="10" t="s">
        <v>1009</v>
      </c>
      <c r="K13" s="10" t="s">
        <v>153</v>
      </c>
      <c r="L13" s="714">
        <v>3301.0</v>
      </c>
      <c r="M13" s="10"/>
      <c r="N13" s="710" t="s">
        <v>1010</v>
      </c>
      <c r="P13" s="722"/>
      <c r="Q13" s="723"/>
      <c r="R13" s="145"/>
      <c r="S13" s="145"/>
      <c r="T13" s="145"/>
      <c r="U13" s="145"/>
      <c r="V13" s="145"/>
      <c r="W13" s="145"/>
      <c r="X13" s="145"/>
      <c r="Y13" s="145"/>
    </row>
    <row r="14">
      <c r="A14" s="706"/>
      <c r="B14" s="719">
        <v>3301.0</v>
      </c>
      <c r="C14" s="713">
        <v>2517.8</v>
      </c>
      <c r="D14" s="11">
        <v>45985.0</v>
      </c>
      <c r="E14" s="10">
        <v>2.0638176E7</v>
      </c>
      <c r="F14" s="10" t="s">
        <v>1011</v>
      </c>
      <c r="G14" s="10" t="s">
        <v>1012</v>
      </c>
      <c r="H14" s="12">
        <v>1400.0</v>
      </c>
      <c r="I14" s="13">
        <v>598.0</v>
      </c>
      <c r="J14" s="10" t="s">
        <v>1013</v>
      </c>
      <c r="K14" s="10" t="s">
        <v>197</v>
      </c>
      <c r="L14" s="714">
        <v>6643.0</v>
      </c>
      <c r="M14" s="10"/>
      <c r="N14" s="724"/>
      <c r="P14" s="126"/>
      <c r="Q14" s="705"/>
      <c r="R14" s="126"/>
      <c r="S14" s="126"/>
      <c r="T14" s="126"/>
      <c r="U14" s="717"/>
      <c r="V14" s="126"/>
      <c r="W14" s="145"/>
      <c r="X14" s="145"/>
      <c r="Y14" s="145"/>
    </row>
    <row r="15">
      <c r="A15" s="706"/>
      <c r="B15" s="719">
        <v>3403.0</v>
      </c>
      <c r="C15" s="713">
        <v>483.58</v>
      </c>
      <c r="D15" s="11">
        <v>45985.0</v>
      </c>
      <c r="E15" s="10">
        <v>4.0115064E7</v>
      </c>
      <c r="F15" s="10" t="s">
        <v>1014</v>
      </c>
      <c r="G15" s="10" t="s">
        <v>1015</v>
      </c>
      <c r="H15" s="12">
        <v>1200.0</v>
      </c>
      <c r="I15" s="13">
        <v>598.0</v>
      </c>
      <c r="J15" s="10" t="s">
        <v>1016</v>
      </c>
      <c r="K15" s="10" t="s">
        <v>103</v>
      </c>
      <c r="L15" s="714">
        <v>2675.0</v>
      </c>
      <c r="M15" s="10"/>
      <c r="N15" s="710" t="s">
        <v>1017</v>
      </c>
      <c r="P15" s="145"/>
      <c r="Q15" s="705">
        <f>SUM(Y24:Y63)</f>
        <v>0</v>
      </c>
      <c r="R15" s="126"/>
      <c r="S15" s="145"/>
      <c r="T15" s="145"/>
      <c r="U15" s="145"/>
      <c r="V15" s="145"/>
      <c r="W15" s="145"/>
      <c r="X15" s="145"/>
      <c r="Y15" s="145"/>
    </row>
    <row r="16">
      <c r="A16" s="706"/>
      <c r="B16" s="719">
        <v>3819.0</v>
      </c>
      <c r="C16" s="713">
        <v>1111.82</v>
      </c>
      <c r="D16" s="11">
        <v>45985.0</v>
      </c>
      <c r="E16" s="10">
        <v>2.0649044E7</v>
      </c>
      <c r="F16" s="10" t="s">
        <v>1018</v>
      </c>
      <c r="G16" s="10" t="s">
        <v>1019</v>
      </c>
      <c r="H16" s="12">
        <v>2300.0</v>
      </c>
      <c r="I16" s="13">
        <v>900.0</v>
      </c>
      <c r="J16" s="10" t="s">
        <v>1020</v>
      </c>
      <c r="K16" s="10" t="s">
        <v>220</v>
      </c>
      <c r="L16" s="714">
        <v>6960.0</v>
      </c>
      <c r="M16" s="708"/>
      <c r="N16" s="710"/>
      <c r="P16" s="126"/>
      <c r="Q16" s="705"/>
      <c r="R16" s="126"/>
      <c r="S16" s="126"/>
      <c r="T16" s="126"/>
      <c r="U16" s="717"/>
      <c r="V16" s="126"/>
      <c r="W16" s="145"/>
      <c r="X16" s="145"/>
      <c r="Y16" s="145"/>
    </row>
    <row r="17">
      <c r="A17" s="706"/>
      <c r="B17" s="719">
        <v>3866.0</v>
      </c>
      <c r="C17" s="713">
        <v>2085.26</v>
      </c>
      <c r="D17" s="11">
        <v>45985.0</v>
      </c>
      <c r="E17" s="10">
        <v>5.34890703E8</v>
      </c>
      <c r="F17" s="10" t="s">
        <v>1021</v>
      </c>
      <c r="G17" s="10" t="s">
        <v>1022</v>
      </c>
      <c r="H17" s="12">
        <v>1000.0</v>
      </c>
      <c r="I17" s="13">
        <v>391.0</v>
      </c>
      <c r="J17" s="10" t="s">
        <v>1023</v>
      </c>
      <c r="K17" s="10" t="s">
        <v>274</v>
      </c>
      <c r="L17" s="714">
        <v>7352.0</v>
      </c>
      <c r="M17" s="10"/>
      <c r="N17" s="725" t="s">
        <v>1024</v>
      </c>
      <c r="P17" s="704">
        <f t="shared" ref="P17:Q17" si="1">SUM(P4:P16)</f>
        <v>100998.014</v>
      </c>
      <c r="Q17" s="705">
        <f t="shared" si="1"/>
        <v>61350.04</v>
      </c>
      <c r="R17" s="126"/>
      <c r="S17" s="145"/>
      <c r="T17" s="145"/>
      <c r="U17" s="145"/>
      <c r="V17" s="145"/>
      <c r="W17" s="145"/>
      <c r="X17" s="145"/>
      <c r="Y17" s="145"/>
    </row>
    <row r="18">
      <c r="A18" s="706"/>
      <c r="B18" s="719">
        <v>3881.0</v>
      </c>
      <c r="C18" s="713">
        <v>2110.2</v>
      </c>
      <c r="D18" s="11">
        <v>45986.0</v>
      </c>
      <c r="E18" s="10">
        <v>5.36013958E8</v>
      </c>
      <c r="F18" s="10" t="s">
        <v>1025</v>
      </c>
      <c r="G18" s="10" t="s">
        <v>1026</v>
      </c>
      <c r="H18" s="12">
        <v>1500.0</v>
      </c>
      <c r="I18" s="13">
        <v>902.0</v>
      </c>
      <c r="J18" s="10" t="s">
        <v>1027</v>
      </c>
      <c r="K18" s="10" t="s">
        <v>1028</v>
      </c>
      <c r="L18" s="714">
        <v>6339.0</v>
      </c>
      <c r="M18" s="10"/>
      <c r="N18" s="726" t="s">
        <v>1029</v>
      </c>
      <c r="P18" s="704">
        <f>P2/P3</f>
        <v>2.050809008</v>
      </c>
      <c r="Q18" s="705"/>
      <c r="R18" s="145"/>
      <c r="S18" s="145"/>
      <c r="T18" s="126"/>
      <c r="U18" s="717"/>
      <c r="V18" s="145"/>
      <c r="W18" s="145"/>
      <c r="X18" s="126"/>
      <c r="Y18" s="126"/>
    </row>
    <row r="19">
      <c r="A19" s="706"/>
      <c r="B19" s="719">
        <v>6338.0</v>
      </c>
      <c r="C19" s="713">
        <v>926.26</v>
      </c>
      <c r="D19" s="11">
        <v>45986.0</v>
      </c>
      <c r="E19" s="10">
        <v>170800.0</v>
      </c>
      <c r="F19" s="10" t="s">
        <v>1030</v>
      </c>
      <c r="G19" s="10" t="s">
        <v>1031</v>
      </c>
      <c r="H19" s="12">
        <v>2300.0</v>
      </c>
      <c r="I19" s="13">
        <v>1079.0</v>
      </c>
      <c r="J19" s="10" t="s">
        <v>1032</v>
      </c>
      <c r="K19" s="10" t="s">
        <v>132</v>
      </c>
      <c r="L19" s="714">
        <v>2890.0</v>
      </c>
      <c r="M19" s="10"/>
      <c r="N19" s="703" t="s">
        <v>1033</v>
      </c>
      <c r="P19" s="727">
        <f>(P4+P6+P7+P8+P10+P12+P13+P15)/P3</f>
        <v>1.850695655</v>
      </c>
      <c r="Q19" s="718">
        <f>(P17-Q17)/P3</f>
        <v>0.7265126345</v>
      </c>
      <c r="R19" s="145"/>
      <c r="S19" s="145"/>
      <c r="T19" s="145"/>
      <c r="U19" s="145"/>
      <c r="V19" s="145"/>
      <c r="W19" s="145"/>
      <c r="X19" s="145"/>
      <c r="Y19" s="145"/>
    </row>
    <row r="20">
      <c r="A20" s="706"/>
      <c r="B20" s="719">
        <v>6339.0</v>
      </c>
      <c r="C20" s="713">
        <v>1900.22</v>
      </c>
      <c r="D20" s="11">
        <v>45986.0</v>
      </c>
      <c r="E20" s="10">
        <v>1258418.0</v>
      </c>
      <c r="F20" s="10" t="s">
        <v>1034</v>
      </c>
      <c r="G20" s="10" t="s">
        <v>1035</v>
      </c>
      <c r="H20" s="12">
        <v>400.0</v>
      </c>
      <c r="I20" s="13">
        <v>47.0</v>
      </c>
      <c r="J20" s="10" t="s">
        <v>1036</v>
      </c>
      <c r="K20" s="10" t="s">
        <v>980</v>
      </c>
      <c r="L20" s="714">
        <v>6338.0</v>
      </c>
      <c r="M20" s="10"/>
      <c r="N20" s="703" t="s">
        <v>1037</v>
      </c>
      <c r="P20" s="704">
        <f>P18-P19</f>
        <v>0.2001133528</v>
      </c>
      <c r="Q20" s="718">
        <f>P18-Q19</f>
        <v>1.324296374</v>
      </c>
      <c r="R20" s="145"/>
      <c r="S20" s="145"/>
      <c r="T20" s="126"/>
      <c r="U20" s="717"/>
      <c r="V20" s="145"/>
      <c r="W20" s="145"/>
      <c r="X20" s="145"/>
      <c r="Y20" s="145"/>
    </row>
    <row r="21">
      <c r="A21" s="706"/>
      <c r="B21" s="719">
        <v>6643.0</v>
      </c>
      <c r="C21" s="713">
        <v>1663.22</v>
      </c>
      <c r="D21" s="11">
        <v>45986.0</v>
      </c>
      <c r="E21" s="10">
        <v>1540219.0</v>
      </c>
      <c r="F21" s="10" t="s">
        <v>1038</v>
      </c>
      <c r="G21" s="10" t="s">
        <v>1039</v>
      </c>
      <c r="H21" s="12">
        <v>1360.0</v>
      </c>
      <c r="I21" s="13">
        <v>809.0</v>
      </c>
      <c r="J21" s="10" t="s">
        <v>1040</v>
      </c>
      <c r="K21" s="10" t="s">
        <v>980</v>
      </c>
      <c r="L21" s="714">
        <v>6338.0</v>
      </c>
      <c r="M21" s="10"/>
      <c r="N21" s="703"/>
      <c r="P21" s="145"/>
      <c r="Q21" s="705"/>
      <c r="R21" s="145"/>
      <c r="S21" s="145"/>
      <c r="T21" s="145"/>
      <c r="U21" s="145"/>
      <c r="V21" s="145"/>
      <c r="W21" s="145"/>
      <c r="X21" s="145"/>
      <c r="Y21" s="145"/>
    </row>
    <row r="22">
      <c r="A22" s="706"/>
      <c r="B22" s="719">
        <v>6813.0</v>
      </c>
      <c r="C22" s="713">
        <v>1004.82</v>
      </c>
      <c r="D22" s="11">
        <v>45986.0</v>
      </c>
      <c r="E22" s="10">
        <v>5542555.0</v>
      </c>
      <c r="F22" s="10" t="s">
        <v>1041</v>
      </c>
      <c r="G22" s="10" t="s">
        <v>1042</v>
      </c>
      <c r="H22" s="12">
        <v>2000.0</v>
      </c>
      <c r="I22" s="13">
        <v>1175.0</v>
      </c>
      <c r="J22" s="10" t="s">
        <v>1043</v>
      </c>
      <c r="K22" s="10" t="s">
        <v>58</v>
      </c>
      <c r="L22" s="728" t="s">
        <v>982</v>
      </c>
      <c r="M22" s="10"/>
      <c r="N22" s="729" t="s">
        <v>1044</v>
      </c>
      <c r="O22" s="730"/>
      <c r="P22" s="731">
        <f>P2-(P4+P6+P7+P8+P10+P12+P13+P15)</f>
        <v>10920.786</v>
      </c>
      <c r="Q22" s="732"/>
      <c r="S22" s="733" t="s">
        <v>1045</v>
      </c>
      <c r="T22" s="734"/>
      <c r="U22" s="735"/>
      <c r="V22" s="145"/>
      <c r="W22" s="145"/>
      <c r="X22" s="126"/>
      <c r="Y22" s="126"/>
    </row>
    <row r="23">
      <c r="A23" s="706"/>
      <c r="B23" s="719">
        <v>6960.0</v>
      </c>
      <c r="C23" s="713">
        <v>625.12</v>
      </c>
      <c r="D23" s="11">
        <v>45986.0</v>
      </c>
      <c r="E23" s="10">
        <v>1257186.0</v>
      </c>
      <c r="F23" s="10" t="s">
        <v>1046</v>
      </c>
      <c r="G23" s="22" t="s">
        <v>1047</v>
      </c>
      <c r="H23" s="12">
        <v>2900.0</v>
      </c>
      <c r="I23" s="13">
        <v>1505.0</v>
      </c>
      <c r="J23" s="10" t="s">
        <v>1048</v>
      </c>
      <c r="K23" s="10" t="s">
        <v>262</v>
      </c>
      <c r="L23" s="714">
        <v>7265.0</v>
      </c>
      <c r="M23" s="10"/>
      <c r="N23" s="736"/>
      <c r="O23" s="737"/>
      <c r="P23" s="738" t="s">
        <v>591</v>
      </c>
      <c r="Q23" s="738" t="s">
        <v>656</v>
      </c>
      <c r="R23" s="739" t="s">
        <v>1049</v>
      </c>
      <c r="S23" s="738" t="s">
        <v>991</v>
      </c>
      <c r="T23" s="738" t="s">
        <v>885</v>
      </c>
      <c r="U23" s="738" t="s">
        <v>1050</v>
      </c>
      <c r="V23" s="738" t="s">
        <v>1051</v>
      </c>
      <c r="W23" s="738" t="s">
        <v>1052</v>
      </c>
      <c r="X23" s="738" t="s">
        <v>1010</v>
      </c>
      <c r="Y23" s="740" t="s">
        <v>1053</v>
      </c>
    </row>
    <row r="24">
      <c r="A24" s="706"/>
      <c r="B24" s="719">
        <v>7048.0</v>
      </c>
      <c r="C24" s="713">
        <v>1219.53</v>
      </c>
      <c r="D24" s="11">
        <v>45986.0</v>
      </c>
      <c r="E24" s="10">
        <v>2174307.0</v>
      </c>
      <c r="F24" s="10" t="s">
        <v>1054</v>
      </c>
      <c r="G24" s="10" t="s">
        <v>1055</v>
      </c>
      <c r="H24" s="12">
        <v>1550.0</v>
      </c>
      <c r="I24" s="13">
        <v>411.0</v>
      </c>
      <c r="J24" s="10" t="s">
        <v>1056</v>
      </c>
      <c r="K24" s="10" t="s">
        <v>197</v>
      </c>
      <c r="L24" s="714">
        <v>6643.0</v>
      </c>
      <c r="M24" s="10"/>
      <c r="N24" s="741">
        <v>1.0</v>
      </c>
      <c r="O24" s="742" t="s">
        <v>431</v>
      </c>
      <c r="P24" s="727">
        <f>M130</f>
        <v>1778</v>
      </c>
      <c r="Q24" s="704">
        <f>C150</f>
        <v>2135.85</v>
      </c>
      <c r="R24" s="704" t="str">
        <f>C147</f>
        <v/>
      </c>
      <c r="S24" s="704" t="str">
        <f>C148</f>
        <v/>
      </c>
      <c r="T24" s="743" t="str">
        <f>C149</f>
        <v/>
      </c>
      <c r="U24" s="743" t="str">
        <f>C151</f>
        <v/>
      </c>
      <c r="V24" s="145"/>
      <c r="W24" s="704">
        <f>G148</f>
        <v>3218.15</v>
      </c>
      <c r="X24" s="145"/>
      <c r="Y24" s="705"/>
    </row>
    <row r="25">
      <c r="A25" s="706"/>
      <c r="B25" s="719">
        <v>7265.0</v>
      </c>
      <c r="C25" s="713">
        <v>1450.08</v>
      </c>
      <c r="D25" s="11">
        <v>45986.0</v>
      </c>
      <c r="E25" s="10">
        <v>120482.0</v>
      </c>
      <c r="F25" s="10" t="s">
        <v>1057</v>
      </c>
      <c r="G25" s="10" t="s">
        <v>1058</v>
      </c>
      <c r="H25" s="12">
        <v>1800.0</v>
      </c>
      <c r="I25" s="13">
        <v>434.0</v>
      </c>
      <c r="J25" s="10" t="s">
        <v>1059</v>
      </c>
      <c r="K25" s="10" t="s">
        <v>103</v>
      </c>
      <c r="L25" s="714">
        <v>2675.0</v>
      </c>
      <c r="M25" s="10"/>
      <c r="N25" s="741">
        <v>2.0</v>
      </c>
      <c r="O25" s="744">
        <v>6960.0</v>
      </c>
      <c r="P25" s="727">
        <f>M161</f>
        <v>450</v>
      </c>
      <c r="Q25" s="704">
        <f>C181</f>
        <v>625.12</v>
      </c>
      <c r="R25" s="704">
        <f>C178</f>
        <v>150</v>
      </c>
      <c r="S25" s="704">
        <f>C179</f>
        <v>400</v>
      </c>
      <c r="T25" s="704">
        <f>C180</f>
        <v>200</v>
      </c>
      <c r="U25" s="145"/>
      <c r="V25" s="145"/>
      <c r="W25" s="704">
        <f>G179</f>
        <v>169.45</v>
      </c>
      <c r="X25" s="145" t="str">
        <f t="shared" ref="X25:Y25" si="2">J181</f>
        <v/>
      </c>
      <c r="Y25" s="718" t="str">
        <f t="shared" si="2"/>
        <v/>
      </c>
    </row>
    <row r="26">
      <c r="A26" s="706"/>
      <c r="B26" s="719">
        <v>7352.0</v>
      </c>
      <c r="C26" s="713">
        <v>2392.39</v>
      </c>
      <c r="D26" s="11">
        <v>45986.0</v>
      </c>
      <c r="E26" s="10">
        <v>642799.0</v>
      </c>
      <c r="F26" s="10" t="s">
        <v>1060</v>
      </c>
      <c r="G26" s="10" t="s">
        <v>1061</v>
      </c>
      <c r="H26" s="12">
        <v>1300.0</v>
      </c>
      <c r="I26" s="13">
        <v>727.0</v>
      </c>
      <c r="J26" s="10" t="s">
        <v>1062</v>
      </c>
      <c r="K26" s="10" t="s">
        <v>1063</v>
      </c>
      <c r="L26" s="728" t="s">
        <v>513</v>
      </c>
      <c r="M26" s="10"/>
      <c r="N26" s="741">
        <v>3.0</v>
      </c>
      <c r="O26" s="744">
        <v>7048.0</v>
      </c>
      <c r="P26" s="727">
        <f>M192</f>
        <v>1528</v>
      </c>
      <c r="Q26" s="704">
        <f>C212</f>
        <v>1219.53</v>
      </c>
      <c r="R26" s="704">
        <f>C178</f>
        <v>150</v>
      </c>
      <c r="S26" s="704">
        <f>C210</f>
        <v>400</v>
      </c>
      <c r="T26" s="704">
        <f>C211</f>
        <v>200</v>
      </c>
      <c r="U26" s="704" t="str">
        <f>C213</f>
        <v/>
      </c>
      <c r="V26" s="145"/>
      <c r="W26" s="704">
        <f>G210</f>
        <v>758.47</v>
      </c>
      <c r="X26" s="145" t="str">
        <f t="shared" ref="X26:Y26" si="3">J212</f>
        <v/>
      </c>
      <c r="Y26" s="718" t="str">
        <f t="shared" si="3"/>
        <v/>
      </c>
    </row>
    <row r="27">
      <c r="A27" s="706"/>
      <c r="B27" s="719">
        <v>7807.0</v>
      </c>
      <c r="C27" s="713">
        <v>1131.08</v>
      </c>
      <c r="D27" s="11">
        <v>45986.0</v>
      </c>
      <c r="E27" s="10" t="s">
        <v>1064</v>
      </c>
      <c r="F27" s="10" t="s">
        <v>1065</v>
      </c>
      <c r="G27" s="10" t="s">
        <v>1066</v>
      </c>
      <c r="H27" s="12">
        <v>1600.0</v>
      </c>
      <c r="I27" s="13">
        <v>357.0</v>
      </c>
      <c r="J27" s="10" t="s">
        <v>1067</v>
      </c>
      <c r="K27" s="10" t="s">
        <v>153</v>
      </c>
      <c r="L27" s="714">
        <v>3301.0</v>
      </c>
      <c r="M27" s="10"/>
      <c r="N27" s="741">
        <v>4.0</v>
      </c>
      <c r="O27" s="744">
        <v>7265.0</v>
      </c>
      <c r="P27" s="727">
        <f>M223</f>
        <v>1505</v>
      </c>
      <c r="Q27" s="704">
        <f>C243</f>
        <v>1450.08</v>
      </c>
      <c r="R27" s="704" t="str">
        <f>C240</f>
        <v/>
      </c>
      <c r="S27" s="704" t="str">
        <f>C241</f>
        <v/>
      </c>
      <c r="T27" s="704" t="str">
        <f>C242</f>
        <v/>
      </c>
      <c r="U27" s="745" t="str">
        <f>C244</f>
        <v/>
      </c>
      <c r="V27" s="145"/>
      <c r="W27" s="704">
        <f>G241</f>
        <v>1351.92</v>
      </c>
      <c r="X27" s="145"/>
      <c r="Y27" s="705"/>
    </row>
    <row r="28">
      <c r="A28" s="706"/>
      <c r="B28" s="719">
        <v>9334.0</v>
      </c>
      <c r="C28" s="713">
        <v>1934.41</v>
      </c>
      <c r="D28" s="11">
        <v>45986.0</v>
      </c>
      <c r="E28" s="10">
        <v>2884255.0</v>
      </c>
      <c r="F28" s="10" t="s">
        <v>1068</v>
      </c>
      <c r="G28" s="10" t="s">
        <v>1069</v>
      </c>
      <c r="H28" s="12">
        <v>2185.0</v>
      </c>
      <c r="I28" s="13">
        <v>847.0</v>
      </c>
      <c r="J28" s="10" t="s">
        <v>1070</v>
      </c>
      <c r="K28" s="10" t="s">
        <v>115</v>
      </c>
      <c r="L28" s="714">
        <v>2693.0</v>
      </c>
      <c r="M28" s="10"/>
      <c r="N28" s="741">
        <v>5.0</v>
      </c>
      <c r="O28" s="744">
        <v>3819.0</v>
      </c>
      <c r="P28" s="727">
        <f>M260</f>
        <v>2155</v>
      </c>
      <c r="Q28" s="126">
        <f>C274</f>
        <v>1111.82</v>
      </c>
      <c r="R28" s="704">
        <f>C271</f>
        <v>150</v>
      </c>
      <c r="S28" s="704">
        <f>C272</f>
        <v>400</v>
      </c>
      <c r="T28" s="704">
        <f>C273</f>
        <v>200</v>
      </c>
      <c r="U28" s="126">
        <f>C275</f>
        <v>295</v>
      </c>
      <c r="V28" s="145"/>
      <c r="W28" s="704">
        <f>G272</f>
        <v>1437.18</v>
      </c>
      <c r="X28" s="145"/>
      <c r="Y28" s="705"/>
    </row>
    <row r="29">
      <c r="A29" s="706"/>
      <c r="B29" s="719">
        <v>9348.0</v>
      </c>
      <c r="C29" s="713">
        <v>2770.38</v>
      </c>
      <c r="D29" s="11">
        <v>45987.0</v>
      </c>
      <c r="E29" s="10">
        <v>1.26138229E8</v>
      </c>
      <c r="F29" s="10" t="s">
        <v>1071</v>
      </c>
      <c r="G29" s="10" t="s">
        <v>1072</v>
      </c>
      <c r="H29" s="12">
        <v>2500.0</v>
      </c>
      <c r="I29" s="13">
        <v>1361.0</v>
      </c>
      <c r="J29" s="10" t="s">
        <v>1073</v>
      </c>
      <c r="K29" s="10" t="s">
        <v>115</v>
      </c>
      <c r="L29" s="714">
        <v>2693.0</v>
      </c>
      <c r="M29" s="10"/>
      <c r="N29" s="741">
        <v>6.0</v>
      </c>
      <c r="O29" s="744">
        <v>9348.0</v>
      </c>
      <c r="P29" s="727">
        <f>M291</f>
        <v>4462</v>
      </c>
      <c r="Q29" s="704">
        <f>C305</f>
        <v>2770.38</v>
      </c>
      <c r="R29" s="704" t="str">
        <f>C302</f>
        <v/>
      </c>
      <c r="S29" s="704" t="str">
        <f>C303</f>
        <v/>
      </c>
      <c r="T29" s="704" t="str">
        <f>C304</f>
        <v/>
      </c>
      <c r="U29" s="704" t="str">
        <f>C306</f>
        <v/>
      </c>
      <c r="V29" s="145"/>
      <c r="W29" s="704">
        <f>G303</f>
        <v>4685.7</v>
      </c>
      <c r="X29" s="145"/>
      <c r="Y29" s="705"/>
    </row>
    <row r="30">
      <c r="A30" s="706"/>
      <c r="B30" s="719">
        <v>9617.0</v>
      </c>
      <c r="C30" s="713">
        <v>911.29</v>
      </c>
      <c r="D30" s="11">
        <v>45987.0</v>
      </c>
      <c r="E30" s="10" t="s">
        <v>1074</v>
      </c>
      <c r="F30" s="10" t="s">
        <v>1075</v>
      </c>
      <c r="G30" s="10" t="s">
        <v>1076</v>
      </c>
      <c r="H30" s="12">
        <v>1900.0</v>
      </c>
      <c r="I30" s="13">
        <v>1346.0</v>
      </c>
      <c r="J30" s="10" t="s">
        <v>1077</v>
      </c>
      <c r="K30" s="10" t="s">
        <v>153</v>
      </c>
      <c r="L30" s="714">
        <v>3301.0</v>
      </c>
      <c r="M30" s="10"/>
      <c r="N30" s="741">
        <v>7.0</v>
      </c>
      <c r="O30" s="744">
        <v>7807.0</v>
      </c>
      <c r="P30" s="727">
        <f>M322</f>
        <v>1596</v>
      </c>
      <c r="Q30" s="704">
        <f>C336</f>
        <v>1131.08</v>
      </c>
      <c r="R30" s="704" t="str">
        <f>C333</f>
        <v/>
      </c>
      <c r="S30" s="704" t="str">
        <f>C334</f>
        <v/>
      </c>
      <c r="T30" s="704" t="str">
        <f>C335</f>
        <v/>
      </c>
      <c r="U30" s="704" t="str">
        <f>C337</f>
        <v/>
      </c>
      <c r="V30" s="145"/>
      <c r="W30" s="704">
        <f>G334</f>
        <v>1780.92</v>
      </c>
      <c r="X30" s="145"/>
      <c r="Y30" s="705"/>
    </row>
    <row r="31">
      <c r="A31" s="706"/>
      <c r="B31" s="746"/>
      <c r="C31" s="747"/>
      <c r="D31" s="11">
        <v>45986.0</v>
      </c>
      <c r="E31" s="10">
        <v>393581.0</v>
      </c>
      <c r="F31" s="10" t="s">
        <v>1078</v>
      </c>
      <c r="G31" s="10" t="s">
        <v>1079</v>
      </c>
      <c r="H31" s="12">
        <v>2350.0</v>
      </c>
      <c r="I31" s="13">
        <v>1025.0</v>
      </c>
      <c r="J31" s="10" t="s">
        <v>1080</v>
      </c>
      <c r="K31" s="10" t="s">
        <v>287</v>
      </c>
      <c r="L31" s="714">
        <v>7807.0</v>
      </c>
      <c r="M31" s="10"/>
      <c r="N31" s="741">
        <v>8.0</v>
      </c>
      <c r="O31" s="744">
        <v>2693.0</v>
      </c>
      <c r="P31" s="727">
        <f>M353</f>
        <v>5018</v>
      </c>
      <c r="Q31" s="704">
        <f>C367</f>
        <v>3387.6</v>
      </c>
      <c r="R31" s="704">
        <f>C364</f>
        <v>150</v>
      </c>
      <c r="S31" s="704">
        <f>C365</f>
        <v>400</v>
      </c>
      <c r="T31" s="704">
        <f>C366</f>
        <v>200</v>
      </c>
      <c r="U31" s="704" t="str">
        <f>C368</f>
        <v/>
      </c>
      <c r="V31" s="145"/>
      <c r="W31" s="704">
        <f>G365</f>
        <v>5075.2</v>
      </c>
      <c r="X31" s="145"/>
      <c r="Y31" s="705"/>
    </row>
    <row r="32">
      <c r="A32" s="706"/>
      <c r="D32" s="11">
        <v>45986.0</v>
      </c>
      <c r="E32" s="10" t="s">
        <v>1081</v>
      </c>
      <c r="F32" s="10" t="s">
        <v>1082</v>
      </c>
      <c r="G32" s="10" t="s">
        <v>1083</v>
      </c>
      <c r="H32" s="12">
        <v>1650.0</v>
      </c>
      <c r="I32" s="13">
        <v>871.0</v>
      </c>
      <c r="J32" s="10" t="s">
        <v>1084</v>
      </c>
      <c r="K32" s="10" t="s">
        <v>320</v>
      </c>
      <c r="L32" s="714">
        <v>9348.0</v>
      </c>
      <c r="M32" s="10"/>
      <c r="N32" s="741">
        <v>9.0</v>
      </c>
      <c r="O32" s="744">
        <v>9334.0</v>
      </c>
      <c r="P32" s="727">
        <f>M384</f>
        <v>3568</v>
      </c>
      <c r="Q32" s="704">
        <f>C398</f>
        <v>1934.41</v>
      </c>
      <c r="R32" s="704">
        <f>C395</f>
        <v>150</v>
      </c>
      <c r="S32" s="704">
        <f>C396</f>
        <v>400</v>
      </c>
      <c r="T32" s="704">
        <f>C397</f>
        <v>200</v>
      </c>
      <c r="U32" s="704" t="str">
        <f>C399</f>
        <v/>
      </c>
      <c r="V32" s="145"/>
      <c r="W32" s="704">
        <f>G396</f>
        <v>3593.59</v>
      </c>
      <c r="X32" s="145"/>
      <c r="Y32" s="705"/>
    </row>
    <row r="33">
      <c r="A33" s="706"/>
      <c r="D33" s="11">
        <v>45986.0</v>
      </c>
      <c r="E33" s="10">
        <v>2026142.0</v>
      </c>
      <c r="F33" s="10" t="s">
        <v>1085</v>
      </c>
      <c r="G33" s="10" t="s">
        <v>17</v>
      </c>
      <c r="H33" s="12">
        <v>750.0</v>
      </c>
      <c r="I33" s="13">
        <v>531.0</v>
      </c>
      <c r="J33" s="10" t="s">
        <v>1086</v>
      </c>
      <c r="K33" s="10" t="s">
        <v>1002</v>
      </c>
      <c r="L33" s="714">
        <v>9334.0</v>
      </c>
      <c r="M33" s="10"/>
      <c r="N33" s="741">
        <v>10.0</v>
      </c>
      <c r="O33" s="744">
        <v>2890.0</v>
      </c>
      <c r="P33" s="727">
        <f>M415</f>
        <v>1079</v>
      </c>
      <c r="Q33" s="704">
        <f>C429</f>
        <v>1094.4</v>
      </c>
      <c r="R33" s="704">
        <f>C426</f>
        <v>150</v>
      </c>
      <c r="S33" s="704">
        <f>C427</f>
        <v>400</v>
      </c>
      <c r="T33" s="704">
        <f>C428</f>
        <v>200</v>
      </c>
      <c r="U33" s="745" t="str">
        <f>C430</f>
        <v/>
      </c>
      <c r="V33" s="128"/>
      <c r="W33" s="704">
        <f>G427</f>
        <v>163.4</v>
      </c>
      <c r="X33" s="128"/>
      <c r="Y33" s="715"/>
    </row>
    <row r="34">
      <c r="A34" s="706"/>
      <c r="D34" s="11">
        <v>45986.0</v>
      </c>
      <c r="E34" s="10">
        <v>6912758.0</v>
      </c>
      <c r="F34" s="10" t="s">
        <v>1087</v>
      </c>
      <c r="G34" s="10" t="s">
        <v>1088</v>
      </c>
      <c r="H34" s="12">
        <v>3400.0</v>
      </c>
      <c r="I34" s="13">
        <v>1778.0</v>
      </c>
      <c r="J34" s="10" t="s">
        <v>1089</v>
      </c>
      <c r="K34" s="10" t="s">
        <v>19</v>
      </c>
      <c r="L34" s="728" t="s">
        <v>431</v>
      </c>
      <c r="M34" s="10"/>
      <c r="N34" s="741">
        <v>11.0</v>
      </c>
      <c r="O34" s="744">
        <v>2316.0</v>
      </c>
      <c r="P34" s="727">
        <f>M446</f>
        <v>2887</v>
      </c>
      <c r="Q34" s="704">
        <f>C460</f>
        <v>2729.63</v>
      </c>
      <c r="R34" s="704">
        <f>C457</f>
        <v>150</v>
      </c>
      <c r="S34" s="704">
        <f>C458</f>
        <v>400</v>
      </c>
      <c r="T34" s="704">
        <f>C459</f>
        <v>200</v>
      </c>
      <c r="U34" s="717" t="str">
        <f>C461</f>
        <v/>
      </c>
      <c r="V34" s="126"/>
      <c r="W34" s="704">
        <f>G458</f>
        <v>906.37</v>
      </c>
      <c r="X34" s="145"/>
      <c r="Y34" s="705"/>
    </row>
    <row r="35">
      <c r="A35" s="706"/>
      <c r="D35" s="11">
        <v>45986.0</v>
      </c>
      <c r="E35" s="10">
        <v>5.35949541E8</v>
      </c>
      <c r="F35" s="10" t="s">
        <v>130</v>
      </c>
      <c r="G35" s="10" t="s">
        <v>1090</v>
      </c>
      <c r="H35" s="12">
        <v>1700.0</v>
      </c>
      <c r="I35" s="13">
        <v>448.0</v>
      </c>
      <c r="J35" s="10" t="s">
        <v>1091</v>
      </c>
      <c r="K35" s="10" t="s">
        <v>278</v>
      </c>
      <c r="L35" s="714">
        <v>3866.0</v>
      </c>
      <c r="M35" s="10"/>
      <c r="N35" s="741">
        <v>12.0</v>
      </c>
      <c r="O35" s="744">
        <v>2774.0</v>
      </c>
      <c r="P35" s="727">
        <f>M477</f>
        <v>1254</v>
      </c>
      <c r="Q35" s="704">
        <f>C491</f>
        <v>973.82</v>
      </c>
      <c r="R35" s="704">
        <f>C488</f>
        <v>150</v>
      </c>
      <c r="S35" s="704">
        <f>C489</f>
        <v>400</v>
      </c>
      <c r="T35" s="704">
        <f>C490</f>
        <v>200</v>
      </c>
      <c r="U35" s="704" t="str">
        <f>C492</f>
        <v/>
      </c>
      <c r="V35" s="145"/>
      <c r="W35" s="704">
        <f>G489</f>
        <v>594.18</v>
      </c>
      <c r="X35" s="145"/>
      <c r="Y35" s="705"/>
    </row>
    <row r="36">
      <c r="A36" s="706"/>
      <c r="D36" s="11">
        <v>45986.0</v>
      </c>
      <c r="E36" s="10">
        <v>5.35758159E8</v>
      </c>
      <c r="F36" s="10" t="s">
        <v>1092</v>
      </c>
      <c r="G36" s="10" t="s">
        <v>1093</v>
      </c>
      <c r="H36" s="12">
        <v>708.8</v>
      </c>
      <c r="I36" s="13">
        <v>352.0</v>
      </c>
      <c r="J36" s="10" t="s">
        <v>1094</v>
      </c>
      <c r="K36" s="10" t="s">
        <v>37</v>
      </c>
      <c r="L36" s="728" t="s">
        <v>973</v>
      </c>
      <c r="M36" s="10"/>
      <c r="N36" s="741">
        <v>13.0</v>
      </c>
      <c r="O36" s="742" t="s">
        <v>973</v>
      </c>
      <c r="P36" s="711">
        <f>M508</f>
        <v>3445</v>
      </c>
      <c r="Q36" s="704">
        <f>C522</f>
        <v>2673.12</v>
      </c>
      <c r="R36" s="704">
        <f>C519</f>
        <v>150</v>
      </c>
      <c r="S36" s="704">
        <f>C520</f>
        <v>400</v>
      </c>
      <c r="T36" s="704">
        <f>C521</f>
        <v>200</v>
      </c>
      <c r="U36" s="717" t="str">
        <f>C523</f>
        <v/>
      </c>
      <c r="V36" s="145"/>
      <c r="W36" s="704">
        <f>G520</f>
        <v>3925.424</v>
      </c>
      <c r="X36" s="145"/>
      <c r="Y36" s="705"/>
    </row>
    <row r="37">
      <c r="A37" s="706"/>
      <c r="D37" s="11"/>
      <c r="E37" s="10"/>
      <c r="F37" s="10"/>
      <c r="G37" s="10"/>
      <c r="H37" s="12"/>
      <c r="I37" s="13"/>
      <c r="J37" s="10"/>
      <c r="K37" s="10"/>
      <c r="L37" s="714"/>
      <c r="M37" s="10"/>
      <c r="N37" s="741">
        <v>14.0</v>
      </c>
      <c r="O37" s="744">
        <v>3301.0</v>
      </c>
      <c r="P37" s="711">
        <f>M539</f>
        <v>3610</v>
      </c>
      <c r="Q37" s="704">
        <f>C553</f>
        <v>2517.8</v>
      </c>
      <c r="R37" s="704">
        <f>C550</f>
        <v>150</v>
      </c>
      <c r="S37" s="704">
        <f>C551</f>
        <v>400</v>
      </c>
      <c r="T37" s="704">
        <f>C552</f>
        <v>200</v>
      </c>
      <c r="U37" s="704">
        <f>C554</f>
        <v>294.92</v>
      </c>
      <c r="V37" s="145"/>
      <c r="W37" s="704">
        <f>G551</f>
        <v>3102.48</v>
      </c>
      <c r="X37" s="145"/>
      <c r="Y37" s="705"/>
    </row>
    <row r="38">
      <c r="A38" s="706"/>
      <c r="D38" s="11">
        <v>45987.0</v>
      </c>
      <c r="E38" s="10">
        <v>5.34465726E8</v>
      </c>
      <c r="F38" s="10" t="s">
        <v>1095</v>
      </c>
      <c r="G38" s="10" t="s">
        <v>1096</v>
      </c>
      <c r="H38" s="12">
        <v>2960.0</v>
      </c>
      <c r="I38" s="13">
        <v>1565.0</v>
      </c>
      <c r="J38" s="10" t="s">
        <v>1097</v>
      </c>
      <c r="K38" s="10" t="s">
        <v>1028</v>
      </c>
      <c r="L38" s="714">
        <v>6339.0</v>
      </c>
      <c r="M38" s="10"/>
      <c r="N38" s="741">
        <v>15.0</v>
      </c>
      <c r="O38" s="742" t="s">
        <v>513</v>
      </c>
      <c r="P38" s="711">
        <f>M570</f>
        <v>1657</v>
      </c>
      <c r="Q38" s="704">
        <f>C584</f>
        <v>1062.81</v>
      </c>
      <c r="R38" s="704" t="str">
        <f>C581</f>
        <v/>
      </c>
      <c r="S38" s="704" t="str">
        <f>C582</f>
        <v/>
      </c>
      <c r="T38" s="704" t="str">
        <f>C583</f>
        <v/>
      </c>
      <c r="U38" s="717" t="str">
        <f>C585</f>
        <v/>
      </c>
      <c r="V38" s="126"/>
      <c r="W38" s="704">
        <f>G582</f>
        <v>2443.19</v>
      </c>
      <c r="X38" s="126"/>
      <c r="Y38" s="748"/>
    </row>
    <row r="39">
      <c r="A39" s="706"/>
      <c r="D39" s="11">
        <v>45987.0</v>
      </c>
      <c r="E39" s="10">
        <v>6.5171572E7</v>
      </c>
      <c r="F39" s="10" t="s">
        <v>1098</v>
      </c>
      <c r="G39" s="10" t="s">
        <v>1099</v>
      </c>
      <c r="H39" s="12">
        <v>4700.0</v>
      </c>
      <c r="I39" s="13">
        <v>2887.0</v>
      </c>
      <c r="J39" s="10" t="s">
        <v>1100</v>
      </c>
      <c r="K39" s="10" t="s">
        <v>79</v>
      </c>
      <c r="L39" s="714">
        <v>2316.0</v>
      </c>
      <c r="M39" s="10"/>
      <c r="N39" s="741">
        <v>16.0</v>
      </c>
      <c r="O39" s="744">
        <v>2516.0</v>
      </c>
      <c r="P39" s="711">
        <f>M601</f>
        <v>1218</v>
      </c>
      <c r="Q39" s="704">
        <f>C615</f>
        <v>747.17</v>
      </c>
      <c r="R39" s="704">
        <f>C612</f>
        <v>150</v>
      </c>
      <c r="S39" s="704">
        <f>C613</f>
        <v>400</v>
      </c>
      <c r="T39" s="704">
        <f>C614</f>
        <v>200</v>
      </c>
      <c r="U39" s="704" t="str">
        <f>C616</f>
        <v/>
      </c>
      <c r="V39" s="145"/>
      <c r="W39" s="704">
        <f>G613</f>
        <v>1216.83</v>
      </c>
      <c r="X39" s="145"/>
      <c r="Y39" s="705"/>
    </row>
    <row r="40">
      <c r="A40" s="706"/>
      <c r="D40" s="11">
        <v>45987.0</v>
      </c>
      <c r="E40" s="10">
        <v>5.36270638E8</v>
      </c>
      <c r="F40" s="10" t="s">
        <v>1101</v>
      </c>
      <c r="G40" s="10" t="s">
        <v>1102</v>
      </c>
      <c r="H40" s="12">
        <v>2800.0</v>
      </c>
      <c r="I40" s="13">
        <v>1970.0</v>
      </c>
      <c r="J40" s="10" t="s">
        <v>1103</v>
      </c>
      <c r="K40" s="10" t="s">
        <v>278</v>
      </c>
      <c r="L40" s="714">
        <v>3866.0</v>
      </c>
      <c r="M40" s="10"/>
      <c r="N40" s="741">
        <v>17.0</v>
      </c>
      <c r="O40" s="742" t="s">
        <v>982</v>
      </c>
      <c r="P40" s="711">
        <f>M632</f>
        <v>1175</v>
      </c>
      <c r="Q40" s="704">
        <f>C646</f>
        <v>1731.16</v>
      </c>
      <c r="R40" s="704">
        <f>C643</f>
        <v>150</v>
      </c>
      <c r="S40" s="704">
        <f>C644</f>
        <v>400</v>
      </c>
      <c r="T40" s="704">
        <f>C645</f>
        <v>200</v>
      </c>
      <c r="U40" s="704">
        <f>C647</f>
        <v>340.82</v>
      </c>
      <c r="V40" s="126"/>
      <c r="W40" s="704">
        <f>G644</f>
        <v>-811.98</v>
      </c>
      <c r="X40" s="145"/>
      <c r="Y40" s="705"/>
    </row>
    <row r="41">
      <c r="A41" s="706"/>
      <c r="D41" s="11">
        <v>45987.0</v>
      </c>
      <c r="E41" s="10">
        <v>5.34524106E8</v>
      </c>
      <c r="F41" s="10" t="s">
        <v>1104</v>
      </c>
      <c r="G41" s="10" t="s">
        <v>1105</v>
      </c>
      <c r="H41" s="12">
        <v>1440.0</v>
      </c>
      <c r="I41" s="13">
        <v>733.0</v>
      </c>
      <c r="J41" s="10" t="s">
        <v>1106</v>
      </c>
      <c r="K41" s="10" t="s">
        <v>185</v>
      </c>
      <c r="L41" s="714">
        <v>3881.0</v>
      </c>
      <c r="M41" s="10"/>
      <c r="N41" s="741">
        <v>18.0</v>
      </c>
      <c r="O41" s="744">
        <v>6643.0</v>
      </c>
      <c r="P41" s="711">
        <f>M663</f>
        <v>1791</v>
      </c>
      <c r="Q41" s="704">
        <f>C677</f>
        <v>1663.22</v>
      </c>
      <c r="R41" s="704">
        <f>C674</f>
        <v>150</v>
      </c>
      <c r="S41" s="704">
        <f>C675</f>
        <v>400</v>
      </c>
      <c r="T41" s="704" t="str">
        <f>C676</f>
        <v/>
      </c>
      <c r="U41" s="704" t="str">
        <f>C678</f>
        <v/>
      </c>
      <c r="V41" s="145"/>
      <c r="W41" s="704">
        <f>G675</f>
        <v>2582.78</v>
      </c>
      <c r="X41" s="145"/>
      <c r="Y41" s="705"/>
    </row>
    <row r="42">
      <c r="A42" s="706"/>
      <c r="D42" s="11">
        <v>45987.0</v>
      </c>
      <c r="E42" s="10" t="s">
        <v>1107</v>
      </c>
      <c r="F42" s="10" t="s">
        <v>1108</v>
      </c>
      <c r="G42" s="10" t="s">
        <v>1109</v>
      </c>
      <c r="H42" s="12">
        <v>4100.0</v>
      </c>
      <c r="I42" s="13">
        <v>2263.0</v>
      </c>
      <c r="J42" s="10" t="s">
        <v>1110</v>
      </c>
      <c r="K42" s="10" t="s">
        <v>1002</v>
      </c>
      <c r="L42" s="714">
        <v>9334.0</v>
      </c>
      <c r="M42" s="10"/>
      <c r="N42" s="741">
        <v>19.0</v>
      </c>
      <c r="O42" s="744">
        <v>7352.0</v>
      </c>
      <c r="P42" s="711">
        <f>M694</f>
        <v>3214</v>
      </c>
      <c r="Q42" s="704">
        <f>C708</f>
        <v>2392.39</v>
      </c>
      <c r="R42" s="704">
        <f>C705</f>
        <v>150</v>
      </c>
      <c r="S42" s="704">
        <f>C706</f>
        <v>400</v>
      </c>
      <c r="T42" s="704">
        <f>C707</f>
        <v>200</v>
      </c>
      <c r="U42" s="704">
        <f>C709</f>
        <v>867.8</v>
      </c>
      <c r="V42" s="126"/>
      <c r="W42" s="704">
        <f>G706</f>
        <v>-106.5</v>
      </c>
      <c r="X42" s="145"/>
      <c r="Y42" s="705"/>
    </row>
    <row r="43">
      <c r="A43" s="706"/>
      <c r="D43" s="11">
        <v>45987.0</v>
      </c>
      <c r="E43" s="10">
        <v>1.5486212E7</v>
      </c>
      <c r="F43" s="10" t="s">
        <v>136</v>
      </c>
      <c r="G43" s="10" t="s">
        <v>1111</v>
      </c>
      <c r="H43" s="12">
        <v>5700.0</v>
      </c>
      <c r="I43" s="13">
        <v>3029.0</v>
      </c>
      <c r="J43" s="10" t="s">
        <v>1112</v>
      </c>
      <c r="K43" s="10" t="s">
        <v>320</v>
      </c>
      <c r="L43" s="714">
        <v>9348.0</v>
      </c>
      <c r="M43" s="10"/>
      <c r="N43" s="741">
        <v>20.0</v>
      </c>
      <c r="O43" s="744">
        <v>3881.0</v>
      </c>
      <c r="P43" s="711">
        <f>M725</f>
        <v>3180</v>
      </c>
      <c r="Q43" s="704">
        <f>C739</f>
        <v>2110.2</v>
      </c>
      <c r="R43" s="704">
        <f>C736</f>
        <v>150</v>
      </c>
      <c r="S43" s="704">
        <f>C737</f>
        <v>400</v>
      </c>
      <c r="T43" s="704" t="str">
        <f>C738</f>
        <v/>
      </c>
      <c r="U43" s="704" t="str">
        <f>C740</f>
        <v/>
      </c>
      <c r="V43" s="145"/>
      <c r="W43" s="704">
        <f>G737</f>
        <v>3933.8</v>
      </c>
      <c r="X43" s="145"/>
      <c r="Y43" s="705"/>
    </row>
    <row r="44">
      <c r="A44" s="706"/>
      <c r="D44" s="11">
        <v>45987.0</v>
      </c>
      <c r="E44" s="10" t="s">
        <v>1113</v>
      </c>
      <c r="F44" s="10" t="s">
        <v>1114</v>
      </c>
      <c r="G44" s="10" t="s">
        <v>1115</v>
      </c>
      <c r="H44" s="12">
        <v>1200.0</v>
      </c>
      <c r="I44" s="13">
        <v>429.0</v>
      </c>
      <c r="J44" s="10" t="s">
        <v>1116</v>
      </c>
      <c r="K44" s="10" t="s">
        <v>103</v>
      </c>
      <c r="L44" s="714">
        <v>2675.0</v>
      </c>
      <c r="M44" s="10"/>
      <c r="N44" s="741">
        <v>21.0</v>
      </c>
      <c r="O44" s="744">
        <v>3866.0</v>
      </c>
      <c r="P44" s="711">
        <f>M756</f>
        <v>2972</v>
      </c>
      <c r="Q44" s="704">
        <f>C770</f>
        <v>2085.26</v>
      </c>
      <c r="R44" s="704">
        <f>C767</f>
        <v>100</v>
      </c>
      <c r="S44" s="704">
        <f>C768</f>
        <v>400</v>
      </c>
      <c r="T44" s="704">
        <f>C769</f>
        <v>200</v>
      </c>
      <c r="U44" s="704">
        <f>C771</f>
        <v>90.52</v>
      </c>
      <c r="V44" s="145"/>
      <c r="W44" s="704">
        <f>G768</f>
        <v>1612.15</v>
      </c>
      <c r="X44" s="126"/>
      <c r="Y44" s="748"/>
    </row>
    <row r="45">
      <c r="A45" s="706"/>
      <c r="D45" s="11">
        <v>45987.0</v>
      </c>
      <c r="E45" s="10">
        <v>1243985.0</v>
      </c>
      <c r="F45" s="10" t="s">
        <v>1117</v>
      </c>
      <c r="G45" s="10" t="s">
        <v>1046</v>
      </c>
      <c r="H45" s="12">
        <v>6100.0</v>
      </c>
      <c r="I45" s="13">
        <v>2823.0</v>
      </c>
      <c r="J45" s="10" t="s">
        <v>1118</v>
      </c>
      <c r="K45" s="10" t="s">
        <v>274</v>
      </c>
      <c r="L45" s="714">
        <v>7352.0</v>
      </c>
      <c r="M45" s="10"/>
      <c r="N45" s="741">
        <v>22.0</v>
      </c>
      <c r="O45" s="744">
        <v>2675.0</v>
      </c>
      <c r="P45" s="711">
        <f>M787</f>
        <v>3332</v>
      </c>
      <c r="Q45" s="704">
        <f>C801</f>
        <v>2610.76</v>
      </c>
      <c r="R45" s="704">
        <f>C798</f>
        <v>100</v>
      </c>
      <c r="S45" s="704">
        <f>C799</f>
        <v>400</v>
      </c>
      <c r="T45" s="704">
        <f>C800</f>
        <v>200</v>
      </c>
      <c r="U45" s="704">
        <f>C802</f>
        <v>654.08</v>
      </c>
      <c r="V45" s="145"/>
      <c r="W45" s="704">
        <f>G799</f>
        <v>3187.16</v>
      </c>
      <c r="X45" s="145"/>
      <c r="Y45" s="705"/>
    </row>
    <row r="46">
      <c r="A46" s="706"/>
      <c r="D46" s="11">
        <v>45987.0</v>
      </c>
      <c r="E46" s="10">
        <v>2177290.0</v>
      </c>
      <c r="F46" s="10" t="s">
        <v>1119</v>
      </c>
      <c r="G46" s="10" t="s">
        <v>1120</v>
      </c>
      <c r="H46" s="12">
        <v>2500.0</v>
      </c>
      <c r="I46" s="13">
        <v>782.0</v>
      </c>
      <c r="J46" s="10" t="s">
        <v>1121</v>
      </c>
      <c r="K46" s="10" t="s">
        <v>197</v>
      </c>
      <c r="L46" s="714">
        <v>6643.0</v>
      </c>
      <c r="M46" s="10"/>
      <c r="N46" s="741">
        <v>23.0</v>
      </c>
      <c r="O46" s="744">
        <v>6339.0</v>
      </c>
      <c r="P46" s="711">
        <f>M818</f>
        <v>3470</v>
      </c>
      <c r="Q46" s="704">
        <f>C832</f>
        <v>1900.22</v>
      </c>
      <c r="R46" s="704">
        <f>C829</f>
        <v>150</v>
      </c>
      <c r="S46" s="704">
        <f>C830</f>
        <v>400</v>
      </c>
      <c r="T46" s="704" t="str">
        <f>C831</f>
        <v/>
      </c>
      <c r="U46" s="704">
        <f>C833</f>
        <v>258.5</v>
      </c>
      <c r="V46" s="145"/>
      <c r="W46" s="704">
        <f>G830</f>
        <v>2962.08</v>
      </c>
      <c r="X46" s="145"/>
      <c r="Y46" s="705"/>
    </row>
    <row r="47">
      <c r="A47" s="706"/>
      <c r="D47" s="11">
        <v>45987.0</v>
      </c>
      <c r="E47" s="10">
        <v>2.0714865E7</v>
      </c>
      <c r="F47" s="10" t="s">
        <v>269</v>
      </c>
      <c r="G47" s="10" t="s">
        <v>1122</v>
      </c>
      <c r="H47" s="12">
        <v>800.0</v>
      </c>
      <c r="I47" s="13">
        <v>430.0</v>
      </c>
      <c r="J47" s="10" t="s">
        <v>1123</v>
      </c>
      <c r="K47" s="10" t="s">
        <v>37</v>
      </c>
      <c r="L47" s="728" t="s">
        <v>973</v>
      </c>
      <c r="M47" s="10"/>
      <c r="N47" s="741">
        <v>24.0</v>
      </c>
      <c r="O47" s="744">
        <v>6813.0</v>
      </c>
      <c r="P47" s="711">
        <f>M849</f>
        <v>1153</v>
      </c>
      <c r="Q47" s="704">
        <f>C863</f>
        <v>1004.82</v>
      </c>
      <c r="R47" s="704">
        <f>C860</f>
        <v>150</v>
      </c>
      <c r="S47" s="704">
        <f>C861</f>
        <v>400</v>
      </c>
      <c r="T47" s="704" t="str">
        <f>C862</f>
        <v/>
      </c>
      <c r="U47" s="704">
        <f>C864</f>
        <v>220</v>
      </c>
      <c r="V47" s="145"/>
      <c r="W47" s="704">
        <f>G861</f>
        <v>927.28</v>
      </c>
      <c r="X47" s="145"/>
      <c r="Y47" s="705"/>
    </row>
    <row r="48">
      <c r="A48" s="706"/>
      <c r="D48" s="11">
        <v>45987.0</v>
      </c>
      <c r="E48" s="10">
        <v>5.36184345E8</v>
      </c>
      <c r="F48" s="10" t="s">
        <v>1124</v>
      </c>
      <c r="G48" s="10" t="s">
        <v>1125</v>
      </c>
      <c r="H48" s="12">
        <v>0.0</v>
      </c>
      <c r="I48" s="13">
        <v>0.0</v>
      </c>
      <c r="J48" s="10" t="s">
        <v>1126</v>
      </c>
      <c r="K48" s="708"/>
      <c r="L48" s="709"/>
      <c r="M48" s="10"/>
      <c r="N48" s="741">
        <v>25.0</v>
      </c>
      <c r="O48" s="744">
        <v>6338.0</v>
      </c>
      <c r="P48" s="711">
        <f>M880</f>
        <v>1515</v>
      </c>
      <c r="Q48" s="704">
        <f>C894</f>
        <v>926.26</v>
      </c>
      <c r="R48" s="704">
        <f>C891</f>
        <v>150</v>
      </c>
      <c r="S48" s="704">
        <f>C892</f>
        <v>400</v>
      </c>
      <c r="T48" s="704" t="str">
        <f>C893</f>
        <v/>
      </c>
      <c r="U48" s="704">
        <f>C895</f>
        <v>744.62</v>
      </c>
      <c r="V48" s="145"/>
      <c r="W48" s="704">
        <f>G892</f>
        <v>-1104.49</v>
      </c>
      <c r="X48" s="145"/>
      <c r="Y48" s="705"/>
    </row>
    <row r="49">
      <c r="A49" s="706"/>
      <c r="D49" s="11">
        <v>45987.0</v>
      </c>
      <c r="E49" s="10">
        <v>5.36184345E8</v>
      </c>
      <c r="F49" s="10" t="s">
        <v>1124</v>
      </c>
      <c r="G49" s="10" t="s">
        <v>1125</v>
      </c>
      <c r="H49" s="12">
        <v>1250.0</v>
      </c>
      <c r="I49" s="13">
        <v>411.0</v>
      </c>
      <c r="J49" s="10" t="s">
        <v>1127</v>
      </c>
      <c r="K49" s="10" t="s">
        <v>215</v>
      </c>
      <c r="L49" s="714">
        <v>6813.0</v>
      </c>
      <c r="M49" s="10"/>
      <c r="N49" s="741">
        <v>26.0</v>
      </c>
      <c r="O49" s="744">
        <v>9617.0</v>
      </c>
      <c r="P49" s="145" t="str">
        <f>M911</f>
        <v>#N/A</v>
      </c>
      <c r="Q49" s="704">
        <f>C925</f>
        <v>911.29</v>
      </c>
      <c r="R49" s="704">
        <f>C922</f>
        <v>150</v>
      </c>
      <c r="S49" s="704">
        <f>C923</f>
        <v>400</v>
      </c>
      <c r="T49" s="704">
        <f>C924</f>
        <v>200</v>
      </c>
      <c r="U49" s="704" t="str">
        <f>C926</f>
        <v/>
      </c>
      <c r="V49" s="145"/>
      <c r="W49" s="704">
        <f>G923</f>
        <v>-1661.29</v>
      </c>
      <c r="X49" s="145"/>
      <c r="Y49" s="705"/>
    </row>
    <row r="50">
      <c r="A50" s="706"/>
      <c r="D50" s="11">
        <v>45987.0</v>
      </c>
      <c r="E50" s="10">
        <v>5.36172052E8</v>
      </c>
      <c r="F50" s="10" t="s">
        <v>1128</v>
      </c>
      <c r="G50" s="10" t="s">
        <v>1129</v>
      </c>
      <c r="H50" s="12">
        <v>2400.0</v>
      </c>
      <c r="I50" s="13">
        <v>930.0</v>
      </c>
      <c r="J50" s="10" t="s">
        <v>1130</v>
      </c>
      <c r="K50" s="10" t="s">
        <v>1063</v>
      </c>
      <c r="L50" s="728" t="s">
        <v>513</v>
      </c>
      <c r="M50" s="10"/>
      <c r="N50" s="741">
        <v>27.0</v>
      </c>
      <c r="O50" s="744">
        <v>3403.0</v>
      </c>
      <c r="P50" s="145" t="str">
        <f>M942</f>
        <v>#N/A</v>
      </c>
      <c r="Q50" s="704">
        <f>C956</f>
        <v>483.58</v>
      </c>
      <c r="R50" s="704">
        <f>C953</f>
        <v>150</v>
      </c>
      <c r="S50" s="704">
        <f>C954</f>
        <v>400</v>
      </c>
      <c r="T50" s="704">
        <f>C955</f>
        <v>200</v>
      </c>
      <c r="U50" s="704" t="str">
        <f>C957</f>
        <v/>
      </c>
      <c r="V50" s="145"/>
      <c r="W50" s="704">
        <f>G954</f>
        <v>-1233.58</v>
      </c>
      <c r="X50" s="145"/>
      <c r="Y50" s="705"/>
    </row>
    <row r="51">
      <c r="A51" s="706"/>
      <c r="D51" s="11">
        <v>45987.0</v>
      </c>
      <c r="E51" s="10" t="s">
        <v>1131</v>
      </c>
      <c r="F51" s="10" t="s">
        <v>1132</v>
      </c>
      <c r="G51" s="10" t="s">
        <v>1133</v>
      </c>
      <c r="H51" s="12">
        <v>1025.0</v>
      </c>
      <c r="I51" s="13">
        <v>2155.0</v>
      </c>
      <c r="J51" s="10" t="s">
        <v>1134</v>
      </c>
      <c r="K51" s="10" t="s">
        <v>175</v>
      </c>
      <c r="L51" s="714">
        <v>3819.0</v>
      </c>
      <c r="M51" s="10"/>
      <c r="N51" s="741">
        <v>28.0</v>
      </c>
      <c r="O51" s="749"/>
      <c r="P51" s="145"/>
      <c r="Q51" s="704" t="str">
        <f>C327</f>
        <v/>
      </c>
      <c r="R51" s="145"/>
      <c r="S51" s="145"/>
      <c r="T51" s="145"/>
      <c r="U51" s="145"/>
      <c r="V51" s="145"/>
      <c r="W51" s="145"/>
      <c r="X51" s="145"/>
      <c r="Y51" s="705"/>
    </row>
    <row r="52">
      <c r="A52" s="706"/>
      <c r="D52" s="11">
        <v>45987.0</v>
      </c>
      <c r="E52" s="10" t="s">
        <v>1135</v>
      </c>
      <c r="F52" s="10" t="s">
        <v>1132</v>
      </c>
      <c r="G52" s="10" t="s">
        <v>331</v>
      </c>
      <c r="H52" s="12">
        <v>1350.0</v>
      </c>
      <c r="I52" s="13">
        <v>0.0</v>
      </c>
      <c r="J52" s="10" t="s">
        <v>1136</v>
      </c>
      <c r="K52" s="10" t="s">
        <v>175</v>
      </c>
      <c r="L52" s="714">
        <v>3819.0</v>
      </c>
      <c r="M52" s="10"/>
      <c r="N52" s="741">
        <v>29.0</v>
      </c>
      <c r="O52" s="749"/>
      <c r="P52" s="145"/>
      <c r="Q52" s="145"/>
      <c r="R52" s="145"/>
      <c r="S52" s="145"/>
      <c r="T52" s="145"/>
      <c r="U52" s="145"/>
      <c r="V52" s="145"/>
      <c r="W52" s="145"/>
      <c r="X52" s="145"/>
      <c r="Y52" s="705"/>
    </row>
    <row r="53">
      <c r="A53" s="706"/>
      <c r="D53" s="11">
        <v>45986.0</v>
      </c>
      <c r="E53" s="10" t="s">
        <v>1137</v>
      </c>
      <c r="F53" s="10" t="s">
        <v>1132</v>
      </c>
      <c r="G53" s="10" t="s">
        <v>1138</v>
      </c>
      <c r="H53" s="12">
        <v>0.0</v>
      </c>
      <c r="I53" s="13">
        <v>0.0</v>
      </c>
      <c r="J53" s="10" t="s">
        <v>1139</v>
      </c>
      <c r="K53" s="708"/>
      <c r="L53" s="709"/>
      <c r="M53" s="10"/>
      <c r="N53" s="741">
        <v>30.0</v>
      </c>
      <c r="O53" s="749"/>
      <c r="P53" s="145"/>
      <c r="Q53" s="145"/>
      <c r="R53" s="145"/>
      <c r="S53" s="145"/>
      <c r="T53" s="145"/>
      <c r="U53" s="145"/>
      <c r="V53" s="145"/>
      <c r="W53" s="145"/>
      <c r="X53" s="145"/>
      <c r="Y53" s="705"/>
    </row>
    <row r="54">
      <c r="A54" s="706"/>
      <c r="D54" s="11">
        <v>45986.0</v>
      </c>
      <c r="E54" s="10" t="s">
        <v>1137</v>
      </c>
      <c r="F54" s="10" t="s">
        <v>1132</v>
      </c>
      <c r="G54" s="10" t="s">
        <v>1138</v>
      </c>
      <c r="H54" s="12">
        <v>1425.0</v>
      </c>
      <c r="I54" s="13">
        <v>0.0</v>
      </c>
      <c r="J54" s="10" t="s">
        <v>1140</v>
      </c>
      <c r="K54" s="10" t="s">
        <v>175</v>
      </c>
      <c r="L54" s="714">
        <v>3819.0</v>
      </c>
      <c r="M54" s="10"/>
      <c r="N54" s="741">
        <v>31.0</v>
      </c>
      <c r="O54" s="749"/>
      <c r="P54" s="145"/>
      <c r="Q54" s="145"/>
      <c r="R54" s="145"/>
      <c r="S54" s="145"/>
      <c r="T54" s="145"/>
      <c r="U54" s="145"/>
      <c r="V54" s="145"/>
      <c r="W54" s="145"/>
      <c r="X54" s="145"/>
      <c r="Y54" s="705"/>
    </row>
    <row r="55">
      <c r="A55" s="706"/>
      <c r="D55" s="11">
        <v>45989.0</v>
      </c>
      <c r="E55" s="10">
        <v>5.35457817E8</v>
      </c>
      <c r="F55" s="10" t="s">
        <v>1141</v>
      </c>
      <c r="G55" s="10" t="s">
        <v>1142</v>
      </c>
      <c r="H55" s="12">
        <v>2350.0</v>
      </c>
      <c r="I55" s="13">
        <v>1254.0</v>
      </c>
      <c r="J55" s="10" t="s">
        <v>1143</v>
      </c>
      <c r="K55" s="10" t="s">
        <v>1144</v>
      </c>
      <c r="L55" s="714">
        <v>2774.0</v>
      </c>
      <c r="M55" s="10"/>
      <c r="N55" s="741">
        <v>32.0</v>
      </c>
      <c r="O55" s="749"/>
      <c r="P55" s="145"/>
      <c r="Q55" s="145"/>
      <c r="R55" s="145"/>
      <c r="S55" s="145"/>
      <c r="T55" s="145"/>
      <c r="U55" s="145"/>
      <c r="V55" s="145"/>
      <c r="W55" s="145"/>
      <c r="X55" s="145"/>
      <c r="Y55" s="705"/>
    </row>
    <row r="56">
      <c r="A56" s="706"/>
      <c r="D56" s="11">
        <v>45989.0</v>
      </c>
      <c r="E56" s="10">
        <v>2795724.0</v>
      </c>
      <c r="F56" s="10" t="s">
        <v>1145</v>
      </c>
      <c r="G56" s="10" t="s">
        <v>190</v>
      </c>
      <c r="H56" s="12">
        <v>2200.0</v>
      </c>
      <c r="I56" s="13">
        <v>958.0</v>
      </c>
      <c r="J56" s="10" t="s">
        <v>1146</v>
      </c>
      <c r="K56" s="10" t="s">
        <v>185</v>
      </c>
      <c r="L56" s="714">
        <v>3881.0</v>
      </c>
      <c r="M56" s="10"/>
      <c r="N56" s="741">
        <v>33.0</v>
      </c>
      <c r="O56" s="749"/>
      <c r="P56" s="145"/>
      <c r="Q56" s="145"/>
      <c r="R56" s="145"/>
      <c r="S56" s="145"/>
      <c r="T56" s="145"/>
      <c r="U56" s="145"/>
      <c r="V56" s="145"/>
      <c r="W56" s="145"/>
      <c r="X56" s="145"/>
      <c r="Y56" s="705"/>
    </row>
    <row r="57">
      <c r="A57" s="706"/>
      <c r="D57" s="11">
        <v>45989.0</v>
      </c>
      <c r="E57" s="10" t="s">
        <v>1147</v>
      </c>
      <c r="F57" s="10" t="s">
        <v>1148</v>
      </c>
      <c r="G57" s="10" t="s">
        <v>200</v>
      </c>
      <c r="H57" s="12">
        <v>6535.0</v>
      </c>
      <c r="I57" s="13">
        <v>2663.0</v>
      </c>
      <c r="J57" s="10" t="s">
        <v>1149</v>
      </c>
      <c r="K57" s="10" t="s">
        <v>37</v>
      </c>
      <c r="L57" s="728" t="s">
        <v>973</v>
      </c>
      <c r="M57" s="10"/>
      <c r="N57" s="741">
        <v>34.0</v>
      </c>
      <c r="O57" s="750"/>
      <c r="P57" s="145"/>
      <c r="Q57" s="128"/>
      <c r="R57" s="128"/>
      <c r="S57" s="128"/>
      <c r="T57" s="128"/>
      <c r="U57" s="128"/>
      <c r="V57" s="128"/>
      <c r="W57" s="128"/>
      <c r="X57" s="128"/>
      <c r="Y57" s="715"/>
    </row>
    <row r="58">
      <c r="A58" s="706"/>
      <c r="D58" s="11">
        <v>45989.0</v>
      </c>
      <c r="E58" s="10">
        <v>396969.0</v>
      </c>
      <c r="F58" s="10" t="s">
        <v>1150</v>
      </c>
      <c r="G58" s="10" t="s">
        <v>1151</v>
      </c>
      <c r="H58" s="12">
        <v>870.0</v>
      </c>
      <c r="I58" s="13">
        <v>397.0</v>
      </c>
      <c r="J58" s="10" t="s">
        <v>1152</v>
      </c>
      <c r="K58" s="10" t="s">
        <v>153</v>
      </c>
      <c r="L58" s="714">
        <v>3301.0</v>
      </c>
      <c r="M58" s="10"/>
      <c r="N58" s="741">
        <v>35.0</v>
      </c>
      <c r="O58" s="749"/>
      <c r="P58" s="145"/>
      <c r="Q58" s="145"/>
      <c r="R58" s="126"/>
      <c r="S58" s="126"/>
      <c r="T58" s="126"/>
      <c r="U58" s="129"/>
      <c r="V58" s="126"/>
      <c r="W58" s="145"/>
      <c r="X58" s="126"/>
      <c r="Y58" s="748"/>
    </row>
    <row r="59">
      <c r="A59" s="706"/>
      <c r="D59" s="11">
        <v>45990.0</v>
      </c>
      <c r="E59" s="10">
        <v>12639.0</v>
      </c>
      <c r="F59" s="10" t="s">
        <v>1153</v>
      </c>
      <c r="G59" s="10" t="s">
        <v>1154</v>
      </c>
      <c r="H59" s="12">
        <v>3000.0</v>
      </c>
      <c r="I59" s="13">
        <v>1191.0</v>
      </c>
      <c r="J59" s="10" t="s">
        <v>1155</v>
      </c>
      <c r="K59" s="10" t="s">
        <v>103</v>
      </c>
      <c r="L59" s="714">
        <v>2675.0</v>
      </c>
      <c r="M59" s="10"/>
      <c r="N59" s="741">
        <v>36.0</v>
      </c>
      <c r="O59" s="749"/>
      <c r="P59" s="145"/>
      <c r="Q59" s="145"/>
      <c r="R59" s="126"/>
      <c r="S59" s="145"/>
      <c r="T59" s="145"/>
      <c r="U59" s="145"/>
      <c r="V59" s="145"/>
      <c r="W59" s="145"/>
      <c r="X59" s="145"/>
      <c r="Y59" s="705"/>
    </row>
    <row r="60">
      <c r="A60" s="706"/>
      <c r="D60" s="11">
        <v>45990.0</v>
      </c>
      <c r="E60" s="10">
        <v>14256.0</v>
      </c>
      <c r="F60" s="10" t="s">
        <v>1156</v>
      </c>
      <c r="G60" s="22" t="s">
        <v>1157</v>
      </c>
      <c r="H60" s="12">
        <v>700.0</v>
      </c>
      <c r="I60" s="13">
        <v>680.0</v>
      </c>
      <c r="J60" s="10" t="s">
        <v>1158</v>
      </c>
      <c r="K60" s="10" t="s">
        <v>103</v>
      </c>
      <c r="L60" s="714">
        <v>2675.0</v>
      </c>
      <c r="M60" s="708"/>
      <c r="N60" s="741">
        <v>37.0</v>
      </c>
      <c r="O60" s="749"/>
      <c r="P60" s="145"/>
      <c r="Q60" s="145"/>
      <c r="R60" s="126"/>
      <c r="S60" s="126"/>
      <c r="T60" s="126"/>
      <c r="U60" s="717"/>
      <c r="V60" s="126"/>
      <c r="W60" s="145"/>
      <c r="X60" s="126"/>
      <c r="Y60" s="748"/>
    </row>
    <row r="61">
      <c r="A61" s="706"/>
      <c r="D61" s="11">
        <v>45990.0</v>
      </c>
      <c r="E61" s="10" t="s">
        <v>1159</v>
      </c>
      <c r="F61" s="10" t="s">
        <v>1160</v>
      </c>
      <c r="G61" s="10" t="s">
        <v>1161</v>
      </c>
      <c r="H61" s="12">
        <v>2100.0</v>
      </c>
      <c r="I61" s="13">
        <v>1012.0</v>
      </c>
      <c r="J61" s="10" t="s">
        <v>1162</v>
      </c>
      <c r="K61" s="10" t="s">
        <v>153</v>
      </c>
      <c r="L61" s="714">
        <v>3301.0</v>
      </c>
      <c r="M61" s="708"/>
      <c r="N61" s="741">
        <v>38.0</v>
      </c>
      <c r="O61" s="749"/>
      <c r="P61" s="145"/>
      <c r="Q61" s="145"/>
      <c r="R61" s="126"/>
      <c r="S61" s="145"/>
      <c r="T61" s="145"/>
      <c r="U61" s="145"/>
      <c r="V61" s="145"/>
      <c r="W61" s="145"/>
      <c r="X61" s="145"/>
      <c r="Y61" s="705"/>
    </row>
    <row r="62">
      <c r="A62" s="706"/>
      <c r="D62" s="11">
        <v>45991.0</v>
      </c>
      <c r="E62" s="10">
        <v>5.35039164E8</v>
      </c>
      <c r="F62" s="10" t="s">
        <v>1163</v>
      </c>
      <c r="G62" s="10" t="s">
        <v>1164</v>
      </c>
      <c r="H62" s="12">
        <v>735.0</v>
      </c>
      <c r="I62" s="10">
        <v>334.0</v>
      </c>
      <c r="J62" s="10" t="s">
        <v>1165</v>
      </c>
      <c r="K62" s="10" t="s">
        <v>185</v>
      </c>
      <c r="L62" s="714">
        <v>3881.0</v>
      </c>
      <c r="N62" s="741">
        <v>39.0</v>
      </c>
      <c r="O62" s="749"/>
      <c r="P62" s="145"/>
      <c r="Q62" s="145"/>
      <c r="R62" s="126"/>
      <c r="S62" s="126"/>
      <c r="T62" s="126"/>
      <c r="U62" s="129"/>
      <c r="V62" s="126"/>
      <c r="W62" s="145"/>
      <c r="X62" s="145"/>
      <c r="Y62" s="705"/>
    </row>
    <row r="63">
      <c r="A63" s="706"/>
      <c r="D63" s="11">
        <v>45991.0</v>
      </c>
      <c r="E63" s="10">
        <v>714176.0</v>
      </c>
      <c r="F63" s="10" t="s">
        <v>1166</v>
      </c>
      <c r="G63" s="10" t="s">
        <v>1167</v>
      </c>
      <c r="H63" s="12">
        <v>1700.0</v>
      </c>
      <c r="I63" s="10">
        <v>1003.0</v>
      </c>
      <c r="J63" s="10" t="s">
        <v>1168</v>
      </c>
      <c r="K63" s="10" t="s">
        <v>1028</v>
      </c>
      <c r="L63" s="714">
        <v>6339.0</v>
      </c>
      <c r="N63" s="751"/>
      <c r="O63" s="752"/>
      <c r="P63" s="753"/>
      <c r="Q63" s="753"/>
      <c r="R63" s="754"/>
      <c r="S63" s="753"/>
      <c r="T63" s="753"/>
      <c r="U63" s="753"/>
      <c r="V63" s="753"/>
      <c r="W63" s="753"/>
      <c r="X63" s="753"/>
      <c r="Y63" s="732"/>
    </row>
    <row r="64">
      <c r="A64" s="706"/>
      <c r="D64" s="11">
        <v>45989.0</v>
      </c>
      <c r="E64" s="10">
        <v>8012654.0</v>
      </c>
      <c r="F64" s="10" t="s">
        <v>1088</v>
      </c>
      <c r="G64" s="10" t="s">
        <v>1122</v>
      </c>
      <c r="H64" s="12">
        <v>2400.0</v>
      </c>
      <c r="I64" s="10">
        <v>1261.0</v>
      </c>
      <c r="J64" s="10" t="s">
        <v>1169</v>
      </c>
      <c r="K64" s="10" t="s">
        <v>19</v>
      </c>
      <c r="L64" s="728" t="s">
        <v>431</v>
      </c>
      <c r="N64" s="755"/>
      <c r="O64" s="145"/>
      <c r="P64" s="126"/>
      <c r="Q64" s="145"/>
      <c r="R64" s="126"/>
      <c r="S64" s="126"/>
      <c r="T64" s="126"/>
      <c r="U64" s="717"/>
      <c r="V64" s="126"/>
      <c r="W64" s="145"/>
      <c r="X64" s="126"/>
      <c r="Y64" s="126"/>
    </row>
    <row r="65">
      <c r="A65" s="706"/>
      <c r="D65" s="11">
        <v>45990.0</v>
      </c>
      <c r="E65" s="10" t="s">
        <v>1170</v>
      </c>
      <c r="F65" s="10" t="s">
        <v>1171</v>
      </c>
      <c r="G65" s="10" t="s">
        <v>1172</v>
      </c>
      <c r="H65" s="12">
        <v>5500.0</v>
      </c>
      <c r="I65" s="10">
        <v>2810.0</v>
      </c>
      <c r="J65" s="10" t="s">
        <v>1173</v>
      </c>
      <c r="K65" s="10" t="s">
        <v>115</v>
      </c>
      <c r="L65" s="714">
        <v>2693.0</v>
      </c>
      <c r="N65" s="145"/>
      <c r="O65" s="145"/>
      <c r="P65" s="145"/>
      <c r="Q65" s="145"/>
      <c r="R65" s="126"/>
      <c r="S65" s="145"/>
      <c r="T65" s="145"/>
      <c r="U65" s="145"/>
      <c r="V65" s="145"/>
      <c r="W65" s="145"/>
      <c r="X65" s="145"/>
      <c r="Y65" s="145"/>
    </row>
    <row r="66">
      <c r="A66" s="706"/>
      <c r="D66" s="11">
        <v>45990.0</v>
      </c>
      <c r="E66" s="10">
        <v>2898343.0</v>
      </c>
      <c r="F66" s="10" t="s">
        <v>1174</v>
      </c>
      <c r="G66" s="10" t="s">
        <v>1174</v>
      </c>
      <c r="H66" s="12">
        <v>1400.0</v>
      </c>
      <c r="I66" s="10">
        <v>742.0</v>
      </c>
      <c r="J66" s="10" t="s">
        <v>1175</v>
      </c>
      <c r="K66" s="10" t="s">
        <v>215</v>
      </c>
      <c r="L66" s="714">
        <v>6813.0</v>
      </c>
      <c r="N66" s="145"/>
      <c r="O66" s="145"/>
      <c r="P66" s="126"/>
      <c r="Q66" s="145"/>
      <c r="R66" s="126"/>
      <c r="S66" s="126"/>
      <c r="T66" s="126"/>
      <c r="U66" s="717"/>
      <c r="V66" s="126"/>
      <c r="W66" s="145"/>
      <c r="X66" s="126"/>
      <c r="Y66" s="126"/>
    </row>
    <row r="67">
      <c r="A67" s="706"/>
      <c r="D67" s="11">
        <v>45987.0</v>
      </c>
      <c r="E67" s="10">
        <v>5.36090795E8</v>
      </c>
      <c r="F67" s="10" t="s">
        <v>1124</v>
      </c>
      <c r="G67" s="10" t="s">
        <v>1125</v>
      </c>
      <c r="H67" s="12">
        <v>0.0</v>
      </c>
      <c r="I67" s="10">
        <v>0.0</v>
      </c>
      <c r="J67" s="10" t="s">
        <v>1176</v>
      </c>
      <c r="K67" s="10" t="s">
        <v>215</v>
      </c>
      <c r="L67" s="714">
        <v>6813.0</v>
      </c>
      <c r="N67" s="145"/>
      <c r="O67" s="145"/>
      <c r="P67" s="145"/>
      <c r="Q67" s="145"/>
      <c r="R67" s="126"/>
      <c r="S67" s="145"/>
      <c r="T67" s="145"/>
      <c r="U67" s="145"/>
      <c r="V67" s="145"/>
      <c r="W67" s="145"/>
      <c r="X67" s="145"/>
      <c r="Y67" s="145"/>
    </row>
    <row r="68">
      <c r="A68" s="706"/>
      <c r="D68" s="11">
        <v>45986.0</v>
      </c>
      <c r="E68" s="10">
        <v>9.340326E7</v>
      </c>
      <c r="F68" s="10" t="s">
        <v>965</v>
      </c>
      <c r="G68" s="10" t="s">
        <v>966</v>
      </c>
      <c r="H68" s="12">
        <v>0.0</v>
      </c>
      <c r="I68" s="10">
        <v>0.0</v>
      </c>
      <c r="J68" s="10" t="s">
        <v>967</v>
      </c>
      <c r="K68" s="708"/>
      <c r="L68" s="709"/>
      <c r="N68" s="145"/>
      <c r="O68" s="145"/>
      <c r="P68" s="126"/>
      <c r="Q68" s="145"/>
      <c r="R68" s="126"/>
      <c r="S68" s="126"/>
      <c r="T68" s="126"/>
      <c r="U68" s="717"/>
      <c r="V68" s="126"/>
      <c r="W68" s="145"/>
      <c r="X68" s="126"/>
      <c r="Y68" s="126"/>
    </row>
    <row r="69">
      <c r="A69" s="706"/>
      <c r="H69" s="743">
        <f t="shared" ref="H69:I69" si="4">SUM(H3:H68)</f>
        <v>123653.8</v>
      </c>
      <c r="I69" s="756">
        <f t="shared" si="4"/>
        <v>60723</v>
      </c>
      <c r="K69" s="10"/>
      <c r="L69" s="757"/>
      <c r="N69" s="145"/>
      <c r="O69" s="145"/>
      <c r="P69" s="145"/>
      <c r="Q69" s="145"/>
      <c r="R69" s="126"/>
      <c r="S69" s="145"/>
      <c r="T69" s="145"/>
      <c r="U69" s="145"/>
      <c r="V69" s="145"/>
      <c r="W69" s="145"/>
      <c r="X69" s="145"/>
      <c r="Y69" s="145"/>
    </row>
    <row r="70">
      <c r="A70" s="706"/>
      <c r="K70" s="10"/>
      <c r="L70" s="757"/>
      <c r="N70" s="145"/>
      <c r="O70" s="145"/>
      <c r="P70" s="145"/>
      <c r="Q70" s="145"/>
      <c r="R70" s="145"/>
      <c r="S70" s="145"/>
      <c r="T70" s="126"/>
      <c r="U70" s="145"/>
      <c r="V70" s="145"/>
      <c r="W70" s="145"/>
      <c r="X70" s="145"/>
      <c r="Y70" s="145"/>
    </row>
    <row r="71">
      <c r="A71" s="706"/>
      <c r="K71" s="10"/>
      <c r="L71" s="757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</row>
    <row r="72">
      <c r="A72" s="706"/>
      <c r="K72" s="10"/>
      <c r="L72" s="757"/>
      <c r="N72" s="145"/>
      <c r="O72" s="758"/>
      <c r="P72" s="126"/>
      <c r="Q72" s="145"/>
      <c r="R72" s="126"/>
      <c r="S72" s="126"/>
      <c r="T72" s="126"/>
      <c r="U72" s="129"/>
      <c r="V72" s="126"/>
      <c r="W72" s="126"/>
      <c r="X72" s="126"/>
      <c r="Y72" s="126"/>
    </row>
    <row r="73">
      <c r="A73" s="706"/>
      <c r="K73" s="10"/>
      <c r="L73" s="757"/>
      <c r="N73" s="145"/>
      <c r="O73" s="145"/>
      <c r="P73" s="145"/>
      <c r="Q73" s="145"/>
      <c r="R73" s="126"/>
      <c r="S73" s="145"/>
      <c r="T73" s="145"/>
      <c r="U73" s="145"/>
      <c r="V73" s="145"/>
      <c r="W73" s="145"/>
      <c r="X73" s="145"/>
      <c r="Y73" s="145"/>
    </row>
    <row r="74">
      <c r="A74" s="706"/>
      <c r="K74" s="10"/>
      <c r="L74" s="757"/>
      <c r="N74" s="145"/>
      <c r="O74" s="758"/>
      <c r="P74" s="126"/>
      <c r="Q74" s="145"/>
      <c r="R74" s="126"/>
      <c r="S74" s="126"/>
      <c r="T74" s="126"/>
      <c r="U74" s="129"/>
      <c r="V74" s="126"/>
      <c r="W74" s="145"/>
      <c r="X74" s="145"/>
      <c r="Y74" s="145"/>
    </row>
    <row r="75">
      <c r="A75" s="706"/>
      <c r="K75" s="10"/>
      <c r="L75" s="757"/>
      <c r="N75" s="145"/>
      <c r="O75" s="145"/>
      <c r="P75" s="145"/>
      <c r="Q75" s="145"/>
      <c r="R75" s="126"/>
      <c r="S75" s="145"/>
      <c r="T75" s="145"/>
      <c r="U75" s="145"/>
      <c r="V75" s="145"/>
      <c r="W75" s="145"/>
      <c r="X75" s="145"/>
      <c r="Y75" s="145"/>
    </row>
    <row r="76">
      <c r="A76" s="706"/>
      <c r="K76" s="10"/>
      <c r="L76" s="757"/>
      <c r="N76" s="145"/>
      <c r="O76" s="145"/>
      <c r="P76" s="126"/>
      <c r="Q76" s="145"/>
      <c r="R76" s="126"/>
      <c r="S76" s="126"/>
      <c r="T76" s="126"/>
      <c r="U76" s="129"/>
      <c r="V76" s="126"/>
      <c r="W76" s="126"/>
      <c r="X76" s="126"/>
      <c r="Y76" s="126"/>
    </row>
    <row r="77">
      <c r="A77" s="706"/>
      <c r="L77" s="759"/>
      <c r="N77" s="145"/>
      <c r="O77" s="145"/>
      <c r="P77" s="145"/>
      <c r="Q77" s="145"/>
      <c r="R77" s="126"/>
      <c r="S77" s="145"/>
      <c r="T77" s="145"/>
      <c r="U77" s="145"/>
      <c r="V77" s="145"/>
      <c r="W77" s="145"/>
      <c r="X77" s="145"/>
      <c r="Y77" s="145"/>
    </row>
    <row r="78">
      <c r="A78" s="706"/>
      <c r="L78" s="759"/>
      <c r="N78" s="145"/>
      <c r="O78" s="145"/>
      <c r="P78" s="126"/>
      <c r="Q78" s="145"/>
      <c r="R78" s="126"/>
      <c r="S78" s="126"/>
      <c r="T78" s="126"/>
      <c r="U78" s="717"/>
      <c r="V78" s="126"/>
      <c r="W78" s="145"/>
      <c r="X78" s="126"/>
      <c r="Y78" s="126"/>
    </row>
    <row r="79">
      <c r="A79" s="706"/>
      <c r="L79" s="759"/>
      <c r="N79" s="145"/>
      <c r="O79" s="145"/>
      <c r="P79" s="145"/>
      <c r="Q79" s="145"/>
      <c r="R79" s="126"/>
      <c r="S79" s="145"/>
      <c r="T79" s="145"/>
      <c r="U79" s="145"/>
      <c r="V79" s="145"/>
      <c r="W79" s="145"/>
      <c r="X79" s="145"/>
      <c r="Y79" s="145"/>
    </row>
    <row r="80">
      <c r="A80" s="706"/>
      <c r="L80" s="759"/>
      <c r="N80" s="145"/>
      <c r="O80" s="758"/>
      <c r="P80" s="126"/>
      <c r="Q80" s="145"/>
      <c r="R80" s="126"/>
      <c r="S80" s="126"/>
      <c r="T80" s="126"/>
      <c r="U80" s="717"/>
      <c r="V80" s="126"/>
      <c r="W80" s="145"/>
      <c r="X80" s="145"/>
      <c r="Y80" s="145"/>
    </row>
    <row r="81">
      <c r="A81" s="706"/>
      <c r="L81" s="759"/>
      <c r="N81" s="145"/>
      <c r="O81" s="145"/>
      <c r="P81" s="145"/>
      <c r="Q81" s="145"/>
      <c r="R81" s="126"/>
      <c r="S81" s="145"/>
      <c r="T81" s="145"/>
      <c r="U81" s="145"/>
      <c r="V81" s="145"/>
      <c r="W81" s="145"/>
      <c r="X81" s="145"/>
      <c r="Y81" s="145"/>
    </row>
    <row r="82">
      <c r="A82" s="706"/>
      <c r="L82" s="759"/>
      <c r="N82" s="145"/>
      <c r="O82" s="145"/>
      <c r="P82" s="126"/>
      <c r="Q82" s="145"/>
      <c r="R82" s="126"/>
      <c r="S82" s="126"/>
      <c r="T82" s="126"/>
      <c r="U82" s="717"/>
      <c r="V82" s="126"/>
      <c r="W82" s="126"/>
      <c r="X82" s="126"/>
      <c r="Y82" s="126"/>
    </row>
    <row r="83">
      <c r="A83" s="706"/>
      <c r="L83" s="759"/>
      <c r="N83" s="145"/>
      <c r="O83" s="145"/>
      <c r="P83" s="145"/>
      <c r="Q83" s="145"/>
      <c r="R83" s="126"/>
      <c r="S83" s="145"/>
      <c r="T83" s="145"/>
      <c r="U83" s="145"/>
      <c r="V83" s="145"/>
      <c r="W83" s="145"/>
      <c r="X83" s="145"/>
      <c r="Y83" s="145"/>
    </row>
    <row r="84">
      <c r="A84" s="706"/>
      <c r="L84" s="759"/>
      <c r="N84" s="145"/>
      <c r="O84" s="758"/>
      <c r="P84" s="126"/>
      <c r="Q84" s="145"/>
      <c r="R84" s="126"/>
      <c r="S84" s="126"/>
      <c r="T84" s="126"/>
      <c r="U84" s="717"/>
      <c r="V84" s="126"/>
      <c r="W84" s="145"/>
      <c r="X84" s="145"/>
      <c r="Y84" s="145"/>
    </row>
    <row r="85">
      <c r="A85" s="706"/>
      <c r="L85" s="759"/>
      <c r="N85" s="145"/>
      <c r="O85" s="145"/>
      <c r="P85" s="145"/>
      <c r="Q85" s="145"/>
      <c r="R85" s="126"/>
      <c r="S85" s="145"/>
      <c r="T85" s="145"/>
      <c r="U85" s="145"/>
      <c r="V85" s="145"/>
      <c r="W85" s="145"/>
      <c r="X85" s="145"/>
      <c r="Y85" s="145"/>
    </row>
    <row r="86">
      <c r="A86" s="706"/>
      <c r="L86" s="759"/>
      <c r="N86" s="145"/>
      <c r="O86" s="145"/>
      <c r="P86" s="126"/>
      <c r="Q86" s="145"/>
      <c r="R86" s="126"/>
      <c r="S86" s="126"/>
      <c r="T86" s="126"/>
      <c r="U86" s="717"/>
      <c r="V86" s="126"/>
      <c r="W86" s="145"/>
      <c r="X86" s="126"/>
      <c r="Y86" s="126"/>
    </row>
    <row r="87">
      <c r="A87" s="706"/>
      <c r="L87" s="759"/>
      <c r="N87" s="145"/>
      <c r="O87" s="145"/>
      <c r="P87" s="145"/>
      <c r="Q87" s="145"/>
      <c r="R87" s="126"/>
      <c r="S87" s="145"/>
      <c r="T87" s="145"/>
      <c r="U87" s="145"/>
      <c r="V87" s="145"/>
      <c r="W87" s="145"/>
      <c r="X87" s="145"/>
      <c r="Y87" s="145"/>
    </row>
    <row r="88">
      <c r="A88" s="706"/>
      <c r="L88" s="759"/>
      <c r="N88" s="145"/>
      <c r="O88" s="758"/>
      <c r="P88" s="126"/>
      <c r="Q88" s="145"/>
      <c r="R88" s="126"/>
      <c r="S88" s="126"/>
      <c r="T88" s="126"/>
      <c r="U88" s="717"/>
      <c r="V88" s="126"/>
      <c r="W88" s="145"/>
      <c r="X88" s="145"/>
      <c r="Y88" s="145"/>
    </row>
    <row r="89">
      <c r="A89" s="706"/>
      <c r="L89" s="759"/>
      <c r="N89" s="145"/>
      <c r="O89" s="145"/>
      <c r="P89" s="145"/>
      <c r="Q89" s="145"/>
      <c r="R89" s="126"/>
      <c r="S89" s="145"/>
      <c r="T89" s="145"/>
      <c r="U89" s="145"/>
      <c r="V89" s="145"/>
      <c r="W89" s="145"/>
      <c r="X89" s="145"/>
      <c r="Y89" s="145"/>
    </row>
    <row r="90">
      <c r="A90" s="706"/>
      <c r="L90" s="759"/>
      <c r="N90" s="755"/>
      <c r="O90" s="755"/>
      <c r="P90" s="145"/>
      <c r="Q90" s="755"/>
      <c r="R90" s="145"/>
      <c r="S90" s="145"/>
      <c r="T90" s="126"/>
      <c r="U90" s="717"/>
      <c r="V90" s="145"/>
      <c r="W90" s="145"/>
      <c r="X90" s="145"/>
      <c r="Y90" s="145"/>
    </row>
    <row r="91">
      <c r="A91" s="706"/>
      <c r="L91" s="759"/>
      <c r="N91" s="760"/>
      <c r="O91" s="145"/>
      <c r="P91" s="145"/>
      <c r="Q91" s="755"/>
      <c r="R91" s="145"/>
      <c r="S91" s="145"/>
      <c r="T91" s="145"/>
      <c r="U91" s="145"/>
      <c r="V91" s="145"/>
      <c r="W91" s="145"/>
      <c r="X91" s="145"/>
      <c r="Y91" s="145"/>
    </row>
    <row r="92">
      <c r="A92" s="706"/>
      <c r="L92" s="759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</row>
    <row r="93">
      <c r="A93" s="706"/>
      <c r="L93" s="759"/>
      <c r="N93" s="128"/>
      <c r="O93" s="128"/>
      <c r="P93" s="128"/>
      <c r="Q93" s="128"/>
      <c r="R93" s="128"/>
      <c r="S93" s="128"/>
      <c r="T93" s="128"/>
      <c r="U93" s="128"/>
      <c r="V93" s="145"/>
      <c r="W93" s="145"/>
      <c r="X93" s="145"/>
      <c r="Y93" s="145"/>
    </row>
    <row r="94">
      <c r="A94" s="706"/>
      <c r="L94" s="759"/>
      <c r="N94" s="126"/>
      <c r="O94" s="126"/>
      <c r="P94" s="126"/>
      <c r="Q94" s="126"/>
      <c r="R94" s="129"/>
      <c r="S94" s="126"/>
      <c r="T94" s="126"/>
      <c r="U94" s="126"/>
      <c r="V94" s="145"/>
      <c r="W94" s="145"/>
      <c r="X94" s="145"/>
      <c r="Y94" s="145"/>
    </row>
    <row r="95">
      <c r="A95" s="706"/>
      <c r="L95" s="759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</row>
    <row r="96">
      <c r="A96" s="706"/>
      <c r="L96" s="759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</row>
    <row r="97">
      <c r="A97" s="706"/>
      <c r="L97" s="759"/>
      <c r="N97" s="761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</row>
    <row r="98">
      <c r="A98" s="706"/>
      <c r="L98" s="759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</row>
    <row r="99">
      <c r="A99" s="706"/>
      <c r="L99" s="759"/>
      <c r="N99" s="762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</row>
    <row r="100">
      <c r="A100" s="706"/>
      <c r="L100" s="759"/>
      <c r="N100" s="128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</row>
    <row r="101">
      <c r="A101" s="706"/>
      <c r="L101" s="759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</row>
    <row r="102">
      <c r="A102" s="706"/>
      <c r="L102" s="759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</row>
    <row r="103">
      <c r="A103" s="706"/>
      <c r="L103" s="759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</row>
    <row r="104">
      <c r="A104" s="706"/>
      <c r="L104" s="759"/>
      <c r="N104" s="75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</row>
    <row r="105">
      <c r="A105" s="706"/>
      <c r="L105" s="759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</row>
    <row r="106">
      <c r="A106" s="706"/>
      <c r="L106" s="759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</row>
    <row r="107">
      <c r="A107" s="706"/>
      <c r="L107" s="759"/>
      <c r="N107" s="763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</row>
    <row r="108">
      <c r="A108" s="706"/>
      <c r="L108" s="759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</row>
    <row r="109">
      <c r="A109" s="706"/>
      <c r="L109" s="759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</row>
    <row r="110">
      <c r="A110" s="706"/>
      <c r="L110" s="759"/>
      <c r="N110" s="145"/>
      <c r="O110" s="145"/>
      <c r="P110" s="145"/>
      <c r="Q110" s="145"/>
      <c r="R110" s="145"/>
      <c r="S110" s="145"/>
      <c r="T110" s="764"/>
      <c r="U110" s="145"/>
      <c r="V110" s="145"/>
      <c r="W110" s="145"/>
      <c r="X110" s="145"/>
      <c r="Y110" s="145"/>
    </row>
    <row r="111">
      <c r="A111" s="706"/>
      <c r="L111" s="759"/>
      <c r="N111" s="145"/>
      <c r="O111" s="145"/>
      <c r="P111" s="126"/>
      <c r="Q111" s="145"/>
      <c r="R111" s="126"/>
      <c r="S111" s="126"/>
      <c r="T111" s="126"/>
      <c r="U111" s="129"/>
      <c r="V111" s="126"/>
      <c r="W111" s="145"/>
      <c r="X111" s="145"/>
      <c r="Y111" s="145"/>
    </row>
    <row r="112">
      <c r="A112" s="706"/>
      <c r="L112" s="759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</row>
    <row r="113">
      <c r="A113" s="706"/>
      <c r="L113" s="759"/>
      <c r="N113" s="76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</row>
    <row r="114">
      <c r="A114" s="706"/>
      <c r="L114" s="759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</row>
    <row r="115">
      <c r="A115" s="706"/>
      <c r="L115" s="759"/>
      <c r="N115" s="128"/>
      <c r="O115" s="128"/>
      <c r="P115" s="128"/>
      <c r="Q115" s="128"/>
      <c r="R115" s="128"/>
      <c r="S115" s="128"/>
      <c r="T115" s="145"/>
      <c r="U115" s="145"/>
      <c r="V115" s="145"/>
      <c r="W115" s="145"/>
      <c r="X115" s="145"/>
      <c r="Y115" s="145"/>
    </row>
    <row r="116">
      <c r="A116" s="706"/>
      <c r="L116" s="759"/>
      <c r="N116" s="126"/>
      <c r="O116" s="126"/>
      <c r="P116" s="126"/>
      <c r="Q116" s="126"/>
      <c r="R116" s="129"/>
      <c r="S116" s="126"/>
      <c r="T116" s="145"/>
      <c r="U116" s="145"/>
      <c r="V116" s="145"/>
      <c r="W116" s="145"/>
      <c r="X116" s="145"/>
      <c r="Y116" s="145"/>
    </row>
    <row r="117">
      <c r="A117" s="706"/>
      <c r="L117" s="759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</row>
    <row r="118">
      <c r="A118" s="706"/>
      <c r="L118" s="759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</row>
    <row r="119">
      <c r="A119" s="706"/>
      <c r="L119" s="759"/>
      <c r="N119" s="761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</row>
    <row r="120">
      <c r="A120" s="706"/>
      <c r="L120" s="759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</row>
    <row r="121">
      <c r="A121" s="706"/>
      <c r="L121" s="759"/>
      <c r="N121" s="128"/>
      <c r="O121" s="128"/>
      <c r="P121" s="128"/>
      <c r="Q121" s="128"/>
      <c r="R121" s="128"/>
      <c r="S121" s="128"/>
      <c r="T121" s="128"/>
      <c r="U121" s="128"/>
      <c r="V121" s="145"/>
      <c r="W121" s="145"/>
      <c r="X121" s="145"/>
      <c r="Y121" s="145"/>
    </row>
    <row r="122">
      <c r="A122" s="766"/>
      <c r="B122" s="767"/>
      <c r="C122" s="767"/>
      <c r="D122" s="767"/>
      <c r="E122" s="767"/>
      <c r="F122" s="767"/>
      <c r="G122" s="767"/>
      <c r="H122" s="767"/>
      <c r="I122" s="767"/>
      <c r="J122" s="767"/>
      <c r="K122" s="767"/>
      <c r="L122" s="768"/>
      <c r="N122" s="126"/>
      <c r="O122" s="126"/>
      <c r="P122" s="126"/>
      <c r="Q122" s="126"/>
      <c r="R122" s="129"/>
      <c r="S122" s="126"/>
      <c r="T122" s="126"/>
      <c r="U122" s="126"/>
      <c r="V122" s="145"/>
      <c r="W122" s="145"/>
      <c r="X122" s="145"/>
      <c r="Y122" s="145"/>
    </row>
    <row r="126">
      <c r="A126" s="769"/>
      <c r="B126" s="770"/>
      <c r="C126" s="770"/>
      <c r="D126" s="771" t="s">
        <v>700</v>
      </c>
      <c r="E126" s="772" t="s">
        <v>1177</v>
      </c>
      <c r="F126" s="773"/>
      <c r="G126" s="774"/>
      <c r="H126" s="305">
        <v>1.0</v>
      </c>
      <c r="I126" s="769"/>
      <c r="J126" s="770"/>
      <c r="K126" s="770"/>
      <c r="L126" s="771" t="s">
        <v>700</v>
      </c>
      <c r="M126" s="772" t="str">
        <f>E126</f>
        <v>11.24.2025-11.30.2025</v>
      </c>
      <c r="N126" s="773"/>
      <c r="O126" s="774"/>
    </row>
    <row r="127">
      <c r="A127" s="775"/>
      <c r="D127" s="771" t="s">
        <v>702</v>
      </c>
      <c r="E127" s="772" t="str">
        <f t="array" ref="E127">XLOOKUP(E128,$Q$973:$Q$1008,$R$973:$R$1008)</f>
        <v>Ada Fleet LLC</v>
      </c>
      <c r="F127" s="773"/>
      <c r="G127" s="774"/>
      <c r="H127" s="776"/>
      <c r="I127" s="775"/>
      <c r="L127" s="771" t="s">
        <v>351</v>
      </c>
      <c r="M127" s="772" t="str">
        <f t="array" ref="M127">XLOOKUP(M128,$L$1:$L$122,$K$1:$K$122)</f>
        <v>VICTOR DEMCHENKO</v>
      </c>
      <c r="N127" s="773"/>
      <c r="O127" s="774"/>
      <c r="P127" s="777"/>
    </row>
    <row r="128">
      <c r="A128" s="775"/>
      <c r="D128" s="771" t="s">
        <v>703</v>
      </c>
      <c r="E128" s="778" t="s">
        <v>431</v>
      </c>
      <c r="F128" s="773"/>
      <c r="G128" s="774"/>
      <c r="H128" s="283"/>
      <c r="I128" s="775"/>
      <c r="L128" s="771" t="s">
        <v>703</v>
      </c>
      <c r="M128" s="772" t="str">
        <f>E128</f>
        <v>0427</v>
      </c>
      <c r="N128" s="773"/>
      <c r="O128" s="774"/>
    </row>
    <row r="129">
      <c r="A129" s="779" t="s">
        <v>704</v>
      </c>
      <c r="B129" s="779" t="s">
        <v>5</v>
      </c>
      <c r="C129" s="779" t="s">
        <v>6</v>
      </c>
      <c r="D129" s="779" t="s">
        <v>7</v>
      </c>
      <c r="E129" s="779" t="s">
        <v>8</v>
      </c>
      <c r="F129" s="779" t="s">
        <v>706</v>
      </c>
      <c r="G129" s="779" t="s">
        <v>707</v>
      </c>
      <c r="H129" s="34"/>
      <c r="I129" s="779" t="s">
        <v>704</v>
      </c>
      <c r="J129" s="779" t="s">
        <v>5</v>
      </c>
      <c r="K129" s="779" t="s">
        <v>6</v>
      </c>
      <c r="L129" s="779" t="s">
        <v>7</v>
      </c>
      <c r="M129" s="779" t="s">
        <v>1178</v>
      </c>
      <c r="N129" s="779" t="s">
        <v>839</v>
      </c>
      <c r="O129" s="779" t="s">
        <v>707</v>
      </c>
    </row>
    <row r="130">
      <c r="A130" s="780">
        <f>IFERROR(__xludf.DUMMYFUNCTION("FILTER($D$3:$H$122,$L$3:$L$122=E128)"),45986.0)</f>
        <v>45986</v>
      </c>
      <c r="B130" s="781">
        <f>IFERROR(__xludf.DUMMYFUNCTION("""COMPUTED_VALUE"""),6912758.0)</f>
        <v>6912758</v>
      </c>
      <c r="C130" s="781" t="str">
        <f>IFERROR(__xludf.DUMMYFUNCTION("""COMPUTED_VALUE"""),"Bridgewater, NJ,")</f>
        <v>Bridgewater, NJ,</v>
      </c>
      <c r="D130" s="781" t="str">
        <f>IFERROR(__xludf.DUMMYFUNCTION("""COMPUTED_VALUE"""),"Belle Fourche, WY, 82710")</f>
        <v>Belle Fourche, WY, 82710</v>
      </c>
      <c r="E130" s="782">
        <f>IFERROR(__xludf.DUMMYFUNCTION("""COMPUTED_VALUE"""),3400.0)</f>
        <v>3400</v>
      </c>
      <c r="F130" s="783">
        <v>0.88</v>
      </c>
      <c r="G130" s="782">
        <f t="shared" ref="G130:G131" si="5">E130*F130</f>
        <v>2992</v>
      </c>
      <c r="H130" s="283"/>
      <c r="I130" s="780">
        <f>IFERROR(__xludf.DUMMYFUNCTION("FILTER($D$3:$G$122,$L$3:$L$122=M128)"),45986.0)</f>
        <v>45986</v>
      </c>
      <c r="J130" s="781">
        <f>IFERROR(__xludf.DUMMYFUNCTION("""COMPUTED_VALUE"""),6912758.0)</f>
        <v>6912758</v>
      </c>
      <c r="K130" s="781" t="str">
        <f>IFERROR(__xludf.DUMMYFUNCTION("""COMPUTED_VALUE"""),"Bridgewater, NJ,")</f>
        <v>Bridgewater, NJ,</v>
      </c>
      <c r="L130" s="781" t="str">
        <f>IFERROR(__xludf.DUMMYFUNCTION("""COMPUTED_VALUE"""),"Belle Fourche, WY, 82710")</f>
        <v>Belle Fourche, WY, 82710</v>
      </c>
      <c r="M130" s="784">
        <f>IFERROR(__xludf.DUMMYFUNCTION("FILTER($I$3:$I$122,$L$3:$L$122=M128)"),1778.0)</f>
        <v>1778</v>
      </c>
      <c r="N130" s="781">
        <v>0.65</v>
      </c>
      <c r="O130" s="782">
        <f t="shared" ref="O130:O131" si="6">M130*N130</f>
        <v>1155.7</v>
      </c>
    </row>
    <row r="131">
      <c r="A131" s="780">
        <f>IFERROR(__xludf.DUMMYFUNCTION("""COMPUTED_VALUE"""),45989.0)</f>
        <v>45989</v>
      </c>
      <c r="B131" s="781">
        <f>IFERROR(__xludf.DUMMYFUNCTION("""COMPUTED_VALUE"""),8012654.0)</f>
        <v>8012654</v>
      </c>
      <c r="C131" s="781" t="str">
        <f>IFERROR(__xludf.DUMMYFUNCTION("""COMPUTED_VALUE"""),"Belle Fourche, WY, 82710")</f>
        <v>Belle Fourche, WY, 82710</v>
      </c>
      <c r="D131" s="781" t="str">
        <f>IFERROR(__xludf.DUMMYFUNCTION("""COMPUTED_VALUE"""),"Apple Valley, CA, 92307")</f>
        <v>Apple Valley, CA, 92307</v>
      </c>
      <c r="E131" s="782">
        <f>IFERROR(__xludf.DUMMYFUNCTION("""COMPUTED_VALUE"""),2400.0)</f>
        <v>2400</v>
      </c>
      <c r="F131" s="783">
        <v>0.88</v>
      </c>
      <c r="G131" s="782">
        <f t="shared" si="5"/>
        <v>2112</v>
      </c>
      <c r="H131" s="283"/>
      <c r="I131" s="780">
        <f>IFERROR(__xludf.DUMMYFUNCTION("""COMPUTED_VALUE"""),45989.0)</f>
        <v>45989</v>
      </c>
      <c r="J131" s="781">
        <f>IFERROR(__xludf.DUMMYFUNCTION("""COMPUTED_VALUE"""),8012654.0)</f>
        <v>8012654</v>
      </c>
      <c r="K131" s="781" t="str">
        <f>IFERROR(__xludf.DUMMYFUNCTION("""COMPUTED_VALUE"""),"Belle Fourche, WY, 82710")</f>
        <v>Belle Fourche, WY, 82710</v>
      </c>
      <c r="L131" s="781" t="str">
        <f>IFERROR(__xludf.DUMMYFUNCTION("""COMPUTED_VALUE"""),"Apple Valley, CA, 92307")</f>
        <v>Apple Valley, CA, 92307</v>
      </c>
      <c r="M131" s="781">
        <f>IFERROR(__xludf.DUMMYFUNCTION("""COMPUTED_VALUE"""),1261.0)</f>
        <v>1261</v>
      </c>
      <c r="N131" s="781">
        <v>0.65</v>
      </c>
      <c r="O131" s="782">
        <f t="shared" si="6"/>
        <v>819.65</v>
      </c>
    </row>
    <row r="132">
      <c r="A132" s="785"/>
      <c r="B132" s="786"/>
      <c r="C132" s="786"/>
      <c r="D132" s="786"/>
      <c r="E132" s="785"/>
      <c r="F132" s="787"/>
      <c r="G132" s="788"/>
      <c r="H132" s="283"/>
      <c r="I132" s="785"/>
      <c r="J132" s="786"/>
      <c r="K132" s="786"/>
      <c r="L132" s="786"/>
      <c r="M132" s="785"/>
      <c r="N132" s="787"/>
      <c r="O132" s="789"/>
    </row>
    <row r="133">
      <c r="A133" s="785"/>
      <c r="B133" s="786"/>
      <c r="C133" s="786"/>
      <c r="D133" s="786"/>
      <c r="E133" s="785"/>
      <c r="F133" s="787"/>
      <c r="G133" s="788"/>
      <c r="H133" s="283"/>
      <c r="I133" s="785"/>
      <c r="J133" s="786"/>
      <c r="K133" s="786"/>
      <c r="L133" s="786"/>
      <c r="M133" s="785"/>
      <c r="N133" s="787"/>
      <c r="O133" s="789"/>
    </row>
    <row r="134">
      <c r="A134" s="785"/>
      <c r="B134" s="786"/>
      <c r="C134" s="786"/>
      <c r="D134" s="786"/>
      <c r="E134" s="785"/>
      <c r="F134" s="787"/>
      <c r="G134" s="788"/>
      <c r="H134" s="283"/>
      <c r="I134" s="785"/>
      <c r="J134" s="786"/>
      <c r="K134" s="786"/>
      <c r="L134" s="786"/>
      <c r="M134" s="785"/>
      <c r="N134" s="787"/>
      <c r="O134" s="789"/>
    </row>
    <row r="135">
      <c r="A135" s="785"/>
      <c r="B135" s="786"/>
      <c r="C135" s="786"/>
      <c r="D135" s="786"/>
      <c r="E135" s="785"/>
      <c r="F135" s="787"/>
      <c r="G135" s="788"/>
      <c r="H135" s="283"/>
      <c r="I135" s="785"/>
      <c r="J135" s="786"/>
      <c r="K135" s="786"/>
      <c r="L135" s="786"/>
      <c r="M135" s="785"/>
      <c r="N135" s="787"/>
      <c r="O135" s="789"/>
    </row>
    <row r="136">
      <c r="A136" s="790" t="s">
        <v>711</v>
      </c>
      <c r="B136" s="791"/>
      <c r="C136" s="791"/>
      <c r="D136" s="792"/>
      <c r="E136" s="793">
        <f>SUM(E130:E135)</f>
        <v>5800</v>
      </c>
      <c r="F136" s="794"/>
      <c r="G136" s="793">
        <f>SUM(G130:G135)</f>
        <v>5104</v>
      </c>
      <c r="H136" s="283"/>
      <c r="I136" s="790" t="s">
        <v>711</v>
      </c>
      <c r="J136" s="791"/>
      <c r="K136" s="791"/>
      <c r="L136" s="792"/>
      <c r="M136" s="795">
        <f>SUM(M130:M135)</f>
        <v>3039</v>
      </c>
      <c r="N136" s="794"/>
      <c r="O136" s="793">
        <f>SUM(O130:O135)</f>
        <v>1975.35</v>
      </c>
    </row>
    <row r="137">
      <c r="A137" s="796"/>
      <c r="D137" s="248"/>
      <c r="E137" s="248"/>
      <c r="F137" s="248"/>
      <c r="G137" s="797"/>
      <c r="H137" s="283"/>
      <c r="I137" s="796"/>
      <c r="L137" s="798"/>
      <c r="O137" s="799"/>
    </row>
    <row r="138">
      <c r="A138" s="800" t="s">
        <v>712</v>
      </c>
      <c r="B138" s="801"/>
      <c r="C138" s="802"/>
      <c r="D138" s="248"/>
      <c r="E138" s="248"/>
      <c r="F138" s="248"/>
      <c r="G138" s="797"/>
      <c r="H138" s="283"/>
      <c r="I138" s="800" t="s">
        <v>712</v>
      </c>
      <c r="J138" s="803"/>
      <c r="K138" s="804"/>
      <c r="O138" s="799"/>
    </row>
    <row r="139">
      <c r="A139" s="805"/>
      <c r="B139" s="806"/>
      <c r="C139" s="807"/>
      <c r="D139" s="248"/>
      <c r="E139" s="248"/>
      <c r="F139" s="248"/>
      <c r="G139" s="797"/>
      <c r="H139" s="283"/>
      <c r="I139" s="805" t="s">
        <v>1179</v>
      </c>
      <c r="J139" s="808"/>
      <c r="K139" s="809">
        <v>250.0</v>
      </c>
      <c r="O139" s="799"/>
    </row>
    <row r="140">
      <c r="A140" s="810" t="s">
        <v>1179</v>
      </c>
      <c r="B140" s="811"/>
      <c r="C140" s="812">
        <v>250.0</v>
      </c>
      <c r="D140" s="248"/>
      <c r="E140" s="248"/>
      <c r="F140" s="248"/>
      <c r="G140" s="797"/>
      <c r="H140" s="283"/>
      <c r="I140" s="813" t="s">
        <v>1180</v>
      </c>
      <c r="J140" s="774"/>
      <c r="K140" s="814">
        <v>73.45</v>
      </c>
      <c r="O140" s="799"/>
    </row>
    <row r="141">
      <c r="A141" s="815"/>
      <c r="B141" s="792"/>
      <c r="C141" s="816"/>
      <c r="D141" s="248"/>
      <c r="E141" s="248"/>
      <c r="F141" s="248"/>
      <c r="G141" s="797"/>
      <c r="H141" s="283"/>
      <c r="I141" s="815"/>
      <c r="J141" s="792"/>
      <c r="K141" s="816"/>
      <c r="O141" s="799"/>
    </row>
    <row r="142">
      <c r="A142" s="817"/>
      <c r="B142" s="774"/>
      <c r="C142" s="818"/>
      <c r="D142" s="819" t="s">
        <v>1181</v>
      </c>
      <c r="E142" s="820">
        <v>2298.8</v>
      </c>
      <c r="F142" s="248"/>
      <c r="G142" s="797"/>
      <c r="H142" s="283"/>
      <c r="I142" s="817"/>
      <c r="J142" s="774"/>
      <c r="K142" s="818"/>
      <c r="O142" s="799"/>
    </row>
    <row r="143">
      <c r="A143" s="817"/>
      <c r="B143" s="792"/>
      <c r="C143" s="818"/>
      <c r="D143" s="248"/>
      <c r="E143" s="248"/>
      <c r="F143" s="248"/>
      <c r="G143" s="797"/>
      <c r="H143" s="283"/>
      <c r="I143" s="817"/>
      <c r="J143" s="792"/>
      <c r="K143" s="818"/>
      <c r="O143" s="799"/>
    </row>
    <row r="144">
      <c r="A144" s="821" t="s">
        <v>714</v>
      </c>
      <c r="B144" s="822"/>
      <c r="C144" s="823">
        <f>SUM(C139:C143)</f>
        <v>250</v>
      </c>
      <c r="D144" s="824" t="s">
        <v>657</v>
      </c>
      <c r="E144" s="825">
        <f>G148-E142</f>
        <v>919.35</v>
      </c>
      <c r="F144" s="248"/>
      <c r="G144" s="797"/>
      <c r="H144" s="283"/>
      <c r="I144" s="821" t="s">
        <v>714</v>
      </c>
      <c r="J144" s="826"/>
      <c r="K144" s="827">
        <f>SUM(K139:K143)</f>
        <v>323.45</v>
      </c>
      <c r="O144" s="799"/>
    </row>
    <row r="145">
      <c r="A145" s="828"/>
      <c r="C145" s="829"/>
      <c r="D145" s="248"/>
      <c r="E145" s="248"/>
      <c r="F145" s="248"/>
      <c r="G145" s="797"/>
      <c r="H145" s="283"/>
      <c r="I145" s="828"/>
      <c r="K145" s="829"/>
      <c r="O145" s="799"/>
    </row>
    <row r="146">
      <c r="A146" s="830" t="s">
        <v>715</v>
      </c>
      <c r="B146" s="831"/>
      <c r="C146" s="832"/>
      <c r="D146" s="248"/>
      <c r="E146" s="248"/>
      <c r="F146" s="248"/>
      <c r="G146" s="797"/>
      <c r="H146" s="283"/>
      <c r="I146" s="833" t="s">
        <v>715</v>
      </c>
      <c r="J146" s="834"/>
      <c r="K146" s="835"/>
      <c r="O146" s="799"/>
    </row>
    <row r="147">
      <c r="A147" s="836" t="s">
        <v>716</v>
      </c>
      <c r="B147" s="837"/>
      <c r="C147" s="838"/>
      <c r="D147" s="248"/>
      <c r="E147" s="248"/>
      <c r="F147" s="248"/>
      <c r="G147" s="797"/>
      <c r="H147" s="283"/>
      <c r="I147" s="839"/>
      <c r="J147" s="840"/>
      <c r="K147" s="841"/>
      <c r="O147" s="799"/>
    </row>
    <row r="148">
      <c r="A148" s="842" t="s">
        <v>717</v>
      </c>
      <c r="B148" s="843"/>
      <c r="C148" s="844"/>
      <c r="D148" s="248"/>
      <c r="E148" s="845" t="s">
        <v>1182</v>
      </c>
      <c r="G148" s="846">
        <f>G136+C144-C153</f>
        <v>3218.15</v>
      </c>
      <c r="H148" s="283"/>
      <c r="I148" s="847"/>
      <c r="J148" s="848"/>
      <c r="K148" s="849"/>
      <c r="L148" s="248"/>
      <c r="M148" s="845" t="s">
        <v>1183</v>
      </c>
      <c r="O148" s="846">
        <f>O136+K144-K153</f>
        <v>2298.8</v>
      </c>
    </row>
    <row r="149">
      <c r="A149" s="836" t="s">
        <v>718</v>
      </c>
      <c r="B149" s="837"/>
      <c r="C149" s="838"/>
      <c r="G149" s="799"/>
      <c r="H149" s="283"/>
      <c r="I149" s="847"/>
      <c r="J149" s="848"/>
      <c r="K149" s="849"/>
      <c r="O149" s="799"/>
    </row>
    <row r="150">
      <c r="A150" s="842" t="s">
        <v>656</v>
      </c>
      <c r="B150" s="843"/>
      <c r="C150" s="844">
        <f>IFERROR(__xludf.DUMMYFUNCTION("FILTER($C$4:$C$30,$B$4:$B$30=E128)"),2135.85)</f>
        <v>2135.85</v>
      </c>
      <c r="G150" s="799"/>
      <c r="H150" s="283"/>
      <c r="I150" s="847"/>
      <c r="J150" s="848"/>
      <c r="K150" s="849"/>
      <c r="O150" s="799"/>
    </row>
    <row r="151">
      <c r="A151" s="850" t="s">
        <v>1184</v>
      </c>
      <c r="B151" s="851"/>
      <c r="C151" s="852"/>
      <c r="E151" s="248"/>
      <c r="G151" s="799"/>
      <c r="H151" s="283"/>
      <c r="I151" s="847"/>
      <c r="J151" s="848"/>
      <c r="K151" s="849"/>
      <c r="M151" s="248"/>
      <c r="O151" s="799"/>
    </row>
    <row r="152">
      <c r="A152" s="847"/>
      <c r="B152" s="848"/>
      <c r="C152" s="849"/>
      <c r="G152" s="799"/>
      <c r="H152" s="283"/>
      <c r="I152" s="847"/>
      <c r="J152" s="848"/>
      <c r="K152" s="849"/>
      <c r="O152" s="799"/>
    </row>
    <row r="153">
      <c r="A153" s="853" t="s">
        <v>721</v>
      </c>
      <c r="B153" s="854"/>
      <c r="C153" s="855">
        <f>SUM(C147:C152)</f>
        <v>2135.85</v>
      </c>
      <c r="G153" s="799"/>
      <c r="H153" s="283"/>
      <c r="I153" s="853" t="s">
        <v>721</v>
      </c>
      <c r="J153" s="854"/>
      <c r="K153" s="855"/>
      <c r="O153" s="799"/>
    </row>
    <row r="154">
      <c r="A154" s="856"/>
      <c r="B154" s="857"/>
      <c r="C154" s="857"/>
      <c r="D154" s="857"/>
      <c r="E154" s="857"/>
      <c r="F154" s="857"/>
      <c r="G154" s="808"/>
      <c r="H154" s="283"/>
      <c r="I154" s="856"/>
      <c r="J154" s="857"/>
      <c r="K154" s="857"/>
      <c r="L154" s="857"/>
      <c r="M154" s="857"/>
      <c r="N154" s="857"/>
      <c r="O154" s="808"/>
    </row>
    <row r="157">
      <c r="A157" s="769"/>
      <c r="B157" s="770"/>
      <c r="C157" s="770"/>
      <c r="D157" s="771" t="s">
        <v>700</v>
      </c>
      <c r="E157" s="772" t="str">
        <f>E126</f>
        <v>11.24.2025-11.30.2025</v>
      </c>
      <c r="F157" s="773"/>
      <c r="G157" s="774"/>
      <c r="H157" s="305">
        <v>2.0</v>
      </c>
      <c r="I157" s="769"/>
      <c r="J157" s="770"/>
      <c r="K157" s="770"/>
      <c r="L157" s="771" t="s">
        <v>700</v>
      </c>
      <c r="M157" s="772" t="str">
        <f>E126</f>
        <v>11.24.2025-11.30.2025</v>
      </c>
      <c r="N157" s="773"/>
      <c r="O157" s="774"/>
      <c r="Q157" s="769"/>
      <c r="R157" s="770"/>
      <c r="S157" s="770"/>
      <c r="T157" s="771" t="s">
        <v>700</v>
      </c>
      <c r="U157" s="772" t="str">
        <f>E126</f>
        <v>11.24.2025-11.30.2025</v>
      </c>
      <c r="V157" s="773"/>
      <c r="W157" s="774"/>
    </row>
    <row r="158">
      <c r="A158" s="775"/>
      <c r="D158" s="771" t="s">
        <v>702</v>
      </c>
      <c r="E158" s="772" t="str">
        <f t="array" ref="E158">XLOOKUP(E159,$Q$973:$Q$1008,$R$973:$R$1008)</f>
        <v>Arba Express LLC</v>
      </c>
      <c r="F158" s="773"/>
      <c r="G158" s="774"/>
      <c r="H158" s="858"/>
      <c r="I158" s="775"/>
      <c r="L158" s="771" t="s">
        <v>351</v>
      </c>
      <c r="M158" s="772" t="str">
        <f t="array" ref="M158">XLOOKUP(M159,$L$1:$L$122,$K$1:$K$122)</f>
        <v>ROUDELINE ZEPHIRIN</v>
      </c>
      <c r="N158" s="773"/>
      <c r="O158" s="774"/>
      <c r="P158" s="859"/>
      <c r="Q158" s="775"/>
      <c r="T158" s="771" t="s">
        <v>351</v>
      </c>
      <c r="U158" s="772" t="s">
        <v>661</v>
      </c>
      <c r="V158" s="773"/>
      <c r="W158" s="774"/>
    </row>
    <row r="159">
      <c r="A159" s="775"/>
      <c r="D159" s="771" t="s">
        <v>703</v>
      </c>
      <c r="E159" s="772">
        <v>6960.0</v>
      </c>
      <c r="F159" s="773"/>
      <c r="G159" s="774"/>
      <c r="H159" s="283"/>
      <c r="I159" s="775"/>
      <c r="L159" s="771" t="s">
        <v>703</v>
      </c>
      <c r="M159" s="772">
        <f>E159</f>
        <v>6960</v>
      </c>
      <c r="N159" s="773"/>
      <c r="O159" s="774"/>
      <c r="Q159" s="775"/>
      <c r="T159" s="771" t="s">
        <v>703</v>
      </c>
      <c r="U159" s="772">
        <f>M159</f>
        <v>6960</v>
      </c>
      <c r="V159" s="773"/>
      <c r="W159" s="774"/>
    </row>
    <row r="160">
      <c r="A160" s="779" t="s">
        <v>704</v>
      </c>
      <c r="B160" s="779" t="s">
        <v>5</v>
      </c>
      <c r="C160" s="779" t="s">
        <v>6</v>
      </c>
      <c r="D160" s="779" t="s">
        <v>7</v>
      </c>
      <c r="E160" s="779" t="s">
        <v>8</v>
      </c>
      <c r="F160" s="779" t="s">
        <v>706</v>
      </c>
      <c r="G160" s="779" t="s">
        <v>707</v>
      </c>
      <c r="H160" s="34"/>
      <c r="I160" s="779" t="s">
        <v>704</v>
      </c>
      <c r="J160" s="779" t="s">
        <v>5</v>
      </c>
      <c r="K160" s="779" t="s">
        <v>6</v>
      </c>
      <c r="L160" s="779" t="s">
        <v>7</v>
      </c>
      <c r="M160" s="779" t="s">
        <v>1178</v>
      </c>
      <c r="N160" s="779" t="s">
        <v>839</v>
      </c>
      <c r="O160" s="779" t="s">
        <v>707</v>
      </c>
      <c r="Q160" s="779" t="s">
        <v>704</v>
      </c>
      <c r="R160" s="779" t="s">
        <v>5</v>
      </c>
      <c r="S160" s="779" t="s">
        <v>6</v>
      </c>
      <c r="T160" s="779" t="s">
        <v>7</v>
      </c>
      <c r="U160" s="779" t="s">
        <v>1178</v>
      </c>
      <c r="V160" s="779" t="s">
        <v>839</v>
      </c>
      <c r="W160" s="779" t="s">
        <v>707</v>
      </c>
    </row>
    <row r="161">
      <c r="A161" s="780">
        <f>IFERROR(__xludf.DUMMYFUNCTION("FILTER($D$3:$H$122,$L$3:$L$122=E159)"),45985.0)</f>
        <v>45985</v>
      </c>
      <c r="B161" s="781">
        <f>IFERROR(__xludf.DUMMYFUNCTION("""COMPUTED_VALUE"""),2.0649044E7)</f>
        <v>20649044</v>
      </c>
      <c r="C161" s="781" t="str">
        <f>IFERROR(__xludf.DUMMYFUNCTION("""COMPUTED_VALUE"""),"New Iberia, LA, 70560")</f>
        <v>New Iberia, LA, 70560</v>
      </c>
      <c r="D161" s="781" t="str">
        <f>IFERROR(__xludf.DUMMYFUNCTION("""COMPUTED_VALUE"""),"Florence, SC, 29501")</f>
        <v>Florence, SC, 29501</v>
      </c>
      <c r="E161" s="782">
        <f>IFERROR(__xludf.DUMMYFUNCTION("""COMPUTED_VALUE"""),2300.0)</f>
        <v>2300</v>
      </c>
      <c r="F161" s="783">
        <v>0.88</v>
      </c>
      <c r="G161" s="782">
        <f>E161*F161</f>
        <v>2024</v>
      </c>
      <c r="H161" s="283"/>
      <c r="I161" s="860">
        <f>IFERROR(__xludf.DUMMYFUNCTION("FILTER($D$3:$G$122,$L$3:$L$122=M159)"),45985.0)</f>
        <v>45985</v>
      </c>
      <c r="J161" s="861">
        <f>IFERROR(__xludf.DUMMYFUNCTION("""COMPUTED_VALUE"""),2.0649044E7)</f>
        <v>20649044</v>
      </c>
      <c r="K161" s="861" t="str">
        <f>IFERROR(__xludf.DUMMYFUNCTION("""COMPUTED_VALUE"""),"New Iberia, LA, 70560")</f>
        <v>New Iberia, LA, 70560</v>
      </c>
      <c r="L161" s="861" t="str">
        <f>IFERROR(__xludf.DUMMYFUNCTION("""COMPUTED_VALUE"""),"Florence, SC, 29501")</f>
        <v>Florence, SC, 29501</v>
      </c>
      <c r="M161" s="861">
        <f>IFERROR(__xludf.DUMMYFUNCTION("FILTER($I$3:$I$122,$L$3:$L$122=M159)/2"),450.0)</f>
        <v>450</v>
      </c>
      <c r="N161" s="862">
        <v>0.8</v>
      </c>
      <c r="O161" s="863">
        <f>M161*N161</f>
        <v>360</v>
      </c>
      <c r="Q161" s="860">
        <f>IFERROR(__xludf.DUMMYFUNCTION("FILTER($D$3:$G$122,$L$3:$L$122=U159)"),45985.0)</f>
        <v>45985</v>
      </c>
      <c r="R161" s="861">
        <f>IFERROR(__xludf.DUMMYFUNCTION("""COMPUTED_VALUE"""),2.0649044E7)</f>
        <v>20649044</v>
      </c>
      <c r="S161" s="861" t="str">
        <f>IFERROR(__xludf.DUMMYFUNCTION("""COMPUTED_VALUE"""),"New Iberia, LA, 70560")</f>
        <v>New Iberia, LA, 70560</v>
      </c>
      <c r="T161" s="861" t="str">
        <f>IFERROR(__xludf.DUMMYFUNCTION("""COMPUTED_VALUE"""),"Florence, SC, 29501")</f>
        <v>Florence, SC, 29501</v>
      </c>
      <c r="U161" s="861">
        <f>IFERROR(__xludf.DUMMYFUNCTION("FILTER($I$3:$I$122,$L$3:$L$122=U159)/2"),450.0)</f>
        <v>450</v>
      </c>
      <c r="V161" s="862">
        <v>0.8</v>
      </c>
      <c r="W161" s="863">
        <f>U161*V161</f>
        <v>360</v>
      </c>
    </row>
    <row r="162">
      <c r="A162" s="780"/>
      <c r="B162" s="781"/>
      <c r="C162" s="781"/>
      <c r="D162" s="781"/>
      <c r="E162" s="782"/>
      <c r="F162" s="783"/>
      <c r="G162" s="782"/>
      <c r="H162" s="283"/>
      <c r="I162" s="780"/>
      <c r="J162" s="781"/>
      <c r="K162" s="781"/>
      <c r="L162" s="781"/>
      <c r="M162" s="782"/>
      <c r="N162" s="783"/>
      <c r="O162" s="789"/>
      <c r="Q162" s="780"/>
      <c r="R162" s="781"/>
      <c r="S162" s="781"/>
      <c r="T162" s="781"/>
      <c r="U162" s="782"/>
      <c r="V162" s="783"/>
      <c r="W162" s="789"/>
    </row>
    <row r="163">
      <c r="A163" s="785"/>
      <c r="B163" s="786"/>
      <c r="C163" s="786"/>
      <c r="D163" s="786"/>
      <c r="E163" s="785"/>
      <c r="F163" s="787"/>
      <c r="G163" s="788"/>
      <c r="H163" s="283"/>
      <c r="I163" s="785"/>
      <c r="J163" s="786"/>
      <c r="K163" s="786"/>
      <c r="L163" s="786"/>
      <c r="M163" s="785"/>
      <c r="N163" s="787"/>
      <c r="O163" s="789"/>
      <c r="Q163" s="785"/>
      <c r="R163" s="786"/>
      <c r="S163" s="786"/>
      <c r="T163" s="786"/>
      <c r="U163" s="785"/>
      <c r="V163" s="787"/>
      <c r="W163" s="789"/>
    </row>
    <row r="164">
      <c r="A164" s="785"/>
      <c r="B164" s="786"/>
      <c r="C164" s="786"/>
      <c r="D164" s="786"/>
      <c r="E164" s="785"/>
      <c r="F164" s="787"/>
      <c r="G164" s="788"/>
      <c r="H164" s="283"/>
      <c r="I164" s="785"/>
      <c r="J164" s="786"/>
      <c r="K164" s="786"/>
      <c r="L164" s="786"/>
      <c r="M164" s="785"/>
      <c r="N164" s="787"/>
      <c r="O164" s="789"/>
      <c r="Q164" s="785"/>
      <c r="R164" s="786"/>
      <c r="S164" s="786"/>
      <c r="T164" s="786"/>
      <c r="U164" s="785"/>
      <c r="V164" s="787"/>
      <c r="W164" s="789"/>
    </row>
    <row r="165">
      <c r="A165" s="785"/>
      <c r="B165" s="786"/>
      <c r="C165" s="786"/>
      <c r="D165" s="786"/>
      <c r="E165" s="785"/>
      <c r="F165" s="787"/>
      <c r="G165" s="788"/>
      <c r="H165" s="283"/>
      <c r="I165" s="785"/>
      <c r="J165" s="786"/>
      <c r="K165" s="786"/>
      <c r="L165" s="786"/>
      <c r="M165" s="785"/>
      <c r="N165" s="787"/>
      <c r="O165" s="789"/>
      <c r="Q165" s="785"/>
      <c r="R165" s="786"/>
      <c r="S165" s="786"/>
      <c r="T165" s="786"/>
      <c r="U165" s="785"/>
      <c r="V165" s="787"/>
      <c r="W165" s="789"/>
    </row>
    <row r="166">
      <c r="A166" s="785"/>
      <c r="B166" s="786"/>
      <c r="C166" s="786"/>
      <c r="D166" s="786"/>
      <c r="E166" s="785"/>
      <c r="F166" s="787"/>
      <c r="G166" s="788"/>
      <c r="H166" s="283"/>
      <c r="I166" s="785"/>
      <c r="J166" s="786"/>
      <c r="K166" s="786"/>
      <c r="L166" s="786"/>
      <c r="M166" s="785"/>
      <c r="N166" s="787"/>
      <c r="O166" s="789"/>
      <c r="Q166" s="785"/>
      <c r="R166" s="786"/>
      <c r="S166" s="786"/>
      <c r="T166" s="786"/>
      <c r="U166" s="785"/>
      <c r="V166" s="787"/>
      <c r="W166" s="789"/>
    </row>
    <row r="167">
      <c r="A167" s="790" t="s">
        <v>711</v>
      </c>
      <c r="B167" s="791"/>
      <c r="C167" s="791"/>
      <c r="D167" s="792"/>
      <c r="E167" s="793">
        <f>SUM(E161:E166)</f>
        <v>2300</v>
      </c>
      <c r="F167" s="794"/>
      <c r="G167" s="793">
        <f>SUM(G161:G166)</f>
        <v>2024</v>
      </c>
      <c r="H167" s="283"/>
      <c r="I167" s="790" t="s">
        <v>711</v>
      </c>
      <c r="J167" s="791"/>
      <c r="K167" s="791"/>
      <c r="L167" s="792"/>
      <c r="M167" s="795">
        <f>SUM(M161:M166)</f>
        <v>450</v>
      </c>
      <c r="N167" s="794"/>
      <c r="O167" s="793">
        <f>SUM(O161:O166)</f>
        <v>360</v>
      </c>
      <c r="Q167" s="790" t="s">
        <v>711</v>
      </c>
      <c r="R167" s="791"/>
      <c r="S167" s="791"/>
      <c r="T167" s="792"/>
      <c r="U167" s="793">
        <f>SUM(U161:U166)</f>
        <v>450</v>
      </c>
      <c r="V167" s="794"/>
      <c r="W167" s="793">
        <f>SUM(W161:W166)</f>
        <v>360</v>
      </c>
    </row>
    <row r="168">
      <c r="A168" s="864"/>
      <c r="D168" s="865" t="s">
        <v>1185</v>
      </c>
      <c r="G168" s="866"/>
      <c r="H168" s="283"/>
      <c r="I168" s="796"/>
      <c r="L168" s="798"/>
      <c r="O168" s="799"/>
      <c r="Q168" s="796"/>
      <c r="T168" s="798"/>
      <c r="W168" s="799"/>
    </row>
    <row r="169">
      <c r="A169" s="800" t="s">
        <v>712</v>
      </c>
      <c r="B169" s="801"/>
      <c r="C169" s="802"/>
      <c r="G169" s="799"/>
      <c r="H169" s="283"/>
      <c r="I169" s="800" t="s">
        <v>712</v>
      </c>
      <c r="J169" s="803"/>
      <c r="K169" s="804"/>
      <c r="O169" s="799"/>
      <c r="Q169" s="800" t="s">
        <v>712</v>
      </c>
      <c r="R169" s="803"/>
      <c r="S169" s="804"/>
      <c r="W169" s="799"/>
    </row>
    <row r="170">
      <c r="A170" s="867"/>
      <c r="B170" s="808"/>
      <c r="C170" s="809"/>
      <c r="G170" s="799"/>
      <c r="H170" s="283"/>
      <c r="I170" s="805" t="s">
        <v>1179</v>
      </c>
      <c r="J170" s="808"/>
      <c r="K170" s="812">
        <v>250.0</v>
      </c>
      <c r="O170" s="799"/>
      <c r="Q170" s="805" t="s">
        <v>1179</v>
      </c>
      <c r="R170" s="808"/>
      <c r="S170" s="812">
        <v>250.0</v>
      </c>
      <c r="W170" s="799"/>
    </row>
    <row r="171">
      <c r="A171" s="868"/>
      <c r="B171" s="774"/>
      <c r="C171" s="816"/>
      <c r="G171" s="799"/>
      <c r="H171" s="283"/>
      <c r="I171" s="868"/>
      <c r="J171" s="774"/>
      <c r="K171" s="816"/>
      <c r="O171" s="799"/>
      <c r="Q171" s="868"/>
      <c r="R171" s="774"/>
      <c r="S171" s="816"/>
      <c r="W171" s="799"/>
    </row>
    <row r="172">
      <c r="A172" s="815"/>
      <c r="B172" s="792"/>
      <c r="C172" s="816"/>
      <c r="G172" s="799"/>
      <c r="H172" s="283"/>
      <c r="I172" s="815"/>
      <c r="J172" s="792"/>
      <c r="K172" s="816"/>
      <c r="O172" s="799"/>
      <c r="Q172" s="815"/>
      <c r="R172" s="792"/>
      <c r="S172" s="816"/>
      <c r="W172" s="799"/>
    </row>
    <row r="173">
      <c r="A173" s="817"/>
      <c r="B173" s="774"/>
      <c r="C173" s="818"/>
      <c r="G173" s="799"/>
      <c r="H173" s="283"/>
      <c r="I173" s="817"/>
      <c r="J173" s="774"/>
      <c r="K173" s="818"/>
      <c r="O173" s="799"/>
      <c r="Q173" s="817"/>
      <c r="R173" s="774"/>
      <c r="S173" s="818"/>
      <c r="W173" s="799"/>
    </row>
    <row r="174">
      <c r="A174" s="817"/>
      <c r="B174" s="792"/>
      <c r="C174" s="818"/>
      <c r="G174" s="799"/>
      <c r="H174" s="283"/>
      <c r="I174" s="817"/>
      <c r="J174" s="792"/>
      <c r="K174" s="818"/>
      <c r="O174" s="799"/>
      <c r="Q174" s="817"/>
      <c r="R174" s="792"/>
      <c r="S174" s="818"/>
      <c r="W174" s="799"/>
    </row>
    <row r="175">
      <c r="A175" s="821" t="s">
        <v>714</v>
      </c>
      <c r="B175" s="822"/>
      <c r="C175" s="823">
        <f>SUM(C170:C174)</f>
        <v>0</v>
      </c>
      <c r="G175" s="799"/>
      <c r="H175" s="283"/>
      <c r="I175" s="821" t="s">
        <v>714</v>
      </c>
      <c r="J175" s="826"/>
      <c r="K175" s="827">
        <f>SUM(K170:K174)</f>
        <v>250</v>
      </c>
      <c r="O175" s="799"/>
      <c r="Q175" s="821" t="s">
        <v>714</v>
      </c>
      <c r="R175" s="826"/>
      <c r="S175" s="827">
        <f>SUM(S170:S174)</f>
        <v>250</v>
      </c>
      <c r="W175" s="799"/>
    </row>
    <row r="176">
      <c r="A176" s="828"/>
      <c r="C176" s="829"/>
      <c r="G176" s="799"/>
      <c r="H176" s="283"/>
      <c r="I176" s="828"/>
      <c r="K176" s="829"/>
      <c r="O176" s="799"/>
      <c r="Q176" s="828"/>
      <c r="S176" s="829"/>
      <c r="W176" s="799"/>
    </row>
    <row r="177">
      <c r="A177" s="830" t="s">
        <v>715</v>
      </c>
      <c r="B177" s="831"/>
      <c r="C177" s="832"/>
      <c r="G177" s="799"/>
      <c r="H177" s="283"/>
      <c r="I177" s="833" t="s">
        <v>715</v>
      </c>
      <c r="J177" s="834"/>
      <c r="K177" s="835"/>
      <c r="O177" s="799"/>
      <c r="Q177" s="833" t="s">
        <v>715</v>
      </c>
      <c r="R177" s="834"/>
      <c r="S177" s="835"/>
      <c r="W177" s="799"/>
    </row>
    <row r="178">
      <c r="A178" s="836" t="s">
        <v>716</v>
      </c>
      <c r="B178" s="837"/>
      <c r="C178" s="838">
        <v>150.0</v>
      </c>
      <c r="G178" s="799"/>
      <c r="H178" s="283"/>
      <c r="I178" s="839"/>
      <c r="J178" s="840"/>
      <c r="K178" s="841"/>
      <c r="O178" s="799"/>
      <c r="Q178" s="839"/>
      <c r="R178" s="840"/>
      <c r="S178" s="841"/>
      <c r="W178" s="799"/>
    </row>
    <row r="179">
      <c r="A179" s="842" t="s">
        <v>717</v>
      </c>
      <c r="B179" s="843"/>
      <c r="C179" s="844">
        <v>400.0</v>
      </c>
      <c r="D179" s="248"/>
      <c r="E179" s="845" t="s">
        <v>1182</v>
      </c>
      <c r="G179" s="846">
        <f>G167+C175-C184</f>
        <v>169.45</v>
      </c>
      <c r="H179" s="283"/>
      <c r="I179" s="847"/>
      <c r="J179" s="848"/>
      <c r="K179" s="849"/>
      <c r="L179" s="248"/>
      <c r="M179" s="845" t="s">
        <v>1183</v>
      </c>
      <c r="O179" s="846">
        <f>O167+K175-K184</f>
        <v>610</v>
      </c>
      <c r="Q179" s="847"/>
      <c r="R179" s="848"/>
      <c r="S179" s="849"/>
      <c r="T179" s="248"/>
      <c r="U179" s="845" t="s">
        <v>1183</v>
      </c>
      <c r="W179" s="846">
        <f>W167+S175-S184</f>
        <v>610</v>
      </c>
    </row>
    <row r="180">
      <c r="A180" s="836" t="s">
        <v>718</v>
      </c>
      <c r="B180" s="837"/>
      <c r="C180" s="838">
        <v>200.0</v>
      </c>
      <c r="G180" s="799"/>
      <c r="H180" s="283"/>
      <c r="I180" s="847"/>
      <c r="J180" s="848"/>
      <c r="K180" s="849"/>
      <c r="O180" s="799"/>
      <c r="Q180" s="847"/>
      <c r="R180" s="848"/>
      <c r="S180" s="849"/>
      <c r="W180" s="799"/>
    </row>
    <row r="181">
      <c r="A181" s="842" t="s">
        <v>656</v>
      </c>
      <c r="B181" s="843"/>
      <c r="C181" s="844">
        <f>IFERROR(__xludf.DUMMYFUNCTION("FILTER($C$4:$C$30,$B$4:$B$30=E159)"),625.12)</f>
        <v>625.12</v>
      </c>
      <c r="G181" s="799"/>
      <c r="H181" s="283"/>
      <c r="I181" s="847"/>
      <c r="J181" s="848"/>
      <c r="K181" s="849"/>
      <c r="O181" s="799"/>
      <c r="Q181" s="847"/>
      <c r="R181" s="848"/>
      <c r="S181" s="849"/>
      <c r="W181" s="799"/>
    </row>
    <row r="182">
      <c r="A182" s="850" t="s">
        <v>1184</v>
      </c>
      <c r="B182" s="851"/>
      <c r="C182" s="852">
        <v>479.43</v>
      </c>
      <c r="E182" s="248"/>
      <c r="G182" s="799"/>
      <c r="H182" s="283"/>
      <c r="I182" s="847"/>
      <c r="J182" s="848"/>
      <c r="K182" s="849"/>
      <c r="M182" s="248"/>
      <c r="O182" s="799"/>
      <c r="Q182" s="847"/>
      <c r="R182" s="848"/>
      <c r="S182" s="849"/>
      <c r="U182" s="248"/>
      <c r="W182" s="799"/>
    </row>
    <row r="183">
      <c r="A183" s="847"/>
      <c r="B183" s="848"/>
      <c r="C183" s="849"/>
      <c r="G183" s="799"/>
      <c r="H183" s="283"/>
      <c r="I183" s="847"/>
      <c r="J183" s="848"/>
      <c r="K183" s="849"/>
      <c r="O183" s="799"/>
      <c r="Q183" s="847"/>
      <c r="R183" s="848"/>
      <c r="S183" s="849"/>
      <c r="W183" s="799"/>
    </row>
    <row r="184">
      <c r="A184" s="853" t="s">
        <v>721</v>
      </c>
      <c r="B184" s="854"/>
      <c r="C184" s="855">
        <f>SUM(C178:C183)</f>
        <v>1854.55</v>
      </c>
      <c r="G184" s="799"/>
      <c r="H184" s="283"/>
      <c r="I184" s="853" t="s">
        <v>721</v>
      </c>
      <c r="J184" s="854"/>
      <c r="K184" s="855"/>
      <c r="O184" s="799"/>
      <c r="Q184" s="853" t="s">
        <v>721</v>
      </c>
      <c r="R184" s="854"/>
      <c r="S184" s="855"/>
      <c r="W184" s="799"/>
    </row>
    <row r="185">
      <c r="A185" s="856"/>
      <c r="B185" s="857"/>
      <c r="C185" s="857"/>
      <c r="D185" s="857"/>
      <c r="E185" s="857"/>
      <c r="F185" s="857"/>
      <c r="G185" s="808"/>
      <c r="H185" s="283"/>
      <c r="I185" s="856"/>
      <c r="J185" s="857"/>
      <c r="K185" s="857"/>
      <c r="L185" s="857"/>
      <c r="M185" s="857"/>
      <c r="N185" s="857"/>
      <c r="O185" s="808"/>
      <c r="Q185" s="856"/>
      <c r="R185" s="857"/>
      <c r="S185" s="857"/>
      <c r="T185" s="857"/>
      <c r="U185" s="857"/>
      <c r="V185" s="857"/>
      <c r="W185" s="808"/>
    </row>
    <row r="188">
      <c r="A188" s="769"/>
      <c r="B188" s="770"/>
      <c r="C188" s="770"/>
      <c r="D188" s="771" t="s">
        <v>700</v>
      </c>
      <c r="E188" s="772" t="str">
        <f>E126</f>
        <v>11.24.2025-11.30.2025</v>
      </c>
      <c r="F188" s="773"/>
      <c r="G188" s="774"/>
      <c r="H188" s="305">
        <v>3.0</v>
      </c>
      <c r="I188" s="769"/>
      <c r="J188" s="770"/>
      <c r="K188" s="770"/>
      <c r="L188" s="771" t="s">
        <v>700</v>
      </c>
      <c r="M188" s="772" t="str">
        <f>E126</f>
        <v>11.24.2025-11.30.2025</v>
      </c>
      <c r="N188" s="773"/>
      <c r="O188" s="774"/>
    </row>
    <row r="189">
      <c r="A189" s="775"/>
      <c r="D189" s="771" t="s">
        <v>702</v>
      </c>
      <c r="E189" s="772" t="str">
        <f t="array" ref="E189">XLOOKUP(E190,$Q$973:$Q$1008,$R$973:$R$1008)</f>
        <v>Arba Express LLC</v>
      </c>
      <c r="F189" s="773"/>
      <c r="G189" s="774"/>
      <c r="H189" s="858"/>
      <c r="I189" s="775"/>
      <c r="L189" s="771" t="s">
        <v>351</v>
      </c>
      <c r="M189" s="772" t="str">
        <f t="array" ref="M189">XLOOKUP(M190,$L$1:$L$122,$K$1:$K$122)</f>
        <v>DAGBOLEN ISA</v>
      </c>
      <c r="N189" s="773"/>
      <c r="O189" s="774"/>
      <c r="P189" s="859"/>
    </row>
    <row r="190">
      <c r="A190" s="775"/>
      <c r="D190" s="771" t="s">
        <v>703</v>
      </c>
      <c r="E190" s="772">
        <v>7048.0</v>
      </c>
      <c r="F190" s="773"/>
      <c r="G190" s="774"/>
      <c r="H190" s="283"/>
      <c r="I190" s="775"/>
      <c r="L190" s="771" t="s">
        <v>703</v>
      </c>
      <c r="M190" s="772">
        <f>E190</f>
        <v>7048</v>
      </c>
      <c r="N190" s="773"/>
      <c r="O190" s="774"/>
    </row>
    <row r="191">
      <c r="A191" s="779" t="s">
        <v>704</v>
      </c>
      <c r="B191" s="779" t="s">
        <v>5</v>
      </c>
      <c r="C191" s="779" t="s">
        <v>6</v>
      </c>
      <c r="D191" s="779" t="s">
        <v>7</v>
      </c>
      <c r="E191" s="779" t="s">
        <v>8</v>
      </c>
      <c r="F191" s="779" t="s">
        <v>706</v>
      </c>
      <c r="G191" s="779" t="s">
        <v>707</v>
      </c>
      <c r="H191" s="34"/>
      <c r="I191" s="779" t="s">
        <v>704</v>
      </c>
      <c r="J191" s="779" t="s">
        <v>5</v>
      </c>
      <c r="K191" s="779" t="s">
        <v>6</v>
      </c>
      <c r="L191" s="779" t="s">
        <v>7</v>
      </c>
      <c r="M191" s="779" t="s">
        <v>1178</v>
      </c>
      <c r="N191" s="779" t="s">
        <v>839</v>
      </c>
      <c r="O191" s="779" t="s">
        <v>707</v>
      </c>
    </row>
    <row r="192">
      <c r="A192" s="780">
        <f>IFERROR(__xludf.DUMMYFUNCTION("FILTER($D$3:$H$122,$L$3:$L$122=E190)"),45985.0)</f>
        <v>45985</v>
      </c>
      <c r="B192" s="781">
        <f>IFERROR(__xludf.DUMMYFUNCTION("""COMPUTED_VALUE"""),1572898.0)</f>
        <v>1572898</v>
      </c>
      <c r="C192" s="781" t="str">
        <f>IFERROR(__xludf.DUMMYFUNCTION("""COMPUTED_VALUE"""),"Whitehall, NY, 12887")</f>
        <v>Whitehall, NY, 12887</v>
      </c>
      <c r="D192" s="781" t="str">
        <f>IFERROR(__xludf.DUMMYFUNCTION("""COMPUTED_VALUE"""),"Pompano Beach, FL, 33069")</f>
        <v>Pompano Beach, FL, 33069</v>
      </c>
      <c r="E192" s="782">
        <f>IFERROR(__xludf.DUMMYFUNCTION("""COMPUTED_VALUE"""),3100.0)</f>
        <v>3100</v>
      </c>
      <c r="F192" s="783">
        <v>0.88</v>
      </c>
      <c r="G192" s="782">
        <f>E192*F192</f>
        <v>2728</v>
      </c>
      <c r="H192" s="283"/>
      <c r="I192" s="780">
        <f>IFERROR(__xludf.DUMMYFUNCTION("FILTER($D$3:$G$122,$L$3:$L$122=M190)"),45985.0)</f>
        <v>45985</v>
      </c>
      <c r="J192" s="781">
        <f>IFERROR(__xludf.DUMMYFUNCTION("""COMPUTED_VALUE"""),1572898.0)</f>
        <v>1572898</v>
      </c>
      <c r="K192" s="781" t="str">
        <f>IFERROR(__xludf.DUMMYFUNCTION("""COMPUTED_VALUE"""),"Whitehall, NY, 12887")</f>
        <v>Whitehall, NY, 12887</v>
      </c>
      <c r="L192" s="781" t="str">
        <f>IFERROR(__xludf.DUMMYFUNCTION("""COMPUTED_VALUE"""),"Pompano Beach, FL, 33069")</f>
        <v>Pompano Beach, FL, 33069</v>
      </c>
      <c r="M192" s="869">
        <f>IFERROR(__xludf.DUMMYFUNCTION("FILTER($I$3:$I$122,$L$3:$L$122=M190)"),1528.0)</f>
        <v>1528</v>
      </c>
      <c r="N192" s="870">
        <v>0.7</v>
      </c>
      <c r="O192" s="782">
        <f>M192*N192</f>
        <v>1069.6</v>
      </c>
    </row>
    <row r="193">
      <c r="A193" s="780"/>
      <c r="B193" s="781"/>
      <c r="C193" s="781"/>
      <c r="D193" s="781"/>
      <c r="E193" s="782"/>
      <c r="F193" s="783"/>
      <c r="G193" s="782"/>
      <c r="H193" s="283"/>
      <c r="I193" s="780"/>
      <c r="J193" s="781"/>
      <c r="K193" s="781"/>
      <c r="L193" s="781"/>
      <c r="M193" s="782"/>
      <c r="N193" s="783"/>
      <c r="O193" s="789"/>
    </row>
    <row r="194">
      <c r="A194" s="785"/>
      <c r="B194" s="786"/>
      <c r="C194" s="786"/>
      <c r="D194" s="786"/>
      <c r="E194" s="785"/>
      <c r="F194" s="787"/>
      <c r="G194" s="788"/>
      <c r="H194" s="283"/>
      <c r="I194" s="785"/>
      <c r="J194" s="786"/>
      <c r="K194" s="786"/>
      <c r="L194" s="786"/>
      <c r="M194" s="785"/>
      <c r="N194" s="787"/>
      <c r="O194" s="789"/>
    </row>
    <row r="195">
      <c r="A195" s="785"/>
      <c r="B195" s="786"/>
      <c r="C195" s="786"/>
      <c r="D195" s="786"/>
      <c r="E195" s="785"/>
      <c r="F195" s="787"/>
      <c r="G195" s="788"/>
      <c r="H195" s="283"/>
      <c r="I195" s="785"/>
      <c r="J195" s="786"/>
      <c r="K195" s="786"/>
      <c r="L195" s="786"/>
      <c r="M195" s="785"/>
      <c r="N195" s="787"/>
      <c r="O195" s="789"/>
    </row>
    <row r="196">
      <c r="A196" s="785"/>
      <c r="B196" s="786"/>
      <c r="C196" s="786"/>
      <c r="D196" s="786"/>
      <c r="E196" s="785"/>
      <c r="F196" s="787"/>
      <c r="G196" s="788"/>
      <c r="H196" s="283"/>
      <c r="I196" s="785"/>
      <c r="J196" s="786"/>
      <c r="K196" s="786"/>
      <c r="L196" s="786"/>
      <c r="M196" s="785"/>
      <c r="N196" s="787"/>
      <c r="O196" s="789"/>
    </row>
    <row r="197">
      <c r="A197" s="785"/>
      <c r="B197" s="786"/>
      <c r="C197" s="786"/>
      <c r="D197" s="786"/>
      <c r="E197" s="785"/>
      <c r="F197" s="787"/>
      <c r="G197" s="788"/>
      <c r="H197" s="283"/>
      <c r="I197" s="785"/>
      <c r="J197" s="786"/>
      <c r="K197" s="786"/>
      <c r="L197" s="786"/>
      <c r="M197" s="785"/>
      <c r="N197" s="787"/>
      <c r="O197" s="789"/>
    </row>
    <row r="198">
      <c r="A198" s="790" t="s">
        <v>711</v>
      </c>
      <c r="B198" s="791"/>
      <c r="C198" s="791"/>
      <c r="D198" s="792"/>
      <c r="E198" s="793">
        <f>SUM(E192:E197)</f>
        <v>3100</v>
      </c>
      <c r="F198" s="794"/>
      <c r="G198" s="793">
        <f>SUM(G192:G197)</f>
        <v>2728</v>
      </c>
      <c r="H198" s="283"/>
      <c r="I198" s="790" t="s">
        <v>711</v>
      </c>
      <c r="J198" s="791"/>
      <c r="K198" s="791"/>
      <c r="L198" s="792"/>
      <c r="M198" s="795">
        <f>SUM(M192:M197)</f>
        <v>1528</v>
      </c>
      <c r="N198" s="794"/>
      <c r="O198" s="793">
        <f>SUM(O192:O197)</f>
        <v>1069.6</v>
      </c>
    </row>
    <row r="199">
      <c r="A199" s="796"/>
      <c r="D199" s="798"/>
      <c r="G199" s="799"/>
      <c r="H199" s="283"/>
      <c r="I199" s="796"/>
      <c r="L199" s="798"/>
      <c r="O199" s="799"/>
    </row>
    <row r="200">
      <c r="A200" s="800" t="s">
        <v>712</v>
      </c>
      <c r="B200" s="801"/>
      <c r="C200" s="802"/>
      <c r="G200" s="799"/>
      <c r="H200" s="283"/>
      <c r="I200" s="800" t="s">
        <v>712</v>
      </c>
      <c r="J200" s="803"/>
      <c r="K200" s="804"/>
      <c r="O200" s="799"/>
    </row>
    <row r="201">
      <c r="A201" s="867"/>
      <c r="B201" s="808"/>
      <c r="C201" s="809"/>
      <c r="G201" s="799"/>
      <c r="H201" s="283"/>
      <c r="I201" s="805" t="s">
        <v>1179</v>
      </c>
      <c r="J201" s="808"/>
      <c r="K201" s="812">
        <v>250.0</v>
      </c>
      <c r="O201" s="799"/>
    </row>
    <row r="202">
      <c r="A202" s="868"/>
      <c r="B202" s="774"/>
      <c r="C202" s="816"/>
      <c r="G202" s="799"/>
      <c r="H202" s="283"/>
      <c r="I202" s="868"/>
      <c r="J202" s="774"/>
      <c r="K202" s="816"/>
      <c r="O202" s="799"/>
    </row>
    <row r="203">
      <c r="A203" s="815"/>
      <c r="B203" s="792"/>
      <c r="C203" s="816"/>
      <c r="G203" s="799"/>
      <c r="H203" s="283"/>
      <c r="I203" s="815"/>
      <c r="J203" s="792"/>
      <c r="K203" s="816"/>
      <c r="O203" s="799"/>
    </row>
    <row r="204">
      <c r="A204" s="817"/>
      <c r="B204" s="774"/>
      <c r="C204" s="818"/>
      <c r="G204" s="799"/>
      <c r="H204" s="283"/>
      <c r="I204" s="817"/>
      <c r="J204" s="774"/>
      <c r="K204" s="818"/>
      <c r="O204" s="799"/>
    </row>
    <row r="205">
      <c r="A205" s="817"/>
      <c r="B205" s="792"/>
      <c r="C205" s="818"/>
      <c r="G205" s="799"/>
      <c r="H205" s="283"/>
      <c r="I205" s="817"/>
      <c r="J205" s="792"/>
      <c r="K205" s="818"/>
      <c r="O205" s="799"/>
    </row>
    <row r="206">
      <c r="A206" s="821" t="s">
        <v>714</v>
      </c>
      <c r="B206" s="822"/>
      <c r="C206" s="823">
        <f>SUM(C201:C205)</f>
        <v>0</v>
      </c>
      <c r="G206" s="799"/>
      <c r="H206" s="283"/>
      <c r="I206" s="821" t="s">
        <v>714</v>
      </c>
      <c r="J206" s="826"/>
      <c r="K206" s="827">
        <f>SUM(K201:K205)</f>
        <v>250</v>
      </c>
      <c r="O206" s="799"/>
    </row>
    <row r="207">
      <c r="A207" s="828"/>
      <c r="C207" s="829"/>
      <c r="G207" s="799"/>
      <c r="H207" s="283"/>
      <c r="I207" s="828"/>
      <c r="K207" s="829"/>
      <c r="O207" s="799"/>
    </row>
    <row r="208">
      <c r="A208" s="830" t="s">
        <v>715</v>
      </c>
      <c r="B208" s="831"/>
      <c r="C208" s="832"/>
      <c r="G208" s="799"/>
      <c r="H208" s="283"/>
      <c r="I208" s="833" t="s">
        <v>715</v>
      </c>
      <c r="J208" s="834"/>
      <c r="K208" s="835"/>
      <c r="O208" s="799"/>
    </row>
    <row r="209">
      <c r="A209" s="836" t="s">
        <v>716</v>
      </c>
      <c r="B209" s="837"/>
      <c r="C209" s="838">
        <v>150.0</v>
      </c>
      <c r="G209" s="799"/>
      <c r="H209" s="283"/>
      <c r="I209" s="839"/>
      <c r="J209" s="840"/>
      <c r="K209" s="841"/>
      <c r="O209" s="799"/>
    </row>
    <row r="210">
      <c r="A210" s="842" t="s">
        <v>717</v>
      </c>
      <c r="B210" s="843"/>
      <c r="C210" s="844">
        <v>400.0</v>
      </c>
      <c r="D210" s="248"/>
      <c r="E210" s="845" t="s">
        <v>1182</v>
      </c>
      <c r="G210" s="846">
        <f>G198+C206-C215</f>
        <v>758.47</v>
      </c>
      <c r="H210" s="283"/>
      <c r="I210" s="847"/>
      <c r="J210" s="848"/>
      <c r="K210" s="849"/>
      <c r="L210" s="248"/>
      <c r="M210" s="845" t="s">
        <v>1183</v>
      </c>
      <c r="O210" s="846">
        <f>O198+K206-K215</f>
        <v>1319.6</v>
      </c>
    </row>
    <row r="211">
      <c r="A211" s="836" t="s">
        <v>718</v>
      </c>
      <c r="B211" s="837"/>
      <c r="C211" s="838">
        <v>200.0</v>
      </c>
      <c r="G211" s="799"/>
      <c r="H211" s="283"/>
      <c r="I211" s="847"/>
      <c r="J211" s="848"/>
      <c r="K211" s="849"/>
      <c r="O211" s="799"/>
    </row>
    <row r="212">
      <c r="A212" s="842" t="s">
        <v>656</v>
      </c>
      <c r="B212" s="843"/>
      <c r="C212" s="844">
        <f>IFERROR(__xludf.DUMMYFUNCTION("FILTER($C$4:$C$30,$B$4:$B$30=E190)"),1219.53)</f>
        <v>1219.53</v>
      </c>
      <c r="G212" s="799"/>
      <c r="H212" s="283"/>
      <c r="I212" s="847"/>
      <c r="J212" s="848"/>
      <c r="K212" s="849"/>
      <c r="O212" s="799"/>
    </row>
    <row r="213">
      <c r="A213" s="850" t="s">
        <v>1184</v>
      </c>
      <c r="B213" s="851"/>
      <c r="C213" s="852"/>
      <c r="E213" s="248"/>
      <c r="G213" s="799"/>
      <c r="H213" s="283"/>
      <c r="I213" s="847"/>
      <c r="J213" s="848"/>
      <c r="K213" s="849"/>
      <c r="M213" s="248"/>
      <c r="O213" s="799"/>
    </row>
    <row r="214">
      <c r="A214" s="847"/>
      <c r="B214" s="848"/>
      <c r="C214" s="849"/>
      <c r="G214" s="799"/>
      <c r="H214" s="283"/>
      <c r="I214" s="847"/>
      <c r="J214" s="848"/>
      <c r="K214" s="849"/>
      <c r="O214" s="799"/>
    </row>
    <row r="215">
      <c r="A215" s="853" t="s">
        <v>721</v>
      </c>
      <c r="B215" s="854"/>
      <c r="C215" s="855">
        <f>SUM(C209:C214)</f>
        <v>1969.53</v>
      </c>
      <c r="G215" s="799"/>
      <c r="H215" s="283"/>
      <c r="I215" s="853" t="s">
        <v>721</v>
      </c>
      <c r="J215" s="854"/>
      <c r="K215" s="855"/>
      <c r="O215" s="799"/>
    </row>
    <row r="216">
      <c r="A216" s="856"/>
      <c r="B216" s="857"/>
      <c r="C216" s="857"/>
      <c r="D216" s="857"/>
      <c r="E216" s="857"/>
      <c r="F216" s="857"/>
      <c r="G216" s="808"/>
      <c r="H216" s="283"/>
      <c r="I216" s="856"/>
      <c r="J216" s="857"/>
      <c r="K216" s="857"/>
      <c r="L216" s="857"/>
      <c r="M216" s="857"/>
      <c r="N216" s="857"/>
      <c r="O216" s="808"/>
    </row>
    <row r="219">
      <c r="A219" s="769"/>
      <c r="B219" s="770"/>
      <c r="C219" s="770"/>
      <c r="D219" s="771" t="s">
        <v>700</v>
      </c>
      <c r="E219" s="772" t="str">
        <f>E126</f>
        <v>11.24.2025-11.30.2025</v>
      </c>
      <c r="F219" s="773"/>
      <c r="G219" s="774"/>
      <c r="H219" s="305">
        <v>4.0</v>
      </c>
      <c r="I219" s="769"/>
      <c r="J219" s="770"/>
      <c r="K219" s="770"/>
      <c r="L219" s="771" t="s">
        <v>700</v>
      </c>
      <c r="M219" s="772" t="str">
        <f>E126</f>
        <v>11.24.2025-11.30.2025</v>
      </c>
      <c r="N219" s="773"/>
      <c r="O219" s="774"/>
    </row>
    <row r="220">
      <c r="A220" s="775"/>
      <c r="D220" s="771" t="s">
        <v>702</v>
      </c>
      <c r="E220" s="772" t="str">
        <f t="array" ref="E220">XLOOKUP(E221,$Q$973:$Q$1008,$R$973:$R$1008)</f>
        <v>Ada Fleet LLC</v>
      </c>
      <c r="F220" s="773"/>
      <c r="G220" s="774"/>
      <c r="H220" s="776"/>
      <c r="I220" s="775"/>
      <c r="L220" s="771" t="s">
        <v>351</v>
      </c>
      <c r="M220" s="772" t="str">
        <f t="array" ref="M220">XLOOKUP(M221,$L$1:$L$122,$K$1:$K$122)</f>
        <v>BENCHIKA DOLL</v>
      </c>
      <c r="N220" s="773"/>
      <c r="O220" s="774"/>
      <c r="P220" s="859"/>
    </row>
    <row r="221">
      <c r="A221" s="775"/>
      <c r="D221" s="771" t="s">
        <v>703</v>
      </c>
      <c r="E221" s="772">
        <v>7265.0</v>
      </c>
      <c r="F221" s="773"/>
      <c r="G221" s="774"/>
      <c r="H221" s="283"/>
      <c r="I221" s="775"/>
      <c r="L221" s="771" t="s">
        <v>703</v>
      </c>
      <c r="M221" s="772">
        <f>E221</f>
        <v>7265</v>
      </c>
      <c r="N221" s="773"/>
      <c r="O221" s="774"/>
    </row>
    <row r="222">
      <c r="A222" s="779" t="s">
        <v>704</v>
      </c>
      <c r="B222" s="779" t="s">
        <v>5</v>
      </c>
      <c r="C222" s="779" t="s">
        <v>6</v>
      </c>
      <c r="D222" s="779" t="s">
        <v>7</v>
      </c>
      <c r="E222" s="779" t="s">
        <v>8</v>
      </c>
      <c r="F222" s="779" t="s">
        <v>706</v>
      </c>
      <c r="G222" s="779" t="s">
        <v>707</v>
      </c>
      <c r="H222" s="34"/>
      <c r="I222" s="779" t="s">
        <v>704</v>
      </c>
      <c r="J222" s="779" t="s">
        <v>5</v>
      </c>
      <c r="K222" s="779" t="s">
        <v>6</v>
      </c>
      <c r="L222" s="779" t="s">
        <v>7</v>
      </c>
      <c r="M222" s="779" t="s">
        <v>1178</v>
      </c>
      <c r="N222" s="779" t="s">
        <v>839</v>
      </c>
      <c r="O222" s="779" t="s">
        <v>707</v>
      </c>
    </row>
    <row r="223">
      <c r="A223" s="780">
        <f>IFERROR(__xludf.DUMMYFUNCTION("FILTER($D$3:$H$122,$L$3:$L$122=E221)"),45986.0)</f>
        <v>45986</v>
      </c>
      <c r="B223" s="781">
        <f>IFERROR(__xludf.DUMMYFUNCTION("""COMPUTED_VALUE"""),1257186.0)</f>
        <v>1257186</v>
      </c>
      <c r="C223" s="781" t="str">
        <f>IFERROR(__xludf.DUMMYFUNCTION("""COMPUTED_VALUE"""),"Mechanicsburg, PA, 17055")</f>
        <v>Mechanicsburg, PA, 17055</v>
      </c>
      <c r="D223" s="871" t="str">
        <f>IFERROR(__xludf.DUMMYFUNCTION("""COMPUTED_VALUE"""),"Royal Palm Beach, FL, 33411")</f>
        <v>Royal Palm Beach, FL, 33411</v>
      </c>
      <c r="E223" s="782">
        <f>IFERROR(__xludf.DUMMYFUNCTION("""COMPUTED_VALUE"""),2900.0)</f>
        <v>2900</v>
      </c>
      <c r="F223" s="783">
        <v>0.88</v>
      </c>
      <c r="G223" s="782">
        <f>E223*F223</f>
        <v>2552</v>
      </c>
      <c r="H223" s="283"/>
      <c r="I223" s="872">
        <f>IFERROR(__xludf.DUMMYFUNCTION("FILTER($D$3:$G$122,$L$3:$L$122=M221)"),45986.0)</f>
        <v>45986</v>
      </c>
      <c r="J223" s="873">
        <f>IFERROR(__xludf.DUMMYFUNCTION("""COMPUTED_VALUE"""),1257186.0)</f>
        <v>1257186</v>
      </c>
      <c r="K223" s="873" t="str">
        <f>IFERROR(__xludf.DUMMYFUNCTION("""COMPUTED_VALUE"""),"Mechanicsburg, PA, 17055")</f>
        <v>Mechanicsburg, PA, 17055</v>
      </c>
      <c r="L223" s="874" t="str">
        <f>IFERROR(__xludf.DUMMYFUNCTION("""COMPUTED_VALUE"""),"Royal Palm Beach, FL, 33411")</f>
        <v>Royal Palm Beach, FL, 33411</v>
      </c>
      <c r="M223" s="875">
        <f>IFERROR(__xludf.DUMMYFUNCTION("FILTER($I$3:$I$122,$L$3:$L$122=M221)"),1505.0)</f>
        <v>1505</v>
      </c>
      <c r="N223" s="873">
        <v>0.65</v>
      </c>
      <c r="O223" s="876">
        <f>M223*N223</f>
        <v>978.25</v>
      </c>
    </row>
    <row r="224">
      <c r="A224" s="780"/>
      <c r="B224" s="781"/>
      <c r="C224" s="781"/>
      <c r="D224" s="781"/>
      <c r="E224" s="782"/>
      <c r="F224" s="783"/>
      <c r="G224" s="782"/>
      <c r="H224" s="283"/>
      <c r="I224" s="780"/>
      <c r="J224" s="781"/>
      <c r="K224" s="781"/>
      <c r="L224" s="781"/>
      <c r="M224" s="782"/>
      <c r="N224" s="783"/>
      <c r="O224" s="789"/>
    </row>
    <row r="225">
      <c r="A225" s="785"/>
      <c r="B225" s="786"/>
      <c r="C225" s="786"/>
      <c r="D225" s="786"/>
      <c r="E225" s="785"/>
      <c r="F225" s="787"/>
      <c r="G225" s="788"/>
      <c r="H225" s="283"/>
      <c r="I225" s="785"/>
      <c r="J225" s="786"/>
      <c r="K225" s="786"/>
      <c r="L225" s="786"/>
      <c r="M225" s="785"/>
      <c r="N225" s="787"/>
      <c r="O225" s="789"/>
    </row>
    <row r="226">
      <c r="A226" s="785"/>
      <c r="B226" s="786"/>
      <c r="C226" s="786"/>
      <c r="D226" s="786"/>
      <c r="E226" s="785"/>
      <c r="F226" s="787"/>
      <c r="G226" s="788"/>
      <c r="H226" s="283"/>
      <c r="I226" s="785"/>
      <c r="J226" s="786"/>
      <c r="K226" s="786"/>
      <c r="L226" s="786"/>
      <c r="M226" s="785"/>
      <c r="N226" s="787"/>
      <c r="O226" s="789"/>
    </row>
    <row r="227">
      <c r="A227" s="785"/>
      <c r="B227" s="786"/>
      <c r="C227" s="786"/>
      <c r="D227" s="786"/>
      <c r="E227" s="785"/>
      <c r="F227" s="787"/>
      <c r="G227" s="788"/>
      <c r="H227" s="283"/>
      <c r="I227" s="785"/>
      <c r="J227" s="786"/>
      <c r="K227" s="786"/>
      <c r="L227" s="786"/>
      <c r="M227" s="785"/>
      <c r="N227" s="787"/>
      <c r="O227" s="789"/>
    </row>
    <row r="228">
      <c r="A228" s="785"/>
      <c r="B228" s="786"/>
      <c r="C228" s="786"/>
      <c r="D228" s="786"/>
      <c r="E228" s="785"/>
      <c r="F228" s="787"/>
      <c r="G228" s="788"/>
      <c r="H228" s="283"/>
      <c r="I228" s="785"/>
      <c r="J228" s="786"/>
      <c r="K228" s="786"/>
      <c r="L228" s="786"/>
      <c r="M228" s="785"/>
      <c r="N228" s="787"/>
      <c r="O228" s="789"/>
    </row>
    <row r="229">
      <c r="A229" s="790" t="s">
        <v>711</v>
      </c>
      <c r="B229" s="791"/>
      <c r="C229" s="791"/>
      <c r="D229" s="792"/>
      <c r="E229" s="793">
        <f>SUM(E223:E228)</f>
        <v>2900</v>
      </c>
      <c r="F229" s="794"/>
      <c r="G229" s="793">
        <f>SUM(G223:G228)</f>
        <v>2552</v>
      </c>
      <c r="H229" s="283"/>
      <c r="I229" s="790" t="s">
        <v>711</v>
      </c>
      <c r="J229" s="791"/>
      <c r="K229" s="791"/>
      <c r="L229" s="792"/>
      <c r="M229" s="877">
        <f>SUM(M223:M228)</f>
        <v>1505</v>
      </c>
      <c r="N229" s="794"/>
      <c r="O229" s="793">
        <f>SUM(O223:O228)</f>
        <v>978.25</v>
      </c>
    </row>
    <row r="230">
      <c r="A230" s="796"/>
      <c r="D230" s="798"/>
      <c r="E230" s="798"/>
      <c r="F230" s="798"/>
      <c r="G230" s="878"/>
      <c r="H230" s="283"/>
      <c r="I230" s="796"/>
      <c r="L230" s="798"/>
      <c r="O230" s="799"/>
    </row>
    <row r="231">
      <c r="A231" s="800" t="s">
        <v>712</v>
      </c>
      <c r="B231" s="801"/>
      <c r="C231" s="802"/>
      <c r="D231" s="798"/>
      <c r="E231" s="798"/>
      <c r="F231" s="798"/>
      <c r="G231" s="878"/>
      <c r="H231" s="283"/>
      <c r="I231" s="800" t="s">
        <v>712</v>
      </c>
      <c r="J231" s="803"/>
      <c r="K231" s="804"/>
      <c r="O231" s="799"/>
    </row>
    <row r="232">
      <c r="A232" s="805" t="s">
        <v>1179</v>
      </c>
      <c r="B232" s="806"/>
      <c r="C232" s="807">
        <v>250.0</v>
      </c>
      <c r="D232" s="798"/>
      <c r="E232" s="798"/>
      <c r="F232" s="798"/>
      <c r="G232" s="878"/>
      <c r="H232" s="283"/>
      <c r="I232" s="805" t="s">
        <v>1179</v>
      </c>
      <c r="J232" s="808"/>
      <c r="K232" s="812">
        <v>250.0</v>
      </c>
      <c r="O232" s="799"/>
    </row>
    <row r="233">
      <c r="A233" s="868"/>
      <c r="B233" s="774"/>
      <c r="C233" s="816"/>
      <c r="D233" s="798"/>
      <c r="E233" s="798"/>
      <c r="F233" s="798"/>
      <c r="G233" s="878"/>
      <c r="H233" s="283"/>
      <c r="I233" s="868"/>
      <c r="J233" s="774"/>
      <c r="K233" s="816"/>
      <c r="O233" s="799"/>
    </row>
    <row r="234">
      <c r="A234" s="815"/>
      <c r="B234" s="792"/>
      <c r="C234" s="816"/>
      <c r="D234" s="798"/>
      <c r="E234" s="798"/>
      <c r="F234" s="798"/>
      <c r="G234" s="878"/>
      <c r="H234" s="283"/>
      <c r="I234" s="815"/>
      <c r="J234" s="792"/>
      <c r="K234" s="816"/>
      <c r="O234" s="799"/>
    </row>
    <row r="235">
      <c r="A235" s="817"/>
      <c r="B235" s="774"/>
      <c r="C235" s="818"/>
      <c r="D235" s="819" t="s">
        <v>1181</v>
      </c>
      <c r="E235" s="820">
        <v>1228.25</v>
      </c>
      <c r="F235" s="798"/>
      <c r="G235" s="878"/>
      <c r="H235" s="283"/>
      <c r="I235" s="817"/>
      <c r="J235" s="774"/>
      <c r="K235" s="818"/>
      <c r="O235" s="799"/>
    </row>
    <row r="236">
      <c r="A236" s="817"/>
      <c r="B236" s="792"/>
      <c r="C236" s="818"/>
      <c r="D236" s="798"/>
      <c r="E236" s="798"/>
      <c r="F236" s="798"/>
      <c r="G236" s="878"/>
      <c r="H236" s="283"/>
      <c r="I236" s="817"/>
      <c r="J236" s="792"/>
      <c r="K236" s="818"/>
      <c r="O236" s="799"/>
    </row>
    <row r="237">
      <c r="A237" s="821" t="s">
        <v>714</v>
      </c>
      <c r="B237" s="822"/>
      <c r="C237" s="823">
        <f>SUM(C232:C236)</f>
        <v>250</v>
      </c>
      <c r="D237" s="824" t="s">
        <v>657</v>
      </c>
      <c r="E237" s="825">
        <f>G241-E235</f>
        <v>123.67</v>
      </c>
      <c r="F237" s="798"/>
      <c r="G237" s="878"/>
      <c r="H237" s="283"/>
      <c r="I237" s="821" t="s">
        <v>714</v>
      </c>
      <c r="J237" s="826"/>
      <c r="K237" s="827">
        <f>SUM(K232:K236)</f>
        <v>250</v>
      </c>
      <c r="O237" s="799"/>
    </row>
    <row r="238">
      <c r="A238" s="828"/>
      <c r="C238" s="829"/>
      <c r="D238" s="798"/>
      <c r="E238" s="798"/>
      <c r="F238" s="798"/>
      <c r="G238" s="878"/>
      <c r="H238" s="283"/>
      <c r="I238" s="828"/>
      <c r="K238" s="829"/>
      <c r="O238" s="799"/>
    </row>
    <row r="239">
      <c r="A239" s="830" t="s">
        <v>715</v>
      </c>
      <c r="B239" s="831"/>
      <c r="C239" s="832"/>
      <c r="D239" s="798"/>
      <c r="E239" s="798"/>
      <c r="F239" s="798"/>
      <c r="G239" s="878"/>
      <c r="H239" s="283"/>
      <c r="I239" s="833" t="s">
        <v>715</v>
      </c>
      <c r="J239" s="834"/>
      <c r="K239" s="835"/>
      <c r="O239" s="799"/>
    </row>
    <row r="240">
      <c r="A240" s="836" t="s">
        <v>716</v>
      </c>
      <c r="B240" s="837"/>
      <c r="C240" s="838"/>
      <c r="D240" s="798"/>
      <c r="E240" s="798"/>
      <c r="F240" s="798"/>
      <c r="G240" s="878"/>
      <c r="H240" s="283"/>
      <c r="I240" s="839"/>
      <c r="J240" s="840"/>
      <c r="K240" s="841"/>
      <c r="O240" s="799"/>
    </row>
    <row r="241">
      <c r="A241" s="842" t="s">
        <v>717</v>
      </c>
      <c r="B241" s="843"/>
      <c r="C241" s="844"/>
      <c r="D241" s="248"/>
      <c r="E241" s="845" t="s">
        <v>1182</v>
      </c>
      <c r="G241" s="846">
        <f>G229+C237-C246</f>
        <v>1351.92</v>
      </c>
      <c r="H241" s="283"/>
      <c r="I241" s="847"/>
      <c r="J241" s="848"/>
      <c r="K241" s="849"/>
      <c r="L241" s="248"/>
      <c r="M241" s="845" t="s">
        <v>1183</v>
      </c>
      <c r="O241" s="846">
        <f>O229+K237-K246</f>
        <v>1228.25</v>
      </c>
    </row>
    <row r="242">
      <c r="A242" s="836" t="s">
        <v>718</v>
      </c>
      <c r="B242" s="837"/>
      <c r="C242" s="838"/>
      <c r="G242" s="799"/>
      <c r="H242" s="283"/>
      <c r="I242" s="847"/>
      <c r="J242" s="848"/>
      <c r="K242" s="849"/>
      <c r="O242" s="799"/>
    </row>
    <row r="243">
      <c r="A243" s="842" t="s">
        <v>656</v>
      </c>
      <c r="B243" s="843"/>
      <c r="C243" s="844">
        <f>IFERROR(__xludf.DUMMYFUNCTION("FILTER($C$4:$C$30,$B$4:$B$30=E221)"),1450.08)</f>
        <v>1450.08</v>
      </c>
      <c r="G243" s="799"/>
      <c r="H243" s="283"/>
      <c r="I243" s="847"/>
      <c r="J243" s="848"/>
      <c r="K243" s="849"/>
      <c r="O243" s="799"/>
    </row>
    <row r="244">
      <c r="A244" s="850" t="s">
        <v>1184</v>
      </c>
      <c r="B244" s="851"/>
      <c r="C244" s="852"/>
      <c r="E244" s="248"/>
      <c r="G244" s="799"/>
      <c r="H244" s="283"/>
      <c r="I244" s="847"/>
      <c r="J244" s="848"/>
      <c r="K244" s="849"/>
      <c r="M244" s="248"/>
      <c r="O244" s="799"/>
    </row>
    <row r="245">
      <c r="A245" s="847"/>
      <c r="B245" s="848"/>
      <c r="C245" s="849"/>
      <c r="G245" s="799"/>
      <c r="H245" s="283"/>
      <c r="I245" s="847"/>
      <c r="J245" s="848"/>
      <c r="K245" s="849"/>
      <c r="O245" s="799"/>
    </row>
    <row r="246">
      <c r="A246" s="853" t="s">
        <v>721</v>
      </c>
      <c r="B246" s="854"/>
      <c r="C246" s="855">
        <f>SUM(C240:C245)</f>
        <v>1450.08</v>
      </c>
      <c r="G246" s="799"/>
      <c r="H246" s="283"/>
      <c r="I246" s="853" t="s">
        <v>721</v>
      </c>
      <c r="J246" s="854"/>
      <c r="K246" s="855"/>
      <c r="O246" s="799"/>
    </row>
    <row r="247">
      <c r="A247" s="856"/>
      <c r="B247" s="857"/>
      <c r="C247" s="857"/>
      <c r="D247" s="857"/>
      <c r="E247" s="857"/>
      <c r="F247" s="857"/>
      <c r="G247" s="808"/>
      <c r="H247" s="283"/>
      <c r="I247" s="856"/>
      <c r="J247" s="857"/>
      <c r="K247" s="857"/>
      <c r="L247" s="857"/>
      <c r="M247" s="857"/>
      <c r="N247" s="857"/>
      <c r="O247" s="808"/>
    </row>
    <row r="250">
      <c r="A250" s="769"/>
      <c r="B250" s="770"/>
      <c r="C250" s="770"/>
      <c r="D250" s="771" t="s">
        <v>700</v>
      </c>
      <c r="E250" s="772" t="str">
        <f>E126</f>
        <v>11.24.2025-11.30.2025</v>
      </c>
      <c r="F250" s="773"/>
      <c r="G250" s="774"/>
      <c r="H250" s="879">
        <v>5.0</v>
      </c>
      <c r="I250" s="769"/>
      <c r="J250" s="770"/>
      <c r="K250" s="770"/>
      <c r="L250" s="771" t="s">
        <v>700</v>
      </c>
      <c r="M250" s="772" t="str">
        <f>E126</f>
        <v>11.24.2025-11.30.2025</v>
      </c>
      <c r="N250" s="773"/>
      <c r="O250" s="774"/>
    </row>
    <row r="251">
      <c r="A251" s="775"/>
      <c r="D251" s="771" t="s">
        <v>702</v>
      </c>
      <c r="E251" s="772" t="str">
        <f t="array" ref="E251">XLOOKUP(E252,$Q$973:$Q$1008,$R$973:$R$1008)</f>
        <v>Ada Fleet LLC</v>
      </c>
      <c r="F251" s="773"/>
      <c r="G251" s="774"/>
      <c r="H251" s="283"/>
      <c r="I251" s="775"/>
      <c r="L251" s="771" t="s">
        <v>351</v>
      </c>
      <c r="M251" s="772" t="str">
        <f t="array" ref="M251">XLOOKUP(M252,$L$1:$L$122,$K$1:$K$122)</f>
        <v>MICHEL PATRICK</v>
      </c>
      <c r="N251" s="773"/>
      <c r="O251" s="774"/>
    </row>
    <row r="252">
      <c r="A252" s="775"/>
      <c r="D252" s="771" t="s">
        <v>703</v>
      </c>
      <c r="E252" s="772">
        <v>3819.0</v>
      </c>
      <c r="F252" s="773"/>
      <c r="G252" s="774"/>
      <c r="H252" s="283"/>
      <c r="I252" s="775"/>
      <c r="L252" s="771" t="s">
        <v>703</v>
      </c>
      <c r="M252" s="772">
        <f>E252</f>
        <v>3819</v>
      </c>
      <c r="N252" s="773"/>
      <c r="O252" s="774"/>
    </row>
    <row r="253">
      <c r="A253" s="779" t="s">
        <v>704</v>
      </c>
      <c r="B253" s="779" t="s">
        <v>5</v>
      </c>
      <c r="C253" s="779" t="s">
        <v>6</v>
      </c>
      <c r="D253" s="779" t="s">
        <v>7</v>
      </c>
      <c r="E253" s="779" t="s">
        <v>8</v>
      </c>
      <c r="F253" s="779" t="s">
        <v>706</v>
      </c>
      <c r="G253" s="779" t="s">
        <v>707</v>
      </c>
      <c r="H253" s="34"/>
      <c r="I253" s="779" t="s">
        <v>704</v>
      </c>
      <c r="J253" s="779" t="s">
        <v>5</v>
      </c>
      <c r="K253" s="779" t="s">
        <v>6</v>
      </c>
      <c r="L253" s="779" t="s">
        <v>7</v>
      </c>
      <c r="M253" s="779" t="s">
        <v>1178</v>
      </c>
      <c r="N253" s="779" t="s">
        <v>839</v>
      </c>
      <c r="O253" s="779" t="s">
        <v>707</v>
      </c>
    </row>
    <row r="254">
      <c r="A254" s="780">
        <f>IFERROR(__xludf.DUMMYFUNCTION("FILTER($D$3:$H$122,$L$3:$L$122=E252)"),45987.0)</f>
        <v>45987</v>
      </c>
      <c r="B254" s="781" t="str">
        <f>IFERROR(__xludf.DUMMYFUNCTION("""COMPUTED_VALUE"""),"7291664773-1")</f>
        <v>7291664773-1</v>
      </c>
      <c r="C254" s="781" t="str">
        <f>IFERROR(__xludf.DUMMYFUNCTION("""COMPUTED_VALUE"""),"Langhorne, PA, 19047")</f>
        <v>Langhorne, PA, 19047</v>
      </c>
      <c r="D254" s="781" t="str">
        <f>IFERROR(__xludf.DUMMYFUNCTION("""COMPUTED_VALUE"""),"Sioux Falls, SD, 57104")</f>
        <v>Sioux Falls, SD, 57104</v>
      </c>
      <c r="E254" s="782">
        <f>IFERROR(__xludf.DUMMYFUNCTION("""COMPUTED_VALUE"""),1025.0)</f>
        <v>1025</v>
      </c>
      <c r="F254" s="783">
        <v>0.88</v>
      </c>
      <c r="G254" s="782">
        <f t="shared" ref="G254:G256" si="7">E254*F254</f>
        <v>902</v>
      </c>
      <c r="H254" s="283"/>
      <c r="I254" s="780">
        <f>IFERROR(__xludf.DUMMYFUNCTION("FILTER($D$3:$G$122,$L$3:$L$122=M252)"),45987.0)</f>
        <v>45987</v>
      </c>
      <c r="J254" s="781" t="str">
        <f>IFERROR(__xludf.DUMMYFUNCTION("""COMPUTED_VALUE"""),"7291664773-1")</f>
        <v>7291664773-1</v>
      </c>
      <c r="K254" s="781" t="str">
        <f>IFERROR(__xludf.DUMMYFUNCTION("""COMPUTED_VALUE"""),"Langhorne, PA, 19047")</f>
        <v>Langhorne, PA, 19047</v>
      </c>
      <c r="L254" s="781" t="str">
        <f>IFERROR(__xludf.DUMMYFUNCTION("""COMPUTED_VALUE"""),"Sioux Falls, SD, 57104")</f>
        <v>Sioux Falls, SD, 57104</v>
      </c>
      <c r="M254" s="880">
        <f>IFERROR(__xludf.DUMMYFUNCTION("FILTER($I$3:$I$122,$L$3:$L$122=M252)"),2155.0)</f>
        <v>2155</v>
      </c>
      <c r="N254" s="781">
        <v>0.65</v>
      </c>
      <c r="O254" s="782">
        <f t="shared" ref="O254:O256" si="8">M254*N254</f>
        <v>1400.75</v>
      </c>
    </row>
    <row r="255">
      <c r="A255" s="780">
        <f>IFERROR(__xludf.DUMMYFUNCTION("""COMPUTED_VALUE"""),45987.0)</f>
        <v>45987</v>
      </c>
      <c r="B255" s="781" t="str">
        <f>IFERROR(__xludf.DUMMYFUNCTION("""COMPUTED_VALUE"""),"7291665166-1")</f>
        <v>7291665166-1</v>
      </c>
      <c r="C255" s="781" t="str">
        <f>IFERROR(__xludf.DUMMYFUNCTION("""COMPUTED_VALUE"""),"Langhorne, PA, 19047")</f>
        <v>Langhorne, PA, 19047</v>
      </c>
      <c r="D255" s="781" t="str">
        <f>IFERROR(__xludf.DUMMYFUNCTION("""COMPUTED_VALUE"""),"Aurora, CO, 80011")</f>
        <v>Aurora, CO, 80011</v>
      </c>
      <c r="E255" s="782">
        <f>IFERROR(__xludf.DUMMYFUNCTION("""COMPUTED_VALUE"""),1350.0)</f>
        <v>1350</v>
      </c>
      <c r="F255" s="783">
        <v>0.88</v>
      </c>
      <c r="G255" s="782">
        <f t="shared" si="7"/>
        <v>1188</v>
      </c>
      <c r="H255" s="283"/>
      <c r="I255" s="881">
        <f>IFERROR(__xludf.DUMMYFUNCTION("""COMPUTED_VALUE"""),45987.0)</f>
        <v>45987</v>
      </c>
      <c r="J255" s="882" t="str">
        <f>IFERROR(__xludf.DUMMYFUNCTION("""COMPUTED_VALUE"""),"7291665166-1")</f>
        <v>7291665166-1</v>
      </c>
      <c r="K255" s="882" t="str">
        <f>IFERROR(__xludf.DUMMYFUNCTION("""COMPUTED_VALUE"""),"Langhorne, PA, 19047")</f>
        <v>Langhorne, PA, 19047</v>
      </c>
      <c r="L255" s="882" t="str">
        <f>IFERROR(__xludf.DUMMYFUNCTION("""COMPUTED_VALUE"""),"Aurora, CO, 80011")</f>
        <v>Aurora, CO, 80011</v>
      </c>
      <c r="M255" s="880">
        <f>IFERROR(__xludf.DUMMYFUNCTION("""COMPUTED_VALUE"""),0.0)</f>
        <v>0</v>
      </c>
      <c r="N255" s="781">
        <v>0.65</v>
      </c>
      <c r="O255" s="782">
        <f t="shared" si="8"/>
        <v>0</v>
      </c>
    </row>
    <row r="256">
      <c r="A256" s="883">
        <f>IFERROR(__xludf.DUMMYFUNCTION("""COMPUTED_VALUE"""),45986.0)</f>
        <v>45986</v>
      </c>
      <c r="B256" s="786" t="str">
        <f>IFERROR(__xludf.DUMMYFUNCTION("""COMPUTED_VALUE"""),"7291665266-1")</f>
        <v>7291665266-1</v>
      </c>
      <c r="C256" s="786" t="str">
        <f>IFERROR(__xludf.DUMMYFUNCTION("""COMPUTED_VALUE"""),"Langhorne, PA, 19047")</f>
        <v>Langhorne, PA, 19047</v>
      </c>
      <c r="D256" s="786" t="str">
        <f>IFERROR(__xludf.DUMMYFUNCTION("""COMPUTED_VALUE"""),"Centennial, CO, 80112")</f>
        <v>Centennial, CO, 80112</v>
      </c>
      <c r="E256" s="884">
        <f>IFERROR(__xludf.DUMMYFUNCTION("""COMPUTED_VALUE"""),1425.0)</f>
        <v>1425</v>
      </c>
      <c r="F256" s="783">
        <v>0.88</v>
      </c>
      <c r="G256" s="782">
        <f t="shared" si="7"/>
        <v>1254</v>
      </c>
      <c r="H256" s="283"/>
      <c r="I256" s="883">
        <f>IFERROR(__xludf.DUMMYFUNCTION("""COMPUTED_VALUE"""),45986.0)</f>
        <v>45986</v>
      </c>
      <c r="J256" s="786" t="str">
        <f>IFERROR(__xludf.DUMMYFUNCTION("""COMPUTED_VALUE"""),"7291665266-1")</f>
        <v>7291665266-1</v>
      </c>
      <c r="K256" s="786" t="str">
        <f>IFERROR(__xludf.DUMMYFUNCTION("""COMPUTED_VALUE"""),"Langhorne, PA, 19047")</f>
        <v>Langhorne, PA, 19047</v>
      </c>
      <c r="L256" s="786" t="str">
        <f>IFERROR(__xludf.DUMMYFUNCTION("""COMPUTED_VALUE"""),"Centennial, CO, 80112")</f>
        <v>Centennial, CO, 80112</v>
      </c>
      <c r="M256" s="880">
        <f>IFERROR(__xludf.DUMMYFUNCTION("""COMPUTED_VALUE"""),0.0)</f>
        <v>0</v>
      </c>
      <c r="N256" s="781">
        <v>0.65</v>
      </c>
      <c r="O256" s="782">
        <f t="shared" si="8"/>
        <v>0</v>
      </c>
    </row>
    <row r="257">
      <c r="A257" s="785"/>
      <c r="B257" s="786"/>
      <c r="C257" s="786"/>
      <c r="D257" s="786"/>
      <c r="E257" s="785"/>
      <c r="F257" s="787"/>
      <c r="G257" s="788"/>
      <c r="H257" s="283"/>
      <c r="I257" s="785"/>
      <c r="J257" s="786"/>
      <c r="K257" s="786"/>
      <c r="L257" s="786"/>
      <c r="M257" s="785"/>
      <c r="N257" s="787"/>
      <c r="O257" s="789"/>
    </row>
    <row r="258">
      <c r="A258" s="785"/>
      <c r="B258" s="786"/>
      <c r="C258" s="786"/>
      <c r="D258" s="786"/>
      <c r="E258" s="785"/>
      <c r="F258" s="787"/>
      <c r="G258" s="788"/>
      <c r="H258" s="283"/>
      <c r="I258" s="785"/>
      <c r="J258" s="786"/>
      <c r="K258" s="786"/>
      <c r="L258" s="786"/>
      <c r="M258" s="785"/>
      <c r="N258" s="787"/>
      <c r="O258" s="789"/>
    </row>
    <row r="259">
      <c r="A259" s="785"/>
      <c r="B259" s="786"/>
      <c r="C259" s="786"/>
      <c r="D259" s="786"/>
      <c r="E259" s="785"/>
      <c r="F259" s="787"/>
      <c r="G259" s="788"/>
      <c r="H259" s="283"/>
      <c r="I259" s="785"/>
      <c r="J259" s="786"/>
      <c r="K259" s="786"/>
      <c r="L259" s="786"/>
      <c r="M259" s="785"/>
      <c r="N259" s="787"/>
      <c r="O259" s="789"/>
    </row>
    <row r="260">
      <c r="A260" s="790" t="s">
        <v>711</v>
      </c>
      <c r="B260" s="791"/>
      <c r="C260" s="791"/>
      <c r="D260" s="792"/>
      <c r="E260" s="793">
        <f>SUM(E254:E259)</f>
        <v>3800</v>
      </c>
      <c r="F260" s="794"/>
      <c r="G260" s="793">
        <f>SUM(G254:G259)</f>
        <v>3344</v>
      </c>
      <c r="H260" s="283"/>
      <c r="I260" s="790" t="s">
        <v>711</v>
      </c>
      <c r="J260" s="791"/>
      <c r="K260" s="791"/>
      <c r="L260" s="792"/>
      <c r="M260" s="877">
        <f>SUM(M254:M259)</f>
        <v>2155</v>
      </c>
      <c r="N260" s="794"/>
      <c r="O260" s="793">
        <f>SUM(O254:O259)</f>
        <v>1400.75</v>
      </c>
    </row>
    <row r="261">
      <c r="A261" s="796"/>
      <c r="D261" s="798"/>
      <c r="E261" s="798"/>
      <c r="F261" s="798"/>
      <c r="G261" s="878"/>
      <c r="H261" s="283"/>
      <c r="I261" s="796"/>
      <c r="L261" s="798"/>
      <c r="M261" s="798"/>
      <c r="N261" s="798"/>
      <c r="O261" s="878"/>
    </row>
    <row r="262">
      <c r="A262" s="800" t="s">
        <v>712</v>
      </c>
      <c r="B262" s="801"/>
      <c r="C262" s="802"/>
      <c r="D262" s="798"/>
      <c r="E262" s="798"/>
      <c r="F262" s="798"/>
      <c r="G262" s="878"/>
      <c r="H262" s="283"/>
      <c r="I262" s="800" t="s">
        <v>712</v>
      </c>
      <c r="J262" s="803"/>
      <c r="K262" s="804"/>
      <c r="L262" s="798"/>
      <c r="M262" s="798"/>
      <c r="N262" s="798"/>
      <c r="O262" s="878"/>
    </row>
    <row r="263">
      <c r="A263" s="805" t="s">
        <v>1179</v>
      </c>
      <c r="B263" s="806"/>
      <c r="C263" s="812">
        <v>250.0</v>
      </c>
      <c r="D263" s="798"/>
      <c r="E263" s="798"/>
      <c r="F263" s="798"/>
      <c r="G263" s="878"/>
      <c r="H263" s="283"/>
      <c r="I263" s="810" t="s">
        <v>1179</v>
      </c>
      <c r="J263" s="808"/>
      <c r="K263" s="809">
        <v>250.0</v>
      </c>
      <c r="L263" s="798"/>
      <c r="M263" s="798"/>
      <c r="N263" s="798"/>
      <c r="O263" s="878"/>
    </row>
    <row r="264">
      <c r="A264" s="868"/>
      <c r="B264" s="774"/>
      <c r="C264" s="816"/>
      <c r="D264" s="798"/>
      <c r="E264" s="798"/>
      <c r="F264" s="798"/>
      <c r="G264" s="878"/>
      <c r="H264" s="283"/>
      <c r="I264" s="868"/>
      <c r="J264" s="774"/>
      <c r="K264" s="816"/>
      <c r="L264" s="798"/>
      <c r="M264" s="798"/>
      <c r="N264" s="798"/>
      <c r="O264" s="878"/>
    </row>
    <row r="265">
      <c r="A265" s="815"/>
      <c r="B265" s="792"/>
      <c r="C265" s="816"/>
      <c r="D265" s="798"/>
      <c r="E265" s="798"/>
      <c r="F265" s="798"/>
      <c r="G265" s="878"/>
      <c r="H265" s="283"/>
      <c r="I265" s="815"/>
      <c r="J265" s="792"/>
      <c r="K265" s="816"/>
      <c r="L265" s="798"/>
      <c r="M265" s="798"/>
      <c r="N265" s="798"/>
      <c r="O265" s="878"/>
    </row>
    <row r="266">
      <c r="A266" s="817"/>
      <c r="B266" s="774"/>
      <c r="C266" s="818"/>
      <c r="D266" s="798"/>
      <c r="E266" s="798"/>
      <c r="F266" s="798"/>
      <c r="G266" s="878"/>
      <c r="H266" s="283"/>
      <c r="I266" s="817"/>
      <c r="J266" s="774"/>
      <c r="K266" s="818"/>
      <c r="L266" s="798"/>
      <c r="M266" s="798"/>
      <c r="N266" s="798"/>
      <c r="O266" s="878"/>
    </row>
    <row r="267">
      <c r="A267" s="817"/>
      <c r="B267" s="792"/>
      <c r="C267" s="818"/>
      <c r="D267" s="885" t="s">
        <v>1181</v>
      </c>
      <c r="E267" s="886">
        <v>650.75</v>
      </c>
      <c r="F267" s="798"/>
      <c r="G267" s="878"/>
      <c r="H267" s="283"/>
      <c r="I267" s="817"/>
      <c r="J267" s="792"/>
      <c r="K267" s="818"/>
      <c r="L267" s="798"/>
      <c r="M267" s="798"/>
      <c r="N267" s="798"/>
      <c r="O267" s="878"/>
    </row>
    <row r="268">
      <c r="A268" s="821" t="s">
        <v>714</v>
      </c>
      <c r="B268" s="822"/>
      <c r="C268" s="823">
        <f>SUM(C263:C267)</f>
        <v>250</v>
      </c>
      <c r="D268" s="798"/>
      <c r="E268" s="798"/>
      <c r="F268" s="798"/>
      <c r="G268" s="878"/>
      <c r="H268" s="283"/>
      <c r="I268" s="821" t="s">
        <v>714</v>
      </c>
      <c r="J268" s="826"/>
      <c r="K268" s="827">
        <f>SUM(K263:K267)</f>
        <v>250</v>
      </c>
      <c r="L268" s="798"/>
      <c r="M268" s="798"/>
      <c r="N268" s="798"/>
      <c r="O268" s="878"/>
    </row>
    <row r="269">
      <c r="A269" s="828"/>
      <c r="C269" s="829"/>
      <c r="D269" s="887" t="s">
        <v>657</v>
      </c>
      <c r="E269" s="888">
        <f>G272-E267</f>
        <v>786.43</v>
      </c>
      <c r="F269" s="798"/>
      <c r="G269" s="878"/>
      <c r="H269" s="283"/>
      <c r="I269" s="828"/>
      <c r="K269" s="829"/>
      <c r="L269" s="798"/>
      <c r="M269" s="798"/>
      <c r="N269" s="798"/>
      <c r="O269" s="878"/>
    </row>
    <row r="270">
      <c r="A270" s="830" t="s">
        <v>715</v>
      </c>
      <c r="B270" s="831"/>
      <c r="C270" s="832"/>
      <c r="D270" s="798"/>
      <c r="E270" s="798"/>
      <c r="F270" s="798"/>
      <c r="G270" s="878"/>
      <c r="H270" s="283"/>
      <c r="I270" s="833" t="s">
        <v>715</v>
      </c>
      <c r="J270" s="834"/>
      <c r="K270" s="835"/>
      <c r="L270" s="798"/>
      <c r="M270" s="798"/>
      <c r="N270" s="798"/>
      <c r="O270" s="878"/>
    </row>
    <row r="271">
      <c r="A271" s="836" t="s">
        <v>716</v>
      </c>
      <c r="B271" s="837"/>
      <c r="C271" s="838">
        <v>150.0</v>
      </c>
      <c r="D271" s="798"/>
      <c r="E271" s="798"/>
      <c r="F271" s="798"/>
      <c r="G271" s="878"/>
      <c r="H271" s="283"/>
      <c r="I271" s="889" t="s">
        <v>1186</v>
      </c>
      <c r="J271" s="851"/>
      <c r="K271" s="890">
        <v>1000.0</v>
      </c>
      <c r="L271" s="865" t="s">
        <v>1187</v>
      </c>
      <c r="M271" s="798"/>
      <c r="N271" s="798"/>
      <c r="O271" s="878"/>
    </row>
    <row r="272">
      <c r="A272" s="842" t="s">
        <v>717</v>
      </c>
      <c r="B272" s="843"/>
      <c r="C272" s="844">
        <v>400.0</v>
      </c>
      <c r="D272" s="891"/>
      <c r="E272" s="845" t="s">
        <v>1182</v>
      </c>
      <c r="G272" s="846">
        <f>G260+C268-C277</f>
        <v>1437.18</v>
      </c>
      <c r="H272" s="283"/>
      <c r="I272" s="847"/>
      <c r="J272" s="848"/>
      <c r="K272" s="849"/>
      <c r="L272" s="248"/>
      <c r="M272" s="845" t="s">
        <v>1183</v>
      </c>
      <c r="O272" s="846">
        <f>O260+K268-K277</f>
        <v>650.75</v>
      </c>
    </row>
    <row r="273">
      <c r="A273" s="836" t="s">
        <v>718</v>
      </c>
      <c r="B273" s="837"/>
      <c r="C273" s="838">
        <v>200.0</v>
      </c>
      <c r="D273" s="892"/>
      <c r="G273" s="799"/>
      <c r="H273" s="283"/>
      <c r="I273" s="847"/>
      <c r="J273" s="848"/>
      <c r="K273" s="849"/>
      <c r="O273" s="799"/>
    </row>
    <row r="274">
      <c r="A274" s="842" t="s">
        <v>656</v>
      </c>
      <c r="B274" s="843"/>
      <c r="C274" s="844">
        <f>IFERROR(__xludf.DUMMYFUNCTION("FILTER($C$4:$C$30,$B$4:$B$30=E252)"),1111.82)</f>
        <v>1111.82</v>
      </c>
      <c r="D274" s="891"/>
      <c r="G274" s="799"/>
      <c r="H274" s="283"/>
      <c r="I274" s="847"/>
      <c r="J274" s="848"/>
      <c r="K274" s="849"/>
      <c r="O274" s="799"/>
    </row>
    <row r="275">
      <c r="A275" s="850" t="s">
        <v>1184</v>
      </c>
      <c r="B275" s="851"/>
      <c r="C275" s="852">
        <v>295.0</v>
      </c>
      <c r="D275" s="893" t="s">
        <v>1188</v>
      </c>
      <c r="E275" s="248"/>
      <c r="G275" s="799"/>
      <c r="H275" s="283"/>
      <c r="I275" s="847"/>
      <c r="J275" s="848"/>
      <c r="K275" s="849"/>
      <c r="M275" s="248"/>
      <c r="O275" s="799"/>
    </row>
    <row r="276">
      <c r="A276" s="847"/>
      <c r="B276" s="848"/>
      <c r="C276" s="849"/>
      <c r="D276" s="248"/>
      <c r="G276" s="799"/>
      <c r="H276" s="283"/>
      <c r="I276" s="847"/>
      <c r="J276" s="848"/>
      <c r="K276" s="849"/>
      <c r="O276" s="799"/>
    </row>
    <row r="277">
      <c r="A277" s="853" t="s">
        <v>721</v>
      </c>
      <c r="B277" s="854"/>
      <c r="C277" s="855">
        <f>SUM(C271:C276)</f>
        <v>2156.82</v>
      </c>
      <c r="D277" s="248"/>
      <c r="G277" s="799"/>
      <c r="H277" s="283"/>
      <c r="I277" s="853" t="s">
        <v>721</v>
      </c>
      <c r="J277" s="854"/>
      <c r="K277" s="855">
        <f>SUM(K271:K276)</f>
        <v>1000</v>
      </c>
      <c r="O277" s="799"/>
    </row>
    <row r="278">
      <c r="A278" s="856"/>
      <c r="B278" s="857"/>
      <c r="C278" s="857"/>
      <c r="D278" s="894"/>
      <c r="E278" s="857"/>
      <c r="F278" s="857"/>
      <c r="G278" s="808"/>
      <c r="H278" s="283"/>
      <c r="I278" s="856"/>
      <c r="J278" s="857"/>
      <c r="K278" s="857"/>
      <c r="L278" s="857"/>
      <c r="M278" s="857"/>
      <c r="N278" s="857"/>
      <c r="O278" s="808"/>
    </row>
    <row r="281">
      <c r="A281" s="769"/>
      <c r="B281" s="770"/>
      <c r="C281" s="770"/>
      <c r="D281" s="771" t="s">
        <v>700</v>
      </c>
      <c r="E281" s="772" t="str">
        <f>E126</f>
        <v>11.24.2025-11.30.2025</v>
      </c>
      <c r="F281" s="773"/>
      <c r="G281" s="774"/>
      <c r="H281" s="879">
        <v>6.0</v>
      </c>
      <c r="I281" s="769"/>
      <c r="J281" s="770"/>
      <c r="K281" s="770"/>
      <c r="L281" s="771" t="s">
        <v>700</v>
      </c>
      <c r="M281" s="772" t="str">
        <f>E126</f>
        <v>11.24.2025-11.30.2025</v>
      </c>
      <c r="N281" s="773"/>
      <c r="O281" s="774"/>
    </row>
    <row r="282">
      <c r="A282" s="775"/>
      <c r="D282" s="771" t="s">
        <v>702</v>
      </c>
      <c r="E282" s="772" t="str">
        <f t="array" ref="E282">XLOOKUP(E283,$Q$973:$Q$1008,$R$973:$R$1008)</f>
        <v>Ada Fleet LLC</v>
      </c>
      <c r="F282" s="773"/>
      <c r="G282" s="774"/>
      <c r="H282" s="283"/>
      <c r="I282" s="775"/>
      <c r="L282" s="771" t="s">
        <v>351</v>
      </c>
      <c r="M282" s="772" t="str">
        <f t="array" ref="M282">XLOOKUP(M283,$L$1:$L$122,$K$1:$K$122)</f>
        <v>WOODBENS JOSIL</v>
      </c>
      <c r="N282" s="773"/>
      <c r="O282" s="774"/>
    </row>
    <row r="283">
      <c r="A283" s="775"/>
      <c r="D283" s="771" t="s">
        <v>703</v>
      </c>
      <c r="E283" s="772">
        <v>9348.0</v>
      </c>
      <c r="F283" s="773"/>
      <c r="G283" s="774"/>
      <c r="H283" s="283"/>
      <c r="I283" s="775"/>
      <c r="L283" s="771" t="s">
        <v>703</v>
      </c>
      <c r="M283" s="772">
        <f>E283</f>
        <v>9348</v>
      </c>
      <c r="N283" s="773"/>
      <c r="O283" s="774"/>
    </row>
    <row r="284">
      <c r="A284" s="779" t="s">
        <v>704</v>
      </c>
      <c r="B284" s="779" t="s">
        <v>5</v>
      </c>
      <c r="C284" s="779" t="s">
        <v>6</v>
      </c>
      <c r="D284" s="779" t="s">
        <v>7</v>
      </c>
      <c r="E284" s="779" t="s">
        <v>8</v>
      </c>
      <c r="F284" s="779" t="s">
        <v>706</v>
      </c>
      <c r="G284" s="779" t="s">
        <v>707</v>
      </c>
      <c r="H284" s="34"/>
      <c r="I284" s="779" t="s">
        <v>704</v>
      </c>
      <c r="J284" s="779" t="s">
        <v>5</v>
      </c>
      <c r="K284" s="779" t="s">
        <v>6</v>
      </c>
      <c r="L284" s="779" t="s">
        <v>7</v>
      </c>
      <c r="M284" s="779" t="s">
        <v>1178</v>
      </c>
      <c r="N284" s="779" t="s">
        <v>839</v>
      </c>
      <c r="O284" s="779" t="s">
        <v>707</v>
      </c>
    </row>
    <row r="285">
      <c r="A285" s="780">
        <f>IFERROR(__xludf.DUMMYFUNCTION("FILTER($D$3:$H$122,$L$3:$L$122=E283)"),45985.0)</f>
        <v>45985</v>
      </c>
      <c r="B285" s="781" t="str">
        <f>IFERROR(__xludf.DUMMYFUNCTION("""COMPUTED_VALUE"""),"6MT0940")</f>
        <v>6MT0940</v>
      </c>
      <c r="C285" s="781" t="str">
        <f>IFERROR(__xludf.DUMMYFUNCTION("""COMPUTED_VALUE"""),"Commerce City, CO, 80022")</f>
        <v>Commerce City, CO, 80022</v>
      </c>
      <c r="D285" s="781" t="str">
        <f>IFERROR(__xludf.DUMMYFUNCTION("""COMPUTED_VALUE"""),"Clinton, UT, 84015")</f>
        <v>Clinton, UT, 84015</v>
      </c>
      <c r="E285" s="782">
        <f>IFERROR(__xludf.DUMMYFUNCTION("""COMPUTED_VALUE"""),816.0)</f>
        <v>816</v>
      </c>
      <c r="F285" s="783">
        <v>0.88</v>
      </c>
      <c r="G285" s="782">
        <f t="shared" ref="G285:G287" si="9">E285*F285</f>
        <v>718.08</v>
      </c>
      <c r="H285" s="283"/>
      <c r="I285" s="895">
        <f>IFERROR(__xludf.DUMMYFUNCTION("FILTER($D$3:$G$122,$L$3:$L$122=M283)"),45985.0)</f>
        <v>45985</v>
      </c>
      <c r="J285" s="895" t="str">
        <f>IFERROR(__xludf.DUMMYFUNCTION("""COMPUTED_VALUE"""),"6MT0940")</f>
        <v>6MT0940</v>
      </c>
      <c r="K285" s="895" t="str">
        <f>IFERROR(__xludf.DUMMYFUNCTION("""COMPUTED_VALUE"""),"Commerce City, CO, 80022")</f>
        <v>Commerce City, CO, 80022</v>
      </c>
      <c r="L285" s="895" t="str">
        <f>IFERROR(__xludf.DUMMYFUNCTION("""COMPUTED_VALUE"""),"Clinton, UT, 84015")</f>
        <v>Clinton, UT, 84015</v>
      </c>
      <c r="M285" s="896">
        <f>IFERROR(__xludf.DUMMYFUNCTION("FILTER($I$3:$I$122,$L$3:$L$122=M283)"),562.0)</f>
        <v>562</v>
      </c>
      <c r="N285" s="861">
        <v>0.65</v>
      </c>
      <c r="O285" s="863">
        <f t="shared" ref="O285:O287" si="10">M285*N285</f>
        <v>365.3</v>
      </c>
    </row>
    <row r="286">
      <c r="A286" s="780">
        <f>IFERROR(__xludf.DUMMYFUNCTION("""COMPUTED_VALUE"""),45986.0)</f>
        <v>45986</v>
      </c>
      <c r="B286" s="781" t="str">
        <f>IFERROR(__xludf.DUMMYFUNCTION("""COMPUTED_VALUE"""),"3945526-1")</f>
        <v>3945526-1</v>
      </c>
      <c r="C286" s="781" t="str">
        <f>IFERROR(__xludf.DUMMYFUNCTION("""COMPUTED_VALUE"""),"Sugar City, ID, 83448")</f>
        <v>Sugar City, ID, 83448</v>
      </c>
      <c r="D286" s="781" t="str">
        <f>IFERROR(__xludf.DUMMYFUNCTION("""COMPUTED_VALUE"""),"Moro, OR, 97039")</f>
        <v>Moro, OR, 97039</v>
      </c>
      <c r="E286" s="782">
        <f>IFERROR(__xludf.DUMMYFUNCTION("""COMPUTED_VALUE"""),1650.0)</f>
        <v>1650</v>
      </c>
      <c r="F286" s="783">
        <v>0.88</v>
      </c>
      <c r="G286" s="782">
        <f t="shared" si="9"/>
        <v>1452</v>
      </c>
      <c r="H286" s="283"/>
      <c r="I286" s="895">
        <f>IFERROR(__xludf.DUMMYFUNCTION("""COMPUTED_VALUE"""),45986.0)</f>
        <v>45986</v>
      </c>
      <c r="J286" s="895" t="str">
        <f>IFERROR(__xludf.DUMMYFUNCTION("""COMPUTED_VALUE"""),"3945526-1")</f>
        <v>3945526-1</v>
      </c>
      <c r="K286" s="895" t="str">
        <f>IFERROR(__xludf.DUMMYFUNCTION("""COMPUTED_VALUE"""),"Sugar City, ID, 83448")</f>
        <v>Sugar City, ID, 83448</v>
      </c>
      <c r="L286" s="895" t="str">
        <f>IFERROR(__xludf.DUMMYFUNCTION("""COMPUTED_VALUE"""),"Moro, OR, 97039")</f>
        <v>Moro, OR, 97039</v>
      </c>
      <c r="M286" s="880">
        <f>IFERROR(__xludf.DUMMYFUNCTION("""COMPUTED_VALUE"""),871.0)</f>
        <v>871</v>
      </c>
      <c r="N286" s="861">
        <v>0.65</v>
      </c>
      <c r="O286" s="863">
        <f t="shared" si="10"/>
        <v>566.15</v>
      </c>
    </row>
    <row r="287">
      <c r="A287" s="883">
        <f>IFERROR(__xludf.DUMMYFUNCTION("""COMPUTED_VALUE"""),45987.0)</f>
        <v>45987</v>
      </c>
      <c r="B287" s="786">
        <f>IFERROR(__xludf.DUMMYFUNCTION("""COMPUTED_VALUE"""),1.5486212E7)</f>
        <v>15486212</v>
      </c>
      <c r="C287" s="786" t="str">
        <f>IFERROR(__xludf.DUMMYFUNCTION("""COMPUTED_VALUE"""),"Yakima, WA, 98902")</f>
        <v>Yakima, WA, 98902</v>
      </c>
      <c r="D287" s="786" t="str">
        <f>IFERROR(__xludf.DUMMYFUNCTION("""COMPUTED_VALUE"""),"Plainville, MA, 02762")</f>
        <v>Plainville, MA, 02762</v>
      </c>
      <c r="E287" s="884">
        <f>IFERROR(__xludf.DUMMYFUNCTION("""COMPUTED_VALUE"""),5700.0)</f>
        <v>5700</v>
      </c>
      <c r="F287" s="783">
        <v>0.88</v>
      </c>
      <c r="G287" s="782">
        <f t="shared" si="9"/>
        <v>5016</v>
      </c>
      <c r="H287" s="283"/>
      <c r="I287" s="895">
        <f>IFERROR(__xludf.DUMMYFUNCTION("""COMPUTED_VALUE"""),45987.0)</f>
        <v>45987</v>
      </c>
      <c r="J287" s="895">
        <f>IFERROR(__xludf.DUMMYFUNCTION("""COMPUTED_VALUE"""),1.5486212E7)</f>
        <v>15486212</v>
      </c>
      <c r="K287" s="895" t="str">
        <f>IFERROR(__xludf.DUMMYFUNCTION("""COMPUTED_VALUE"""),"Yakima, WA, 98902")</f>
        <v>Yakima, WA, 98902</v>
      </c>
      <c r="L287" s="895" t="str">
        <f>IFERROR(__xludf.DUMMYFUNCTION("""COMPUTED_VALUE"""),"Plainville, MA, 02762")</f>
        <v>Plainville, MA, 02762</v>
      </c>
      <c r="M287" s="895">
        <f>IFERROR(__xludf.DUMMYFUNCTION("""COMPUTED_VALUE"""),3029.0)</f>
        <v>3029</v>
      </c>
      <c r="N287" s="861">
        <v>0.65</v>
      </c>
      <c r="O287" s="863">
        <f t="shared" si="10"/>
        <v>1968.85</v>
      </c>
    </row>
    <row r="288">
      <c r="A288" s="785"/>
      <c r="B288" s="786"/>
      <c r="C288" s="786"/>
      <c r="D288" s="786"/>
      <c r="E288" s="785"/>
      <c r="F288" s="787"/>
      <c r="G288" s="788"/>
      <c r="H288" s="283"/>
      <c r="I288" s="785"/>
      <c r="J288" s="786"/>
      <c r="K288" s="786"/>
      <c r="L288" s="786"/>
      <c r="M288" s="785"/>
      <c r="N288" s="787"/>
      <c r="O288" s="789"/>
    </row>
    <row r="289">
      <c r="A289" s="785"/>
      <c r="B289" s="786"/>
      <c r="C289" s="786"/>
      <c r="D289" s="786"/>
      <c r="E289" s="785"/>
      <c r="F289" s="787"/>
      <c r="G289" s="788"/>
      <c r="H289" s="283"/>
      <c r="I289" s="785"/>
      <c r="J289" s="786"/>
      <c r="K289" s="786"/>
      <c r="L289" s="786"/>
      <c r="M289" s="785"/>
      <c r="N289" s="787"/>
      <c r="O289" s="789"/>
    </row>
    <row r="290">
      <c r="A290" s="785"/>
      <c r="B290" s="786"/>
      <c r="C290" s="786"/>
      <c r="D290" s="786"/>
      <c r="E290" s="785"/>
      <c r="F290" s="787"/>
      <c r="G290" s="788"/>
      <c r="H290" s="283"/>
      <c r="I290" s="785"/>
      <c r="J290" s="786"/>
      <c r="K290" s="786"/>
      <c r="L290" s="786"/>
      <c r="M290" s="785"/>
      <c r="N290" s="787"/>
      <c r="O290" s="789"/>
    </row>
    <row r="291">
      <c r="A291" s="790" t="s">
        <v>711</v>
      </c>
      <c r="B291" s="791"/>
      <c r="C291" s="791"/>
      <c r="D291" s="792"/>
      <c r="E291" s="793">
        <f>SUM(E285:E290)</f>
        <v>8166</v>
      </c>
      <c r="F291" s="794"/>
      <c r="G291" s="793">
        <f>SUM(G285:G290)</f>
        <v>7186.08</v>
      </c>
      <c r="H291" s="283"/>
      <c r="I291" s="790" t="s">
        <v>711</v>
      </c>
      <c r="J291" s="791"/>
      <c r="K291" s="791"/>
      <c r="L291" s="792"/>
      <c r="M291" s="877">
        <f>SUM(M285:M290)</f>
        <v>4462</v>
      </c>
      <c r="N291" s="794"/>
      <c r="O291" s="793">
        <f>SUM(O285:O290)</f>
        <v>2900.3</v>
      </c>
      <c r="Q291" s="897">
        <v>4506.0</v>
      </c>
      <c r="R291" s="669" t="s">
        <v>1189</v>
      </c>
    </row>
    <row r="292">
      <c r="A292" s="796"/>
      <c r="D292" s="798"/>
      <c r="E292" s="798"/>
      <c r="F292" s="798"/>
      <c r="G292" s="878"/>
      <c r="H292" s="283"/>
      <c r="I292" s="796"/>
      <c r="L292" s="798"/>
      <c r="O292" s="799"/>
    </row>
    <row r="293">
      <c r="A293" s="800" t="s">
        <v>712</v>
      </c>
      <c r="B293" s="801"/>
      <c r="C293" s="802"/>
      <c r="D293" s="798"/>
      <c r="E293" s="798"/>
      <c r="F293" s="798"/>
      <c r="G293" s="878"/>
      <c r="H293" s="283"/>
      <c r="I293" s="800" t="s">
        <v>712</v>
      </c>
      <c r="J293" s="803"/>
      <c r="K293" s="804"/>
      <c r="O293" s="799"/>
    </row>
    <row r="294">
      <c r="A294" s="805" t="s">
        <v>1179</v>
      </c>
      <c r="B294" s="806"/>
      <c r="C294" s="812">
        <v>250.0</v>
      </c>
      <c r="D294" s="798"/>
      <c r="E294" s="798"/>
      <c r="F294" s="798"/>
      <c r="G294" s="878"/>
      <c r="H294" s="283"/>
      <c r="I294" s="805" t="s">
        <v>1179</v>
      </c>
      <c r="J294" s="808"/>
      <c r="K294" s="812">
        <v>250.0</v>
      </c>
      <c r="O294" s="799"/>
    </row>
    <row r="295">
      <c r="A295" s="813" t="s">
        <v>1190</v>
      </c>
      <c r="B295" s="898"/>
      <c r="C295" s="899">
        <v>20.0</v>
      </c>
      <c r="D295" s="798"/>
      <c r="E295" s="798"/>
      <c r="F295" s="798"/>
      <c r="G295" s="878"/>
      <c r="H295" s="283"/>
      <c r="I295" s="813" t="s">
        <v>763</v>
      </c>
      <c r="J295" s="774"/>
      <c r="K295" s="816">
        <v>20.0</v>
      </c>
      <c r="O295" s="799"/>
    </row>
    <row r="296">
      <c r="A296" s="815"/>
      <c r="B296" s="792"/>
      <c r="C296" s="816"/>
      <c r="D296" s="798"/>
      <c r="E296" s="798"/>
      <c r="F296" s="798"/>
      <c r="G296" s="878"/>
      <c r="H296" s="283"/>
      <c r="I296" s="815"/>
      <c r="J296" s="792"/>
      <c r="K296" s="816"/>
      <c r="O296" s="799"/>
    </row>
    <row r="297">
      <c r="A297" s="817"/>
      <c r="B297" s="774"/>
      <c r="C297" s="818"/>
      <c r="D297" s="885" t="s">
        <v>1181</v>
      </c>
      <c r="E297" s="886">
        <v>3150.3</v>
      </c>
      <c r="F297" s="798"/>
      <c r="G297" s="878"/>
      <c r="H297" s="283"/>
      <c r="I297" s="817"/>
      <c r="J297" s="774"/>
      <c r="K297" s="818"/>
      <c r="O297" s="799"/>
    </row>
    <row r="298">
      <c r="A298" s="817"/>
      <c r="B298" s="792"/>
      <c r="C298" s="818"/>
      <c r="D298" s="798"/>
      <c r="E298" s="798"/>
      <c r="F298" s="798"/>
      <c r="G298" s="878"/>
      <c r="H298" s="283"/>
      <c r="I298" s="817"/>
      <c r="J298" s="792"/>
      <c r="K298" s="818"/>
      <c r="O298" s="799"/>
    </row>
    <row r="299">
      <c r="A299" s="821" t="s">
        <v>714</v>
      </c>
      <c r="B299" s="822"/>
      <c r="C299" s="823">
        <f>SUM(C294:C298)</f>
        <v>270</v>
      </c>
      <c r="D299" s="887" t="s">
        <v>657</v>
      </c>
      <c r="E299" s="888">
        <f>G303-O303</f>
        <v>1515.4</v>
      </c>
      <c r="F299" s="798"/>
      <c r="G299" s="878"/>
      <c r="H299" s="283"/>
      <c r="I299" s="821" t="s">
        <v>714</v>
      </c>
      <c r="J299" s="826"/>
      <c r="K299" s="827">
        <f>SUM(K294:K298)</f>
        <v>270</v>
      </c>
      <c r="O299" s="799"/>
    </row>
    <row r="300">
      <c r="A300" s="828"/>
      <c r="C300" s="829"/>
      <c r="D300" s="798"/>
      <c r="E300" s="798"/>
      <c r="F300" s="798"/>
      <c r="G300" s="878"/>
      <c r="H300" s="283"/>
      <c r="I300" s="828"/>
      <c r="K300" s="829"/>
      <c r="O300" s="799"/>
    </row>
    <row r="301">
      <c r="A301" s="830" t="s">
        <v>715</v>
      </c>
      <c r="B301" s="831"/>
      <c r="C301" s="832"/>
      <c r="D301" s="798"/>
      <c r="E301" s="798"/>
      <c r="F301" s="798"/>
      <c r="G301" s="878"/>
      <c r="H301" s="283"/>
      <c r="I301" s="833" t="s">
        <v>715</v>
      </c>
      <c r="J301" s="834"/>
      <c r="K301" s="835"/>
      <c r="O301" s="799"/>
    </row>
    <row r="302">
      <c r="A302" s="836" t="s">
        <v>716</v>
      </c>
      <c r="B302" s="837"/>
      <c r="C302" s="838"/>
      <c r="D302" s="798"/>
      <c r="E302" s="798"/>
      <c r="F302" s="798"/>
      <c r="G302" s="878"/>
      <c r="H302" s="283"/>
      <c r="I302" s="839"/>
      <c r="J302" s="840"/>
      <c r="K302" s="841"/>
      <c r="O302" s="799"/>
    </row>
    <row r="303">
      <c r="A303" s="842" t="s">
        <v>717</v>
      </c>
      <c r="B303" s="843"/>
      <c r="C303" s="844"/>
      <c r="D303" s="248"/>
      <c r="E303" s="845" t="s">
        <v>1182</v>
      </c>
      <c r="G303" s="846">
        <f>G291+C299-C308</f>
        <v>4685.7</v>
      </c>
      <c r="H303" s="283"/>
      <c r="I303" s="847"/>
      <c r="J303" s="848"/>
      <c r="K303" s="849"/>
      <c r="L303" s="248"/>
      <c r="M303" s="845" t="s">
        <v>1183</v>
      </c>
      <c r="O303" s="846">
        <f>O291+K299-K308</f>
        <v>3170.3</v>
      </c>
    </row>
    <row r="304">
      <c r="A304" s="836" t="s">
        <v>718</v>
      </c>
      <c r="B304" s="837"/>
      <c r="C304" s="838"/>
      <c r="G304" s="799"/>
      <c r="H304" s="283"/>
      <c r="I304" s="847"/>
      <c r="J304" s="848"/>
      <c r="K304" s="849"/>
      <c r="O304" s="799"/>
    </row>
    <row r="305">
      <c r="A305" s="842" t="s">
        <v>656</v>
      </c>
      <c r="B305" s="843"/>
      <c r="C305" s="844">
        <f>IFERROR(__xludf.DUMMYFUNCTION("FILTER($C$4:$C$30,$B$4:$B$30=E283)"),2770.38)</f>
        <v>2770.38</v>
      </c>
      <c r="G305" s="799"/>
      <c r="H305" s="283"/>
      <c r="I305" s="847"/>
      <c r="J305" s="848"/>
      <c r="K305" s="849"/>
      <c r="O305" s="799"/>
    </row>
    <row r="306">
      <c r="A306" s="850" t="s">
        <v>1184</v>
      </c>
      <c r="B306" s="851"/>
      <c r="C306" s="852"/>
      <c r="E306" s="248"/>
      <c r="G306" s="799"/>
      <c r="H306" s="283"/>
      <c r="I306" s="847"/>
      <c r="J306" s="848"/>
      <c r="K306" s="849"/>
      <c r="M306" s="248"/>
      <c r="O306" s="799"/>
    </row>
    <row r="307">
      <c r="A307" s="847"/>
      <c r="B307" s="848"/>
      <c r="C307" s="849"/>
      <c r="G307" s="799"/>
      <c r="H307" s="283"/>
      <c r="I307" s="847"/>
      <c r="J307" s="848"/>
      <c r="K307" s="849"/>
      <c r="O307" s="799"/>
    </row>
    <row r="308">
      <c r="A308" s="853" t="s">
        <v>721</v>
      </c>
      <c r="B308" s="854"/>
      <c r="C308" s="855">
        <f>SUM(C302:C307)</f>
        <v>2770.38</v>
      </c>
      <c r="G308" s="799"/>
      <c r="H308" s="283"/>
      <c r="I308" s="853" t="s">
        <v>721</v>
      </c>
      <c r="J308" s="854"/>
      <c r="K308" s="855"/>
      <c r="O308" s="799"/>
    </row>
    <row r="309">
      <c r="A309" s="856"/>
      <c r="B309" s="857"/>
      <c r="C309" s="857"/>
      <c r="D309" s="857"/>
      <c r="E309" s="857"/>
      <c r="F309" s="857"/>
      <c r="G309" s="808"/>
      <c r="H309" s="283"/>
      <c r="I309" s="856"/>
      <c r="J309" s="857"/>
      <c r="K309" s="857"/>
      <c r="L309" s="857"/>
      <c r="M309" s="857"/>
      <c r="N309" s="857"/>
      <c r="O309" s="808"/>
    </row>
    <row r="312">
      <c r="A312" s="769"/>
      <c r="B312" s="770"/>
      <c r="C312" s="770"/>
      <c r="D312" s="771" t="s">
        <v>700</v>
      </c>
      <c r="E312" s="772" t="str">
        <f>E126</f>
        <v>11.24.2025-11.30.2025</v>
      </c>
      <c r="F312" s="773"/>
      <c r="G312" s="774"/>
      <c r="H312" s="879">
        <v>7.0</v>
      </c>
      <c r="I312" s="769"/>
      <c r="J312" s="770"/>
      <c r="K312" s="770"/>
      <c r="L312" s="771" t="s">
        <v>700</v>
      </c>
      <c r="M312" s="772" t="str">
        <f>E126</f>
        <v>11.24.2025-11.30.2025</v>
      </c>
      <c r="N312" s="773"/>
      <c r="O312" s="774"/>
    </row>
    <row r="313">
      <c r="A313" s="775"/>
      <c r="D313" s="771" t="s">
        <v>702</v>
      </c>
      <c r="E313" s="772" t="str">
        <f t="array" ref="E313">XLOOKUP(E314,$Q$973:$Q$1008,$R$973:$R$1008)</f>
        <v>Komo Logistics LLC</v>
      </c>
      <c r="F313" s="773"/>
      <c r="G313" s="774"/>
      <c r="H313" s="283"/>
      <c r="I313" s="775"/>
      <c r="L313" s="771" t="s">
        <v>351</v>
      </c>
      <c r="M313" s="772" t="str">
        <f t="array" ref="M313">XLOOKUP(M314,$L$1:$L$122,$K$1:$K$122)</f>
        <v>TOUSSAINT BESANTO</v>
      </c>
      <c r="N313" s="773"/>
      <c r="O313" s="774"/>
    </row>
    <row r="314">
      <c r="A314" s="775"/>
      <c r="D314" s="771" t="s">
        <v>703</v>
      </c>
      <c r="E314" s="772">
        <v>7807.0</v>
      </c>
      <c r="F314" s="773"/>
      <c r="G314" s="774"/>
      <c r="H314" s="283"/>
      <c r="I314" s="775"/>
      <c r="L314" s="771" t="s">
        <v>703</v>
      </c>
      <c r="M314" s="772">
        <f>E314</f>
        <v>7807</v>
      </c>
      <c r="N314" s="773"/>
      <c r="O314" s="774"/>
    </row>
    <row r="315">
      <c r="A315" s="779" t="s">
        <v>704</v>
      </c>
      <c r="B315" s="779" t="s">
        <v>5</v>
      </c>
      <c r="C315" s="779" t="s">
        <v>6</v>
      </c>
      <c r="D315" s="779" t="s">
        <v>7</v>
      </c>
      <c r="E315" s="779" t="s">
        <v>8</v>
      </c>
      <c r="F315" s="779" t="s">
        <v>706</v>
      </c>
      <c r="G315" s="779" t="s">
        <v>707</v>
      </c>
      <c r="H315" s="34"/>
      <c r="I315" s="779" t="s">
        <v>704</v>
      </c>
      <c r="J315" s="779" t="s">
        <v>5</v>
      </c>
      <c r="K315" s="779" t="s">
        <v>6</v>
      </c>
      <c r="L315" s="779" t="s">
        <v>7</v>
      </c>
      <c r="M315" s="779" t="s">
        <v>1178</v>
      </c>
      <c r="N315" s="779" t="s">
        <v>839</v>
      </c>
      <c r="O315" s="779" t="s">
        <v>707</v>
      </c>
    </row>
    <row r="316">
      <c r="A316" s="780">
        <f>IFERROR(__xludf.DUMMYFUNCTION("FILTER($D$3:$H$122,$L$3:$L$122=E314)"),45985.0)</f>
        <v>45985</v>
      </c>
      <c r="B316" s="781">
        <f>IFERROR(__xludf.DUMMYFUNCTION("""COMPUTED_VALUE"""),794771.0)</f>
        <v>794771</v>
      </c>
      <c r="C316" s="781" t="str">
        <f>IFERROR(__xludf.DUMMYFUNCTION("""COMPUTED_VALUE"""),"East Hartford, CT, 06118")</f>
        <v>East Hartford, CT, 06118</v>
      </c>
      <c r="D316" s="781" t="str">
        <f>IFERROR(__xludf.DUMMYFUNCTION("""COMPUTED_VALUE"""),"Bedford Heights, OH, 44146")</f>
        <v>Bedford Heights, OH, 44146</v>
      </c>
      <c r="E316" s="782">
        <f>IFERROR(__xludf.DUMMYFUNCTION("""COMPUTED_VALUE"""),675.0)</f>
        <v>675</v>
      </c>
      <c r="F316" s="783">
        <v>0.88</v>
      </c>
      <c r="G316" s="782">
        <f t="shared" ref="G316:G317" si="11">E316*F316</f>
        <v>594</v>
      </c>
      <c r="H316" s="283"/>
      <c r="I316" s="780">
        <f>IFERROR(__xludf.DUMMYFUNCTION("FILTER($D$3:$G$122,$L$3:$L$122=M314)"),45985.0)</f>
        <v>45985</v>
      </c>
      <c r="J316" s="781">
        <f>IFERROR(__xludf.DUMMYFUNCTION("""COMPUTED_VALUE"""),794771.0)</f>
        <v>794771</v>
      </c>
      <c r="K316" s="781" t="str">
        <f>IFERROR(__xludf.DUMMYFUNCTION("""COMPUTED_VALUE"""),"East Hartford, CT, 06118")</f>
        <v>East Hartford, CT, 06118</v>
      </c>
      <c r="L316" s="781" t="str">
        <f>IFERROR(__xludf.DUMMYFUNCTION("""COMPUTED_VALUE"""),"Bedford Heights, OH, 44146")</f>
        <v>Bedford Heights, OH, 44146</v>
      </c>
      <c r="M316" s="896">
        <f>IFERROR(__xludf.DUMMYFUNCTION("FILTER($I$3:$I$122,$L$3:$L$122=M314)"),571.0)</f>
        <v>571</v>
      </c>
      <c r="N316" s="781">
        <v>0.65</v>
      </c>
      <c r="O316" s="782">
        <f t="shared" ref="O316:O317" si="12">M316*N316</f>
        <v>371.15</v>
      </c>
    </row>
    <row r="317">
      <c r="A317" s="780">
        <f>IFERROR(__xludf.DUMMYFUNCTION("""COMPUTED_VALUE"""),45986.0)</f>
        <v>45986</v>
      </c>
      <c r="B317" s="781">
        <f>IFERROR(__xludf.DUMMYFUNCTION("""COMPUTED_VALUE"""),393581.0)</f>
        <v>393581</v>
      </c>
      <c r="C317" s="781" t="str">
        <f>IFERROR(__xludf.DUMMYFUNCTION("""COMPUTED_VALUE"""),"Austintown, OH, 44509")</f>
        <v>Austintown, OH, 44509</v>
      </c>
      <c r="D317" s="781" t="str">
        <f>IFERROR(__xludf.DUMMYFUNCTION("""COMPUTED_VALUE"""),"Alachua, FL, 32615")</f>
        <v>Alachua, FL, 32615</v>
      </c>
      <c r="E317" s="782">
        <f>IFERROR(__xludf.DUMMYFUNCTION("""COMPUTED_VALUE"""),2350.0)</f>
        <v>2350</v>
      </c>
      <c r="F317" s="783">
        <v>0.88</v>
      </c>
      <c r="G317" s="782">
        <f t="shared" si="11"/>
        <v>2068</v>
      </c>
      <c r="H317" s="283"/>
      <c r="I317" s="881">
        <f>IFERROR(__xludf.DUMMYFUNCTION("""COMPUTED_VALUE"""),45986.0)</f>
        <v>45986</v>
      </c>
      <c r="J317" s="882">
        <f>IFERROR(__xludf.DUMMYFUNCTION("""COMPUTED_VALUE"""),393581.0)</f>
        <v>393581</v>
      </c>
      <c r="K317" s="882" t="str">
        <f>IFERROR(__xludf.DUMMYFUNCTION("""COMPUTED_VALUE"""),"Austintown, OH, 44509")</f>
        <v>Austintown, OH, 44509</v>
      </c>
      <c r="L317" s="882" t="str">
        <f>IFERROR(__xludf.DUMMYFUNCTION("""COMPUTED_VALUE"""),"Alachua, FL, 32615")</f>
        <v>Alachua, FL, 32615</v>
      </c>
      <c r="M317" s="880">
        <f>IFERROR(__xludf.DUMMYFUNCTION("""COMPUTED_VALUE"""),1025.0)</f>
        <v>1025</v>
      </c>
      <c r="N317" s="781">
        <v>0.65</v>
      </c>
      <c r="O317" s="782">
        <f t="shared" si="12"/>
        <v>666.25</v>
      </c>
    </row>
    <row r="318">
      <c r="A318" s="785"/>
      <c r="B318" s="786"/>
      <c r="C318" s="786"/>
      <c r="D318" s="786"/>
      <c r="E318" s="785"/>
      <c r="F318" s="787"/>
      <c r="G318" s="788"/>
      <c r="H318" s="283"/>
      <c r="I318" s="785"/>
      <c r="J318" s="786"/>
      <c r="K318" s="786"/>
      <c r="L318" s="786"/>
      <c r="M318" s="785"/>
      <c r="N318" s="787"/>
      <c r="O318" s="789"/>
    </row>
    <row r="319">
      <c r="A319" s="785"/>
      <c r="B319" s="786"/>
      <c r="C319" s="786"/>
      <c r="D319" s="786"/>
      <c r="E319" s="785"/>
      <c r="F319" s="787"/>
      <c r="G319" s="788"/>
      <c r="H319" s="283"/>
      <c r="I319" s="785"/>
      <c r="J319" s="786"/>
      <c r="K319" s="786"/>
      <c r="L319" s="786"/>
      <c r="M319" s="785"/>
      <c r="N319" s="787"/>
      <c r="O319" s="789"/>
    </row>
    <row r="320">
      <c r="A320" s="785"/>
      <c r="B320" s="786"/>
      <c r="C320" s="786"/>
      <c r="D320" s="786"/>
      <c r="E320" s="785"/>
      <c r="F320" s="787"/>
      <c r="G320" s="788"/>
      <c r="H320" s="283"/>
      <c r="I320" s="785"/>
      <c r="J320" s="786"/>
      <c r="K320" s="786"/>
      <c r="L320" s="786"/>
      <c r="M320" s="785"/>
      <c r="N320" s="787"/>
      <c r="O320" s="789"/>
    </row>
    <row r="321">
      <c r="A321" s="785"/>
      <c r="B321" s="786"/>
      <c r="C321" s="786"/>
      <c r="D321" s="786"/>
      <c r="E321" s="785"/>
      <c r="F321" s="787"/>
      <c r="G321" s="788"/>
      <c r="H321" s="283"/>
      <c r="I321" s="785"/>
      <c r="J321" s="786"/>
      <c r="K321" s="786"/>
      <c r="L321" s="786"/>
      <c r="M321" s="785"/>
      <c r="N321" s="787"/>
      <c r="O321" s="789"/>
    </row>
    <row r="322">
      <c r="A322" s="790" t="s">
        <v>711</v>
      </c>
      <c r="B322" s="791"/>
      <c r="C322" s="791"/>
      <c r="D322" s="792"/>
      <c r="E322" s="793">
        <f>SUM(E316:E321)</f>
        <v>3025</v>
      </c>
      <c r="F322" s="794"/>
      <c r="G322" s="793">
        <f>SUM(G316:G321)</f>
        <v>2662</v>
      </c>
      <c r="H322" s="283"/>
      <c r="I322" s="790" t="s">
        <v>711</v>
      </c>
      <c r="J322" s="791"/>
      <c r="K322" s="791"/>
      <c r="L322" s="792"/>
      <c r="M322" s="877">
        <f>SUM(M316:M321)</f>
        <v>1596</v>
      </c>
      <c r="N322" s="794"/>
      <c r="O322" s="793">
        <f>SUM(O316:O321)</f>
        <v>1037.4</v>
      </c>
      <c r="Q322" s="897">
        <v>1591.0</v>
      </c>
      <c r="R322" s="669" t="s">
        <v>1191</v>
      </c>
    </row>
    <row r="323">
      <c r="A323" s="796"/>
      <c r="D323" s="798"/>
      <c r="E323" s="798"/>
      <c r="F323" s="798"/>
      <c r="G323" s="878"/>
      <c r="H323" s="283"/>
      <c r="I323" s="796"/>
      <c r="L323" s="798"/>
      <c r="O323" s="799"/>
    </row>
    <row r="324">
      <c r="A324" s="800" t="s">
        <v>712</v>
      </c>
      <c r="B324" s="801"/>
      <c r="C324" s="802"/>
      <c r="D324" s="798"/>
      <c r="E324" s="798"/>
      <c r="F324" s="798"/>
      <c r="G324" s="878"/>
      <c r="H324" s="283"/>
      <c r="I324" s="800" t="s">
        <v>712</v>
      </c>
      <c r="J324" s="803"/>
      <c r="K324" s="804"/>
      <c r="O324" s="799"/>
    </row>
    <row r="325">
      <c r="A325" s="805" t="s">
        <v>1179</v>
      </c>
      <c r="B325" s="806"/>
      <c r="C325" s="900">
        <v>250.0</v>
      </c>
      <c r="D325" s="798"/>
      <c r="E325" s="798"/>
      <c r="F325" s="798"/>
      <c r="G325" s="878"/>
      <c r="H325" s="283"/>
      <c r="I325" s="805" t="s">
        <v>1179</v>
      </c>
      <c r="J325" s="808"/>
      <c r="K325" s="812">
        <v>250.0</v>
      </c>
      <c r="O325" s="799"/>
    </row>
    <row r="326">
      <c r="A326" s="868"/>
      <c r="B326" s="774"/>
      <c r="C326" s="816"/>
      <c r="D326" s="798"/>
      <c r="E326" s="798"/>
      <c r="F326" s="798"/>
      <c r="G326" s="878"/>
      <c r="H326" s="283"/>
      <c r="I326" s="868"/>
      <c r="J326" s="774"/>
      <c r="K326" s="816"/>
      <c r="O326" s="799"/>
    </row>
    <row r="327">
      <c r="A327" s="815"/>
      <c r="B327" s="792"/>
      <c r="C327" s="816"/>
      <c r="D327" s="798"/>
      <c r="E327" s="798"/>
      <c r="F327" s="798"/>
      <c r="G327" s="878"/>
      <c r="H327" s="283"/>
      <c r="I327" s="815"/>
      <c r="J327" s="792"/>
      <c r="K327" s="816"/>
      <c r="O327" s="799"/>
    </row>
    <row r="328">
      <c r="A328" s="817"/>
      <c r="B328" s="774"/>
      <c r="C328" s="818"/>
      <c r="D328" s="798"/>
      <c r="E328" s="798"/>
      <c r="F328" s="798"/>
      <c r="G328" s="878"/>
      <c r="H328" s="283"/>
      <c r="I328" s="817"/>
      <c r="J328" s="774"/>
      <c r="K328" s="818"/>
      <c r="O328" s="799"/>
    </row>
    <row r="329">
      <c r="A329" s="817"/>
      <c r="B329" s="792"/>
      <c r="C329" s="818"/>
      <c r="D329" s="885" t="s">
        <v>1181</v>
      </c>
      <c r="E329" s="886">
        <f>O334</f>
        <v>1037.4</v>
      </c>
      <c r="F329" s="798"/>
      <c r="G329" s="878"/>
      <c r="H329" s="283"/>
      <c r="I329" s="817"/>
      <c r="J329" s="792"/>
      <c r="K329" s="818"/>
      <c r="O329" s="799"/>
    </row>
    <row r="330">
      <c r="A330" s="821" t="s">
        <v>714</v>
      </c>
      <c r="B330" s="822"/>
      <c r="C330" s="823">
        <f>SUM(C325:C329)</f>
        <v>250</v>
      </c>
      <c r="D330" s="798"/>
      <c r="E330" s="798"/>
      <c r="F330" s="798"/>
      <c r="G330" s="878"/>
      <c r="H330" s="283"/>
      <c r="I330" s="821" t="s">
        <v>714</v>
      </c>
      <c r="J330" s="826"/>
      <c r="K330" s="827"/>
      <c r="O330" s="799"/>
    </row>
    <row r="331">
      <c r="A331" s="828"/>
      <c r="C331" s="829"/>
      <c r="D331" s="887" t="s">
        <v>657</v>
      </c>
      <c r="E331" s="888">
        <f>G334-E329</f>
        <v>743.52</v>
      </c>
      <c r="F331" s="798"/>
      <c r="G331" s="878"/>
      <c r="H331" s="283"/>
      <c r="I331" s="828"/>
      <c r="K331" s="829"/>
      <c r="O331" s="799"/>
    </row>
    <row r="332">
      <c r="A332" s="830" t="s">
        <v>715</v>
      </c>
      <c r="B332" s="831"/>
      <c r="C332" s="832"/>
      <c r="D332" s="798"/>
      <c r="E332" s="798"/>
      <c r="F332" s="798"/>
      <c r="G332" s="878"/>
      <c r="H332" s="283"/>
      <c r="I332" s="833" t="s">
        <v>715</v>
      </c>
      <c r="J332" s="834"/>
      <c r="K332" s="835"/>
      <c r="O332" s="799"/>
    </row>
    <row r="333">
      <c r="A333" s="836" t="s">
        <v>716</v>
      </c>
      <c r="B333" s="837"/>
      <c r="C333" s="838"/>
      <c r="D333" s="798"/>
      <c r="E333" s="798"/>
      <c r="F333" s="798"/>
      <c r="G333" s="878"/>
      <c r="H333" s="283"/>
      <c r="I333" s="839"/>
      <c r="J333" s="840"/>
      <c r="K333" s="841"/>
      <c r="O333" s="799"/>
    </row>
    <row r="334">
      <c r="A334" s="842" t="s">
        <v>717</v>
      </c>
      <c r="B334" s="843"/>
      <c r="C334" s="844"/>
      <c r="D334" s="248"/>
      <c r="E334" s="845" t="s">
        <v>1182</v>
      </c>
      <c r="G334" s="846">
        <f>G322+C330-C339</f>
        <v>1780.92</v>
      </c>
      <c r="H334" s="283"/>
      <c r="I334" s="847"/>
      <c r="J334" s="848"/>
      <c r="K334" s="849"/>
      <c r="L334" s="248"/>
      <c r="M334" s="845" t="s">
        <v>1183</v>
      </c>
      <c r="O334" s="846">
        <f>O322+K330-K339</f>
        <v>1037.4</v>
      </c>
    </row>
    <row r="335">
      <c r="A335" s="836" t="s">
        <v>718</v>
      </c>
      <c r="B335" s="837"/>
      <c r="C335" s="838"/>
      <c r="G335" s="799"/>
      <c r="H335" s="283"/>
      <c r="I335" s="847"/>
      <c r="J335" s="848"/>
      <c r="K335" s="849"/>
      <c r="O335" s="799"/>
    </row>
    <row r="336">
      <c r="A336" s="842" t="s">
        <v>656</v>
      </c>
      <c r="B336" s="843"/>
      <c r="C336" s="844">
        <f>IFERROR(__xludf.DUMMYFUNCTION("FILTER($C$4:$C$30,$B$4:$B$30=E314)"),1131.08)</f>
        <v>1131.08</v>
      </c>
      <c r="G336" s="799"/>
      <c r="H336" s="283"/>
      <c r="I336" s="847"/>
      <c r="J336" s="848"/>
      <c r="K336" s="849"/>
      <c r="O336" s="799"/>
    </row>
    <row r="337">
      <c r="A337" s="850" t="s">
        <v>1184</v>
      </c>
      <c r="B337" s="851"/>
      <c r="C337" s="852"/>
      <c r="E337" s="248"/>
      <c r="G337" s="799"/>
      <c r="H337" s="283"/>
      <c r="I337" s="847"/>
      <c r="J337" s="848"/>
      <c r="K337" s="849"/>
      <c r="M337" s="248"/>
      <c r="O337" s="799"/>
    </row>
    <row r="338">
      <c r="A338" s="847"/>
      <c r="B338" s="848"/>
      <c r="C338" s="849"/>
      <c r="G338" s="799"/>
      <c r="H338" s="283"/>
      <c r="I338" s="847"/>
      <c r="J338" s="848"/>
      <c r="K338" s="849"/>
      <c r="O338" s="799"/>
    </row>
    <row r="339">
      <c r="A339" s="853" t="s">
        <v>721</v>
      </c>
      <c r="B339" s="854"/>
      <c r="C339" s="855">
        <f>SUM(C333:C338)</f>
        <v>1131.08</v>
      </c>
      <c r="G339" s="799"/>
      <c r="H339" s="283"/>
      <c r="I339" s="853" t="s">
        <v>721</v>
      </c>
      <c r="J339" s="854"/>
      <c r="K339" s="855"/>
      <c r="O339" s="799"/>
    </row>
    <row r="340">
      <c r="A340" s="856"/>
      <c r="B340" s="857"/>
      <c r="C340" s="857"/>
      <c r="D340" s="857"/>
      <c r="E340" s="857"/>
      <c r="F340" s="857"/>
      <c r="G340" s="808"/>
      <c r="H340" s="283"/>
      <c r="I340" s="856"/>
      <c r="J340" s="857"/>
      <c r="K340" s="857"/>
      <c r="L340" s="857"/>
      <c r="M340" s="857"/>
      <c r="N340" s="857"/>
      <c r="O340" s="808"/>
    </row>
    <row r="343">
      <c r="A343" s="769"/>
      <c r="B343" s="770"/>
      <c r="C343" s="770"/>
      <c r="D343" s="771" t="s">
        <v>700</v>
      </c>
      <c r="E343" s="772" t="str">
        <f>E126</f>
        <v>11.24.2025-11.30.2025</v>
      </c>
      <c r="F343" s="773"/>
      <c r="G343" s="774"/>
      <c r="H343" s="901">
        <v>8.0</v>
      </c>
      <c r="I343" s="769"/>
      <c r="J343" s="770"/>
      <c r="K343" s="770"/>
      <c r="L343" s="771" t="s">
        <v>700</v>
      </c>
      <c r="M343" s="772" t="str">
        <f>E126</f>
        <v>11.24.2025-11.30.2025</v>
      </c>
      <c r="N343" s="773"/>
      <c r="O343" s="774"/>
    </row>
    <row r="344">
      <c r="A344" s="775"/>
      <c r="D344" s="771" t="s">
        <v>702</v>
      </c>
      <c r="E344" s="772" t="str">
        <f t="array" ref="E344">XLOOKUP(E345,$Q$973:$Q$1008,$R$973:$R$1008)</f>
        <v>US Ela Logistic LLC</v>
      </c>
      <c r="F344" s="773"/>
      <c r="G344" s="774"/>
      <c r="H344" s="283"/>
      <c r="I344" s="775"/>
      <c r="L344" s="771" t="s">
        <v>351</v>
      </c>
      <c r="M344" s="772" t="str">
        <f t="array" ref="M344">XLOOKUP(M345,$L$1:$L$122,$K$1:$K$122)</f>
        <v>JOSEPH JOSEPH HYVENS</v>
      </c>
      <c r="N344" s="773"/>
      <c r="O344" s="774"/>
    </row>
    <row r="345">
      <c r="A345" s="775"/>
      <c r="D345" s="771" t="s">
        <v>703</v>
      </c>
      <c r="E345" s="772">
        <v>2693.0</v>
      </c>
      <c r="F345" s="773"/>
      <c r="G345" s="774"/>
      <c r="H345" s="283"/>
      <c r="I345" s="775"/>
      <c r="L345" s="771" t="s">
        <v>703</v>
      </c>
      <c r="M345" s="772">
        <f>E345</f>
        <v>2693</v>
      </c>
      <c r="N345" s="773"/>
      <c r="O345" s="774"/>
    </row>
    <row r="346">
      <c r="A346" s="779" t="s">
        <v>704</v>
      </c>
      <c r="B346" s="779" t="s">
        <v>5</v>
      </c>
      <c r="C346" s="779" t="s">
        <v>6</v>
      </c>
      <c r="D346" s="779" t="s">
        <v>7</v>
      </c>
      <c r="E346" s="779" t="s">
        <v>8</v>
      </c>
      <c r="F346" s="779" t="s">
        <v>706</v>
      </c>
      <c r="G346" s="779" t="s">
        <v>707</v>
      </c>
      <c r="H346" s="34"/>
      <c r="I346" s="779" t="s">
        <v>704</v>
      </c>
      <c r="J346" s="779" t="s">
        <v>5</v>
      </c>
      <c r="K346" s="779" t="s">
        <v>6</v>
      </c>
      <c r="L346" s="779" t="s">
        <v>7</v>
      </c>
      <c r="M346" s="779" t="s">
        <v>1178</v>
      </c>
      <c r="N346" s="779" t="s">
        <v>839</v>
      </c>
      <c r="O346" s="779" t="s">
        <v>707</v>
      </c>
    </row>
    <row r="347">
      <c r="A347" s="780">
        <f>IFERROR(__xludf.DUMMYFUNCTION("FILTER($D$3:$H$122,$L$3:$L$122=E345)"),45986.0)</f>
        <v>45986</v>
      </c>
      <c r="B347" s="781">
        <f>IFERROR(__xludf.DUMMYFUNCTION("""COMPUTED_VALUE"""),2884255.0)</f>
        <v>2884255</v>
      </c>
      <c r="C347" s="781" t="str">
        <f>IFERROR(__xludf.DUMMYFUNCTION("""COMPUTED_VALUE"""),"Belcamp, MD, 21017")</f>
        <v>Belcamp, MD, 21017</v>
      </c>
      <c r="D347" s="781" t="str">
        <f>IFERROR(__xludf.DUMMYFUNCTION("""COMPUTED_VALUE"""),"Mars Hill, ME, 04758")</f>
        <v>Mars Hill, ME, 04758</v>
      </c>
      <c r="E347" s="782">
        <f>IFERROR(__xludf.DUMMYFUNCTION("""COMPUTED_VALUE"""),2185.0)</f>
        <v>2185</v>
      </c>
      <c r="F347" s="783">
        <v>0.88</v>
      </c>
      <c r="G347" s="782">
        <f t="shared" ref="G347:G349" si="13">E347*F347</f>
        <v>1922.8</v>
      </c>
      <c r="H347" s="283"/>
      <c r="I347" s="880">
        <f>IFERROR(__xludf.DUMMYFUNCTION("FILTER($D$3:$G$122,$L$3:$L$122=M345)"),45986.0)</f>
        <v>45986</v>
      </c>
      <c r="J347" s="880">
        <f>IFERROR(__xludf.DUMMYFUNCTION("""COMPUTED_VALUE"""),2884255.0)</f>
        <v>2884255</v>
      </c>
      <c r="K347" s="880" t="str">
        <f>IFERROR(__xludf.DUMMYFUNCTION("""COMPUTED_VALUE"""),"Belcamp, MD, 21017")</f>
        <v>Belcamp, MD, 21017</v>
      </c>
      <c r="L347" s="880" t="str">
        <f>IFERROR(__xludf.DUMMYFUNCTION("""COMPUTED_VALUE"""),"Mars Hill, ME, 04758")</f>
        <v>Mars Hill, ME, 04758</v>
      </c>
      <c r="M347" s="880">
        <f>IFERROR(__xludf.DUMMYFUNCTION("FILTER($I$3:$I$122,$L$3:$L$122=M345)"),847.0)</f>
        <v>847</v>
      </c>
      <c r="N347" s="861">
        <v>0.65</v>
      </c>
      <c r="O347" s="863">
        <f t="shared" ref="O347:O349" si="14">M347*N347</f>
        <v>550.55</v>
      </c>
    </row>
    <row r="348">
      <c r="A348" s="780">
        <f>IFERROR(__xludf.DUMMYFUNCTION("""COMPUTED_VALUE"""),45987.0)</f>
        <v>45987</v>
      </c>
      <c r="B348" s="781">
        <f>IFERROR(__xludf.DUMMYFUNCTION("""COMPUTED_VALUE"""),1.26138229E8)</f>
        <v>126138229</v>
      </c>
      <c r="C348" s="781" t="str">
        <f>IFERROR(__xludf.DUMMYFUNCTION("""COMPUTED_VALUE"""),"Fort Fairfield, ME, 04742")</f>
        <v>Fort Fairfield, ME, 04742</v>
      </c>
      <c r="D348" s="781" t="str">
        <f>IFERROR(__xludf.DUMMYFUNCTION("""COMPUTED_VALUE"""),", SC, 29455")</f>
        <v>, SC, 29455</v>
      </c>
      <c r="E348" s="782">
        <f>IFERROR(__xludf.DUMMYFUNCTION("""COMPUTED_VALUE"""),2500.0)</f>
        <v>2500</v>
      </c>
      <c r="F348" s="783">
        <v>0.88</v>
      </c>
      <c r="G348" s="782">
        <f t="shared" si="13"/>
        <v>2200</v>
      </c>
      <c r="H348" s="283"/>
      <c r="I348" s="880">
        <f>IFERROR(__xludf.DUMMYFUNCTION("""COMPUTED_VALUE"""),45987.0)</f>
        <v>45987</v>
      </c>
      <c r="J348" s="880">
        <f>IFERROR(__xludf.DUMMYFUNCTION("""COMPUTED_VALUE"""),1.26138229E8)</f>
        <v>126138229</v>
      </c>
      <c r="K348" s="880" t="str">
        <f>IFERROR(__xludf.DUMMYFUNCTION("""COMPUTED_VALUE"""),"Fort Fairfield, ME, 04742")</f>
        <v>Fort Fairfield, ME, 04742</v>
      </c>
      <c r="L348" s="880" t="str">
        <f>IFERROR(__xludf.DUMMYFUNCTION("""COMPUTED_VALUE"""),", SC, 29455")</f>
        <v>, SC, 29455</v>
      </c>
      <c r="M348" s="880">
        <f>IFERROR(__xludf.DUMMYFUNCTION("""COMPUTED_VALUE"""),1361.0)</f>
        <v>1361</v>
      </c>
      <c r="N348" s="861">
        <v>0.65</v>
      </c>
      <c r="O348" s="863">
        <f t="shared" si="14"/>
        <v>884.65</v>
      </c>
    </row>
    <row r="349">
      <c r="A349" s="883">
        <f>IFERROR(__xludf.DUMMYFUNCTION("""COMPUTED_VALUE"""),45990.0)</f>
        <v>45990</v>
      </c>
      <c r="B349" s="786" t="str">
        <f>IFERROR(__xludf.DUMMYFUNCTION("""COMPUTED_VALUE"""),"M282847")</f>
        <v>M282847</v>
      </c>
      <c r="C349" s="786" t="str">
        <f>IFERROR(__xludf.DUMMYFUNCTION("""COMPUTED_VALUE"""),"Clarkton, NC, 28433")</f>
        <v>Clarkton, NC, 28433</v>
      </c>
      <c r="D349" s="786" t="str">
        <f>IFERROR(__xludf.DUMMYFUNCTION("""COMPUTED_VALUE"""),"Spokane, WA, 99224")</f>
        <v>Spokane, WA, 99224</v>
      </c>
      <c r="E349" s="884">
        <f>IFERROR(__xludf.DUMMYFUNCTION("""COMPUTED_VALUE"""),5500.0)</f>
        <v>5500</v>
      </c>
      <c r="F349" s="783">
        <v>0.88</v>
      </c>
      <c r="G349" s="782">
        <f t="shared" si="13"/>
        <v>4840</v>
      </c>
      <c r="H349" s="283"/>
      <c r="I349" s="883">
        <f>IFERROR(__xludf.DUMMYFUNCTION("""COMPUTED_VALUE"""),45990.0)</f>
        <v>45990</v>
      </c>
      <c r="J349" s="786" t="str">
        <f>IFERROR(__xludf.DUMMYFUNCTION("""COMPUTED_VALUE"""),"M282847")</f>
        <v>M282847</v>
      </c>
      <c r="K349" s="786" t="str">
        <f>IFERROR(__xludf.DUMMYFUNCTION("""COMPUTED_VALUE"""),"Clarkton, NC, 28433")</f>
        <v>Clarkton, NC, 28433</v>
      </c>
      <c r="L349" s="786" t="str">
        <f>IFERROR(__xludf.DUMMYFUNCTION("""COMPUTED_VALUE"""),"Spokane, WA, 99224")</f>
        <v>Spokane, WA, 99224</v>
      </c>
      <c r="M349" s="785">
        <f>IFERROR(__xludf.DUMMYFUNCTION("""COMPUTED_VALUE"""),2810.0)</f>
        <v>2810</v>
      </c>
      <c r="N349" s="861">
        <v>0.65</v>
      </c>
      <c r="O349" s="863">
        <f t="shared" si="14"/>
        <v>1826.5</v>
      </c>
    </row>
    <row r="350">
      <c r="A350" s="785"/>
      <c r="B350" s="786"/>
      <c r="C350" s="786"/>
      <c r="D350" s="786"/>
      <c r="E350" s="785"/>
      <c r="F350" s="787"/>
      <c r="G350" s="788"/>
      <c r="H350" s="283"/>
      <c r="I350" s="785"/>
      <c r="J350" s="786"/>
      <c r="K350" s="786"/>
      <c r="L350" s="786"/>
      <c r="M350" s="785"/>
      <c r="N350" s="787"/>
      <c r="O350" s="789"/>
    </row>
    <row r="351">
      <c r="A351" s="785"/>
      <c r="B351" s="786"/>
      <c r="C351" s="786"/>
      <c r="D351" s="786"/>
      <c r="E351" s="785"/>
      <c r="F351" s="787"/>
      <c r="G351" s="788"/>
      <c r="H351" s="283"/>
      <c r="I351" s="785"/>
      <c r="J351" s="786"/>
      <c r="K351" s="786"/>
      <c r="L351" s="786"/>
      <c r="M351" s="785"/>
      <c r="N351" s="787"/>
      <c r="O351" s="789"/>
    </row>
    <row r="352">
      <c r="A352" s="785"/>
      <c r="B352" s="786"/>
      <c r="C352" s="786"/>
      <c r="D352" s="786"/>
      <c r="E352" s="785"/>
      <c r="F352" s="787"/>
      <c r="G352" s="788"/>
      <c r="H352" s="283"/>
      <c r="I352" s="785"/>
      <c r="J352" s="786"/>
      <c r="K352" s="786"/>
      <c r="L352" s="786"/>
      <c r="M352" s="785"/>
      <c r="N352" s="787"/>
      <c r="O352" s="789"/>
    </row>
    <row r="353">
      <c r="A353" s="790" t="s">
        <v>711</v>
      </c>
      <c r="B353" s="791"/>
      <c r="C353" s="791"/>
      <c r="D353" s="792"/>
      <c r="E353" s="793">
        <f>SUM(E347:E352)</f>
        <v>10185</v>
      </c>
      <c r="F353" s="794"/>
      <c r="G353" s="793">
        <f>SUM(G347:G352)</f>
        <v>8962.8</v>
      </c>
      <c r="H353" s="283"/>
      <c r="I353" s="790" t="s">
        <v>711</v>
      </c>
      <c r="J353" s="791"/>
      <c r="K353" s="791"/>
      <c r="L353" s="792"/>
      <c r="M353" s="877">
        <f>SUM(M347:M352)</f>
        <v>5018</v>
      </c>
      <c r="N353" s="794"/>
      <c r="O353" s="793">
        <f>SUM(O347:O352)</f>
        <v>3261.7</v>
      </c>
    </row>
    <row r="354">
      <c r="A354" s="796"/>
      <c r="D354" s="798"/>
      <c r="E354" s="798"/>
      <c r="F354" s="798"/>
      <c r="G354" s="878"/>
      <c r="H354" s="283"/>
      <c r="I354" s="796"/>
      <c r="L354" s="798"/>
      <c r="O354" s="799"/>
    </row>
    <row r="355">
      <c r="A355" s="800" t="s">
        <v>712</v>
      </c>
      <c r="B355" s="801"/>
      <c r="C355" s="802"/>
      <c r="D355" s="798"/>
      <c r="E355" s="798"/>
      <c r="F355" s="798"/>
      <c r="G355" s="878"/>
      <c r="H355" s="283"/>
      <c r="I355" s="800" t="s">
        <v>712</v>
      </c>
      <c r="J355" s="803"/>
      <c r="K355" s="804"/>
      <c r="O355" s="799"/>
    </row>
    <row r="356">
      <c r="A356" s="805" t="s">
        <v>1179</v>
      </c>
      <c r="B356" s="806"/>
      <c r="C356" s="900">
        <v>250.0</v>
      </c>
      <c r="D356" s="798"/>
      <c r="E356" s="798"/>
      <c r="F356" s="798"/>
      <c r="G356" s="878"/>
      <c r="H356" s="283"/>
      <c r="I356" s="805" t="s">
        <v>1179</v>
      </c>
      <c r="J356" s="808"/>
      <c r="K356" s="900">
        <v>250.0</v>
      </c>
      <c r="O356" s="799"/>
    </row>
    <row r="357">
      <c r="A357" s="868"/>
      <c r="B357" s="774"/>
      <c r="C357" s="816"/>
      <c r="D357" s="798"/>
      <c r="E357" s="798"/>
      <c r="F357" s="798"/>
      <c r="G357" s="878"/>
      <c r="H357" s="283"/>
      <c r="I357" s="868"/>
      <c r="J357" s="774"/>
      <c r="K357" s="816"/>
      <c r="O357" s="799"/>
    </row>
    <row r="358">
      <c r="A358" s="815"/>
      <c r="B358" s="792"/>
      <c r="C358" s="816"/>
      <c r="D358" s="798"/>
      <c r="E358" s="798"/>
      <c r="F358" s="798"/>
      <c r="G358" s="878"/>
      <c r="H358" s="283"/>
      <c r="I358" s="815"/>
      <c r="J358" s="792"/>
      <c r="K358" s="816"/>
      <c r="O358" s="799"/>
    </row>
    <row r="359">
      <c r="A359" s="817"/>
      <c r="B359" s="774"/>
      <c r="C359" s="818"/>
      <c r="D359" s="798"/>
      <c r="E359" s="798"/>
      <c r="F359" s="798"/>
      <c r="G359" s="878"/>
      <c r="H359" s="283"/>
      <c r="I359" s="817"/>
      <c r="J359" s="774"/>
      <c r="K359" s="818"/>
      <c r="O359" s="799"/>
    </row>
    <row r="360">
      <c r="A360" s="817"/>
      <c r="B360" s="792"/>
      <c r="C360" s="818"/>
      <c r="D360" s="885" t="s">
        <v>1181</v>
      </c>
      <c r="E360" s="886">
        <f>O365</f>
        <v>3261.7</v>
      </c>
      <c r="F360" s="798"/>
      <c r="G360" s="878"/>
      <c r="H360" s="283"/>
      <c r="I360" s="817"/>
      <c r="J360" s="792"/>
      <c r="K360" s="818"/>
      <c r="O360" s="799"/>
    </row>
    <row r="361">
      <c r="A361" s="821" t="s">
        <v>714</v>
      </c>
      <c r="B361" s="822"/>
      <c r="C361" s="823">
        <f>SUM(C356:C360)</f>
        <v>250</v>
      </c>
      <c r="D361" s="798"/>
      <c r="E361" s="798"/>
      <c r="F361" s="798"/>
      <c r="G361" s="878"/>
      <c r="H361" s="283"/>
      <c r="I361" s="821" t="s">
        <v>714</v>
      </c>
      <c r="J361" s="826"/>
      <c r="K361" s="827"/>
      <c r="O361" s="799"/>
    </row>
    <row r="362">
      <c r="A362" s="828"/>
      <c r="C362" s="829"/>
      <c r="D362" s="887" t="s">
        <v>657</v>
      </c>
      <c r="E362" s="888">
        <f>G365-E360</f>
        <v>1813.5</v>
      </c>
      <c r="F362" s="798"/>
      <c r="G362" s="878"/>
      <c r="H362" s="283"/>
      <c r="I362" s="828"/>
      <c r="K362" s="829"/>
      <c r="O362" s="799"/>
    </row>
    <row r="363">
      <c r="A363" s="830" t="s">
        <v>715</v>
      </c>
      <c r="B363" s="831"/>
      <c r="C363" s="832"/>
      <c r="D363" s="798"/>
      <c r="E363" s="798"/>
      <c r="F363" s="798"/>
      <c r="G363" s="878"/>
      <c r="H363" s="283"/>
      <c r="I363" s="833" t="s">
        <v>715</v>
      </c>
      <c r="J363" s="834"/>
      <c r="K363" s="835"/>
      <c r="O363" s="799"/>
    </row>
    <row r="364">
      <c r="A364" s="836" t="s">
        <v>716</v>
      </c>
      <c r="B364" s="837"/>
      <c r="C364" s="838">
        <v>150.0</v>
      </c>
      <c r="D364" s="798"/>
      <c r="E364" s="798"/>
      <c r="F364" s="798"/>
      <c r="G364" s="878"/>
      <c r="H364" s="283"/>
      <c r="I364" s="839"/>
      <c r="J364" s="840"/>
      <c r="K364" s="841"/>
      <c r="O364" s="799"/>
    </row>
    <row r="365">
      <c r="A365" s="842" t="s">
        <v>717</v>
      </c>
      <c r="B365" s="843"/>
      <c r="C365" s="844">
        <v>400.0</v>
      </c>
      <c r="D365" s="248"/>
      <c r="E365" s="845" t="s">
        <v>1182</v>
      </c>
      <c r="G365" s="846">
        <f>G353+C361-C370</f>
        <v>5075.2</v>
      </c>
      <c r="H365" s="283"/>
      <c r="I365" s="847"/>
      <c r="J365" s="848"/>
      <c r="K365" s="849"/>
      <c r="L365" s="248"/>
      <c r="M365" s="845" t="s">
        <v>1183</v>
      </c>
      <c r="O365" s="846">
        <f>O353+K361-K370</f>
        <v>3261.7</v>
      </c>
    </row>
    <row r="366">
      <c r="A366" s="836" t="s">
        <v>718</v>
      </c>
      <c r="B366" s="837"/>
      <c r="C366" s="838">
        <v>200.0</v>
      </c>
      <c r="G366" s="799"/>
      <c r="H366" s="283"/>
      <c r="I366" s="847"/>
      <c r="J366" s="848"/>
      <c r="K366" s="849"/>
      <c r="O366" s="799"/>
    </row>
    <row r="367">
      <c r="A367" s="842" t="s">
        <v>656</v>
      </c>
      <c r="B367" s="843"/>
      <c r="C367" s="844">
        <f>IFERROR(__xludf.DUMMYFUNCTION("FILTER($C$4:$C$30,$B$4:$B$30=E345)"),3387.6)</f>
        <v>3387.6</v>
      </c>
      <c r="G367" s="799"/>
      <c r="H367" s="283"/>
      <c r="I367" s="847"/>
      <c r="J367" s="848"/>
      <c r="K367" s="849"/>
      <c r="O367" s="799"/>
    </row>
    <row r="368">
      <c r="A368" s="850" t="s">
        <v>1184</v>
      </c>
      <c r="B368" s="851"/>
      <c r="C368" s="852"/>
      <c r="E368" s="248"/>
      <c r="G368" s="799"/>
      <c r="H368" s="283"/>
      <c r="I368" s="847"/>
      <c r="J368" s="848"/>
      <c r="K368" s="849"/>
      <c r="M368" s="248"/>
      <c r="O368" s="799"/>
    </row>
    <row r="369">
      <c r="A369" s="847"/>
      <c r="B369" s="848"/>
      <c r="C369" s="849"/>
      <c r="G369" s="799"/>
      <c r="H369" s="283"/>
      <c r="I369" s="847"/>
      <c r="J369" s="848"/>
      <c r="K369" s="849"/>
      <c r="O369" s="799"/>
    </row>
    <row r="370">
      <c r="A370" s="853" t="s">
        <v>721</v>
      </c>
      <c r="B370" s="854"/>
      <c r="C370" s="855">
        <f>SUM(C364:C369)</f>
        <v>4137.6</v>
      </c>
      <c r="G370" s="799"/>
      <c r="H370" s="283"/>
      <c r="I370" s="853" t="s">
        <v>721</v>
      </c>
      <c r="J370" s="854"/>
      <c r="K370" s="855"/>
      <c r="O370" s="799"/>
    </row>
    <row r="371">
      <c r="A371" s="856"/>
      <c r="B371" s="857"/>
      <c r="C371" s="857"/>
      <c r="D371" s="857"/>
      <c r="E371" s="857"/>
      <c r="F371" s="857"/>
      <c r="G371" s="808"/>
      <c r="H371" s="283"/>
      <c r="I371" s="856"/>
      <c r="J371" s="857"/>
      <c r="K371" s="857"/>
      <c r="L371" s="857"/>
      <c r="M371" s="857"/>
      <c r="N371" s="857"/>
      <c r="O371" s="808"/>
    </row>
    <row r="374">
      <c r="A374" s="769"/>
      <c r="B374" s="770"/>
      <c r="C374" s="770"/>
      <c r="D374" s="771" t="s">
        <v>700</v>
      </c>
      <c r="E374" s="772" t="str">
        <f>E126</f>
        <v>11.24.2025-11.30.2025</v>
      </c>
      <c r="F374" s="773"/>
      <c r="G374" s="774"/>
      <c r="H374" s="305">
        <v>9.0</v>
      </c>
      <c r="I374" s="769"/>
      <c r="J374" s="770"/>
      <c r="K374" s="770"/>
      <c r="L374" s="771" t="s">
        <v>700</v>
      </c>
      <c r="M374" s="772" t="str">
        <f>E126</f>
        <v>11.24.2025-11.30.2025</v>
      </c>
      <c r="N374" s="773"/>
      <c r="O374" s="774"/>
    </row>
    <row r="375">
      <c r="A375" s="775"/>
      <c r="D375" s="771" t="s">
        <v>702</v>
      </c>
      <c r="E375" s="772" t="str">
        <f t="array" ref="E375">XLOOKUP(E376,$Q$973:$Q$1008,$R$973:$R$1008)</f>
        <v>Neta Global Logistic LLC</v>
      </c>
      <c r="F375" s="773"/>
      <c r="G375" s="774"/>
      <c r="H375" s="776"/>
      <c r="I375" s="775"/>
      <c r="L375" s="771" t="s">
        <v>351</v>
      </c>
      <c r="M375" s="772" t="str">
        <f t="array" ref="M375">XLOOKUP(M376,$L$1:$L$122,$K$1:$K$122)</f>
        <v>BELLANE STENDER</v>
      </c>
      <c r="N375" s="773"/>
      <c r="O375" s="774"/>
    </row>
    <row r="376">
      <c r="A376" s="775"/>
      <c r="D376" s="771" t="s">
        <v>703</v>
      </c>
      <c r="E376" s="772">
        <v>9334.0</v>
      </c>
      <c r="F376" s="773"/>
      <c r="G376" s="774"/>
      <c r="H376" s="283"/>
      <c r="I376" s="775"/>
      <c r="L376" s="771" t="s">
        <v>703</v>
      </c>
      <c r="M376" s="772">
        <f>E376</f>
        <v>9334</v>
      </c>
      <c r="N376" s="773"/>
      <c r="O376" s="774"/>
    </row>
    <row r="377">
      <c r="A377" s="779" t="s">
        <v>704</v>
      </c>
      <c r="B377" s="779" t="s">
        <v>5</v>
      </c>
      <c r="C377" s="779" t="s">
        <v>6</v>
      </c>
      <c r="D377" s="779" t="s">
        <v>7</v>
      </c>
      <c r="E377" s="779" t="s">
        <v>8</v>
      </c>
      <c r="F377" s="779" t="s">
        <v>706</v>
      </c>
      <c r="G377" s="779" t="s">
        <v>707</v>
      </c>
      <c r="H377" s="34"/>
      <c r="I377" s="779" t="s">
        <v>704</v>
      </c>
      <c r="J377" s="779" t="s">
        <v>5</v>
      </c>
      <c r="K377" s="779" t="s">
        <v>6</v>
      </c>
      <c r="L377" s="779" t="s">
        <v>7</v>
      </c>
      <c r="M377" s="779" t="s">
        <v>1178</v>
      </c>
      <c r="N377" s="779" t="s">
        <v>839</v>
      </c>
      <c r="O377" s="779" t="s">
        <v>707</v>
      </c>
    </row>
    <row r="378">
      <c r="A378" s="780">
        <f>IFERROR(__xludf.DUMMYFUNCTION("FILTER($D$3:$H$122,$L$3:$L$122=E376)"),45985.0)</f>
        <v>45985</v>
      </c>
      <c r="B378" s="781">
        <f>IFERROR(__xludf.DUMMYFUNCTION("""COMPUTED_VALUE"""),1259248.0)</f>
        <v>1259248</v>
      </c>
      <c r="C378" s="781" t="str">
        <f>IFERROR(__xludf.DUMMYFUNCTION("""COMPUTED_VALUE"""),"Fort Worth, TX, 76131")</f>
        <v>Fort Worth, TX, 76131</v>
      </c>
      <c r="D378" s="781" t="str">
        <f>IFERROR(__xludf.DUMMYFUNCTION("""COMPUTED_VALUE"""),"Fountain, CO, 80817")</f>
        <v>Fountain, CO, 80817</v>
      </c>
      <c r="E378" s="782">
        <f>IFERROR(__xludf.DUMMYFUNCTION("""COMPUTED_VALUE"""),2000.0)</f>
        <v>2000</v>
      </c>
      <c r="F378" s="783">
        <v>0.88</v>
      </c>
      <c r="G378" s="782">
        <f t="shared" ref="G378:G380" si="15">E378*F378</f>
        <v>1760</v>
      </c>
      <c r="H378" s="283"/>
      <c r="I378" s="780">
        <f>IFERROR(__xludf.DUMMYFUNCTION("FILTER($D$3:$G$122,$L$3:$L$122=M376)"),45985.0)</f>
        <v>45985</v>
      </c>
      <c r="J378" s="781">
        <f>IFERROR(__xludf.DUMMYFUNCTION("""COMPUTED_VALUE"""),1259248.0)</f>
        <v>1259248</v>
      </c>
      <c r="K378" s="781" t="str">
        <f>IFERROR(__xludf.DUMMYFUNCTION("""COMPUTED_VALUE"""),"Fort Worth, TX, 76131")</f>
        <v>Fort Worth, TX, 76131</v>
      </c>
      <c r="L378" s="781" t="str">
        <f>IFERROR(__xludf.DUMMYFUNCTION("""COMPUTED_VALUE"""),"Fountain, CO, 80817")</f>
        <v>Fountain, CO, 80817</v>
      </c>
      <c r="M378" s="896">
        <f>IFERROR(__xludf.DUMMYFUNCTION("FILTER($I$3:$I$122,$L$3:$L$122=M376)"),774.0)</f>
        <v>774</v>
      </c>
      <c r="N378" s="781">
        <v>0.65</v>
      </c>
      <c r="O378" s="782">
        <f t="shared" ref="O378:O380" si="16">M378*N378</f>
        <v>503.1</v>
      </c>
    </row>
    <row r="379">
      <c r="A379" s="780">
        <f>IFERROR(__xludf.DUMMYFUNCTION("""COMPUTED_VALUE"""),45986.0)</f>
        <v>45986</v>
      </c>
      <c r="B379" s="781">
        <f>IFERROR(__xludf.DUMMYFUNCTION("""COMPUTED_VALUE"""),2026142.0)</f>
        <v>2026142</v>
      </c>
      <c r="C379" s="781" t="str">
        <f>IFERROR(__xludf.DUMMYFUNCTION("""COMPUTED_VALUE"""),"Lakewood, CO, 80215")</f>
        <v>Lakewood, CO, 80215</v>
      </c>
      <c r="D379" s="781" t="str">
        <f>IFERROR(__xludf.DUMMYFUNCTION("""COMPUTED_VALUE"""),"Salt Lake City, UT, 84116")</f>
        <v>Salt Lake City, UT, 84116</v>
      </c>
      <c r="E379" s="782">
        <f>IFERROR(__xludf.DUMMYFUNCTION("""COMPUTED_VALUE"""),750.0)</f>
        <v>750</v>
      </c>
      <c r="F379" s="783">
        <v>0.88</v>
      </c>
      <c r="G379" s="782">
        <f t="shared" si="15"/>
        <v>660</v>
      </c>
      <c r="H379" s="283"/>
      <c r="I379" s="881">
        <f>IFERROR(__xludf.DUMMYFUNCTION("""COMPUTED_VALUE"""),45986.0)</f>
        <v>45986</v>
      </c>
      <c r="J379" s="882">
        <f>IFERROR(__xludf.DUMMYFUNCTION("""COMPUTED_VALUE"""),2026142.0)</f>
        <v>2026142</v>
      </c>
      <c r="K379" s="882" t="str">
        <f>IFERROR(__xludf.DUMMYFUNCTION("""COMPUTED_VALUE"""),"Lakewood, CO, 80215")</f>
        <v>Lakewood, CO, 80215</v>
      </c>
      <c r="L379" s="882" t="str">
        <f>IFERROR(__xludf.DUMMYFUNCTION("""COMPUTED_VALUE"""),"Salt Lake City, UT, 84116")</f>
        <v>Salt Lake City, UT, 84116</v>
      </c>
      <c r="M379" s="880">
        <f>IFERROR(__xludf.DUMMYFUNCTION("""COMPUTED_VALUE"""),531.0)</f>
        <v>531</v>
      </c>
      <c r="N379" s="781">
        <v>0.65</v>
      </c>
      <c r="O379" s="782">
        <f t="shared" si="16"/>
        <v>345.15</v>
      </c>
    </row>
    <row r="380">
      <c r="A380" s="883">
        <f>IFERROR(__xludf.DUMMYFUNCTION("""COMPUTED_VALUE"""),45987.0)</f>
        <v>45987</v>
      </c>
      <c r="B380" s="786" t="str">
        <f>IFERROR(__xludf.DUMMYFUNCTION("""COMPUTED_VALUE"""),"EXP541159")</f>
        <v>EXP541159</v>
      </c>
      <c r="C380" s="786" t="str">
        <f>IFERROR(__xludf.DUMMYFUNCTION("""COMPUTED_VALUE"""),"Spanish Fork, UT, 84660")</f>
        <v>Spanish Fork, UT, 84660</v>
      </c>
      <c r="D380" s="786" t="str">
        <f>IFERROR(__xludf.DUMMYFUNCTION("""COMPUTED_VALUE"""),"Henderson, NC, 27537")</f>
        <v>Henderson, NC, 27537</v>
      </c>
      <c r="E380" s="884">
        <f>IFERROR(__xludf.DUMMYFUNCTION("""COMPUTED_VALUE"""),4100.0)</f>
        <v>4100</v>
      </c>
      <c r="F380" s="783">
        <v>0.88</v>
      </c>
      <c r="G380" s="782">
        <f t="shared" si="15"/>
        <v>3608</v>
      </c>
      <c r="H380" s="283"/>
      <c r="I380" s="883">
        <f>IFERROR(__xludf.DUMMYFUNCTION("""COMPUTED_VALUE"""),45987.0)</f>
        <v>45987</v>
      </c>
      <c r="J380" s="786" t="str">
        <f>IFERROR(__xludf.DUMMYFUNCTION("""COMPUTED_VALUE"""),"EXP541159")</f>
        <v>EXP541159</v>
      </c>
      <c r="K380" s="786" t="str">
        <f>IFERROR(__xludf.DUMMYFUNCTION("""COMPUTED_VALUE"""),"Spanish Fork, UT, 84660")</f>
        <v>Spanish Fork, UT, 84660</v>
      </c>
      <c r="L380" s="786" t="str">
        <f>IFERROR(__xludf.DUMMYFUNCTION("""COMPUTED_VALUE"""),"Henderson, NC, 27537")</f>
        <v>Henderson, NC, 27537</v>
      </c>
      <c r="M380" s="880">
        <f>IFERROR(__xludf.DUMMYFUNCTION("""COMPUTED_VALUE"""),2263.0)</f>
        <v>2263</v>
      </c>
      <c r="N380" s="781">
        <v>0.65</v>
      </c>
      <c r="O380" s="782">
        <f t="shared" si="16"/>
        <v>1470.95</v>
      </c>
    </row>
    <row r="381">
      <c r="A381" s="785"/>
      <c r="B381" s="786"/>
      <c r="C381" s="786"/>
      <c r="D381" s="786"/>
      <c r="E381" s="785"/>
      <c r="F381" s="787"/>
      <c r="G381" s="788"/>
      <c r="H381" s="283"/>
      <c r="I381" s="785"/>
      <c r="J381" s="786"/>
      <c r="K381" s="786"/>
      <c r="L381" s="786"/>
      <c r="M381" s="785"/>
      <c r="N381" s="787"/>
      <c r="O381" s="789"/>
    </row>
    <row r="382">
      <c r="A382" s="785"/>
      <c r="B382" s="786"/>
      <c r="C382" s="786"/>
      <c r="D382" s="786"/>
      <c r="E382" s="785"/>
      <c r="F382" s="787"/>
      <c r="G382" s="788"/>
      <c r="H382" s="283"/>
      <c r="I382" s="785"/>
      <c r="J382" s="786"/>
      <c r="K382" s="786"/>
      <c r="L382" s="786"/>
      <c r="M382" s="785"/>
      <c r="N382" s="787"/>
      <c r="O382" s="789"/>
    </row>
    <row r="383">
      <c r="A383" s="785"/>
      <c r="B383" s="786"/>
      <c r="C383" s="786"/>
      <c r="D383" s="786"/>
      <c r="E383" s="785"/>
      <c r="F383" s="787"/>
      <c r="G383" s="788"/>
      <c r="H383" s="283"/>
      <c r="I383" s="785"/>
      <c r="J383" s="786"/>
      <c r="K383" s="786"/>
      <c r="L383" s="786"/>
      <c r="M383" s="785"/>
      <c r="N383" s="787"/>
      <c r="O383" s="789"/>
    </row>
    <row r="384">
      <c r="A384" s="790" t="s">
        <v>711</v>
      </c>
      <c r="B384" s="791"/>
      <c r="C384" s="791"/>
      <c r="D384" s="792"/>
      <c r="E384" s="793">
        <f>SUM(E378:E383)</f>
        <v>6850</v>
      </c>
      <c r="F384" s="794"/>
      <c r="G384" s="793">
        <f>SUM(G378:G383)</f>
        <v>6028</v>
      </c>
      <c r="H384" s="283"/>
      <c r="I384" s="790" t="s">
        <v>711</v>
      </c>
      <c r="J384" s="791"/>
      <c r="K384" s="791"/>
      <c r="L384" s="792"/>
      <c r="M384" s="877">
        <f>SUM(M378:M383)</f>
        <v>3568</v>
      </c>
      <c r="N384" s="794"/>
      <c r="O384" s="793">
        <f>SUM(O378:O383)</f>
        <v>2319.2</v>
      </c>
      <c r="Q384" s="676">
        <v>3524.0</v>
      </c>
      <c r="R384" s="669" t="s">
        <v>1192</v>
      </c>
    </row>
    <row r="385">
      <c r="A385" s="796"/>
      <c r="D385" s="798"/>
      <c r="G385" s="799"/>
      <c r="H385" s="283"/>
      <c r="I385" s="796"/>
      <c r="L385" s="798"/>
      <c r="O385" s="799"/>
    </row>
    <row r="386">
      <c r="A386" s="800" t="s">
        <v>712</v>
      </c>
      <c r="B386" s="801"/>
      <c r="C386" s="802"/>
      <c r="G386" s="799"/>
      <c r="H386" s="283"/>
      <c r="I386" s="800" t="s">
        <v>712</v>
      </c>
      <c r="J386" s="803"/>
      <c r="K386" s="804"/>
      <c r="O386" s="799"/>
    </row>
    <row r="387">
      <c r="A387" s="902" t="s">
        <v>1179</v>
      </c>
      <c r="B387" s="806"/>
      <c r="C387" s="812">
        <v>250.0</v>
      </c>
      <c r="G387" s="799"/>
      <c r="H387" s="283"/>
      <c r="I387" s="902" t="s">
        <v>1179</v>
      </c>
      <c r="J387" s="808"/>
      <c r="K387" s="812">
        <v>250.0</v>
      </c>
      <c r="O387" s="799"/>
    </row>
    <row r="388">
      <c r="A388" s="868"/>
      <c r="B388" s="774"/>
      <c r="C388" s="816"/>
      <c r="G388" s="799"/>
      <c r="H388" s="283"/>
      <c r="I388" s="868"/>
      <c r="J388" s="774"/>
      <c r="K388" s="816"/>
      <c r="O388" s="799"/>
    </row>
    <row r="389">
      <c r="A389" s="815"/>
      <c r="B389" s="792"/>
      <c r="C389" s="816"/>
      <c r="G389" s="799"/>
      <c r="H389" s="283"/>
      <c r="I389" s="815"/>
      <c r="J389" s="792"/>
      <c r="K389" s="816"/>
      <c r="O389" s="799"/>
    </row>
    <row r="390">
      <c r="A390" s="817"/>
      <c r="B390" s="774"/>
      <c r="C390" s="818"/>
      <c r="G390" s="799"/>
      <c r="H390" s="283"/>
      <c r="I390" s="817"/>
      <c r="J390" s="774"/>
      <c r="K390" s="818"/>
      <c r="O390" s="799"/>
    </row>
    <row r="391">
      <c r="A391" s="817"/>
      <c r="B391" s="792"/>
      <c r="C391" s="818"/>
      <c r="G391" s="799"/>
      <c r="H391" s="283"/>
      <c r="I391" s="817"/>
      <c r="J391" s="792"/>
      <c r="K391" s="818"/>
      <c r="O391" s="799"/>
    </row>
    <row r="392">
      <c r="A392" s="821" t="s">
        <v>714</v>
      </c>
      <c r="B392" s="822"/>
      <c r="C392" s="823">
        <f>SUM(C387:C391)</f>
        <v>250</v>
      </c>
      <c r="G392" s="799"/>
      <c r="H392" s="283"/>
      <c r="I392" s="821" t="s">
        <v>714</v>
      </c>
      <c r="J392" s="826"/>
      <c r="K392" s="827">
        <f>SUM(K387:K391)</f>
        <v>250</v>
      </c>
      <c r="O392" s="799"/>
    </row>
    <row r="393">
      <c r="A393" s="828"/>
      <c r="C393" s="829"/>
      <c r="G393" s="799"/>
      <c r="H393" s="283"/>
      <c r="I393" s="828"/>
      <c r="K393" s="829"/>
      <c r="O393" s="799"/>
    </row>
    <row r="394">
      <c r="A394" s="830" t="s">
        <v>715</v>
      </c>
      <c r="B394" s="831"/>
      <c r="C394" s="832"/>
      <c r="G394" s="799"/>
      <c r="H394" s="283"/>
      <c r="I394" s="833" t="s">
        <v>715</v>
      </c>
      <c r="J394" s="834"/>
      <c r="K394" s="835"/>
      <c r="O394" s="799"/>
    </row>
    <row r="395">
      <c r="A395" s="836" t="s">
        <v>716</v>
      </c>
      <c r="B395" s="837"/>
      <c r="C395" s="838">
        <v>150.0</v>
      </c>
      <c r="G395" s="799"/>
      <c r="H395" s="283"/>
      <c r="I395" s="839"/>
      <c r="J395" s="840"/>
      <c r="K395" s="841"/>
      <c r="O395" s="799"/>
    </row>
    <row r="396">
      <c r="A396" s="842" t="s">
        <v>717</v>
      </c>
      <c r="B396" s="843"/>
      <c r="C396" s="844">
        <v>400.0</v>
      </c>
      <c r="D396" s="248"/>
      <c r="E396" s="845" t="s">
        <v>1182</v>
      </c>
      <c r="G396" s="846">
        <f>G384+C392-C401</f>
        <v>3593.59</v>
      </c>
      <c r="H396" s="283"/>
      <c r="I396" s="847"/>
      <c r="J396" s="848"/>
      <c r="K396" s="849"/>
      <c r="L396" s="248"/>
      <c r="M396" s="845" t="s">
        <v>1183</v>
      </c>
      <c r="O396" s="846">
        <f>O384+K392-K401</f>
        <v>2569.2</v>
      </c>
    </row>
    <row r="397">
      <c r="A397" s="836" t="s">
        <v>718</v>
      </c>
      <c r="B397" s="837"/>
      <c r="C397" s="838">
        <v>200.0</v>
      </c>
      <c r="G397" s="799"/>
      <c r="H397" s="283"/>
      <c r="I397" s="847"/>
      <c r="J397" s="848"/>
      <c r="K397" s="849"/>
      <c r="O397" s="799"/>
    </row>
    <row r="398">
      <c r="A398" s="842" t="s">
        <v>656</v>
      </c>
      <c r="B398" s="843"/>
      <c r="C398" s="844">
        <f>IFERROR(__xludf.DUMMYFUNCTION("FILTER($C$4:$C$30,$B$4:$B$30=E376)"),1934.41)</f>
        <v>1934.41</v>
      </c>
      <c r="G398" s="799"/>
      <c r="H398" s="283"/>
      <c r="I398" s="847"/>
      <c r="J398" s="848"/>
      <c r="K398" s="849"/>
      <c r="O398" s="799"/>
    </row>
    <row r="399">
      <c r="A399" s="850" t="s">
        <v>1184</v>
      </c>
      <c r="B399" s="851"/>
      <c r="C399" s="852"/>
      <c r="E399" s="248"/>
      <c r="G399" s="799"/>
      <c r="H399" s="283"/>
      <c r="I399" s="847"/>
      <c r="J399" s="848"/>
      <c r="K399" s="849"/>
      <c r="M399" s="248"/>
      <c r="O399" s="799"/>
    </row>
    <row r="400">
      <c r="A400" s="847"/>
      <c r="B400" s="848"/>
      <c r="C400" s="849"/>
      <c r="G400" s="799"/>
      <c r="H400" s="283"/>
      <c r="I400" s="847"/>
      <c r="J400" s="848"/>
      <c r="K400" s="849"/>
      <c r="O400" s="799"/>
    </row>
    <row r="401">
      <c r="A401" s="853" t="s">
        <v>721</v>
      </c>
      <c r="B401" s="854"/>
      <c r="C401" s="855">
        <f>SUM(C395:C400)</f>
        <v>2684.41</v>
      </c>
      <c r="G401" s="799"/>
      <c r="H401" s="283"/>
      <c r="I401" s="853" t="s">
        <v>721</v>
      </c>
      <c r="J401" s="854"/>
      <c r="K401" s="855"/>
      <c r="O401" s="799"/>
    </row>
    <row r="402">
      <c r="A402" s="856"/>
      <c r="B402" s="857"/>
      <c r="C402" s="857"/>
      <c r="D402" s="857"/>
      <c r="E402" s="857"/>
      <c r="F402" s="857"/>
      <c r="G402" s="808"/>
      <c r="H402" s="283"/>
      <c r="I402" s="856"/>
      <c r="J402" s="857"/>
      <c r="K402" s="857"/>
      <c r="L402" s="857"/>
      <c r="M402" s="857"/>
      <c r="N402" s="857"/>
      <c r="O402" s="808"/>
    </row>
    <row r="405">
      <c r="A405" s="769"/>
      <c r="B405" s="770"/>
      <c r="C405" s="770"/>
      <c r="D405" s="771" t="s">
        <v>700</v>
      </c>
      <c r="E405" s="772" t="str">
        <f>E126</f>
        <v>11.24.2025-11.30.2025</v>
      </c>
      <c r="F405" s="773"/>
      <c r="G405" s="774"/>
      <c r="H405" s="305">
        <v>10.0</v>
      </c>
      <c r="I405" s="769"/>
      <c r="J405" s="770"/>
      <c r="K405" s="770"/>
      <c r="L405" s="771" t="s">
        <v>700</v>
      </c>
      <c r="M405" s="772" t="str">
        <f>E126</f>
        <v>11.24.2025-11.30.2025</v>
      </c>
      <c r="N405" s="773"/>
      <c r="O405" s="774"/>
    </row>
    <row r="406">
      <c r="A406" s="775"/>
      <c r="D406" s="771" t="s">
        <v>702</v>
      </c>
      <c r="E406" s="772" t="str">
        <f t="array" ref="E406">XLOOKUP(E407,$Q$973:$Q$1008,$R$973:$R$1008)</f>
        <v>Skyhill LLC</v>
      </c>
      <c r="F406" s="773"/>
      <c r="G406" s="774"/>
      <c r="H406" s="776"/>
      <c r="I406" s="775"/>
      <c r="L406" s="771" t="s">
        <v>351</v>
      </c>
      <c r="M406" s="772" t="str">
        <f t="array" ref="M406">XLOOKUP(M407,$L$1:$L$122,$K$1:$K$122)</f>
        <v>KESNY METELUS</v>
      </c>
      <c r="N406" s="773"/>
      <c r="O406" s="774"/>
    </row>
    <row r="407">
      <c r="A407" s="775"/>
      <c r="D407" s="771" t="s">
        <v>703</v>
      </c>
      <c r="E407" s="772">
        <v>2890.0</v>
      </c>
      <c r="F407" s="773"/>
      <c r="G407" s="774"/>
      <c r="H407" s="283"/>
      <c r="I407" s="775"/>
      <c r="L407" s="771" t="s">
        <v>703</v>
      </c>
      <c r="M407" s="772">
        <f>E407</f>
        <v>2890</v>
      </c>
      <c r="N407" s="773"/>
      <c r="O407" s="774"/>
    </row>
    <row r="408">
      <c r="A408" s="779" t="s">
        <v>704</v>
      </c>
      <c r="B408" s="779" t="s">
        <v>5</v>
      </c>
      <c r="C408" s="779" t="s">
        <v>6</v>
      </c>
      <c r="D408" s="779" t="s">
        <v>7</v>
      </c>
      <c r="E408" s="779" t="s">
        <v>8</v>
      </c>
      <c r="F408" s="779" t="s">
        <v>706</v>
      </c>
      <c r="G408" s="779" t="s">
        <v>707</v>
      </c>
      <c r="H408" s="34"/>
      <c r="I408" s="779" t="s">
        <v>704</v>
      </c>
      <c r="J408" s="779" t="s">
        <v>5</v>
      </c>
      <c r="K408" s="779" t="s">
        <v>6</v>
      </c>
      <c r="L408" s="779" t="s">
        <v>7</v>
      </c>
      <c r="M408" s="779" t="s">
        <v>1178</v>
      </c>
      <c r="N408" s="779" t="s">
        <v>839</v>
      </c>
      <c r="O408" s="779" t="s">
        <v>707</v>
      </c>
    </row>
    <row r="409">
      <c r="A409" s="780">
        <f>IFERROR(__xludf.DUMMYFUNCTION("FILTER($D$3:$H$122,$L$3:$L$122=E407)"),45986.0)</f>
        <v>45986</v>
      </c>
      <c r="B409" s="781">
        <f>IFERROR(__xludf.DUMMYFUNCTION("""COMPUTED_VALUE"""),170800.0)</f>
        <v>170800</v>
      </c>
      <c r="C409" s="781" t="str">
        <f>IFERROR(__xludf.DUMMYFUNCTION("""COMPUTED_VALUE"""),"Lancaster, PA, 17601")</f>
        <v>Lancaster, PA, 17601</v>
      </c>
      <c r="D409" s="781" t="str">
        <f>IFERROR(__xludf.DUMMYFUNCTION("""COMPUTED_VALUE"""),"Fort Pierce, FL, 34981")</f>
        <v>Fort Pierce, FL, 34981</v>
      </c>
      <c r="E409" s="782">
        <f>IFERROR(__xludf.DUMMYFUNCTION("""COMPUTED_VALUE"""),2300.0)</f>
        <v>2300</v>
      </c>
      <c r="F409" s="783">
        <v>0.88</v>
      </c>
      <c r="G409" s="782">
        <f>E409*F409</f>
        <v>2024</v>
      </c>
      <c r="H409" s="283"/>
      <c r="I409" s="860">
        <f>IFERROR(__xludf.DUMMYFUNCTION("FILTER($D$3:$G$122,$L$3:$L$122=M407)"),45986.0)</f>
        <v>45986</v>
      </c>
      <c r="J409" s="861">
        <f>IFERROR(__xludf.DUMMYFUNCTION("""COMPUTED_VALUE"""),170800.0)</f>
        <v>170800</v>
      </c>
      <c r="K409" s="861" t="str">
        <f>IFERROR(__xludf.DUMMYFUNCTION("""COMPUTED_VALUE"""),"Lancaster, PA, 17601")</f>
        <v>Lancaster, PA, 17601</v>
      </c>
      <c r="L409" s="861" t="str">
        <f>IFERROR(__xludf.DUMMYFUNCTION("""COMPUTED_VALUE"""),"Fort Pierce, FL, 34981")</f>
        <v>Fort Pierce, FL, 34981</v>
      </c>
      <c r="M409" s="784">
        <f>IFERROR(__xludf.DUMMYFUNCTION("FILTER($I$3:$I$122,$L$3:$L$122=M407)"),1079.0)</f>
        <v>1079</v>
      </c>
      <c r="N409" s="861">
        <v>0.65</v>
      </c>
      <c r="O409" s="863">
        <f>M409*N409</f>
        <v>701.35</v>
      </c>
    </row>
    <row r="410">
      <c r="A410" s="780"/>
      <c r="B410" s="781"/>
      <c r="C410" s="781"/>
      <c r="D410" s="781"/>
      <c r="E410" s="782"/>
      <c r="F410" s="783"/>
      <c r="G410" s="782"/>
      <c r="H410" s="283"/>
      <c r="I410" s="780"/>
      <c r="J410" s="781"/>
      <c r="K410" s="781"/>
      <c r="L410" s="781"/>
      <c r="M410" s="782"/>
      <c r="N410" s="783"/>
      <c r="O410" s="789"/>
    </row>
    <row r="411">
      <c r="A411" s="785"/>
      <c r="B411" s="786"/>
      <c r="C411" s="786"/>
      <c r="D411" s="786"/>
      <c r="E411" s="785"/>
      <c r="F411" s="787"/>
      <c r="G411" s="788"/>
      <c r="H411" s="283"/>
      <c r="I411" s="785"/>
      <c r="J411" s="786"/>
      <c r="K411" s="786"/>
      <c r="L411" s="786"/>
      <c r="M411" s="785"/>
      <c r="N411" s="787"/>
      <c r="O411" s="789"/>
    </row>
    <row r="412">
      <c r="A412" s="785"/>
      <c r="B412" s="786"/>
      <c r="C412" s="786"/>
      <c r="D412" s="786"/>
      <c r="E412" s="785"/>
      <c r="F412" s="787"/>
      <c r="G412" s="788"/>
      <c r="H412" s="283"/>
      <c r="I412" s="785"/>
      <c r="J412" s="786"/>
      <c r="K412" s="786"/>
      <c r="L412" s="786"/>
      <c r="M412" s="785"/>
      <c r="N412" s="787"/>
      <c r="O412" s="789"/>
    </row>
    <row r="413">
      <c r="A413" s="785"/>
      <c r="B413" s="786"/>
      <c r="C413" s="786"/>
      <c r="D413" s="786"/>
      <c r="E413" s="785"/>
      <c r="F413" s="787"/>
      <c r="G413" s="788"/>
      <c r="H413" s="283"/>
      <c r="I413" s="785"/>
      <c r="J413" s="786"/>
      <c r="K413" s="786"/>
      <c r="L413" s="786"/>
      <c r="M413" s="785"/>
      <c r="N413" s="787"/>
      <c r="O413" s="789"/>
    </row>
    <row r="414">
      <c r="A414" s="785"/>
      <c r="B414" s="786"/>
      <c r="C414" s="786"/>
      <c r="D414" s="786"/>
      <c r="E414" s="785"/>
      <c r="F414" s="787"/>
      <c r="G414" s="788"/>
      <c r="H414" s="283"/>
      <c r="I414" s="785"/>
      <c r="J414" s="786"/>
      <c r="K414" s="786"/>
      <c r="L414" s="786"/>
      <c r="M414" s="785"/>
      <c r="N414" s="787"/>
      <c r="O414" s="789"/>
    </row>
    <row r="415">
      <c r="A415" s="790" t="s">
        <v>711</v>
      </c>
      <c r="B415" s="791"/>
      <c r="C415" s="791"/>
      <c r="D415" s="792"/>
      <c r="E415" s="793">
        <f>SUM(E409:E414)</f>
        <v>2300</v>
      </c>
      <c r="F415" s="794"/>
      <c r="G415" s="793">
        <f>SUM(G409:G414)</f>
        <v>2024</v>
      </c>
      <c r="H415" s="283"/>
      <c r="I415" s="790" t="s">
        <v>711</v>
      </c>
      <c r="J415" s="791"/>
      <c r="K415" s="791"/>
      <c r="L415" s="792"/>
      <c r="M415" s="877">
        <f>SUM(M409:M414)</f>
        <v>1079</v>
      </c>
      <c r="N415" s="794"/>
      <c r="O415" s="793">
        <f>SUM(O409:O414)</f>
        <v>701.35</v>
      </c>
      <c r="Q415" s="676">
        <v>1080.0</v>
      </c>
      <c r="R415" s="669" t="s">
        <v>1192</v>
      </c>
    </row>
    <row r="416">
      <c r="A416" s="796"/>
      <c r="D416" s="798"/>
      <c r="G416" s="799"/>
      <c r="H416" s="283"/>
      <c r="I416" s="796"/>
      <c r="L416" s="798"/>
      <c r="O416" s="799"/>
    </row>
    <row r="417">
      <c r="A417" s="800" t="s">
        <v>712</v>
      </c>
      <c r="B417" s="801"/>
      <c r="C417" s="802"/>
      <c r="G417" s="799"/>
      <c r="H417" s="283"/>
      <c r="I417" s="800" t="s">
        <v>712</v>
      </c>
      <c r="J417" s="803"/>
      <c r="K417" s="804"/>
      <c r="O417" s="799"/>
    </row>
    <row r="418">
      <c r="A418" s="902" t="s">
        <v>1179</v>
      </c>
      <c r="B418" s="806"/>
      <c r="C418" s="807">
        <v>250.0</v>
      </c>
      <c r="G418" s="799"/>
      <c r="H418" s="283"/>
      <c r="I418" s="902" t="s">
        <v>1179</v>
      </c>
      <c r="J418" s="808"/>
      <c r="K418" s="903">
        <v>250.0</v>
      </c>
      <c r="O418" s="799"/>
    </row>
    <row r="419">
      <c r="A419" s="868"/>
      <c r="B419" s="774"/>
      <c r="C419" s="816"/>
      <c r="G419" s="799"/>
      <c r="H419" s="283"/>
      <c r="I419" s="868"/>
      <c r="J419" s="774"/>
      <c r="K419" s="816"/>
      <c r="O419" s="799"/>
    </row>
    <row r="420">
      <c r="A420" s="815"/>
      <c r="B420" s="792"/>
      <c r="C420" s="816"/>
      <c r="G420" s="799"/>
      <c r="H420" s="283"/>
      <c r="I420" s="815"/>
      <c r="J420" s="792"/>
      <c r="K420" s="816"/>
      <c r="O420" s="799"/>
    </row>
    <row r="421">
      <c r="A421" s="817"/>
      <c r="B421" s="774"/>
      <c r="C421" s="818"/>
      <c r="G421" s="799"/>
      <c r="H421" s="283"/>
      <c r="I421" s="817"/>
      <c r="J421" s="774"/>
      <c r="K421" s="818"/>
      <c r="O421" s="799"/>
    </row>
    <row r="422">
      <c r="A422" s="817"/>
      <c r="B422" s="792"/>
      <c r="C422" s="818"/>
      <c r="G422" s="799"/>
      <c r="H422" s="283"/>
      <c r="I422" s="817"/>
      <c r="J422" s="792"/>
      <c r="K422" s="818"/>
      <c r="O422" s="799"/>
    </row>
    <row r="423">
      <c r="A423" s="821" t="s">
        <v>714</v>
      </c>
      <c r="B423" s="822"/>
      <c r="C423" s="823">
        <f>SUM(C418:C422)</f>
        <v>250</v>
      </c>
      <c r="G423" s="799"/>
      <c r="H423" s="283"/>
      <c r="I423" s="821" t="s">
        <v>714</v>
      </c>
      <c r="J423" s="826"/>
      <c r="K423" s="823">
        <f>SUM(K418:K422)</f>
        <v>250</v>
      </c>
      <c r="O423" s="799"/>
    </row>
    <row r="424">
      <c r="A424" s="828"/>
      <c r="C424" s="829"/>
      <c r="G424" s="799"/>
      <c r="H424" s="283"/>
      <c r="I424" s="828"/>
      <c r="K424" s="829"/>
      <c r="O424" s="799"/>
    </row>
    <row r="425">
      <c r="A425" s="830" t="s">
        <v>715</v>
      </c>
      <c r="B425" s="831"/>
      <c r="C425" s="832"/>
      <c r="G425" s="799"/>
      <c r="H425" s="283"/>
      <c r="I425" s="833" t="s">
        <v>715</v>
      </c>
      <c r="J425" s="834"/>
      <c r="K425" s="835"/>
      <c r="O425" s="799"/>
    </row>
    <row r="426">
      <c r="A426" s="836" t="s">
        <v>716</v>
      </c>
      <c r="B426" s="837"/>
      <c r="C426" s="838">
        <v>150.0</v>
      </c>
      <c r="G426" s="799"/>
      <c r="H426" s="283"/>
      <c r="I426" s="839"/>
      <c r="J426" s="840"/>
      <c r="K426" s="841"/>
      <c r="O426" s="799"/>
    </row>
    <row r="427">
      <c r="A427" s="842" t="s">
        <v>717</v>
      </c>
      <c r="B427" s="843"/>
      <c r="C427" s="844">
        <v>400.0</v>
      </c>
      <c r="D427" s="248"/>
      <c r="E427" s="845" t="s">
        <v>1182</v>
      </c>
      <c r="G427" s="846">
        <f>G415+C423-C432</f>
        <v>163.4</v>
      </c>
      <c r="H427" s="283"/>
      <c r="I427" s="847"/>
      <c r="J427" s="848"/>
      <c r="K427" s="849"/>
      <c r="L427" s="248"/>
      <c r="M427" s="845" t="s">
        <v>1183</v>
      </c>
      <c r="O427" s="846">
        <f>O415+K423-K432</f>
        <v>951.35</v>
      </c>
    </row>
    <row r="428">
      <c r="A428" s="836" t="s">
        <v>718</v>
      </c>
      <c r="B428" s="837"/>
      <c r="C428" s="838">
        <v>200.0</v>
      </c>
      <c r="G428" s="799"/>
      <c r="H428" s="283"/>
      <c r="I428" s="847"/>
      <c r="J428" s="848"/>
      <c r="K428" s="849"/>
      <c r="O428" s="799"/>
    </row>
    <row r="429">
      <c r="A429" s="842" t="s">
        <v>656</v>
      </c>
      <c r="B429" s="843"/>
      <c r="C429" s="844">
        <f>IFERROR(__xludf.DUMMYFUNCTION("FILTER($C$4:$C$30,$B$4:$B$30=E407)"),1094.4)</f>
        <v>1094.4</v>
      </c>
      <c r="G429" s="799"/>
      <c r="H429" s="283"/>
      <c r="I429" s="847"/>
      <c r="J429" s="848"/>
      <c r="K429" s="849"/>
      <c r="O429" s="799"/>
    </row>
    <row r="430">
      <c r="A430" s="850" t="s">
        <v>1184</v>
      </c>
      <c r="B430" s="851"/>
      <c r="C430" s="852"/>
      <c r="E430" s="248"/>
      <c r="G430" s="799"/>
      <c r="H430" s="283"/>
      <c r="I430" s="847"/>
      <c r="J430" s="848"/>
      <c r="K430" s="849"/>
      <c r="M430" s="248"/>
      <c r="O430" s="799"/>
    </row>
    <row r="431">
      <c r="A431" s="904" t="s">
        <v>1193</v>
      </c>
      <c r="B431" s="905"/>
      <c r="C431" s="906">
        <v>266.2</v>
      </c>
      <c r="G431" s="799"/>
      <c r="H431" s="283"/>
      <c r="I431" s="847"/>
      <c r="J431" s="848"/>
      <c r="K431" s="849"/>
      <c r="O431" s="799"/>
    </row>
    <row r="432">
      <c r="A432" s="853" t="s">
        <v>721</v>
      </c>
      <c r="B432" s="854"/>
      <c r="C432" s="855">
        <f>SUM(C426:C431)</f>
        <v>2110.6</v>
      </c>
      <c r="G432" s="799"/>
      <c r="H432" s="283"/>
      <c r="I432" s="853" t="s">
        <v>721</v>
      </c>
      <c r="J432" s="854"/>
      <c r="K432" s="855"/>
      <c r="O432" s="799"/>
    </row>
    <row r="433">
      <c r="A433" s="856"/>
      <c r="B433" s="857"/>
      <c r="C433" s="857"/>
      <c r="D433" s="857"/>
      <c r="E433" s="857"/>
      <c r="F433" s="857"/>
      <c r="G433" s="808"/>
      <c r="H433" s="283"/>
      <c r="I433" s="856"/>
      <c r="J433" s="857"/>
      <c r="K433" s="857"/>
      <c r="L433" s="857"/>
      <c r="M433" s="857"/>
      <c r="N433" s="857"/>
      <c r="O433" s="808"/>
    </row>
    <row r="436">
      <c r="A436" s="769"/>
      <c r="B436" s="770"/>
      <c r="C436" s="770"/>
      <c r="D436" s="771" t="s">
        <v>700</v>
      </c>
      <c r="E436" s="772" t="str">
        <f>E126</f>
        <v>11.24.2025-11.30.2025</v>
      </c>
      <c r="F436" s="773"/>
      <c r="G436" s="774"/>
      <c r="H436" s="305">
        <v>11.0</v>
      </c>
      <c r="I436" s="769"/>
      <c r="J436" s="770"/>
      <c r="K436" s="770"/>
      <c r="L436" s="771" t="s">
        <v>700</v>
      </c>
      <c r="M436" s="772" t="str">
        <f>E126</f>
        <v>11.24.2025-11.30.2025</v>
      </c>
      <c r="N436" s="773"/>
      <c r="O436" s="774"/>
    </row>
    <row r="437">
      <c r="A437" s="775"/>
      <c r="D437" s="771" t="s">
        <v>702</v>
      </c>
      <c r="E437" s="772" t="str">
        <f t="array" ref="E437">XLOOKUP(E438,$Q$973:$Q$1008,$R$973:$R$1008)</f>
        <v>Skyhill LLC</v>
      </c>
      <c r="F437" s="773"/>
      <c r="G437" s="774"/>
      <c r="H437" s="858"/>
      <c r="I437" s="775"/>
      <c r="L437" s="771" t="s">
        <v>351</v>
      </c>
      <c r="M437" s="772" t="str">
        <f t="array" ref="M437">XLOOKUP(M438,$L$1:$L$122,$K$1:$K$122)</f>
        <v>WILLIAMSON MONCHERY</v>
      </c>
      <c r="N437" s="773"/>
      <c r="O437" s="774"/>
    </row>
    <row r="438">
      <c r="A438" s="775"/>
      <c r="D438" s="771" t="s">
        <v>703</v>
      </c>
      <c r="E438" s="772">
        <v>2316.0</v>
      </c>
      <c r="F438" s="773"/>
      <c r="G438" s="774"/>
      <c r="H438" s="283"/>
      <c r="I438" s="775"/>
      <c r="L438" s="771" t="s">
        <v>703</v>
      </c>
      <c r="M438" s="772">
        <f>E438</f>
        <v>2316</v>
      </c>
      <c r="N438" s="773"/>
      <c r="O438" s="774"/>
    </row>
    <row r="439">
      <c r="A439" s="779" t="s">
        <v>704</v>
      </c>
      <c r="B439" s="779" t="s">
        <v>5</v>
      </c>
      <c r="C439" s="779" t="s">
        <v>6</v>
      </c>
      <c r="D439" s="779" t="s">
        <v>7</v>
      </c>
      <c r="E439" s="779" t="s">
        <v>8</v>
      </c>
      <c r="F439" s="779" t="s">
        <v>706</v>
      </c>
      <c r="G439" s="779" t="s">
        <v>707</v>
      </c>
      <c r="H439" s="34"/>
      <c r="I439" s="779" t="s">
        <v>704</v>
      </c>
      <c r="J439" s="779" t="s">
        <v>5</v>
      </c>
      <c r="K439" s="779" t="s">
        <v>6</v>
      </c>
      <c r="L439" s="779" t="s">
        <v>7</v>
      </c>
      <c r="M439" s="779" t="s">
        <v>1178</v>
      </c>
      <c r="N439" s="779" t="s">
        <v>839</v>
      </c>
      <c r="O439" s="779" t="s">
        <v>707</v>
      </c>
    </row>
    <row r="440">
      <c r="A440" s="780">
        <f>IFERROR(__xludf.DUMMYFUNCTION("FILTER($D$3:$H$122,$L$3:$L$122=E438)"),45987.0)</f>
        <v>45987</v>
      </c>
      <c r="B440" s="781">
        <f>IFERROR(__xludf.DUMMYFUNCTION("""COMPUTED_VALUE"""),6.5171572E7)</f>
        <v>65171572</v>
      </c>
      <c r="C440" s="781" t="str">
        <f>IFERROR(__xludf.DUMMYFUNCTION("""COMPUTED_VALUE"""),"Portland, OR, 97217")</f>
        <v>Portland, OR, 97217</v>
      </c>
      <c r="D440" s="781" t="str">
        <f>IFERROR(__xludf.DUMMYFUNCTION("""COMPUTED_VALUE"""),"Colonial Heights, VA, 23834")</f>
        <v>Colonial Heights, VA, 23834</v>
      </c>
      <c r="E440" s="782">
        <f>IFERROR(__xludf.DUMMYFUNCTION("""COMPUTED_VALUE"""),4700.0)</f>
        <v>4700</v>
      </c>
      <c r="F440" s="783">
        <v>0.88</v>
      </c>
      <c r="G440" s="782">
        <f>E440*F440</f>
        <v>4136</v>
      </c>
      <c r="H440" s="283"/>
      <c r="I440" s="780">
        <f>IFERROR(__xludf.DUMMYFUNCTION("FILTER($D$3:$G$122,$L$3:$L$122=M438)"),45987.0)</f>
        <v>45987</v>
      </c>
      <c r="J440" s="781">
        <f>IFERROR(__xludf.DUMMYFUNCTION("""COMPUTED_VALUE"""),6.5171572E7)</f>
        <v>65171572</v>
      </c>
      <c r="K440" s="781" t="str">
        <f>IFERROR(__xludf.DUMMYFUNCTION("""COMPUTED_VALUE"""),"Portland, OR, 97217")</f>
        <v>Portland, OR, 97217</v>
      </c>
      <c r="L440" s="781" t="str">
        <f>IFERROR(__xludf.DUMMYFUNCTION("""COMPUTED_VALUE"""),"Colonial Heights, VA, 23834")</f>
        <v>Colonial Heights, VA, 23834</v>
      </c>
      <c r="M440" s="784">
        <f>IFERROR(__xludf.DUMMYFUNCTION("FILTER($I$3:$I$122,$L$3:$L$122=M438)"),2887.0)</f>
        <v>2887</v>
      </c>
      <c r="N440" s="781">
        <v>0.65</v>
      </c>
      <c r="O440" s="782">
        <f>M440*N440</f>
        <v>1876.55</v>
      </c>
    </row>
    <row r="441">
      <c r="A441" s="780"/>
      <c r="B441" s="781"/>
      <c r="C441" s="781"/>
      <c r="D441" s="781"/>
      <c r="E441" s="782"/>
      <c r="F441" s="783"/>
      <c r="G441" s="782"/>
      <c r="H441" s="283"/>
      <c r="I441" s="780"/>
      <c r="J441" s="781"/>
      <c r="K441" s="781"/>
      <c r="L441" s="781"/>
      <c r="M441" s="782"/>
      <c r="N441" s="783"/>
      <c r="O441" s="789"/>
    </row>
    <row r="442">
      <c r="A442" s="785"/>
      <c r="B442" s="786"/>
      <c r="C442" s="786"/>
      <c r="D442" s="786"/>
      <c r="E442" s="785"/>
      <c r="F442" s="787"/>
      <c r="G442" s="788"/>
      <c r="H442" s="283"/>
      <c r="I442" s="785"/>
      <c r="J442" s="786"/>
      <c r="K442" s="786"/>
      <c r="L442" s="786"/>
      <c r="M442" s="785"/>
      <c r="N442" s="787"/>
      <c r="O442" s="789"/>
    </row>
    <row r="443">
      <c r="A443" s="785"/>
      <c r="B443" s="786"/>
      <c r="C443" s="786"/>
      <c r="D443" s="786"/>
      <c r="E443" s="785"/>
      <c r="F443" s="787"/>
      <c r="G443" s="788"/>
      <c r="H443" s="283"/>
      <c r="I443" s="785"/>
      <c r="J443" s="786"/>
      <c r="K443" s="786"/>
      <c r="L443" s="786"/>
      <c r="M443" s="785"/>
      <c r="N443" s="787"/>
      <c r="O443" s="789"/>
    </row>
    <row r="444">
      <c r="A444" s="785"/>
      <c r="B444" s="786"/>
      <c r="C444" s="786"/>
      <c r="D444" s="786"/>
      <c r="E444" s="785"/>
      <c r="F444" s="787"/>
      <c r="G444" s="788"/>
      <c r="H444" s="283"/>
      <c r="I444" s="785"/>
      <c r="J444" s="786"/>
      <c r="K444" s="786"/>
      <c r="L444" s="786"/>
      <c r="M444" s="785"/>
      <c r="N444" s="787"/>
      <c r="O444" s="789"/>
    </row>
    <row r="445">
      <c r="A445" s="785"/>
      <c r="B445" s="786"/>
      <c r="C445" s="786"/>
      <c r="D445" s="786"/>
      <c r="E445" s="785"/>
      <c r="F445" s="787"/>
      <c r="G445" s="788"/>
      <c r="H445" s="283"/>
      <c r="I445" s="785"/>
      <c r="J445" s="786"/>
      <c r="K445" s="786"/>
      <c r="L445" s="786"/>
      <c r="M445" s="785"/>
      <c r="N445" s="787"/>
      <c r="O445" s="789"/>
    </row>
    <row r="446">
      <c r="A446" s="790" t="s">
        <v>711</v>
      </c>
      <c r="B446" s="791"/>
      <c r="C446" s="791"/>
      <c r="D446" s="792"/>
      <c r="E446" s="793">
        <f>SUM(E440:E445)</f>
        <v>4700</v>
      </c>
      <c r="F446" s="794"/>
      <c r="G446" s="793">
        <f>SUM(G440:G445)</f>
        <v>4136</v>
      </c>
      <c r="H446" s="283"/>
      <c r="I446" s="790" t="s">
        <v>711</v>
      </c>
      <c r="J446" s="791"/>
      <c r="K446" s="791"/>
      <c r="L446" s="792"/>
      <c r="M446" s="877">
        <f>SUM(M440:M445)</f>
        <v>2887</v>
      </c>
      <c r="N446" s="794"/>
      <c r="O446" s="793">
        <f>SUM(O440:O445)</f>
        <v>1876.55</v>
      </c>
    </row>
    <row r="447">
      <c r="A447" s="796"/>
      <c r="D447" s="798"/>
      <c r="G447" s="799"/>
      <c r="H447" s="283"/>
      <c r="I447" s="796"/>
      <c r="L447" s="798"/>
      <c r="O447" s="799"/>
    </row>
    <row r="448">
      <c r="A448" s="800" t="s">
        <v>712</v>
      </c>
      <c r="B448" s="801"/>
      <c r="C448" s="802"/>
      <c r="G448" s="799"/>
      <c r="H448" s="283"/>
      <c r="I448" s="800" t="s">
        <v>712</v>
      </c>
      <c r="J448" s="803"/>
      <c r="K448" s="804"/>
      <c r="O448" s="799"/>
    </row>
    <row r="449">
      <c r="A449" s="902" t="s">
        <v>1179</v>
      </c>
      <c r="B449" s="806"/>
      <c r="C449" s="807">
        <v>250.0</v>
      </c>
      <c r="G449" s="799"/>
      <c r="H449" s="283"/>
      <c r="I449" s="902" t="s">
        <v>1179</v>
      </c>
      <c r="J449" s="808"/>
      <c r="K449" s="903">
        <v>250.0</v>
      </c>
      <c r="O449" s="799"/>
    </row>
    <row r="450">
      <c r="A450" s="868"/>
      <c r="B450" s="774"/>
      <c r="C450" s="816"/>
      <c r="G450" s="799"/>
      <c r="H450" s="283"/>
      <c r="I450" s="868"/>
      <c r="J450" s="774"/>
      <c r="K450" s="816"/>
      <c r="O450" s="799"/>
    </row>
    <row r="451">
      <c r="A451" s="815"/>
      <c r="B451" s="792"/>
      <c r="C451" s="816"/>
      <c r="G451" s="799"/>
      <c r="H451" s="283"/>
      <c r="I451" s="815"/>
      <c r="J451" s="792"/>
      <c r="K451" s="816"/>
      <c r="O451" s="799"/>
    </row>
    <row r="452">
      <c r="A452" s="817"/>
      <c r="B452" s="774"/>
      <c r="C452" s="818"/>
      <c r="G452" s="799"/>
      <c r="H452" s="283"/>
      <c r="I452" s="817"/>
      <c r="J452" s="774"/>
      <c r="K452" s="818"/>
      <c r="O452" s="799"/>
    </row>
    <row r="453">
      <c r="A453" s="817"/>
      <c r="B453" s="792"/>
      <c r="C453" s="818"/>
      <c r="G453" s="799"/>
      <c r="H453" s="283"/>
      <c r="I453" s="817"/>
      <c r="J453" s="792"/>
      <c r="K453" s="818"/>
      <c r="O453" s="799"/>
    </row>
    <row r="454">
      <c r="A454" s="821" t="s">
        <v>714</v>
      </c>
      <c r="B454" s="822"/>
      <c r="C454" s="823">
        <f>SUM(C449:C453)</f>
        <v>250</v>
      </c>
      <c r="G454" s="799"/>
      <c r="H454" s="283"/>
      <c r="I454" s="821" t="s">
        <v>714</v>
      </c>
      <c r="J454" s="826"/>
      <c r="K454" s="823">
        <f>SUM(K449:K453)</f>
        <v>250</v>
      </c>
      <c r="O454" s="799"/>
    </row>
    <row r="455">
      <c r="A455" s="828"/>
      <c r="C455" s="829"/>
      <c r="G455" s="799"/>
      <c r="H455" s="283"/>
      <c r="I455" s="828"/>
      <c r="K455" s="829"/>
      <c r="O455" s="799"/>
    </row>
    <row r="456">
      <c r="A456" s="830" t="s">
        <v>715</v>
      </c>
      <c r="B456" s="831"/>
      <c r="C456" s="832"/>
      <c r="G456" s="799"/>
      <c r="H456" s="283"/>
      <c r="I456" s="833" t="s">
        <v>715</v>
      </c>
      <c r="J456" s="834"/>
      <c r="K456" s="835"/>
      <c r="O456" s="799"/>
    </row>
    <row r="457">
      <c r="A457" s="836" t="s">
        <v>716</v>
      </c>
      <c r="B457" s="837"/>
      <c r="C457" s="838">
        <v>150.0</v>
      </c>
      <c r="G457" s="799"/>
      <c r="H457" s="283"/>
      <c r="I457" s="839"/>
      <c r="J457" s="840"/>
      <c r="K457" s="841"/>
      <c r="O457" s="799"/>
    </row>
    <row r="458">
      <c r="A458" s="842" t="s">
        <v>717</v>
      </c>
      <c r="B458" s="843"/>
      <c r="C458" s="844">
        <v>400.0</v>
      </c>
      <c r="D458" s="248"/>
      <c r="E458" s="845" t="s">
        <v>1182</v>
      </c>
      <c r="G458" s="846">
        <f>G446+C454-C463</f>
        <v>906.37</v>
      </c>
      <c r="H458" s="283"/>
      <c r="I458" s="847"/>
      <c r="J458" s="848"/>
      <c r="K458" s="849"/>
      <c r="L458" s="248"/>
      <c r="M458" s="845" t="s">
        <v>1183</v>
      </c>
      <c r="O458" s="846">
        <f>O446+K454-K463</f>
        <v>2126.55</v>
      </c>
    </row>
    <row r="459">
      <c r="A459" s="836" t="s">
        <v>718</v>
      </c>
      <c r="B459" s="837"/>
      <c r="C459" s="838">
        <v>200.0</v>
      </c>
      <c r="G459" s="799"/>
      <c r="H459" s="283"/>
      <c r="I459" s="847"/>
      <c r="J459" s="848"/>
      <c r="K459" s="849"/>
      <c r="O459" s="799"/>
    </row>
    <row r="460">
      <c r="A460" s="842" t="s">
        <v>656</v>
      </c>
      <c r="B460" s="843"/>
      <c r="C460" s="844">
        <f>IFERROR(__xludf.DUMMYFUNCTION("FILTER($C$4:$C$30,$B$4:$B$30=E438)"),2729.63)</f>
        <v>2729.63</v>
      </c>
      <c r="G460" s="799"/>
      <c r="H460" s="283"/>
      <c r="I460" s="847"/>
      <c r="J460" s="848"/>
      <c r="K460" s="849"/>
      <c r="O460" s="799"/>
    </row>
    <row r="461">
      <c r="A461" s="850" t="s">
        <v>1184</v>
      </c>
      <c r="B461" s="851"/>
      <c r="C461" s="852"/>
      <c r="E461" s="248"/>
      <c r="G461" s="799"/>
      <c r="H461" s="283"/>
      <c r="I461" s="847"/>
      <c r="J461" s="848"/>
      <c r="K461" s="849"/>
      <c r="M461" s="248"/>
      <c r="O461" s="799"/>
    </row>
    <row r="462">
      <c r="A462" s="847"/>
      <c r="B462" s="848"/>
      <c r="C462" s="849"/>
      <c r="G462" s="799"/>
      <c r="H462" s="283"/>
      <c r="I462" s="847"/>
      <c r="J462" s="848"/>
      <c r="K462" s="849"/>
      <c r="O462" s="799"/>
    </row>
    <row r="463">
      <c r="A463" s="853" t="s">
        <v>721</v>
      </c>
      <c r="B463" s="854"/>
      <c r="C463" s="855">
        <f>SUM(C457:C462)</f>
        <v>3479.63</v>
      </c>
      <c r="G463" s="799"/>
      <c r="H463" s="283"/>
      <c r="I463" s="853" t="s">
        <v>721</v>
      </c>
      <c r="J463" s="854"/>
      <c r="K463" s="855"/>
      <c r="O463" s="799"/>
    </row>
    <row r="464">
      <c r="A464" s="856"/>
      <c r="B464" s="857"/>
      <c r="C464" s="857"/>
      <c r="D464" s="857"/>
      <c r="E464" s="857"/>
      <c r="F464" s="857"/>
      <c r="G464" s="808"/>
      <c r="H464" s="283"/>
      <c r="I464" s="856"/>
      <c r="J464" s="857"/>
      <c r="K464" s="857"/>
      <c r="L464" s="857"/>
      <c r="M464" s="857"/>
      <c r="N464" s="857"/>
      <c r="O464" s="808"/>
    </row>
    <row r="467">
      <c r="A467" s="769"/>
      <c r="B467" s="770"/>
      <c r="C467" s="770"/>
      <c r="D467" s="771" t="s">
        <v>700</v>
      </c>
      <c r="E467" s="772" t="str">
        <f>E126</f>
        <v>11.24.2025-11.30.2025</v>
      </c>
      <c r="F467" s="773"/>
      <c r="G467" s="774"/>
      <c r="H467" s="305">
        <v>12.0</v>
      </c>
      <c r="I467" s="769"/>
      <c r="J467" s="770"/>
      <c r="K467" s="770"/>
      <c r="L467" s="771" t="s">
        <v>700</v>
      </c>
      <c r="M467" s="772" t="str">
        <f>E126</f>
        <v>11.24.2025-11.30.2025</v>
      </c>
      <c r="N467" s="773"/>
      <c r="O467" s="774"/>
    </row>
    <row r="468">
      <c r="A468" s="775"/>
      <c r="D468" s="771" t="s">
        <v>702</v>
      </c>
      <c r="E468" s="772" t="str">
        <f t="array" ref="E468">XLOOKUP(E469,$Q$973:$Q$1008,$R$973:$R$1008)</f>
        <v>EDT Logistics LLC</v>
      </c>
      <c r="F468" s="773"/>
      <c r="G468" s="774"/>
      <c r="H468" s="858"/>
      <c r="I468" s="775"/>
      <c r="L468" s="771" t="s">
        <v>351</v>
      </c>
      <c r="M468" s="772" t="str">
        <f t="array" ref="M468">XLOOKUP(M469,$L$1:$L$122,$K$1:$K$122)</f>
        <v>CHRISTOPHER ELIOTT NUNEZ</v>
      </c>
      <c r="N468" s="773"/>
      <c r="O468" s="774"/>
    </row>
    <row r="469">
      <c r="A469" s="775"/>
      <c r="D469" s="771" t="s">
        <v>703</v>
      </c>
      <c r="E469" s="772">
        <v>2774.0</v>
      </c>
      <c r="F469" s="773"/>
      <c r="G469" s="774"/>
      <c r="H469" s="283"/>
      <c r="I469" s="775"/>
      <c r="L469" s="771" t="s">
        <v>703</v>
      </c>
      <c r="M469" s="772">
        <f>E469</f>
        <v>2774</v>
      </c>
      <c r="N469" s="773"/>
      <c r="O469" s="774"/>
    </row>
    <row r="470">
      <c r="A470" s="779" t="s">
        <v>704</v>
      </c>
      <c r="B470" s="779" t="s">
        <v>5</v>
      </c>
      <c r="C470" s="779" t="s">
        <v>6</v>
      </c>
      <c r="D470" s="779" t="s">
        <v>7</v>
      </c>
      <c r="E470" s="779" t="s">
        <v>8</v>
      </c>
      <c r="F470" s="779" t="s">
        <v>706</v>
      </c>
      <c r="G470" s="779" t="s">
        <v>707</v>
      </c>
      <c r="H470" s="34"/>
      <c r="I470" s="779" t="s">
        <v>704</v>
      </c>
      <c r="J470" s="779" t="s">
        <v>5</v>
      </c>
      <c r="K470" s="779" t="s">
        <v>6</v>
      </c>
      <c r="L470" s="779" t="s">
        <v>7</v>
      </c>
      <c r="M470" s="779" t="s">
        <v>1178</v>
      </c>
      <c r="N470" s="779" t="s">
        <v>839</v>
      </c>
      <c r="O470" s="779" t="s">
        <v>707</v>
      </c>
    </row>
    <row r="471">
      <c r="A471" s="780">
        <f>IFERROR(__xludf.DUMMYFUNCTION("FILTER($D$3:$H$122,$L$3:$L$122=E469)"),45989.0)</f>
        <v>45989</v>
      </c>
      <c r="B471" s="781">
        <f>IFERROR(__xludf.DUMMYFUNCTION("""COMPUTED_VALUE"""),5.35457817E8)</f>
        <v>535457817</v>
      </c>
      <c r="C471" s="781" t="str">
        <f>IFERROR(__xludf.DUMMYFUNCTION("""COMPUTED_VALUE"""),"Pine Hill, AL, 36769")</f>
        <v>Pine Hill, AL, 36769</v>
      </c>
      <c r="D471" s="781" t="str">
        <f>IFERROR(__xludf.DUMMYFUNCTION("""COMPUTED_VALUE"""),"Shillington, PA, 19607")</f>
        <v>Shillington, PA, 19607</v>
      </c>
      <c r="E471" s="782">
        <f>IFERROR(__xludf.DUMMYFUNCTION("""COMPUTED_VALUE"""),2350.0)</f>
        <v>2350</v>
      </c>
      <c r="F471" s="783">
        <v>0.88</v>
      </c>
      <c r="G471" s="782">
        <f>E471*F471</f>
        <v>2068</v>
      </c>
      <c r="H471" s="283"/>
      <c r="I471" s="860">
        <f>IFERROR(__xludf.DUMMYFUNCTION("FILTER($D$3:$G$122,$L$3:$L$122=M469)"),45989.0)</f>
        <v>45989</v>
      </c>
      <c r="J471" s="861">
        <f>IFERROR(__xludf.DUMMYFUNCTION("""COMPUTED_VALUE"""),5.35457817E8)</f>
        <v>535457817</v>
      </c>
      <c r="K471" s="861" t="str">
        <f>IFERROR(__xludf.DUMMYFUNCTION("""COMPUTED_VALUE"""),"Pine Hill, AL, 36769")</f>
        <v>Pine Hill, AL, 36769</v>
      </c>
      <c r="L471" s="861" t="str">
        <f>IFERROR(__xludf.DUMMYFUNCTION("""COMPUTED_VALUE"""),"Shillington, PA, 19607")</f>
        <v>Shillington, PA, 19607</v>
      </c>
      <c r="M471" s="784">
        <f>IFERROR(__xludf.DUMMYFUNCTION("FILTER($I$3:$I$122,$L$3:$L$122=M469)"),1254.0)</f>
        <v>1254</v>
      </c>
      <c r="N471" s="861">
        <v>0.65</v>
      </c>
      <c r="O471" s="863">
        <f>M471*N471</f>
        <v>815.1</v>
      </c>
    </row>
    <row r="472">
      <c r="A472" s="780"/>
      <c r="B472" s="781"/>
      <c r="C472" s="781"/>
      <c r="D472" s="781"/>
      <c r="E472" s="782"/>
      <c r="F472" s="783"/>
      <c r="G472" s="782"/>
      <c r="H472" s="283"/>
      <c r="I472" s="907"/>
      <c r="J472" s="908"/>
      <c r="K472" s="908"/>
      <c r="L472" s="908"/>
      <c r="M472" s="909"/>
      <c r="N472" s="908"/>
      <c r="O472" s="910"/>
    </row>
    <row r="473">
      <c r="A473" s="785"/>
      <c r="B473" s="786"/>
      <c r="C473" s="786"/>
      <c r="D473" s="786"/>
      <c r="E473" s="785"/>
      <c r="F473" s="783"/>
      <c r="G473" s="782"/>
      <c r="H473" s="283"/>
      <c r="I473" s="911"/>
      <c r="J473" s="861"/>
      <c r="K473" s="861"/>
      <c r="L473" s="861"/>
      <c r="M473" s="911"/>
      <c r="N473" s="861"/>
      <c r="O473" s="863"/>
    </row>
    <row r="474">
      <c r="A474" s="785"/>
      <c r="B474" s="786"/>
      <c r="C474" s="786"/>
      <c r="D474" s="786"/>
      <c r="E474" s="785"/>
      <c r="F474" s="787"/>
      <c r="G474" s="788"/>
      <c r="H474" s="283"/>
      <c r="I474" s="785"/>
      <c r="J474" s="786"/>
      <c r="K474" s="786"/>
      <c r="L474" s="786"/>
      <c r="M474" s="785"/>
      <c r="N474" s="787"/>
      <c r="O474" s="789"/>
    </row>
    <row r="475">
      <c r="A475" s="785"/>
      <c r="B475" s="786"/>
      <c r="C475" s="786"/>
      <c r="D475" s="786"/>
      <c r="E475" s="785"/>
      <c r="F475" s="787"/>
      <c r="G475" s="788"/>
      <c r="H475" s="283"/>
      <c r="I475" s="785"/>
      <c r="J475" s="786"/>
      <c r="K475" s="786"/>
      <c r="L475" s="786"/>
      <c r="M475" s="785"/>
      <c r="N475" s="787"/>
      <c r="O475" s="789"/>
    </row>
    <row r="476">
      <c r="A476" s="785"/>
      <c r="B476" s="786"/>
      <c r="C476" s="786"/>
      <c r="D476" s="786"/>
      <c r="E476" s="785"/>
      <c r="F476" s="787"/>
      <c r="G476" s="788"/>
      <c r="H476" s="283"/>
      <c r="I476" s="785"/>
      <c r="J476" s="786"/>
      <c r="K476" s="786"/>
      <c r="L476" s="786"/>
      <c r="M476" s="785"/>
      <c r="N476" s="787"/>
      <c r="O476" s="789"/>
    </row>
    <row r="477">
      <c r="A477" s="790" t="s">
        <v>711</v>
      </c>
      <c r="B477" s="791"/>
      <c r="C477" s="791"/>
      <c r="D477" s="792"/>
      <c r="E477" s="793">
        <f>SUM(E471:E476)</f>
        <v>2350</v>
      </c>
      <c r="F477" s="794"/>
      <c r="G477" s="793">
        <f>SUM(G471:G476)</f>
        <v>2068</v>
      </c>
      <c r="H477" s="283"/>
      <c r="I477" s="790" t="s">
        <v>711</v>
      </c>
      <c r="J477" s="791"/>
      <c r="K477" s="791"/>
      <c r="L477" s="792"/>
      <c r="M477" s="877">
        <f>SUM(M471:M476)</f>
        <v>1254</v>
      </c>
      <c r="N477" s="794"/>
      <c r="O477" s="793">
        <f>SUM(O471:O476)</f>
        <v>815.1</v>
      </c>
    </row>
    <row r="478">
      <c r="A478" s="796"/>
      <c r="D478" s="798"/>
      <c r="G478" s="799"/>
      <c r="H478" s="283"/>
      <c r="I478" s="796"/>
      <c r="L478" s="798"/>
      <c r="O478" s="799"/>
    </row>
    <row r="479">
      <c r="A479" s="800" t="s">
        <v>712</v>
      </c>
      <c r="B479" s="801"/>
      <c r="C479" s="802"/>
      <c r="G479" s="799"/>
      <c r="H479" s="283"/>
      <c r="I479" s="800" t="s">
        <v>712</v>
      </c>
      <c r="J479" s="803"/>
      <c r="K479" s="804"/>
      <c r="O479" s="799"/>
    </row>
    <row r="480">
      <c r="A480" s="902" t="s">
        <v>1179</v>
      </c>
      <c r="B480" s="806"/>
      <c r="C480" s="807">
        <v>250.0</v>
      </c>
      <c r="G480" s="799"/>
      <c r="H480" s="283"/>
      <c r="I480" s="902" t="s">
        <v>1179</v>
      </c>
      <c r="J480" s="808"/>
      <c r="K480" s="903">
        <v>250.0</v>
      </c>
      <c r="O480" s="799"/>
    </row>
    <row r="481">
      <c r="A481" s="868"/>
      <c r="B481" s="774"/>
      <c r="C481" s="816"/>
      <c r="G481" s="799"/>
      <c r="H481" s="283"/>
      <c r="I481" s="868"/>
      <c r="J481" s="774"/>
      <c r="K481" s="816"/>
      <c r="O481" s="799"/>
    </row>
    <row r="482">
      <c r="A482" s="815"/>
      <c r="B482" s="792"/>
      <c r="C482" s="816"/>
      <c r="G482" s="799"/>
      <c r="H482" s="283"/>
      <c r="I482" s="815"/>
      <c r="J482" s="792"/>
      <c r="K482" s="816"/>
      <c r="O482" s="799"/>
    </row>
    <row r="483">
      <c r="A483" s="817"/>
      <c r="B483" s="774"/>
      <c r="C483" s="818"/>
      <c r="G483" s="799"/>
      <c r="H483" s="283"/>
      <c r="I483" s="817"/>
      <c r="J483" s="774"/>
      <c r="K483" s="818"/>
      <c r="O483" s="799"/>
    </row>
    <row r="484">
      <c r="A484" s="817"/>
      <c r="B484" s="792"/>
      <c r="C484" s="818"/>
      <c r="G484" s="799"/>
      <c r="H484" s="283"/>
      <c r="I484" s="817"/>
      <c r="J484" s="792"/>
      <c r="K484" s="818"/>
      <c r="O484" s="799"/>
    </row>
    <row r="485">
      <c r="A485" s="821" t="s">
        <v>714</v>
      </c>
      <c r="B485" s="822"/>
      <c r="C485" s="823">
        <f>SUM(C480:C484)</f>
        <v>250</v>
      </c>
      <c r="G485" s="799"/>
      <c r="H485" s="283"/>
      <c r="I485" s="821" t="s">
        <v>714</v>
      </c>
      <c r="J485" s="826"/>
      <c r="K485" s="823">
        <f>SUM(K480:K484)</f>
        <v>250</v>
      </c>
      <c r="O485" s="799"/>
    </row>
    <row r="486">
      <c r="A486" s="828"/>
      <c r="C486" s="829"/>
      <c r="G486" s="799"/>
      <c r="H486" s="283"/>
      <c r="I486" s="828"/>
      <c r="K486" s="829"/>
      <c r="O486" s="799"/>
    </row>
    <row r="487">
      <c r="A487" s="830" t="s">
        <v>715</v>
      </c>
      <c r="B487" s="831"/>
      <c r="C487" s="832"/>
      <c r="G487" s="799"/>
      <c r="H487" s="283"/>
      <c r="I487" s="833" t="s">
        <v>715</v>
      </c>
      <c r="J487" s="834"/>
      <c r="K487" s="835"/>
      <c r="O487" s="799"/>
    </row>
    <row r="488">
      <c r="A488" s="836" t="s">
        <v>716</v>
      </c>
      <c r="B488" s="837"/>
      <c r="C488" s="838">
        <v>150.0</v>
      </c>
      <c r="G488" s="799"/>
      <c r="H488" s="283"/>
      <c r="I488" s="839"/>
      <c r="J488" s="840"/>
      <c r="K488" s="841"/>
      <c r="O488" s="799"/>
    </row>
    <row r="489">
      <c r="A489" s="842" t="s">
        <v>717</v>
      </c>
      <c r="B489" s="843"/>
      <c r="C489" s="844">
        <v>400.0</v>
      </c>
      <c r="D489" s="248"/>
      <c r="E489" s="845" t="s">
        <v>1182</v>
      </c>
      <c r="G489" s="846">
        <f>G477+C485-C494</f>
        <v>594.18</v>
      </c>
      <c r="H489" s="283"/>
      <c r="I489" s="847"/>
      <c r="J489" s="848"/>
      <c r="K489" s="849"/>
      <c r="L489" s="248"/>
      <c r="M489" s="845" t="s">
        <v>1183</v>
      </c>
      <c r="O489" s="846">
        <f>O477+K485-K494</f>
        <v>1065.1</v>
      </c>
    </row>
    <row r="490">
      <c r="A490" s="836" t="s">
        <v>718</v>
      </c>
      <c r="B490" s="837"/>
      <c r="C490" s="838">
        <v>200.0</v>
      </c>
      <c r="G490" s="799"/>
      <c r="H490" s="283"/>
      <c r="I490" s="847"/>
      <c r="J490" s="848"/>
      <c r="K490" s="849"/>
      <c r="O490" s="799"/>
    </row>
    <row r="491">
      <c r="A491" s="842" t="s">
        <v>656</v>
      </c>
      <c r="B491" s="843"/>
      <c r="C491" s="844">
        <f>IFERROR(__xludf.DUMMYFUNCTION("FILTER($C$4:$C$30,$B$4:$B$30=E469)"),973.82)</f>
        <v>973.82</v>
      </c>
      <c r="G491" s="799"/>
      <c r="H491" s="283"/>
      <c r="I491" s="847"/>
      <c r="J491" s="848"/>
      <c r="K491" s="849"/>
      <c r="O491" s="799"/>
    </row>
    <row r="492">
      <c r="A492" s="850" t="s">
        <v>1184</v>
      </c>
      <c r="B492" s="851"/>
      <c r="C492" s="852"/>
      <c r="E492" s="248"/>
      <c r="G492" s="799"/>
      <c r="H492" s="283"/>
      <c r="I492" s="847"/>
      <c r="J492" s="848"/>
      <c r="K492" s="849"/>
      <c r="M492" s="248"/>
      <c r="O492" s="799"/>
    </row>
    <row r="493">
      <c r="A493" s="847"/>
      <c r="B493" s="848"/>
      <c r="C493" s="849"/>
      <c r="G493" s="799"/>
      <c r="H493" s="283"/>
      <c r="I493" s="847"/>
      <c r="J493" s="848"/>
      <c r="K493" s="849"/>
      <c r="O493" s="799"/>
    </row>
    <row r="494">
      <c r="A494" s="853" t="s">
        <v>721</v>
      </c>
      <c r="B494" s="854"/>
      <c r="C494" s="855">
        <f>SUM(C488:C493)</f>
        <v>1723.82</v>
      </c>
      <c r="G494" s="799"/>
      <c r="H494" s="283"/>
      <c r="I494" s="853" t="s">
        <v>721</v>
      </c>
      <c r="J494" s="854"/>
      <c r="K494" s="855"/>
      <c r="O494" s="799"/>
    </row>
    <row r="495">
      <c r="A495" s="856"/>
      <c r="B495" s="857"/>
      <c r="C495" s="857"/>
      <c r="D495" s="857"/>
      <c r="E495" s="857"/>
      <c r="F495" s="857"/>
      <c r="G495" s="808"/>
      <c r="H495" s="283"/>
      <c r="I495" s="856"/>
      <c r="J495" s="857"/>
      <c r="K495" s="857"/>
      <c r="L495" s="857"/>
      <c r="M495" s="857"/>
      <c r="N495" s="857"/>
      <c r="O495" s="808"/>
    </row>
    <row r="498">
      <c r="A498" s="769"/>
      <c r="B498" s="770"/>
      <c r="C498" s="770"/>
      <c r="D498" s="771" t="s">
        <v>700</v>
      </c>
      <c r="E498" s="772" t="str">
        <f>E126</f>
        <v>11.24.2025-11.30.2025</v>
      </c>
      <c r="F498" s="773"/>
      <c r="G498" s="774"/>
      <c r="H498" s="305">
        <v>13.0</v>
      </c>
      <c r="I498" s="769"/>
      <c r="J498" s="770"/>
      <c r="K498" s="770"/>
      <c r="L498" s="771" t="s">
        <v>700</v>
      </c>
      <c r="M498" s="772" t="str">
        <f>E126</f>
        <v>11.24.2025-11.30.2025</v>
      </c>
      <c r="N498" s="773"/>
      <c r="O498" s="774"/>
    </row>
    <row r="499">
      <c r="A499" s="775"/>
      <c r="D499" s="771" t="s">
        <v>702</v>
      </c>
      <c r="E499" s="772" t="str">
        <f t="array" ref="E499">XLOOKUP(E500,$Q$973:$Q$1008,$R$973:$R$1008)</f>
        <v>EDT Logistics LLC</v>
      </c>
      <c r="F499" s="773"/>
      <c r="G499" s="774"/>
      <c r="H499" s="858"/>
      <c r="I499" s="775"/>
      <c r="L499" s="771" t="s">
        <v>351</v>
      </c>
      <c r="M499" s="772" t="str">
        <f t="array" ref="M499">XLOOKUP(M500,$L$1:$L$122,$K$1:$K$122)</f>
        <v>GLADIMY JULME</v>
      </c>
      <c r="N499" s="773"/>
      <c r="O499" s="774"/>
    </row>
    <row r="500">
      <c r="A500" s="775"/>
      <c r="D500" s="771" t="s">
        <v>703</v>
      </c>
      <c r="E500" s="778" t="s">
        <v>973</v>
      </c>
      <c r="F500" s="773"/>
      <c r="G500" s="774"/>
      <c r="H500" s="283"/>
      <c r="I500" s="775"/>
      <c r="L500" s="771" t="s">
        <v>703</v>
      </c>
      <c r="M500" s="772" t="str">
        <f>E500</f>
        <v>0659</v>
      </c>
      <c r="N500" s="773"/>
      <c r="O500" s="774"/>
    </row>
    <row r="501">
      <c r="A501" s="779" t="s">
        <v>704</v>
      </c>
      <c r="B501" s="779" t="s">
        <v>5</v>
      </c>
      <c r="C501" s="779" t="s">
        <v>6</v>
      </c>
      <c r="D501" s="779" t="s">
        <v>7</v>
      </c>
      <c r="E501" s="779" t="s">
        <v>8</v>
      </c>
      <c r="F501" s="779" t="s">
        <v>706</v>
      </c>
      <c r="G501" s="779" t="s">
        <v>707</v>
      </c>
      <c r="H501" s="34"/>
      <c r="I501" s="779" t="s">
        <v>704</v>
      </c>
      <c r="J501" s="779" t="s">
        <v>5</v>
      </c>
      <c r="K501" s="779" t="s">
        <v>6</v>
      </c>
      <c r="L501" s="779" t="s">
        <v>7</v>
      </c>
      <c r="M501" s="779" t="s">
        <v>1178</v>
      </c>
      <c r="N501" s="779" t="s">
        <v>839</v>
      </c>
      <c r="O501" s="779" t="s">
        <v>707</v>
      </c>
    </row>
    <row r="502">
      <c r="A502" s="780">
        <f>IFERROR(__xludf.DUMMYFUNCTION("FILTER($D$3:$H$122,$L$3:$L$122=E500)"),45986.0)</f>
        <v>45986</v>
      </c>
      <c r="B502" s="781">
        <f>IFERROR(__xludf.DUMMYFUNCTION("""COMPUTED_VALUE"""),5.35758159E8)</f>
        <v>535758159</v>
      </c>
      <c r="C502" s="781" t="str">
        <f>IFERROR(__xludf.DUMMYFUNCTION("""COMPUTED_VALUE"""),"Shafter, CA, 93263")</f>
        <v>Shafter, CA, 93263</v>
      </c>
      <c r="D502" s="781" t="str">
        <f>IFERROR(__xludf.DUMMYFUNCTION("""COMPUTED_VALUE"""),"Fremont, CA, 94538")</f>
        <v>Fremont, CA, 94538</v>
      </c>
      <c r="E502" s="782">
        <f>IFERROR(__xludf.DUMMYFUNCTION("""COMPUTED_VALUE"""),708.8)</f>
        <v>708.8</v>
      </c>
      <c r="F502" s="783">
        <v>0.88</v>
      </c>
      <c r="G502" s="782">
        <f t="shared" ref="G502:G504" si="17">E502*F502</f>
        <v>623.744</v>
      </c>
      <c r="H502" s="283"/>
      <c r="I502" s="780">
        <f>IFERROR(__xludf.DUMMYFUNCTION("FILTER($D$3:$G$122,$L$3:$L$122=M500)"),45986.0)</f>
        <v>45986</v>
      </c>
      <c r="J502" s="781">
        <f>IFERROR(__xludf.DUMMYFUNCTION("""COMPUTED_VALUE"""),5.35758159E8)</f>
        <v>535758159</v>
      </c>
      <c r="K502" s="781" t="str">
        <f>IFERROR(__xludf.DUMMYFUNCTION("""COMPUTED_VALUE"""),"Shafter, CA, 93263")</f>
        <v>Shafter, CA, 93263</v>
      </c>
      <c r="L502" s="781" t="str">
        <f>IFERROR(__xludf.DUMMYFUNCTION("""COMPUTED_VALUE"""),"Fremont, CA, 94538")</f>
        <v>Fremont, CA, 94538</v>
      </c>
      <c r="M502" s="880">
        <f>IFERROR(__xludf.DUMMYFUNCTION("FILTER($I$3:$I$122,$L$3:$L$122=M500)"),352.0)</f>
        <v>352</v>
      </c>
      <c r="N502" s="781">
        <v>0.65</v>
      </c>
      <c r="O502" s="782">
        <f t="shared" ref="O502:O504" si="18">M502*N502</f>
        <v>228.8</v>
      </c>
    </row>
    <row r="503">
      <c r="A503" s="780">
        <f>IFERROR(__xludf.DUMMYFUNCTION("""COMPUTED_VALUE"""),45987.0)</f>
        <v>45987</v>
      </c>
      <c r="B503" s="781">
        <f>IFERROR(__xludf.DUMMYFUNCTION("""COMPUTED_VALUE"""),2.0714865E7)</f>
        <v>20714865</v>
      </c>
      <c r="C503" s="781" t="str">
        <f>IFERROR(__xludf.DUMMYFUNCTION("""COMPUTED_VALUE"""),"Salinas, CA, 93901")</f>
        <v>Salinas, CA, 93901</v>
      </c>
      <c r="D503" s="781" t="str">
        <f>IFERROR(__xludf.DUMMYFUNCTION("""COMPUTED_VALUE"""),"Apple Valley, CA, 92307")</f>
        <v>Apple Valley, CA, 92307</v>
      </c>
      <c r="E503" s="782">
        <f>IFERROR(__xludf.DUMMYFUNCTION("""COMPUTED_VALUE"""),800.0)</f>
        <v>800</v>
      </c>
      <c r="F503" s="783">
        <v>0.88</v>
      </c>
      <c r="G503" s="782">
        <f t="shared" si="17"/>
        <v>704</v>
      </c>
      <c r="H503" s="283"/>
      <c r="I503" s="881">
        <f>IFERROR(__xludf.DUMMYFUNCTION("""COMPUTED_VALUE"""),45987.0)</f>
        <v>45987</v>
      </c>
      <c r="J503" s="882">
        <f>IFERROR(__xludf.DUMMYFUNCTION("""COMPUTED_VALUE"""),2.0714865E7)</f>
        <v>20714865</v>
      </c>
      <c r="K503" s="882" t="str">
        <f>IFERROR(__xludf.DUMMYFUNCTION("""COMPUTED_VALUE"""),"Salinas, CA, 93901")</f>
        <v>Salinas, CA, 93901</v>
      </c>
      <c r="L503" s="882" t="str">
        <f>IFERROR(__xludf.DUMMYFUNCTION("""COMPUTED_VALUE"""),"Apple Valley, CA, 92307")</f>
        <v>Apple Valley, CA, 92307</v>
      </c>
      <c r="M503" s="896">
        <f>IFERROR(__xludf.DUMMYFUNCTION("""COMPUTED_VALUE"""),430.0)</f>
        <v>430</v>
      </c>
      <c r="N503" s="781">
        <v>0.65</v>
      </c>
      <c r="O503" s="782">
        <f t="shared" si="18"/>
        <v>279.5</v>
      </c>
    </row>
    <row r="504">
      <c r="A504" s="883">
        <f>IFERROR(__xludf.DUMMYFUNCTION("""COMPUTED_VALUE"""),45989.0)</f>
        <v>45989</v>
      </c>
      <c r="B504" s="786" t="str">
        <f>IFERROR(__xludf.DUMMYFUNCTION("""COMPUTED_VALUE"""),"OR463319")</f>
        <v>OR463319</v>
      </c>
      <c r="C504" s="786" t="str">
        <f>IFERROR(__xludf.DUMMYFUNCTION("""COMPUTED_VALUE"""),"Ontario, CA, 91761")</f>
        <v>Ontario, CA, 91761</v>
      </c>
      <c r="D504" s="786" t="str">
        <f>IFERROR(__xludf.DUMMYFUNCTION("""COMPUTED_VALUE"""),"Charlotte, NC, 28214")</f>
        <v>Charlotte, NC, 28214</v>
      </c>
      <c r="E504" s="884">
        <f>IFERROR(__xludf.DUMMYFUNCTION("""COMPUTED_VALUE"""),6535.0)</f>
        <v>6535</v>
      </c>
      <c r="F504" s="783">
        <v>0.88</v>
      </c>
      <c r="G504" s="782">
        <f t="shared" si="17"/>
        <v>5750.8</v>
      </c>
      <c r="H504" s="283"/>
      <c r="I504" s="883">
        <f>IFERROR(__xludf.DUMMYFUNCTION("""COMPUTED_VALUE"""),45989.0)</f>
        <v>45989</v>
      </c>
      <c r="J504" s="786" t="str">
        <f>IFERROR(__xludf.DUMMYFUNCTION("""COMPUTED_VALUE"""),"OR463319")</f>
        <v>OR463319</v>
      </c>
      <c r="K504" s="786" t="str">
        <f>IFERROR(__xludf.DUMMYFUNCTION("""COMPUTED_VALUE"""),"Ontario, CA, 91761")</f>
        <v>Ontario, CA, 91761</v>
      </c>
      <c r="L504" s="786" t="str">
        <f>IFERROR(__xludf.DUMMYFUNCTION("""COMPUTED_VALUE"""),"Charlotte, NC, 28214")</f>
        <v>Charlotte, NC, 28214</v>
      </c>
      <c r="M504" s="880">
        <f>IFERROR(__xludf.DUMMYFUNCTION("""COMPUTED_VALUE"""),2663.0)</f>
        <v>2663</v>
      </c>
      <c r="N504" s="781">
        <v>0.65</v>
      </c>
      <c r="O504" s="782">
        <f t="shared" si="18"/>
        <v>1730.95</v>
      </c>
    </row>
    <row r="505">
      <c r="A505" s="785"/>
      <c r="B505" s="786"/>
      <c r="C505" s="786"/>
      <c r="D505" s="786"/>
      <c r="E505" s="785"/>
      <c r="F505" s="787"/>
      <c r="G505" s="782"/>
      <c r="H505" s="283"/>
      <c r="I505" s="785"/>
      <c r="J505" s="786"/>
      <c r="K505" s="786"/>
      <c r="L505" s="786"/>
      <c r="M505" s="785"/>
      <c r="N505" s="787"/>
      <c r="O505" s="789"/>
    </row>
    <row r="506">
      <c r="A506" s="785"/>
      <c r="B506" s="786"/>
      <c r="C506" s="786"/>
      <c r="D506" s="786"/>
      <c r="E506" s="785"/>
      <c r="F506" s="787"/>
      <c r="G506" s="788"/>
      <c r="H506" s="283"/>
      <c r="I506" s="785"/>
      <c r="J506" s="786"/>
      <c r="K506" s="786"/>
      <c r="L506" s="786"/>
      <c r="M506" s="785"/>
      <c r="N506" s="787"/>
      <c r="O506" s="789"/>
    </row>
    <row r="507">
      <c r="A507" s="785"/>
      <c r="B507" s="786"/>
      <c r="C507" s="786"/>
      <c r="D507" s="786"/>
      <c r="E507" s="785"/>
      <c r="F507" s="787"/>
      <c r="G507" s="788"/>
      <c r="H507" s="283"/>
      <c r="I507" s="785"/>
      <c r="J507" s="786"/>
      <c r="K507" s="786"/>
      <c r="L507" s="786"/>
      <c r="M507" s="785"/>
      <c r="N507" s="787"/>
      <c r="O507" s="789"/>
    </row>
    <row r="508">
      <c r="A508" s="790" t="s">
        <v>711</v>
      </c>
      <c r="B508" s="791"/>
      <c r="C508" s="791"/>
      <c r="D508" s="792"/>
      <c r="E508" s="793">
        <f>SUM(E502:E507)</f>
        <v>8043.8</v>
      </c>
      <c r="F508" s="794"/>
      <c r="G508" s="793">
        <f>SUM(G502:G507)</f>
        <v>7078.544</v>
      </c>
      <c r="H508" s="283"/>
      <c r="I508" s="790" t="s">
        <v>711</v>
      </c>
      <c r="J508" s="791"/>
      <c r="K508" s="791"/>
      <c r="L508" s="792"/>
      <c r="M508" s="877">
        <f>SUM(M502:M507)</f>
        <v>3445</v>
      </c>
      <c r="N508" s="794"/>
      <c r="O508" s="793">
        <f>SUM(O502:O507)</f>
        <v>2239.25</v>
      </c>
    </row>
    <row r="509">
      <c r="A509" s="796"/>
      <c r="D509" s="798"/>
      <c r="G509" s="799"/>
      <c r="H509" s="283"/>
      <c r="I509" s="796"/>
      <c r="L509" s="798"/>
      <c r="O509" s="799"/>
    </row>
    <row r="510">
      <c r="A510" s="800" t="s">
        <v>712</v>
      </c>
      <c r="B510" s="801"/>
      <c r="C510" s="802"/>
      <c r="G510" s="799"/>
      <c r="H510" s="283"/>
      <c r="I510" s="800" t="s">
        <v>712</v>
      </c>
      <c r="J510" s="803"/>
      <c r="K510" s="804"/>
      <c r="O510" s="799"/>
    </row>
    <row r="511">
      <c r="A511" s="902" t="s">
        <v>1194</v>
      </c>
      <c r="B511" s="806"/>
      <c r="C511" s="812">
        <v>250.0</v>
      </c>
      <c r="G511" s="799"/>
      <c r="H511" s="283"/>
      <c r="I511" s="902" t="s">
        <v>1194</v>
      </c>
      <c r="J511" s="808"/>
      <c r="K511" s="809">
        <v>250.0</v>
      </c>
      <c r="O511" s="799"/>
    </row>
    <row r="512">
      <c r="A512" s="813" t="s">
        <v>763</v>
      </c>
      <c r="B512" s="898"/>
      <c r="C512" s="899">
        <v>20.0</v>
      </c>
      <c r="G512" s="799"/>
      <c r="H512" s="283"/>
      <c r="I512" s="813" t="s">
        <v>1195</v>
      </c>
      <c r="J512" s="774"/>
      <c r="K512" s="816">
        <v>318.95</v>
      </c>
      <c r="O512" s="799"/>
    </row>
    <row r="513">
      <c r="A513" s="815"/>
      <c r="B513" s="792"/>
      <c r="C513" s="816"/>
      <c r="G513" s="799"/>
      <c r="H513" s="283"/>
      <c r="I513" s="912" t="s">
        <v>1196</v>
      </c>
      <c r="J513" s="792"/>
      <c r="K513" s="814">
        <v>20.0</v>
      </c>
      <c r="O513" s="799"/>
    </row>
    <row r="514">
      <c r="A514" s="817"/>
      <c r="B514" s="774"/>
      <c r="C514" s="818"/>
      <c r="G514" s="799"/>
      <c r="H514" s="283"/>
      <c r="I514" s="817"/>
      <c r="J514" s="774"/>
      <c r="K514" s="818"/>
      <c r="O514" s="799"/>
    </row>
    <row r="515">
      <c r="A515" s="817"/>
      <c r="B515" s="792"/>
      <c r="C515" s="818"/>
      <c r="G515" s="799"/>
      <c r="H515" s="283"/>
      <c r="I515" s="817"/>
      <c r="J515" s="792"/>
      <c r="K515" s="818"/>
      <c r="O515" s="799"/>
    </row>
    <row r="516">
      <c r="A516" s="821" t="s">
        <v>714</v>
      </c>
      <c r="B516" s="822"/>
      <c r="C516" s="823">
        <f>SUM(C511:C515)</f>
        <v>270</v>
      </c>
      <c r="G516" s="799"/>
      <c r="H516" s="283"/>
      <c r="I516" s="821" t="s">
        <v>714</v>
      </c>
      <c r="J516" s="826"/>
      <c r="K516" s="827">
        <f>SUM(K511:K515)</f>
        <v>588.95</v>
      </c>
      <c r="O516" s="799"/>
    </row>
    <row r="517">
      <c r="A517" s="828"/>
      <c r="C517" s="829"/>
      <c r="G517" s="799"/>
      <c r="H517" s="283"/>
      <c r="I517" s="828"/>
      <c r="K517" s="829"/>
      <c r="O517" s="799"/>
    </row>
    <row r="518">
      <c r="A518" s="830" t="s">
        <v>715</v>
      </c>
      <c r="B518" s="831"/>
      <c r="C518" s="832"/>
      <c r="G518" s="799"/>
      <c r="H518" s="283"/>
      <c r="I518" s="833" t="s">
        <v>715</v>
      </c>
      <c r="J518" s="834"/>
      <c r="K518" s="835"/>
      <c r="O518" s="799"/>
    </row>
    <row r="519">
      <c r="A519" s="836" t="s">
        <v>716</v>
      </c>
      <c r="B519" s="837"/>
      <c r="C519" s="838">
        <v>150.0</v>
      </c>
      <c r="G519" s="799"/>
      <c r="H519" s="283"/>
      <c r="I519" s="839"/>
      <c r="J519" s="840"/>
      <c r="K519" s="841"/>
      <c r="O519" s="799"/>
    </row>
    <row r="520">
      <c r="A520" s="842" t="s">
        <v>717</v>
      </c>
      <c r="B520" s="843"/>
      <c r="C520" s="844">
        <v>400.0</v>
      </c>
      <c r="D520" s="248"/>
      <c r="E520" s="845" t="s">
        <v>1182</v>
      </c>
      <c r="G520" s="846">
        <f>G508+C516-C525</f>
        <v>3925.424</v>
      </c>
      <c r="H520" s="283"/>
      <c r="I520" s="847"/>
      <c r="J520" s="848"/>
      <c r="K520" s="849"/>
      <c r="L520" s="248"/>
      <c r="M520" s="845" t="s">
        <v>1183</v>
      </c>
      <c r="O520" s="846">
        <f>O508+K516-K525</f>
        <v>2828.2</v>
      </c>
    </row>
    <row r="521">
      <c r="A521" s="836" t="s">
        <v>718</v>
      </c>
      <c r="B521" s="837"/>
      <c r="C521" s="838">
        <v>200.0</v>
      </c>
      <c r="G521" s="799"/>
      <c r="H521" s="283"/>
      <c r="I521" s="847"/>
      <c r="J521" s="848"/>
      <c r="K521" s="849"/>
      <c r="O521" s="799"/>
    </row>
    <row r="522">
      <c r="A522" s="842" t="s">
        <v>656</v>
      </c>
      <c r="B522" s="843"/>
      <c r="C522" s="844">
        <f>IFERROR(__xludf.DUMMYFUNCTION("FILTER($C$4:$C$30,$B$4:$B$30=E500)"),2673.12)</f>
        <v>2673.12</v>
      </c>
      <c r="G522" s="799"/>
      <c r="H522" s="283"/>
      <c r="I522" s="847"/>
      <c r="J522" s="848"/>
      <c r="K522" s="849"/>
      <c r="O522" s="799"/>
    </row>
    <row r="523">
      <c r="A523" s="850" t="s">
        <v>1184</v>
      </c>
      <c r="B523" s="851"/>
      <c r="C523" s="852"/>
      <c r="E523" s="248"/>
      <c r="G523" s="799"/>
      <c r="H523" s="283"/>
      <c r="I523" s="847"/>
      <c r="J523" s="848"/>
      <c r="K523" s="849"/>
      <c r="M523" s="248"/>
      <c r="O523" s="799"/>
    </row>
    <row r="524">
      <c r="A524" s="847"/>
      <c r="B524" s="848"/>
      <c r="C524" s="849"/>
      <c r="G524" s="799"/>
      <c r="H524" s="283"/>
      <c r="I524" s="847"/>
      <c r="J524" s="848"/>
      <c r="K524" s="849"/>
      <c r="O524" s="799"/>
    </row>
    <row r="525">
      <c r="A525" s="853" t="s">
        <v>721</v>
      </c>
      <c r="B525" s="854"/>
      <c r="C525" s="855">
        <f>SUM(C519:C524)</f>
        <v>3423.12</v>
      </c>
      <c r="G525" s="799"/>
      <c r="H525" s="283"/>
      <c r="I525" s="853" t="s">
        <v>721</v>
      </c>
      <c r="J525" s="854"/>
      <c r="K525" s="855"/>
      <c r="O525" s="799"/>
    </row>
    <row r="526">
      <c r="A526" s="856"/>
      <c r="B526" s="857"/>
      <c r="C526" s="857"/>
      <c r="D526" s="857"/>
      <c r="E526" s="857"/>
      <c r="F526" s="857"/>
      <c r="G526" s="808"/>
      <c r="H526" s="283"/>
      <c r="I526" s="856"/>
      <c r="J526" s="857"/>
      <c r="K526" s="857"/>
      <c r="L526" s="857"/>
      <c r="M526" s="857"/>
      <c r="N526" s="857"/>
      <c r="O526" s="808"/>
    </row>
    <row r="529">
      <c r="A529" s="769"/>
      <c r="B529" s="770"/>
      <c r="C529" s="770"/>
      <c r="D529" s="771" t="s">
        <v>700</v>
      </c>
      <c r="E529" s="772" t="str">
        <f>E126</f>
        <v>11.24.2025-11.30.2025</v>
      </c>
      <c r="F529" s="773"/>
      <c r="G529" s="774"/>
      <c r="H529" s="305">
        <v>14.0</v>
      </c>
      <c r="I529" s="769"/>
      <c r="J529" s="770"/>
      <c r="K529" s="770"/>
      <c r="L529" s="771" t="s">
        <v>700</v>
      </c>
      <c r="M529" s="772" t="str">
        <f>E126</f>
        <v>11.24.2025-11.30.2025</v>
      </c>
      <c r="N529" s="773"/>
      <c r="O529" s="774"/>
    </row>
    <row r="530">
      <c r="A530" s="775"/>
      <c r="D530" s="771" t="s">
        <v>702</v>
      </c>
      <c r="E530" s="772" t="str">
        <f t="array" ref="E530">XLOOKUP(E531,$Q$973:$Q$1008,$R$973:$R$1008)</f>
        <v>Beycan LLC</v>
      </c>
      <c r="F530" s="773"/>
      <c r="G530" s="774"/>
      <c r="H530" s="858"/>
      <c r="I530" s="775"/>
      <c r="L530" s="771" t="s">
        <v>351</v>
      </c>
      <c r="M530" s="772" t="str">
        <f t="array" ref="M530">XLOOKUP(M531,$L$1:$L$122,$K$1:$K$122)</f>
        <v>YVENSO BOSQUET</v>
      </c>
      <c r="N530" s="773"/>
      <c r="O530" s="774"/>
    </row>
    <row r="531">
      <c r="A531" s="775"/>
      <c r="D531" s="771" t="s">
        <v>703</v>
      </c>
      <c r="E531" s="772">
        <v>3301.0</v>
      </c>
      <c r="F531" s="773"/>
      <c r="G531" s="774"/>
      <c r="H531" s="283"/>
      <c r="I531" s="775"/>
      <c r="L531" s="771" t="s">
        <v>703</v>
      </c>
      <c r="M531" s="772">
        <f>E531</f>
        <v>3301</v>
      </c>
      <c r="N531" s="773"/>
      <c r="O531" s="774"/>
    </row>
    <row r="532">
      <c r="A532" s="779" t="s">
        <v>704</v>
      </c>
      <c r="B532" s="779" t="s">
        <v>5</v>
      </c>
      <c r="C532" s="779" t="s">
        <v>6</v>
      </c>
      <c r="D532" s="779" t="s">
        <v>7</v>
      </c>
      <c r="E532" s="779" t="s">
        <v>8</v>
      </c>
      <c r="F532" s="779" t="s">
        <v>706</v>
      </c>
      <c r="G532" s="779" t="s">
        <v>707</v>
      </c>
      <c r="H532" s="34"/>
      <c r="I532" s="779" t="s">
        <v>704</v>
      </c>
      <c r="J532" s="779" t="s">
        <v>5</v>
      </c>
      <c r="K532" s="779" t="s">
        <v>6</v>
      </c>
      <c r="L532" s="779" t="s">
        <v>7</v>
      </c>
      <c r="M532" s="779" t="s">
        <v>1178</v>
      </c>
      <c r="N532" s="779" t="s">
        <v>839</v>
      </c>
      <c r="O532" s="779" t="s">
        <v>707</v>
      </c>
    </row>
    <row r="533">
      <c r="A533" s="780">
        <f>IFERROR(__xludf.DUMMYFUNCTION("FILTER($D$3:$H$122,$L$3:$L$122=E531)"),45985.0)</f>
        <v>45985</v>
      </c>
      <c r="B533" s="781">
        <f>IFERROR(__xludf.DUMMYFUNCTION("""COMPUTED_VALUE"""),5.3548805E8)</f>
        <v>535488050</v>
      </c>
      <c r="C533" s="781" t="str">
        <f>IFERROR(__xludf.DUMMYFUNCTION("""COMPUTED_VALUE"""),"Philadelphia, PA, 19134")</f>
        <v>Philadelphia, PA, 19134</v>
      </c>
      <c r="D533" s="781" t="str">
        <f>IFERROR(__xludf.DUMMYFUNCTION("""COMPUTED_VALUE"""),"Circleville, OH, 43113")</f>
        <v>Circleville, OH, 43113</v>
      </c>
      <c r="E533" s="782">
        <f>IFERROR(__xludf.DUMMYFUNCTION("""COMPUTED_VALUE"""),820.0)</f>
        <v>820</v>
      </c>
      <c r="F533" s="783">
        <v>0.88</v>
      </c>
      <c r="G533" s="782">
        <f t="shared" ref="G533:G537" si="19">E533*F533</f>
        <v>721.6</v>
      </c>
      <c r="H533" s="283"/>
      <c r="I533" s="883">
        <f>IFERROR(__xludf.DUMMYFUNCTION("FILTER($D$3:$G$122,$L$3:$L$122=M531)"),45985.0)</f>
        <v>45985</v>
      </c>
      <c r="J533" s="786">
        <f>IFERROR(__xludf.DUMMYFUNCTION("""COMPUTED_VALUE"""),5.3548805E8)</f>
        <v>535488050</v>
      </c>
      <c r="K533" s="786" t="str">
        <f>IFERROR(__xludf.DUMMYFUNCTION("""COMPUTED_VALUE"""),"Philadelphia, PA, 19134")</f>
        <v>Philadelphia, PA, 19134</v>
      </c>
      <c r="L533" s="786" t="str">
        <f>IFERROR(__xludf.DUMMYFUNCTION("""COMPUTED_VALUE"""),"Circleville, OH, 43113")</f>
        <v>Circleville, OH, 43113</v>
      </c>
      <c r="M533" s="880">
        <f>IFERROR(__xludf.DUMMYFUNCTION("FILTER($I$3:$I$122,$L$3:$L$122=M531)"),498.0)</f>
        <v>498</v>
      </c>
      <c r="N533" s="861">
        <v>0.65</v>
      </c>
      <c r="O533" s="863">
        <f t="shared" ref="O533:O537" si="20">M533*N533</f>
        <v>323.7</v>
      </c>
    </row>
    <row r="534">
      <c r="A534" s="780">
        <f>IFERROR(__xludf.DUMMYFUNCTION("""COMPUTED_VALUE"""),45986.0)</f>
        <v>45986</v>
      </c>
      <c r="B534" s="781" t="str">
        <f>IFERROR(__xludf.DUMMYFUNCTION("""COMPUTED_VALUE"""),"TR-0000464066-01")</f>
        <v>TR-0000464066-01</v>
      </c>
      <c r="C534" s="781" t="str">
        <f>IFERROR(__xludf.DUMMYFUNCTION("""COMPUTED_VALUE"""),"New Concord, OH, 43762")</f>
        <v>New Concord, OH, 43762</v>
      </c>
      <c r="D534" s="781" t="str">
        <f>IFERROR(__xludf.DUMMYFUNCTION("""COMPUTED_VALUE"""),"Front Royal, VA, 22630")</f>
        <v>Front Royal, VA, 22630</v>
      </c>
      <c r="E534" s="782">
        <f>IFERROR(__xludf.DUMMYFUNCTION("""COMPUTED_VALUE"""),1600.0)</f>
        <v>1600</v>
      </c>
      <c r="F534" s="783">
        <v>0.88</v>
      </c>
      <c r="G534" s="782">
        <f t="shared" si="19"/>
        <v>1408</v>
      </c>
      <c r="H534" s="283"/>
      <c r="I534" s="883">
        <f>IFERROR(__xludf.DUMMYFUNCTION("""COMPUTED_VALUE"""),45986.0)</f>
        <v>45986</v>
      </c>
      <c r="J534" s="786" t="str">
        <f>IFERROR(__xludf.DUMMYFUNCTION("""COMPUTED_VALUE"""),"TR-0000464066-01")</f>
        <v>TR-0000464066-01</v>
      </c>
      <c r="K534" s="786" t="str">
        <f>IFERROR(__xludf.DUMMYFUNCTION("""COMPUTED_VALUE"""),"New Concord, OH, 43762")</f>
        <v>New Concord, OH, 43762</v>
      </c>
      <c r="L534" s="786" t="str">
        <f>IFERROR(__xludf.DUMMYFUNCTION("""COMPUTED_VALUE"""),"Front Royal, VA, 22630")</f>
        <v>Front Royal, VA, 22630</v>
      </c>
      <c r="M534" s="880">
        <f>IFERROR(__xludf.DUMMYFUNCTION("""COMPUTED_VALUE"""),357.0)</f>
        <v>357</v>
      </c>
      <c r="N534" s="861">
        <v>0.65</v>
      </c>
      <c r="O534" s="863">
        <f t="shared" si="20"/>
        <v>232.05</v>
      </c>
    </row>
    <row r="535">
      <c r="A535" s="883">
        <f>IFERROR(__xludf.DUMMYFUNCTION("""COMPUTED_VALUE"""),45987.0)</f>
        <v>45987</v>
      </c>
      <c r="B535" s="786" t="str">
        <f>IFERROR(__xludf.DUMMYFUNCTION("""COMPUTED_VALUE"""),"TR-0000464915-01")</f>
        <v>TR-0000464915-01</v>
      </c>
      <c r="C535" s="786" t="str">
        <f>IFERROR(__xludf.DUMMYFUNCTION("""COMPUTED_VALUE"""),"Inwood, WV, 25405")</f>
        <v>Inwood, WV, 25405</v>
      </c>
      <c r="D535" s="786" t="str">
        <f>IFERROR(__xludf.DUMMYFUNCTION("""COMPUTED_VALUE"""),"Wilmer, TX, 75172")</f>
        <v>Wilmer, TX, 75172</v>
      </c>
      <c r="E535" s="884">
        <f>IFERROR(__xludf.DUMMYFUNCTION("""COMPUTED_VALUE"""),1900.0)</f>
        <v>1900</v>
      </c>
      <c r="F535" s="783">
        <v>0.88</v>
      </c>
      <c r="G535" s="782">
        <f t="shared" si="19"/>
        <v>1672</v>
      </c>
      <c r="H535" s="283"/>
      <c r="I535" s="883">
        <f>IFERROR(__xludf.DUMMYFUNCTION("""COMPUTED_VALUE"""),45987.0)</f>
        <v>45987</v>
      </c>
      <c r="J535" s="786" t="str">
        <f>IFERROR(__xludf.DUMMYFUNCTION("""COMPUTED_VALUE"""),"TR-0000464915-01")</f>
        <v>TR-0000464915-01</v>
      </c>
      <c r="K535" s="786" t="str">
        <f>IFERROR(__xludf.DUMMYFUNCTION("""COMPUTED_VALUE"""),"Inwood, WV, 25405")</f>
        <v>Inwood, WV, 25405</v>
      </c>
      <c r="L535" s="786" t="str">
        <f>IFERROR(__xludf.DUMMYFUNCTION("""COMPUTED_VALUE"""),"Wilmer, TX, 75172")</f>
        <v>Wilmer, TX, 75172</v>
      </c>
      <c r="M535" s="880">
        <f>IFERROR(__xludf.DUMMYFUNCTION("""COMPUTED_VALUE"""),1346.0)</f>
        <v>1346</v>
      </c>
      <c r="N535" s="861">
        <v>0.65</v>
      </c>
      <c r="O535" s="863">
        <f t="shared" si="20"/>
        <v>874.9</v>
      </c>
    </row>
    <row r="536">
      <c r="A536" s="883">
        <f>IFERROR(__xludf.DUMMYFUNCTION("""COMPUTED_VALUE"""),45989.0)</f>
        <v>45989</v>
      </c>
      <c r="B536" s="786">
        <f>IFERROR(__xludf.DUMMYFUNCTION("""COMPUTED_VALUE"""),396969.0)</f>
        <v>396969</v>
      </c>
      <c r="C536" s="786" t="str">
        <f>IFERROR(__xludf.DUMMYFUNCTION("""COMPUTED_VALUE"""),"Fort Worth, TX, 76140")</f>
        <v>Fort Worth, TX, 76140</v>
      </c>
      <c r="D536" s="786" t="str">
        <f>IFERROR(__xludf.DUMMYFUNCTION("""COMPUTED_VALUE"""),"Clarksville, AR, 72830")</f>
        <v>Clarksville, AR, 72830</v>
      </c>
      <c r="E536" s="884">
        <f>IFERROR(__xludf.DUMMYFUNCTION("""COMPUTED_VALUE"""),870.0)</f>
        <v>870</v>
      </c>
      <c r="F536" s="783">
        <v>0.88</v>
      </c>
      <c r="G536" s="782">
        <f t="shared" si="19"/>
        <v>765.6</v>
      </c>
      <c r="H536" s="283"/>
      <c r="I536" s="883">
        <f>IFERROR(__xludf.DUMMYFUNCTION("""COMPUTED_VALUE"""),45989.0)</f>
        <v>45989</v>
      </c>
      <c r="J536" s="786">
        <f>IFERROR(__xludf.DUMMYFUNCTION("""COMPUTED_VALUE"""),396969.0)</f>
        <v>396969</v>
      </c>
      <c r="K536" s="786" t="str">
        <f>IFERROR(__xludf.DUMMYFUNCTION("""COMPUTED_VALUE"""),"Fort Worth, TX, 76140")</f>
        <v>Fort Worth, TX, 76140</v>
      </c>
      <c r="L536" s="786" t="str">
        <f>IFERROR(__xludf.DUMMYFUNCTION("""COMPUTED_VALUE"""),"Clarksville, AR, 72830")</f>
        <v>Clarksville, AR, 72830</v>
      </c>
      <c r="M536" s="880">
        <f>IFERROR(__xludf.DUMMYFUNCTION("""COMPUTED_VALUE"""),397.0)</f>
        <v>397</v>
      </c>
      <c r="N536" s="861">
        <v>0.65</v>
      </c>
      <c r="O536" s="863">
        <f t="shared" si="20"/>
        <v>258.05</v>
      </c>
    </row>
    <row r="537">
      <c r="A537" s="883">
        <f>IFERROR(__xludf.DUMMYFUNCTION("""COMPUTED_VALUE"""),45990.0)</f>
        <v>45990</v>
      </c>
      <c r="B537" s="786" t="str">
        <f>IFERROR(__xludf.DUMMYFUNCTION("""COMPUTED_VALUE"""),"TR-0000465566-01")</f>
        <v>TR-0000465566-01</v>
      </c>
      <c r="C537" s="786" t="str">
        <f>IFERROR(__xludf.DUMMYFUNCTION("""COMPUTED_VALUE"""),"Piney, AR, 71913")</f>
        <v>Piney, AR, 71913</v>
      </c>
      <c r="D537" s="786" t="str">
        <f>IFERROR(__xludf.DUMMYFUNCTION("""COMPUTED_VALUE"""),"Vermont Heights, FL, 32033")</f>
        <v>Vermont Heights, FL, 32033</v>
      </c>
      <c r="E537" s="884">
        <f>IFERROR(__xludf.DUMMYFUNCTION("""COMPUTED_VALUE"""),2100.0)</f>
        <v>2100</v>
      </c>
      <c r="F537" s="783">
        <v>0.88</v>
      </c>
      <c r="G537" s="782">
        <f t="shared" si="19"/>
        <v>1848</v>
      </c>
      <c r="H537" s="283"/>
      <c r="I537" s="883">
        <f>IFERROR(__xludf.DUMMYFUNCTION("""COMPUTED_VALUE"""),45990.0)</f>
        <v>45990</v>
      </c>
      <c r="J537" s="786" t="str">
        <f>IFERROR(__xludf.DUMMYFUNCTION("""COMPUTED_VALUE"""),"TR-0000465566-01")</f>
        <v>TR-0000465566-01</v>
      </c>
      <c r="K537" s="786" t="str">
        <f>IFERROR(__xludf.DUMMYFUNCTION("""COMPUTED_VALUE"""),"Piney, AR, 71913")</f>
        <v>Piney, AR, 71913</v>
      </c>
      <c r="L537" s="786" t="str">
        <f>IFERROR(__xludf.DUMMYFUNCTION("""COMPUTED_VALUE"""),"Vermont Heights, FL, 32033")</f>
        <v>Vermont Heights, FL, 32033</v>
      </c>
      <c r="M537" s="880">
        <f>IFERROR(__xludf.DUMMYFUNCTION("""COMPUTED_VALUE"""),1012.0)</f>
        <v>1012</v>
      </c>
      <c r="N537" s="861">
        <v>0.65</v>
      </c>
      <c r="O537" s="863">
        <f t="shared" si="20"/>
        <v>657.8</v>
      </c>
    </row>
    <row r="538">
      <c r="A538" s="785"/>
      <c r="B538" s="786"/>
      <c r="C538" s="786"/>
      <c r="D538" s="786"/>
      <c r="E538" s="785"/>
      <c r="F538" s="787"/>
      <c r="G538" s="788"/>
      <c r="H538" s="283"/>
      <c r="I538" s="785"/>
      <c r="J538" s="786"/>
      <c r="K538" s="786"/>
      <c r="L538" s="786"/>
      <c r="M538" s="785"/>
      <c r="N538" s="787"/>
      <c r="O538" s="789"/>
    </row>
    <row r="539">
      <c r="A539" s="790" t="s">
        <v>711</v>
      </c>
      <c r="B539" s="791"/>
      <c r="C539" s="791"/>
      <c r="D539" s="792"/>
      <c r="E539" s="793">
        <f>SUM(E533:E538)</f>
        <v>7290</v>
      </c>
      <c r="F539" s="794"/>
      <c r="G539" s="793">
        <f>SUM(G533:G538)</f>
        <v>6415.2</v>
      </c>
      <c r="H539" s="283"/>
      <c r="I539" s="790" t="s">
        <v>711</v>
      </c>
      <c r="J539" s="791"/>
      <c r="K539" s="791"/>
      <c r="L539" s="792"/>
      <c r="M539" s="877">
        <f>SUM(M533:M538)</f>
        <v>3610</v>
      </c>
      <c r="N539" s="794"/>
      <c r="O539" s="793">
        <f>SUM(O533:O538)</f>
        <v>2346.5</v>
      </c>
    </row>
    <row r="540">
      <c r="A540" s="796"/>
      <c r="D540" s="798"/>
      <c r="G540" s="799"/>
      <c r="H540" s="283"/>
      <c r="I540" s="796"/>
      <c r="L540" s="798"/>
      <c r="M540" s="798"/>
      <c r="N540" s="798"/>
      <c r="O540" s="878"/>
    </row>
    <row r="541">
      <c r="A541" s="800" t="s">
        <v>712</v>
      </c>
      <c r="B541" s="801"/>
      <c r="C541" s="802"/>
      <c r="G541" s="799"/>
      <c r="H541" s="283"/>
      <c r="I541" s="800" t="s">
        <v>712</v>
      </c>
      <c r="J541" s="803"/>
      <c r="K541" s="804"/>
      <c r="L541" s="798"/>
      <c r="M541" s="798"/>
      <c r="N541" s="798"/>
      <c r="O541" s="878"/>
    </row>
    <row r="542">
      <c r="A542" s="902" t="s">
        <v>1194</v>
      </c>
      <c r="B542" s="806"/>
      <c r="C542" s="807">
        <v>250.0</v>
      </c>
      <c r="G542" s="799"/>
      <c r="H542" s="283"/>
      <c r="I542" s="902" t="s">
        <v>1194</v>
      </c>
      <c r="J542" s="808"/>
      <c r="K542" s="903">
        <v>250.0</v>
      </c>
      <c r="L542" s="798"/>
      <c r="M542" s="798"/>
      <c r="N542" s="798"/>
      <c r="O542" s="878"/>
    </row>
    <row r="543">
      <c r="A543" s="868"/>
      <c r="B543" s="774"/>
      <c r="C543" s="816"/>
      <c r="G543" s="799"/>
      <c r="H543" s="283"/>
      <c r="I543" s="868"/>
      <c r="J543" s="774"/>
      <c r="K543" s="816"/>
      <c r="L543" s="798"/>
      <c r="M543" s="798"/>
      <c r="N543" s="798"/>
      <c r="O543" s="878"/>
    </row>
    <row r="544">
      <c r="A544" s="815"/>
      <c r="B544" s="792"/>
      <c r="C544" s="816"/>
      <c r="G544" s="799"/>
      <c r="H544" s="283"/>
      <c r="I544" s="815"/>
      <c r="J544" s="792"/>
      <c r="K544" s="816"/>
      <c r="L544" s="798"/>
      <c r="M544" s="798"/>
      <c r="N544" s="798"/>
      <c r="O544" s="878"/>
    </row>
    <row r="545">
      <c r="A545" s="817"/>
      <c r="B545" s="774"/>
      <c r="C545" s="818"/>
      <c r="G545" s="799"/>
      <c r="H545" s="283"/>
      <c r="I545" s="817"/>
      <c r="J545" s="774"/>
      <c r="K545" s="818"/>
      <c r="L545" s="798"/>
      <c r="M545" s="798"/>
      <c r="N545" s="798"/>
      <c r="O545" s="878"/>
    </row>
    <row r="546">
      <c r="A546" s="817"/>
      <c r="B546" s="792"/>
      <c r="C546" s="818"/>
      <c r="G546" s="799"/>
      <c r="H546" s="283"/>
      <c r="I546" s="817"/>
      <c r="J546" s="792"/>
      <c r="K546" s="818"/>
      <c r="L546" s="798"/>
      <c r="M546" s="798"/>
      <c r="N546" s="798"/>
      <c r="O546" s="878"/>
    </row>
    <row r="547">
      <c r="A547" s="821" t="s">
        <v>714</v>
      </c>
      <c r="B547" s="822"/>
      <c r="C547" s="823">
        <f>SUM(C542:C546)</f>
        <v>250</v>
      </c>
      <c r="G547" s="799"/>
      <c r="H547" s="283"/>
      <c r="I547" s="821" t="s">
        <v>714</v>
      </c>
      <c r="J547" s="826"/>
      <c r="K547" s="823">
        <f>SUM(K542:K546)</f>
        <v>250</v>
      </c>
      <c r="L547" s="798"/>
      <c r="M547" s="798"/>
      <c r="N547" s="798"/>
      <c r="O547" s="878"/>
    </row>
    <row r="548">
      <c r="A548" s="828"/>
      <c r="C548" s="829"/>
      <c r="G548" s="799"/>
      <c r="H548" s="283"/>
      <c r="I548" s="828"/>
      <c r="K548" s="829"/>
      <c r="L548" s="248"/>
      <c r="M548" s="798"/>
      <c r="N548" s="798"/>
      <c r="O548" s="878"/>
    </row>
    <row r="549">
      <c r="A549" s="830" t="s">
        <v>715</v>
      </c>
      <c r="B549" s="831"/>
      <c r="C549" s="832"/>
      <c r="G549" s="799"/>
      <c r="H549" s="283"/>
      <c r="I549" s="833" t="s">
        <v>715</v>
      </c>
      <c r="J549" s="834"/>
      <c r="K549" s="835"/>
      <c r="L549" s="892"/>
      <c r="M549" s="798"/>
      <c r="N549" s="798"/>
      <c r="O549" s="878"/>
    </row>
    <row r="550">
      <c r="A550" s="836" t="s">
        <v>716</v>
      </c>
      <c r="B550" s="837"/>
      <c r="C550" s="838">
        <v>150.0</v>
      </c>
      <c r="G550" s="799"/>
      <c r="H550" s="283"/>
      <c r="I550" s="850" t="s">
        <v>1184</v>
      </c>
      <c r="J550" s="851"/>
      <c r="K550" s="852">
        <v>294.92</v>
      </c>
      <c r="L550" s="913" t="s">
        <v>1197</v>
      </c>
      <c r="M550" s="798"/>
      <c r="N550" s="798"/>
      <c r="O550" s="878"/>
    </row>
    <row r="551">
      <c r="A551" s="842" t="s">
        <v>717</v>
      </c>
      <c r="B551" s="843"/>
      <c r="C551" s="844">
        <v>400.0</v>
      </c>
      <c r="D551" s="891"/>
      <c r="E551" s="845" t="s">
        <v>1182</v>
      </c>
      <c r="G551" s="846">
        <f>G539+C547-C556</f>
        <v>3102.48</v>
      </c>
      <c r="H551" s="283"/>
      <c r="I551" s="847"/>
      <c r="J551" s="848"/>
      <c r="K551" s="849"/>
      <c r="L551" s="849" t="s">
        <v>1198</v>
      </c>
      <c r="M551" s="845" t="s">
        <v>1183</v>
      </c>
      <c r="O551" s="846">
        <f>O539+K547-K556</f>
        <v>1790.53</v>
      </c>
    </row>
    <row r="552">
      <c r="A552" s="836" t="s">
        <v>718</v>
      </c>
      <c r="B552" s="837"/>
      <c r="C552" s="838">
        <v>200.0</v>
      </c>
      <c r="D552" s="892"/>
      <c r="G552" s="799"/>
      <c r="H552" s="283"/>
      <c r="I552" s="850" t="s">
        <v>1184</v>
      </c>
      <c r="J552" s="851"/>
      <c r="K552" s="852">
        <v>511.05</v>
      </c>
      <c r="L552" s="913" t="s">
        <v>1199</v>
      </c>
      <c r="O552" s="799"/>
    </row>
    <row r="553">
      <c r="A553" s="842" t="s">
        <v>656</v>
      </c>
      <c r="B553" s="843"/>
      <c r="C553" s="844">
        <f>IFERROR(__xludf.DUMMYFUNCTION("FILTER($C$4:$C$30,$B$4:$B$30=E531)"),2517.8)</f>
        <v>2517.8</v>
      </c>
      <c r="D553" s="891"/>
      <c r="G553" s="799"/>
      <c r="H553" s="283"/>
      <c r="I553" s="914"/>
      <c r="J553" s="905"/>
      <c r="K553" s="906"/>
      <c r="L553" s="849" t="s">
        <v>1200</v>
      </c>
      <c r="O553" s="799"/>
    </row>
    <row r="554">
      <c r="A554" s="850" t="s">
        <v>1184</v>
      </c>
      <c r="B554" s="851"/>
      <c r="C554" s="852">
        <v>294.92</v>
      </c>
      <c r="D554" s="913" t="s">
        <v>1197</v>
      </c>
      <c r="E554" s="248"/>
      <c r="G554" s="799"/>
      <c r="H554" s="283"/>
      <c r="I554" s="847"/>
      <c r="J554" s="848"/>
      <c r="K554" s="849"/>
      <c r="L554" s="248"/>
      <c r="M554" s="248"/>
      <c r="O554" s="799"/>
    </row>
    <row r="555">
      <c r="A555" s="914"/>
      <c r="B555" s="905"/>
      <c r="C555" s="906"/>
      <c r="D555" s="915" t="s">
        <v>1198</v>
      </c>
      <c r="G555" s="799"/>
      <c r="H555" s="283"/>
      <c r="I555" s="847"/>
      <c r="J555" s="848"/>
      <c r="K555" s="849"/>
      <c r="L555" s="248"/>
      <c r="O555" s="799"/>
    </row>
    <row r="556">
      <c r="A556" s="853" t="s">
        <v>721</v>
      </c>
      <c r="B556" s="854"/>
      <c r="C556" s="855">
        <f>SUM(C550:C555)</f>
        <v>3562.72</v>
      </c>
      <c r="D556" s="248"/>
      <c r="G556" s="799"/>
      <c r="H556" s="283"/>
      <c r="I556" s="853" t="s">
        <v>721</v>
      </c>
      <c r="J556" s="854"/>
      <c r="K556" s="855">
        <f>SUM(K550:K555)</f>
        <v>805.97</v>
      </c>
      <c r="L556" s="248"/>
      <c r="O556" s="799"/>
    </row>
    <row r="557">
      <c r="A557" s="856"/>
      <c r="B557" s="857"/>
      <c r="C557" s="857"/>
      <c r="D557" s="894"/>
      <c r="E557" s="857"/>
      <c r="F557" s="857"/>
      <c r="G557" s="808"/>
      <c r="H557" s="283"/>
      <c r="I557" s="856"/>
      <c r="J557" s="857"/>
      <c r="K557" s="857"/>
      <c r="L557" s="894"/>
      <c r="M557" s="857"/>
      <c r="N557" s="857"/>
      <c r="O557" s="808"/>
    </row>
    <row r="560">
      <c r="A560" s="769"/>
      <c r="B560" s="770"/>
      <c r="C560" s="770"/>
      <c r="D560" s="771" t="s">
        <v>700</v>
      </c>
      <c r="E560" s="772" t="str">
        <f>E126</f>
        <v>11.24.2025-11.30.2025</v>
      </c>
      <c r="F560" s="773"/>
      <c r="G560" s="774"/>
      <c r="H560" s="305">
        <v>15.0</v>
      </c>
      <c r="I560" s="769"/>
      <c r="J560" s="770"/>
      <c r="K560" s="770"/>
      <c r="L560" s="771" t="s">
        <v>700</v>
      </c>
      <c r="M560" s="772" t="str">
        <f>E126</f>
        <v>11.24.2025-11.30.2025</v>
      </c>
      <c r="N560" s="773"/>
      <c r="O560" s="774"/>
    </row>
    <row r="561">
      <c r="A561" s="775"/>
      <c r="D561" s="771" t="s">
        <v>702</v>
      </c>
      <c r="E561" s="772" t="str">
        <f t="array" ref="E561">XLOOKUP(E562,$Q$973:$Q$1008,$R$973:$R$1008)</f>
        <v>Perlivion LLC</v>
      </c>
      <c r="F561" s="773"/>
      <c r="G561" s="774"/>
      <c r="H561" s="776"/>
      <c r="I561" s="775"/>
      <c r="L561" s="771" t="s">
        <v>351</v>
      </c>
      <c r="M561" s="772" t="str">
        <f t="array" ref="M561">XLOOKUP(M562,$L$1:$L$122,$K$1:$K$122)</f>
        <v>JEREMY POTTER</v>
      </c>
      <c r="N561" s="773"/>
      <c r="O561" s="774"/>
    </row>
    <row r="562">
      <c r="A562" s="775"/>
      <c r="D562" s="771" t="s">
        <v>703</v>
      </c>
      <c r="E562" s="778" t="s">
        <v>513</v>
      </c>
      <c r="F562" s="773"/>
      <c r="G562" s="774"/>
      <c r="H562" s="283"/>
      <c r="I562" s="775"/>
      <c r="L562" s="771" t="s">
        <v>703</v>
      </c>
      <c r="M562" s="772" t="str">
        <f>E562</f>
        <v>0913</v>
      </c>
      <c r="N562" s="773"/>
      <c r="O562" s="774"/>
    </row>
    <row r="563">
      <c r="A563" s="779" t="s">
        <v>704</v>
      </c>
      <c r="B563" s="779" t="s">
        <v>5</v>
      </c>
      <c r="C563" s="779" t="s">
        <v>6</v>
      </c>
      <c r="D563" s="779" t="s">
        <v>7</v>
      </c>
      <c r="E563" s="779" t="s">
        <v>8</v>
      </c>
      <c r="F563" s="779" t="s">
        <v>706</v>
      </c>
      <c r="G563" s="779" t="s">
        <v>707</v>
      </c>
      <c r="H563" s="34"/>
      <c r="I563" s="779" t="s">
        <v>704</v>
      </c>
      <c r="J563" s="779" t="s">
        <v>5</v>
      </c>
      <c r="K563" s="779" t="s">
        <v>6</v>
      </c>
      <c r="L563" s="779" t="s">
        <v>7</v>
      </c>
      <c r="M563" s="779" t="s">
        <v>1178</v>
      </c>
      <c r="N563" s="779" t="s">
        <v>839</v>
      </c>
      <c r="O563" s="779" t="s">
        <v>707</v>
      </c>
    </row>
    <row r="564">
      <c r="A564" s="780">
        <f>IFERROR(__xludf.DUMMYFUNCTION("FILTER($D$3:$H$122,$L$3:$L$122=E562)"),45986.0)</f>
        <v>45986</v>
      </c>
      <c r="B564" s="781">
        <f>IFERROR(__xludf.DUMMYFUNCTION("""COMPUTED_VALUE"""),642799.0)</f>
        <v>642799</v>
      </c>
      <c r="C564" s="781" t="str">
        <f>IFERROR(__xludf.DUMMYFUNCTION("""COMPUTED_VALUE"""),"North East, MD, 21901")</f>
        <v>North East, MD, 21901</v>
      </c>
      <c r="D564" s="781" t="str">
        <f>IFERROR(__xludf.DUMMYFUNCTION("""COMPUTED_VALUE"""),"Lithia Springs, GA, 30122")</f>
        <v>Lithia Springs, GA, 30122</v>
      </c>
      <c r="E564" s="782">
        <f>IFERROR(__xludf.DUMMYFUNCTION("""COMPUTED_VALUE"""),1300.0)</f>
        <v>1300</v>
      </c>
      <c r="F564" s="783">
        <v>0.88</v>
      </c>
      <c r="G564" s="782">
        <f t="shared" ref="G564:G565" si="21">E564*F564</f>
        <v>1144</v>
      </c>
      <c r="H564" s="283"/>
      <c r="I564" s="780">
        <f>IFERROR(__xludf.DUMMYFUNCTION("FILTER($D$3:$G$122,$L$3:$L$122=M562)"),45986.0)</f>
        <v>45986</v>
      </c>
      <c r="J564" s="781">
        <f>IFERROR(__xludf.DUMMYFUNCTION("""COMPUTED_VALUE"""),642799.0)</f>
        <v>642799</v>
      </c>
      <c r="K564" s="781" t="str">
        <f>IFERROR(__xludf.DUMMYFUNCTION("""COMPUTED_VALUE"""),"North East, MD, 21901")</f>
        <v>North East, MD, 21901</v>
      </c>
      <c r="L564" s="781" t="str">
        <f>IFERROR(__xludf.DUMMYFUNCTION("""COMPUTED_VALUE"""),"Lithia Springs, GA, 30122")</f>
        <v>Lithia Springs, GA, 30122</v>
      </c>
      <c r="M564" s="880">
        <f>IFERROR(__xludf.DUMMYFUNCTION("FILTER($I$3:$I$122,$L$3:$L$122=M562)"),727.0)</f>
        <v>727</v>
      </c>
      <c r="N564" s="781">
        <v>0.65</v>
      </c>
      <c r="O564" s="782">
        <f t="shared" ref="O564:O565" si="22">M564*N564</f>
        <v>472.55</v>
      </c>
    </row>
    <row r="565">
      <c r="A565" s="780">
        <f>IFERROR(__xludf.DUMMYFUNCTION("""COMPUTED_VALUE"""),45987.0)</f>
        <v>45987</v>
      </c>
      <c r="B565" s="781">
        <f>IFERROR(__xludf.DUMMYFUNCTION("""COMPUTED_VALUE"""),5.36172052E8)</f>
        <v>536172052</v>
      </c>
      <c r="C565" s="781" t="str">
        <f>IFERROR(__xludf.DUMMYFUNCTION("""COMPUTED_VALUE"""),"Atlanta, GA, 30336")</f>
        <v>Atlanta, GA, 30336</v>
      </c>
      <c r="D565" s="781" t="str">
        <f>IFERROR(__xludf.DUMMYFUNCTION("""COMPUTED_VALUE"""),"Newburgh, NY, 12550")</f>
        <v>Newburgh, NY, 12550</v>
      </c>
      <c r="E565" s="782">
        <f>IFERROR(__xludf.DUMMYFUNCTION("""COMPUTED_VALUE"""),2400.0)</f>
        <v>2400</v>
      </c>
      <c r="F565" s="783">
        <v>0.88</v>
      </c>
      <c r="G565" s="782">
        <f t="shared" si="21"/>
        <v>2112</v>
      </c>
      <c r="H565" s="283"/>
      <c r="I565" s="881">
        <f>IFERROR(__xludf.DUMMYFUNCTION("""COMPUTED_VALUE"""),45987.0)</f>
        <v>45987</v>
      </c>
      <c r="J565" s="882">
        <f>IFERROR(__xludf.DUMMYFUNCTION("""COMPUTED_VALUE"""),5.36172052E8)</f>
        <v>536172052</v>
      </c>
      <c r="K565" s="882" t="str">
        <f>IFERROR(__xludf.DUMMYFUNCTION("""COMPUTED_VALUE"""),"Atlanta, GA, 30336")</f>
        <v>Atlanta, GA, 30336</v>
      </c>
      <c r="L565" s="882" t="str">
        <f>IFERROR(__xludf.DUMMYFUNCTION("""COMPUTED_VALUE"""),"Newburgh, NY, 12550")</f>
        <v>Newburgh, NY, 12550</v>
      </c>
      <c r="M565" s="880">
        <f>IFERROR(__xludf.DUMMYFUNCTION("""COMPUTED_VALUE"""),930.0)</f>
        <v>930</v>
      </c>
      <c r="N565" s="781">
        <v>0.65</v>
      </c>
      <c r="O565" s="782">
        <f t="shared" si="22"/>
        <v>604.5</v>
      </c>
    </row>
    <row r="566">
      <c r="A566" s="785"/>
      <c r="B566" s="786"/>
      <c r="C566" s="786"/>
      <c r="D566" s="786"/>
      <c r="E566" s="785"/>
      <c r="F566" s="787"/>
      <c r="G566" s="788"/>
      <c r="H566" s="283"/>
      <c r="I566" s="785"/>
      <c r="J566" s="786"/>
      <c r="K566" s="786"/>
      <c r="L566" s="786"/>
      <c r="M566" s="785"/>
      <c r="N566" s="787"/>
      <c r="O566" s="789"/>
    </row>
    <row r="567">
      <c r="A567" s="785"/>
      <c r="B567" s="786"/>
      <c r="C567" s="786"/>
      <c r="D567" s="786"/>
      <c r="E567" s="785"/>
      <c r="F567" s="787"/>
      <c r="G567" s="788"/>
      <c r="H567" s="283"/>
      <c r="I567" s="785"/>
      <c r="J567" s="786"/>
      <c r="K567" s="786"/>
      <c r="L567" s="786"/>
      <c r="M567" s="785"/>
      <c r="N567" s="787"/>
      <c r="O567" s="789"/>
    </row>
    <row r="568">
      <c r="A568" s="785"/>
      <c r="B568" s="786"/>
      <c r="C568" s="786"/>
      <c r="D568" s="786"/>
      <c r="E568" s="785"/>
      <c r="F568" s="787"/>
      <c r="G568" s="788"/>
      <c r="H568" s="283"/>
      <c r="I568" s="785"/>
      <c r="J568" s="786"/>
      <c r="K568" s="786"/>
      <c r="L568" s="786"/>
      <c r="M568" s="785"/>
      <c r="N568" s="787"/>
      <c r="O568" s="789"/>
    </row>
    <row r="569">
      <c r="A569" s="785"/>
      <c r="B569" s="786"/>
      <c r="C569" s="786"/>
      <c r="D569" s="786"/>
      <c r="E569" s="785"/>
      <c r="F569" s="787"/>
      <c r="G569" s="788"/>
      <c r="H569" s="283"/>
      <c r="I569" s="785"/>
      <c r="J569" s="786"/>
      <c r="K569" s="786"/>
      <c r="L569" s="786"/>
      <c r="M569" s="785"/>
      <c r="N569" s="787"/>
      <c r="O569" s="789"/>
    </row>
    <row r="570">
      <c r="A570" s="790" t="s">
        <v>711</v>
      </c>
      <c r="B570" s="791"/>
      <c r="C570" s="791"/>
      <c r="D570" s="792"/>
      <c r="E570" s="793">
        <f>SUM(E564:E569)</f>
        <v>3700</v>
      </c>
      <c r="F570" s="794"/>
      <c r="G570" s="793">
        <f>SUM(G564:G569)</f>
        <v>3256</v>
      </c>
      <c r="H570" s="283"/>
      <c r="I570" s="790" t="s">
        <v>711</v>
      </c>
      <c r="J570" s="791"/>
      <c r="K570" s="791"/>
      <c r="L570" s="792"/>
      <c r="M570" s="877">
        <f>SUM(M564:M569)</f>
        <v>1657</v>
      </c>
      <c r="N570" s="794"/>
      <c r="O570" s="793">
        <f>SUM(O564:O569)</f>
        <v>1077.05</v>
      </c>
    </row>
    <row r="571">
      <c r="A571" s="796"/>
      <c r="D571" s="798"/>
      <c r="E571" s="798"/>
      <c r="F571" s="798"/>
      <c r="G571" s="878"/>
      <c r="H571" s="283"/>
      <c r="I571" s="796"/>
      <c r="L571" s="798"/>
      <c r="O571" s="799"/>
    </row>
    <row r="572">
      <c r="A572" s="800" t="s">
        <v>712</v>
      </c>
      <c r="B572" s="801"/>
      <c r="C572" s="802"/>
      <c r="D572" s="798"/>
      <c r="E572" s="798"/>
      <c r="F572" s="798"/>
      <c r="G572" s="878"/>
      <c r="H572" s="283"/>
      <c r="I572" s="800" t="s">
        <v>712</v>
      </c>
      <c r="J572" s="803"/>
      <c r="K572" s="804"/>
      <c r="O572" s="799"/>
    </row>
    <row r="573">
      <c r="A573" s="902" t="s">
        <v>1194</v>
      </c>
      <c r="B573" s="806"/>
      <c r="C573" s="807">
        <v>250.0</v>
      </c>
      <c r="D573" s="798"/>
      <c r="E573" s="798"/>
      <c r="F573" s="798"/>
      <c r="G573" s="878"/>
      <c r="H573" s="283"/>
      <c r="I573" s="902" t="s">
        <v>1194</v>
      </c>
      <c r="J573" s="808"/>
      <c r="K573" s="903">
        <v>250.0</v>
      </c>
      <c r="O573" s="799"/>
    </row>
    <row r="574">
      <c r="A574" s="868"/>
      <c r="B574" s="774"/>
      <c r="C574" s="816"/>
      <c r="D574" s="798"/>
      <c r="E574" s="798"/>
      <c r="F574" s="798"/>
      <c r="G574" s="878"/>
      <c r="H574" s="283"/>
      <c r="I574" s="868"/>
      <c r="J574" s="774"/>
      <c r="K574" s="816"/>
      <c r="O574" s="799"/>
    </row>
    <row r="575">
      <c r="A575" s="815"/>
      <c r="B575" s="792"/>
      <c r="C575" s="816"/>
      <c r="D575" s="798"/>
      <c r="E575" s="798"/>
      <c r="F575" s="798"/>
      <c r="G575" s="878"/>
      <c r="H575" s="283"/>
      <c r="I575" s="815"/>
      <c r="J575" s="792"/>
      <c r="K575" s="816"/>
      <c r="O575" s="799"/>
    </row>
    <row r="576">
      <c r="A576" s="817"/>
      <c r="B576" s="774"/>
      <c r="C576" s="818"/>
      <c r="D576" s="798"/>
      <c r="E576" s="798"/>
      <c r="F576" s="798"/>
      <c r="G576" s="878"/>
      <c r="H576" s="283"/>
      <c r="I576" s="817"/>
      <c r="J576" s="774"/>
      <c r="K576" s="818"/>
      <c r="O576" s="799"/>
    </row>
    <row r="577">
      <c r="A577" s="817"/>
      <c r="B577" s="792"/>
      <c r="C577" s="818"/>
      <c r="D577" s="885" t="s">
        <v>1181</v>
      </c>
      <c r="E577" s="886">
        <f>O582</f>
        <v>1327.05</v>
      </c>
      <c r="F577" s="798"/>
      <c r="G577" s="878"/>
      <c r="H577" s="283"/>
      <c r="I577" s="817"/>
      <c r="J577" s="792"/>
      <c r="K577" s="818"/>
      <c r="O577" s="799"/>
    </row>
    <row r="578">
      <c r="A578" s="821" t="s">
        <v>714</v>
      </c>
      <c r="B578" s="822"/>
      <c r="C578" s="823">
        <f>SUM(C573:C577)</f>
        <v>250</v>
      </c>
      <c r="D578" s="798"/>
      <c r="E578" s="798"/>
      <c r="F578" s="798"/>
      <c r="G578" s="878"/>
      <c r="H578" s="283"/>
      <c r="I578" s="821" t="s">
        <v>714</v>
      </c>
      <c r="J578" s="826"/>
      <c r="K578" s="827">
        <f>SUM(K573:K577)</f>
        <v>250</v>
      </c>
      <c r="O578" s="799"/>
    </row>
    <row r="579">
      <c r="A579" s="828"/>
      <c r="C579" s="829"/>
      <c r="D579" s="887" t="s">
        <v>657</v>
      </c>
      <c r="E579" s="888">
        <f>G582-E577</f>
        <v>1116.14</v>
      </c>
      <c r="F579" s="798"/>
      <c r="G579" s="878"/>
      <c r="H579" s="283"/>
      <c r="I579" s="828"/>
      <c r="K579" s="829"/>
      <c r="O579" s="799"/>
    </row>
    <row r="580">
      <c r="A580" s="830" t="s">
        <v>715</v>
      </c>
      <c r="B580" s="831"/>
      <c r="C580" s="832"/>
      <c r="D580" s="798"/>
      <c r="E580" s="798"/>
      <c r="F580" s="798"/>
      <c r="G580" s="878"/>
      <c r="H580" s="283"/>
      <c r="I580" s="833" t="s">
        <v>715</v>
      </c>
      <c r="J580" s="834"/>
      <c r="K580" s="835"/>
      <c r="O580" s="799"/>
    </row>
    <row r="581">
      <c r="A581" s="836" t="s">
        <v>716</v>
      </c>
      <c r="B581" s="837"/>
      <c r="C581" s="838"/>
      <c r="D581" s="798"/>
      <c r="E581" s="798"/>
      <c r="F581" s="798"/>
      <c r="G581" s="878"/>
      <c r="H581" s="283"/>
      <c r="I581" s="839"/>
      <c r="J581" s="840"/>
      <c r="K581" s="841"/>
      <c r="O581" s="799"/>
    </row>
    <row r="582">
      <c r="A582" s="842" t="s">
        <v>717</v>
      </c>
      <c r="B582" s="843"/>
      <c r="C582" s="844"/>
      <c r="D582" s="248"/>
      <c r="E582" s="845" t="s">
        <v>1182</v>
      </c>
      <c r="G582" s="846">
        <f>G570+C578-C587</f>
        <v>2443.19</v>
      </c>
      <c r="H582" s="283"/>
      <c r="I582" s="847"/>
      <c r="J582" s="848"/>
      <c r="K582" s="849"/>
      <c r="L582" s="248"/>
      <c r="M582" s="845" t="s">
        <v>1183</v>
      </c>
      <c r="O582" s="846">
        <f>O570+K578-K587</f>
        <v>1327.05</v>
      </c>
    </row>
    <row r="583">
      <c r="A583" s="836" t="s">
        <v>718</v>
      </c>
      <c r="B583" s="837"/>
      <c r="C583" s="838"/>
      <c r="G583" s="799"/>
      <c r="H583" s="283"/>
      <c r="I583" s="847"/>
      <c r="J583" s="848"/>
      <c r="K583" s="849"/>
      <c r="O583" s="799"/>
    </row>
    <row r="584">
      <c r="A584" s="842" t="s">
        <v>656</v>
      </c>
      <c r="B584" s="843"/>
      <c r="C584" s="844">
        <f>IFERROR(__xludf.DUMMYFUNCTION("FILTER($C$4:$C$30,$B$4:$B$30=E562)"),1062.81)</f>
        <v>1062.81</v>
      </c>
      <c r="G584" s="799"/>
      <c r="H584" s="283"/>
      <c r="I584" s="847"/>
      <c r="J584" s="848"/>
      <c r="K584" s="849"/>
      <c r="O584" s="799"/>
    </row>
    <row r="585">
      <c r="A585" s="850" t="s">
        <v>1184</v>
      </c>
      <c r="B585" s="851"/>
      <c r="C585" s="852"/>
      <c r="E585" s="248"/>
      <c r="G585" s="799"/>
      <c r="H585" s="283"/>
      <c r="I585" s="847"/>
      <c r="J585" s="848"/>
      <c r="K585" s="849"/>
      <c r="M585" s="248"/>
      <c r="O585" s="799"/>
    </row>
    <row r="586">
      <c r="A586" s="847"/>
      <c r="B586" s="848"/>
      <c r="C586" s="849"/>
      <c r="G586" s="799"/>
      <c r="H586" s="283"/>
      <c r="I586" s="847"/>
      <c r="J586" s="848"/>
      <c r="K586" s="849"/>
      <c r="O586" s="799"/>
    </row>
    <row r="587">
      <c r="A587" s="853" t="s">
        <v>721</v>
      </c>
      <c r="B587" s="854"/>
      <c r="C587" s="855">
        <f>SUM(C581:C586)</f>
        <v>1062.81</v>
      </c>
      <c r="G587" s="799"/>
      <c r="H587" s="283"/>
      <c r="I587" s="853" t="s">
        <v>721</v>
      </c>
      <c r="J587" s="854"/>
      <c r="K587" s="855">
        <f>SUM(K581:K586)</f>
        <v>0</v>
      </c>
      <c r="O587" s="799"/>
    </row>
    <row r="588">
      <c r="A588" s="856"/>
      <c r="B588" s="857"/>
      <c r="C588" s="857"/>
      <c r="D588" s="857"/>
      <c r="E588" s="857"/>
      <c r="F588" s="857"/>
      <c r="G588" s="808"/>
      <c r="H588" s="283"/>
      <c r="I588" s="856"/>
      <c r="J588" s="857"/>
      <c r="K588" s="857"/>
      <c r="L588" s="857"/>
      <c r="M588" s="857"/>
      <c r="N588" s="857"/>
      <c r="O588" s="808"/>
    </row>
    <row r="591">
      <c r="A591" s="769"/>
      <c r="B591" s="770"/>
      <c r="C591" s="770"/>
      <c r="D591" s="771" t="s">
        <v>700</v>
      </c>
      <c r="E591" s="772" t="str">
        <f>E126</f>
        <v>11.24.2025-11.30.2025</v>
      </c>
      <c r="F591" s="773"/>
      <c r="G591" s="774"/>
      <c r="H591" s="305">
        <v>16.0</v>
      </c>
      <c r="I591" s="769"/>
      <c r="J591" s="770"/>
      <c r="K591" s="770"/>
      <c r="L591" s="771" t="s">
        <v>700</v>
      </c>
      <c r="M591" s="772" t="str">
        <f>E126</f>
        <v>11.24.2025-11.30.2025</v>
      </c>
      <c r="N591" s="773"/>
      <c r="O591" s="774"/>
    </row>
    <row r="592">
      <c r="A592" s="775"/>
      <c r="D592" s="771" t="s">
        <v>702</v>
      </c>
      <c r="E592" s="772" t="str">
        <f t="array" ref="E592">XLOOKUP(E593,$Q$973:$Q$1008,$R$973:$R$1008)</f>
        <v>Careway Logistic LLC</v>
      </c>
      <c r="F592" s="773"/>
      <c r="G592" s="774"/>
      <c r="H592" s="858"/>
      <c r="I592" s="775"/>
      <c r="L592" s="771" t="s">
        <v>351</v>
      </c>
      <c r="M592" s="772" t="str">
        <f t="array" ref="M592">XLOOKUP(M593,$L$1:$L$122,$K$1:$K$122)</f>
        <v>RICHARD FLORESTAL</v>
      </c>
      <c r="N592" s="773"/>
      <c r="O592" s="774"/>
    </row>
    <row r="593">
      <c r="A593" s="775"/>
      <c r="D593" s="771" t="s">
        <v>703</v>
      </c>
      <c r="E593" s="772">
        <v>2516.0</v>
      </c>
      <c r="F593" s="773"/>
      <c r="G593" s="774"/>
      <c r="H593" s="283"/>
      <c r="I593" s="775"/>
      <c r="L593" s="771" t="s">
        <v>703</v>
      </c>
      <c r="M593" s="772">
        <f>E593</f>
        <v>2516</v>
      </c>
      <c r="N593" s="773"/>
      <c r="O593" s="774"/>
    </row>
    <row r="594">
      <c r="A594" s="779" t="s">
        <v>704</v>
      </c>
      <c r="B594" s="779" t="s">
        <v>5</v>
      </c>
      <c r="C594" s="779" t="s">
        <v>6</v>
      </c>
      <c r="D594" s="779" t="s">
        <v>7</v>
      </c>
      <c r="E594" s="779" t="s">
        <v>8</v>
      </c>
      <c r="F594" s="779" t="s">
        <v>706</v>
      </c>
      <c r="G594" s="779" t="s">
        <v>707</v>
      </c>
      <c r="H594" s="34"/>
      <c r="I594" s="779" t="s">
        <v>704</v>
      </c>
      <c r="J594" s="779" t="s">
        <v>5</v>
      </c>
      <c r="K594" s="779" t="s">
        <v>6</v>
      </c>
      <c r="L594" s="779" t="s">
        <v>7</v>
      </c>
      <c r="M594" s="779" t="s">
        <v>1178</v>
      </c>
      <c r="N594" s="779" t="s">
        <v>839</v>
      </c>
      <c r="O594" s="779" t="s">
        <v>707</v>
      </c>
    </row>
    <row r="595">
      <c r="A595" s="780">
        <f>IFERROR(__xludf.DUMMYFUNCTION("FILTER($D$3:$H$122,$L$3:$L$122=E593)"),45985.0)</f>
        <v>45985</v>
      </c>
      <c r="B595" s="781" t="str">
        <f>IFERROR(__xludf.DUMMYFUNCTION("""COMPUTED_VALUE"""),"Trip-14626")</f>
        <v>Trip-14626</v>
      </c>
      <c r="C595" s="781" t="str">
        <f>IFERROR(__xludf.DUMMYFUNCTION("""COMPUTED_VALUE"""),"Waterford, PA, 16441")</f>
        <v>Waterford, PA, 16441</v>
      </c>
      <c r="D595" s="781" t="str">
        <f>IFERROR(__xludf.DUMMYFUNCTION("""COMPUTED_VALUE"""),"Daytona Beach, FL, 32117")</f>
        <v>Daytona Beach, FL, 32117</v>
      </c>
      <c r="E595" s="782">
        <f>IFERROR(__xludf.DUMMYFUNCTION("""COMPUTED_VALUE"""),2800.0)</f>
        <v>2800</v>
      </c>
      <c r="F595" s="783">
        <v>0.88</v>
      </c>
      <c r="G595" s="782">
        <f>E595*F595</f>
        <v>2464</v>
      </c>
      <c r="H595" s="283"/>
      <c r="I595" s="780">
        <f>IFERROR(__xludf.DUMMYFUNCTION("FILTER($D$3:$G$122,$L$3:$L$122=M593)"),45985.0)</f>
        <v>45985</v>
      </c>
      <c r="J595" s="781" t="str">
        <f>IFERROR(__xludf.DUMMYFUNCTION("""COMPUTED_VALUE"""),"Trip-14626")</f>
        <v>Trip-14626</v>
      </c>
      <c r="K595" s="781" t="str">
        <f>IFERROR(__xludf.DUMMYFUNCTION("""COMPUTED_VALUE"""),"Waterford, PA, 16441")</f>
        <v>Waterford, PA, 16441</v>
      </c>
      <c r="L595" s="781" t="str">
        <f>IFERROR(__xludf.DUMMYFUNCTION("""COMPUTED_VALUE"""),"Daytona Beach, FL, 32117")</f>
        <v>Daytona Beach, FL, 32117</v>
      </c>
      <c r="M595" s="896">
        <f>IFERROR(__xludf.DUMMYFUNCTION("FILTER($I$3:$I$122,$L$3:$L$122=M593)"),1218.0)</f>
        <v>1218</v>
      </c>
      <c r="N595" s="781">
        <v>0.65</v>
      </c>
      <c r="O595" s="782">
        <f>M595*N595</f>
        <v>791.7</v>
      </c>
    </row>
    <row r="596">
      <c r="A596" s="780"/>
      <c r="B596" s="781"/>
      <c r="C596" s="781"/>
      <c r="D596" s="781"/>
      <c r="E596" s="782"/>
      <c r="F596" s="783"/>
      <c r="G596" s="782"/>
      <c r="H596" s="283"/>
      <c r="I596" s="780"/>
      <c r="J596" s="781"/>
      <c r="K596" s="781"/>
      <c r="L596" s="781"/>
      <c r="M596" s="782"/>
      <c r="N596" s="783"/>
      <c r="O596" s="789"/>
    </row>
    <row r="597">
      <c r="A597" s="785"/>
      <c r="B597" s="786"/>
      <c r="C597" s="786"/>
      <c r="D597" s="786"/>
      <c r="E597" s="785"/>
      <c r="F597" s="787"/>
      <c r="G597" s="788"/>
      <c r="H597" s="283"/>
      <c r="I597" s="785"/>
      <c r="J597" s="786"/>
      <c r="K597" s="786"/>
      <c r="L597" s="786"/>
      <c r="M597" s="785"/>
      <c r="N597" s="787"/>
      <c r="O597" s="789"/>
    </row>
    <row r="598">
      <c r="A598" s="785"/>
      <c r="B598" s="786"/>
      <c r="C598" s="786"/>
      <c r="D598" s="786"/>
      <c r="E598" s="785"/>
      <c r="F598" s="787"/>
      <c r="G598" s="788"/>
      <c r="H598" s="283"/>
      <c r="I598" s="785"/>
      <c r="J598" s="786"/>
      <c r="K598" s="786"/>
      <c r="L598" s="786"/>
      <c r="M598" s="785"/>
      <c r="N598" s="787"/>
      <c r="O598" s="789"/>
    </row>
    <row r="599">
      <c r="A599" s="785"/>
      <c r="B599" s="786"/>
      <c r="C599" s="786"/>
      <c r="D599" s="786"/>
      <c r="E599" s="785"/>
      <c r="F599" s="787"/>
      <c r="G599" s="788"/>
      <c r="H599" s="283"/>
      <c r="I599" s="785"/>
      <c r="J599" s="786"/>
      <c r="K599" s="786"/>
      <c r="L599" s="786"/>
      <c r="M599" s="785"/>
      <c r="N599" s="787"/>
      <c r="O599" s="789"/>
    </row>
    <row r="600">
      <c r="A600" s="785"/>
      <c r="B600" s="786"/>
      <c r="C600" s="786"/>
      <c r="D600" s="786"/>
      <c r="E600" s="785"/>
      <c r="F600" s="787"/>
      <c r="G600" s="788"/>
      <c r="H600" s="283"/>
      <c r="I600" s="785"/>
      <c r="J600" s="786"/>
      <c r="K600" s="786"/>
      <c r="L600" s="786"/>
      <c r="M600" s="785"/>
      <c r="N600" s="787"/>
      <c r="O600" s="789"/>
    </row>
    <row r="601">
      <c r="A601" s="790" t="s">
        <v>711</v>
      </c>
      <c r="B601" s="791"/>
      <c r="C601" s="791"/>
      <c r="D601" s="792"/>
      <c r="E601" s="793">
        <f>SUM(E595:E600)</f>
        <v>2800</v>
      </c>
      <c r="F601" s="794"/>
      <c r="G601" s="793">
        <f>SUM(G595:G600)</f>
        <v>2464</v>
      </c>
      <c r="H601" s="283"/>
      <c r="I601" s="790" t="s">
        <v>711</v>
      </c>
      <c r="J601" s="791"/>
      <c r="K601" s="791"/>
      <c r="L601" s="792"/>
      <c r="M601" s="877">
        <f>SUM(M595:M600)</f>
        <v>1218</v>
      </c>
      <c r="N601" s="794"/>
      <c r="O601" s="793">
        <f>SUM(O595:O600)</f>
        <v>791.7</v>
      </c>
    </row>
    <row r="602">
      <c r="A602" s="796"/>
      <c r="D602" s="798"/>
      <c r="G602" s="799"/>
      <c r="H602" s="283"/>
      <c r="I602" s="796"/>
      <c r="L602" s="798"/>
      <c r="O602" s="799"/>
    </row>
    <row r="603">
      <c r="A603" s="800" t="s">
        <v>712</v>
      </c>
      <c r="B603" s="801"/>
      <c r="C603" s="802"/>
      <c r="G603" s="799"/>
      <c r="H603" s="283"/>
      <c r="I603" s="800" t="s">
        <v>712</v>
      </c>
      <c r="J603" s="803"/>
      <c r="K603" s="804"/>
      <c r="O603" s="799"/>
    </row>
    <row r="604">
      <c r="A604" s="902" t="s">
        <v>1194</v>
      </c>
      <c r="B604" s="806"/>
      <c r="C604" s="807">
        <v>250.0</v>
      </c>
      <c r="G604" s="799"/>
      <c r="H604" s="283"/>
      <c r="I604" s="902" t="s">
        <v>1194</v>
      </c>
      <c r="J604" s="808"/>
      <c r="K604" s="903">
        <v>250.0</v>
      </c>
      <c r="O604" s="799"/>
    </row>
    <row r="605">
      <c r="A605" s="868"/>
      <c r="B605" s="774"/>
      <c r="C605" s="816"/>
      <c r="G605" s="799"/>
      <c r="H605" s="283"/>
      <c r="I605" s="868"/>
      <c r="J605" s="774"/>
      <c r="K605" s="816"/>
      <c r="O605" s="799"/>
    </row>
    <row r="606">
      <c r="A606" s="815"/>
      <c r="B606" s="792"/>
      <c r="C606" s="816"/>
      <c r="G606" s="799"/>
      <c r="H606" s="283"/>
      <c r="I606" s="815"/>
      <c r="J606" s="792"/>
      <c r="K606" s="816"/>
      <c r="O606" s="799"/>
    </row>
    <row r="607">
      <c r="A607" s="817"/>
      <c r="B607" s="774"/>
      <c r="C607" s="818"/>
      <c r="G607" s="799"/>
      <c r="H607" s="283"/>
      <c r="I607" s="817"/>
      <c r="J607" s="774"/>
      <c r="K607" s="818"/>
      <c r="O607" s="799"/>
    </row>
    <row r="608">
      <c r="A608" s="817"/>
      <c r="B608" s="792"/>
      <c r="C608" s="818"/>
      <c r="G608" s="799"/>
      <c r="H608" s="283"/>
      <c r="I608" s="817"/>
      <c r="J608" s="792"/>
      <c r="K608" s="818"/>
      <c r="O608" s="799"/>
    </row>
    <row r="609">
      <c r="A609" s="821" t="s">
        <v>714</v>
      </c>
      <c r="B609" s="822"/>
      <c r="C609" s="823">
        <f>SUM(C604:C608)</f>
        <v>250</v>
      </c>
      <c r="G609" s="799"/>
      <c r="H609" s="283"/>
      <c r="I609" s="821" t="s">
        <v>714</v>
      </c>
      <c r="J609" s="826"/>
      <c r="K609" s="823">
        <f>SUM(K604:K608)</f>
        <v>250</v>
      </c>
      <c r="O609" s="799"/>
    </row>
    <row r="610">
      <c r="A610" s="828"/>
      <c r="C610" s="829"/>
      <c r="G610" s="799"/>
      <c r="H610" s="283"/>
      <c r="I610" s="828"/>
      <c r="K610" s="829"/>
      <c r="O610" s="799"/>
    </row>
    <row r="611">
      <c r="A611" s="830" t="s">
        <v>715</v>
      </c>
      <c r="B611" s="831"/>
      <c r="C611" s="832"/>
      <c r="G611" s="799"/>
      <c r="H611" s="283"/>
      <c r="I611" s="833" t="s">
        <v>715</v>
      </c>
      <c r="J611" s="834"/>
      <c r="K611" s="835"/>
      <c r="O611" s="799"/>
    </row>
    <row r="612">
      <c r="A612" s="836" t="s">
        <v>716</v>
      </c>
      <c r="B612" s="837"/>
      <c r="C612" s="838">
        <v>150.0</v>
      </c>
      <c r="G612" s="799"/>
      <c r="H612" s="283"/>
      <c r="I612" s="839"/>
      <c r="J612" s="840"/>
      <c r="K612" s="841"/>
      <c r="O612" s="799"/>
    </row>
    <row r="613">
      <c r="A613" s="842" t="s">
        <v>717</v>
      </c>
      <c r="B613" s="843"/>
      <c r="C613" s="844">
        <v>400.0</v>
      </c>
      <c r="D613" s="248"/>
      <c r="E613" s="845" t="s">
        <v>1182</v>
      </c>
      <c r="G613" s="846">
        <f>G601+C609-C618</f>
        <v>1216.83</v>
      </c>
      <c r="H613" s="283"/>
      <c r="I613" s="847"/>
      <c r="J613" s="848"/>
      <c r="K613" s="849"/>
      <c r="L613" s="248"/>
      <c r="M613" s="845" t="s">
        <v>1183</v>
      </c>
      <c r="O613" s="846">
        <f>O601+K609-K618</f>
        <v>1041.7</v>
      </c>
    </row>
    <row r="614">
      <c r="A614" s="836" t="s">
        <v>718</v>
      </c>
      <c r="B614" s="837"/>
      <c r="C614" s="838">
        <v>200.0</v>
      </c>
      <c r="G614" s="799"/>
      <c r="H614" s="283"/>
      <c r="I614" s="847"/>
      <c r="J614" s="848"/>
      <c r="K614" s="849"/>
      <c r="O614" s="799"/>
    </row>
    <row r="615">
      <c r="A615" s="842" t="s">
        <v>656</v>
      </c>
      <c r="B615" s="843"/>
      <c r="C615" s="844">
        <f>IFERROR(__xludf.DUMMYFUNCTION("FILTER($C$4:$C$30,$B$4:$B$30=E593)"),747.17)</f>
        <v>747.17</v>
      </c>
      <c r="G615" s="799"/>
      <c r="H615" s="283"/>
      <c r="I615" s="847"/>
      <c r="J615" s="848"/>
      <c r="K615" s="849"/>
      <c r="O615" s="799"/>
    </row>
    <row r="616">
      <c r="A616" s="850" t="s">
        <v>1184</v>
      </c>
      <c r="B616" s="851"/>
      <c r="C616" s="852"/>
      <c r="E616" s="248"/>
      <c r="G616" s="799"/>
      <c r="H616" s="283"/>
      <c r="I616" s="847"/>
      <c r="J616" s="848"/>
      <c r="K616" s="849"/>
      <c r="M616" s="248"/>
      <c r="O616" s="799"/>
    </row>
    <row r="617">
      <c r="A617" s="847"/>
      <c r="B617" s="848"/>
      <c r="C617" s="849"/>
      <c r="G617" s="799"/>
      <c r="H617" s="283"/>
      <c r="I617" s="847"/>
      <c r="J617" s="848"/>
      <c r="K617" s="849"/>
      <c r="O617" s="799"/>
    </row>
    <row r="618">
      <c r="A618" s="853" t="s">
        <v>721</v>
      </c>
      <c r="B618" s="854"/>
      <c r="C618" s="855">
        <f>SUM(C612:C617)</f>
        <v>1497.17</v>
      </c>
      <c r="G618" s="799"/>
      <c r="H618" s="283"/>
      <c r="I618" s="853" t="s">
        <v>721</v>
      </c>
      <c r="J618" s="854"/>
      <c r="K618" s="855">
        <f>SUM(K612:K617)</f>
        <v>0</v>
      </c>
      <c r="O618" s="799"/>
    </row>
    <row r="619">
      <c r="A619" s="856"/>
      <c r="B619" s="857"/>
      <c r="C619" s="857"/>
      <c r="D619" s="857"/>
      <c r="E619" s="857"/>
      <c r="F619" s="857"/>
      <c r="G619" s="808"/>
      <c r="H619" s="283"/>
      <c r="I619" s="856"/>
      <c r="J619" s="857"/>
      <c r="K619" s="857"/>
      <c r="L619" s="857"/>
      <c r="M619" s="857"/>
      <c r="N619" s="857"/>
      <c r="O619" s="808"/>
    </row>
    <row r="622">
      <c r="A622" s="769"/>
      <c r="B622" s="770"/>
      <c r="C622" s="770"/>
      <c r="D622" s="771" t="s">
        <v>700</v>
      </c>
      <c r="E622" s="772" t="str">
        <f>E126</f>
        <v>11.24.2025-11.30.2025</v>
      </c>
      <c r="F622" s="773"/>
      <c r="G622" s="774"/>
      <c r="H622" s="305">
        <v>17.0</v>
      </c>
      <c r="I622" s="769"/>
      <c r="J622" s="770"/>
      <c r="K622" s="770"/>
      <c r="L622" s="771" t="s">
        <v>700</v>
      </c>
      <c r="M622" s="772" t="str">
        <f>E126</f>
        <v>11.24.2025-11.30.2025</v>
      </c>
      <c r="N622" s="773"/>
      <c r="O622" s="774"/>
    </row>
    <row r="623">
      <c r="A623" s="775"/>
      <c r="D623" s="771" t="s">
        <v>702</v>
      </c>
      <c r="E623" s="772" t="str">
        <f t="array" ref="E623">XLOOKUP(E624,$Q$973:$Q$1008,$R$973:$R$1008)</f>
        <v>Careway Logistic LLC</v>
      </c>
      <c r="F623" s="773"/>
      <c r="G623" s="774"/>
      <c r="H623" s="858"/>
      <c r="I623" s="775"/>
      <c r="L623" s="771" t="s">
        <v>351</v>
      </c>
      <c r="M623" s="772" t="str">
        <f t="array" ref="M623">XLOOKUP(M624,$L$1:$L$122,$K$1:$K$122)</f>
        <v>Marco Cayo Cayo</v>
      </c>
      <c r="N623" s="773"/>
      <c r="O623" s="774"/>
    </row>
    <row r="624">
      <c r="A624" s="775"/>
      <c r="D624" s="771" t="s">
        <v>703</v>
      </c>
      <c r="E624" s="778" t="s">
        <v>982</v>
      </c>
      <c r="F624" s="773"/>
      <c r="G624" s="774"/>
      <c r="H624" s="283"/>
      <c r="I624" s="775"/>
      <c r="L624" s="771" t="s">
        <v>703</v>
      </c>
      <c r="M624" s="772" t="str">
        <f>E624</f>
        <v>0997</v>
      </c>
      <c r="N624" s="773"/>
      <c r="O624" s="774"/>
    </row>
    <row r="625">
      <c r="A625" s="779" t="s">
        <v>704</v>
      </c>
      <c r="B625" s="779" t="s">
        <v>5</v>
      </c>
      <c r="C625" s="779" t="s">
        <v>6</v>
      </c>
      <c r="D625" s="779" t="s">
        <v>7</v>
      </c>
      <c r="E625" s="779" t="s">
        <v>8</v>
      </c>
      <c r="F625" s="779" t="s">
        <v>706</v>
      </c>
      <c r="G625" s="779" t="s">
        <v>707</v>
      </c>
      <c r="H625" s="34"/>
      <c r="I625" s="779" t="s">
        <v>704</v>
      </c>
      <c r="J625" s="779" t="s">
        <v>5</v>
      </c>
      <c r="K625" s="779" t="s">
        <v>6</v>
      </c>
      <c r="L625" s="779" t="s">
        <v>7</v>
      </c>
      <c r="M625" s="779" t="s">
        <v>1178</v>
      </c>
      <c r="N625" s="779" t="s">
        <v>839</v>
      </c>
      <c r="O625" s="779" t="s">
        <v>707</v>
      </c>
    </row>
    <row r="626">
      <c r="A626" s="780">
        <f>IFERROR(__xludf.DUMMYFUNCTION("FILTER($D$3:$H$122,$L$3:$L$122=E624)"),45986.0)</f>
        <v>45986</v>
      </c>
      <c r="B626" s="781">
        <f>IFERROR(__xludf.DUMMYFUNCTION("""COMPUTED_VALUE"""),5542555.0)</f>
        <v>5542555</v>
      </c>
      <c r="C626" s="781" t="str">
        <f>IFERROR(__xludf.DUMMYFUNCTION("""COMPUTED_VALUE"""),"Woodburn, OR, 97071")</f>
        <v>Woodburn, OR, 97071</v>
      </c>
      <c r="D626" s="781" t="str">
        <f>IFERROR(__xludf.DUMMYFUNCTION("""COMPUTED_VALUE"""),"Brawley, CA, 92227")</f>
        <v>Brawley, CA, 92227</v>
      </c>
      <c r="E626" s="782">
        <f>IFERROR(__xludf.DUMMYFUNCTION("""COMPUTED_VALUE"""),2000.0)</f>
        <v>2000</v>
      </c>
      <c r="F626" s="783">
        <v>0.88</v>
      </c>
      <c r="G626" s="782">
        <f>E626*F626</f>
        <v>1760</v>
      </c>
      <c r="H626" s="283"/>
      <c r="I626" s="780">
        <f>IFERROR(__xludf.DUMMYFUNCTION("FILTER($D$3:$G$122,$L$3:$L$122=M624)"),45986.0)</f>
        <v>45986</v>
      </c>
      <c r="J626" s="781">
        <f>IFERROR(__xludf.DUMMYFUNCTION("""COMPUTED_VALUE"""),5542555.0)</f>
        <v>5542555</v>
      </c>
      <c r="K626" s="781" t="str">
        <f>IFERROR(__xludf.DUMMYFUNCTION("""COMPUTED_VALUE"""),"Woodburn, OR, 97071")</f>
        <v>Woodburn, OR, 97071</v>
      </c>
      <c r="L626" s="781" t="str">
        <f>IFERROR(__xludf.DUMMYFUNCTION("""COMPUTED_VALUE"""),"Brawley, CA, 92227")</f>
        <v>Brawley, CA, 92227</v>
      </c>
      <c r="M626" s="880">
        <f>IFERROR(__xludf.DUMMYFUNCTION("FILTER($I$3:$I$122,$L$3:$L$122=M624)"),1175.0)</f>
        <v>1175</v>
      </c>
      <c r="N626" s="781">
        <v>0.65</v>
      </c>
      <c r="O626" s="782">
        <f>M626*N626</f>
        <v>763.75</v>
      </c>
    </row>
    <row r="627">
      <c r="A627" s="780"/>
      <c r="B627" s="781"/>
      <c r="C627" s="781"/>
      <c r="D627" s="781"/>
      <c r="E627" s="782"/>
      <c r="F627" s="783"/>
      <c r="G627" s="782"/>
      <c r="H627" s="283"/>
      <c r="I627" s="780"/>
      <c r="J627" s="781"/>
      <c r="K627" s="781"/>
      <c r="L627" s="781"/>
      <c r="M627" s="782"/>
      <c r="N627" s="783"/>
      <c r="O627" s="789"/>
    </row>
    <row r="628">
      <c r="A628" s="785"/>
      <c r="B628" s="786"/>
      <c r="C628" s="786"/>
      <c r="D628" s="786"/>
      <c r="E628" s="785"/>
      <c r="F628" s="787"/>
      <c r="G628" s="788"/>
      <c r="H628" s="283"/>
      <c r="I628" s="785"/>
      <c r="J628" s="786"/>
      <c r="K628" s="786"/>
      <c r="L628" s="786"/>
      <c r="M628" s="785"/>
      <c r="N628" s="787"/>
      <c r="O628" s="789"/>
    </row>
    <row r="629">
      <c r="A629" s="785"/>
      <c r="B629" s="786"/>
      <c r="C629" s="786"/>
      <c r="D629" s="786"/>
      <c r="E629" s="785"/>
      <c r="F629" s="787"/>
      <c r="G629" s="788"/>
      <c r="H629" s="283"/>
      <c r="I629" s="785"/>
      <c r="J629" s="786"/>
      <c r="K629" s="786"/>
      <c r="L629" s="786"/>
      <c r="M629" s="785"/>
      <c r="N629" s="787"/>
      <c r="O629" s="789"/>
    </row>
    <row r="630">
      <c r="A630" s="785"/>
      <c r="B630" s="786"/>
      <c r="C630" s="786"/>
      <c r="D630" s="786"/>
      <c r="E630" s="785"/>
      <c r="F630" s="787"/>
      <c r="G630" s="788"/>
      <c r="H630" s="283"/>
      <c r="I630" s="785"/>
      <c r="J630" s="786"/>
      <c r="K630" s="786"/>
      <c r="L630" s="786"/>
      <c r="M630" s="785"/>
      <c r="N630" s="787"/>
      <c r="O630" s="789"/>
    </row>
    <row r="631">
      <c r="A631" s="785"/>
      <c r="B631" s="786"/>
      <c r="C631" s="786"/>
      <c r="D631" s="786"/>
      <c r="E631" s="785"/>
      <c r="F631" s="787"/>
      <c r="G631" s="788"/>
      <c r="H631" s="283"/>
      <c r="I631" s="785"/>
      <c r="J631" s="786"/>
      <c r="K631" s="786"/>
      <c r="L631" s="786"/>
      <c r="M631" s="785"/>
      <c r="N631" s="787"/>
      <c r="O631" s="789"/>
    </row>
    <row r="632">
      <c r="A632" s="790" t="s">
        <v>711</v>
      </c>
      <c r="B632" s="791"/>
      <c r="C632" s="791"/>
      <c r="D632" s="792"/>
      <c r="E632" s="793">
        <f>SUM(E626:E631)</f>
        <v>2000</v>
      </c>
      <c r="F632" s="794"/>
      <c r="G632" s="793">
        <f>SUM(G626:G631)</f>
        <v>1760</v>
      </c>
      <c r="H632" s="283"/>
      <c r="I632" s="790" t="s">
        <v>711</v>
      </c>
      <c r="J632" s="791"/>
      <c r="K632" s="791"/>
      <c r="L632" s="792"/>
      <c r="M632" s="877">
        <f>SUM(M626:M631)</f>
        <v>1175</v>
      </c>
      <c r="N632" s="794"/>
      <c r="O632" s="793">
        <f>SUM(O626:O631)</f>
        <v>763.75</v>
      </c>
    </row>
    <row r="633">
      <c r="A633" s="796"/>
      <c r="D633" s="798"/>
      <c r="G633" s="799"/>
      <c r="H633" s="283"/>
      <c r="I633" s="796"/>
      <c r="L633" s="798"/>
      <c r="O633" s="799"/>
    </row>
    <row r="634">
      <c r="A634" s="800" t="s">
        <v>712</v>
      </c>
      <c r="B634" s="801"/>
      <c r="C634" s="802"/>
      <c r="G634" s="799"/>
      <c r="H634" s="283"/>
      <c r="I634" s="800" t="s">
        <v>712</v>
      </c>
      <c r="J634" s="803"/>
      <c r="K634" s="804"/>
      <c r="O634" s="799"/>
    </row>
    <row r="635">
      <c r="A635" s="902" t="s">
        <v>1194</v>
      </c>
      <c r="B635" s="806"/>
      <c r="C635" s="807">
        <v>250.0</v>
      </c>
      <c r="G635" s="799"/>
      <c r="H635" s="283"/>
      <c r="I635" s="902" t="s">
        <v>1194</v>
      </c>
      <c r="J635" s="808"/>
      <c r="K635" s="903">
        <v>250.0</v>
      </c>
      <c r="O635" s="799"/>
    </row>
    <row r="636">
      <c r="A636" s="868"/>
      <c r="B636" s="774"/>
      <c r="C636" s="816"/>
      <c r="G636" s="799"/>
      <c r="H636" s="283"/>
      <c r="I636" s="813" t="s">
        <v>1201</v>
      </c>
      <c r="J636" s="774"/>
      <c r="K636" s="916">
        <v>61.75</v>
      </c>
      <c r="O636" s="799"/>
    </row>
    <row r="637">
      <c r="A637" s="815"/>
      <c r="B637" s="792"/>
      <c r="C637" s="816"/>
      <c r="G637" s="799"/>
      <c r="H637" s="283"/>
      <c r="I637" s="815"/>
      <c r="J637" s="792"/>
      <c r="K637" s="816"/>
      <c r="O637" s="799"/>
    </row>
    <row r="638">
      <c r="A638" s="817"/>
      <c r="B638" s="774"/>
      <c r="C638" s="818"/>
      <c r="G638" s="799"/>
      <c r="H638" s="283"/>
      <c r="I638" s="817"/>
      <c r="J638" s="774"/>
      <c r="K638" s="818"/>
      <c r="O638" s="799"/>
    </row>
    <row r="639">
      <c r="A639" s="817"/>
      <c r="B639" s="792"/>
      <c r="C639" s="818"/>
      <c r="G639" s="799"/>
      <c r="H639" s="283"/>
      <c r="I639" s="817"/>
      <c r="J639" s="792"/>
      <c r="K639" s="818"/>
      <c r="O639" s="799"/>
    </row>
    <row r="640">
      <c r="A640" s="821" t="s">
        <v>714</v>
      </c>
      <c r="B640" s="822"/>
      <c r="C640" s="823">
        <f>SUM(C635:C639)</f>
        <v>250</v>
      </c>
      <c r="G640" s="799"/>
      <c r="H640" s="283"/>
      <c r="I640" s="821" t="s">
        <v>714</v>
      </c>
      <c r="J640" s="826"/>
      <c r="K640" s="823">
        <f>SUM(K635:K639)</f>
        <v>311.75</v>
      </c>
      <c r="O640" s="799"/>
    </row>
    <row r="641">
      <c r="A641" s="828"/>
      <c r="C641" s="829"/>
      <c r="G641" s="799"/>
      <c r="H641" s="283"/>
      <c r="I641" s="828"/>
      <c r="K641" s="829"/>
      <c r="O641" s="799"/>
    </row>
    <row r="642">
      <c r="A642" s="830" t="s">
        <v>715</v>
      </c>
      <c r="B642" s="831"/>
      <c r="C642" s="832"/>
      <c r="G642" s="799"/>
      <c r="H642" s="283"/>
      <c r="I642" s="833" t="s">
        <v>715</v>
      </c>
      <c r="J642" s="834"/>
      <c r="K642" s="835"/>
      <c r="O642" s="799"/>
    </row>
    <row r="643">
      <c r="A643" s="836" t="s">
        <v>716</v>
      </c>
      <c r="B643" s="837"/>
      <c r="C643" s="838">
        <v>150.0</v>
      </c>
      <c r="G643" s="799"/>
      <c r="H643" s="283"/>
      <c r="I643" s="839"/>
      <c r="J643" s="840"/>
      <c r="K643" s="841"/>
      <c r="O643" s="799"/>
    </row>
    <row r="644">
      <c r="A644" s="842" t="s">
        <v>717</v>
      </c>
      <c r="B644" s="843"/>
      <c r="C644" s="844">
        <v>400.0</v>
      </c>
      <c r="D644" s="891"/>
      <c r="E644" s="845" t="s">
        <v>1182</v>
      </c>
      <c r="G644" s="846">
        <f>G632+C640-C649</f>
        <v>-811.98</v>
      </c>
      <c r="H644" s="283"/>
      <c r="I644" s="847"/>
      <c r="J644" s="848"/>
      <c r="K644" s="849"/>
      <c r="L644" s="248"/>
      <c r="M644" s="845" t="s">
        <v>1183</v>
      </c>
      <c r="O644" s="846">
        <f>O632+K640-K649</f>
        <v>1075.5</v>
      </c>
    </row>
    <row r="645">
      <c r="A645" s="836" t="s">
        <v>718</v>
      </c>
      <c r="B645" s="837"/>
      <c r="C645" s="838">
        <v>200.0</v>
      </c>
      <c r="D645" s="892"/>
      <c r="G645" s="799"/>
      <c r="H645" s="283"/>
      <c r="I645" s="847"/>
      <c r="J645" s="848"/>
      <c r="K645" s="849"/>
      <c r="O645" s="799"/>
    </row>
    <row r="646">
      <c r="A646" s="842" t="s">
        <v>656</v>
      </c>
      <c r="B646" s="843"/>
      <c r="C646" s="844">
        <f>IFERROR(__xludf.DUMMYFUNCTION("FILTER($C$4:$C$30,$B$4:$B$30=E624)"),1731.16)</f>
        <v>1731.16</v>
      </c>
      <c r="D646" s="891"/>
      <c r="G646" s="799"/>
      <c r="H646" s="283"/>
      <c r="I646" s="847"/>
      <c r="J646" s="848"/>
      <c r="K646" s="849"/>
      <c r="O646" s="799"/>
    </row>
    <row r="647">
      <c r="A647" s="850" t="s">
        <v>1184</v>
      </c>
      <c r="B647" s="851"/>
      <c r="C647" s="852">
        <f>258.82+82</f>
        <v>340.82</v>
      </c>
      <c r="D647" s="917" t="s">
        <v>1202</v>
      </c>
      <c r="E647" s="248"/>
      <c r="G647" s="799"/>
      <c r="H647" s="283"/>
      <c r="I647" s="847"/>
      <c r="J647" s="848"/>
      <c r="K647" s="849"/>
      <c r="M647" s="248"/>
      <c r="O647" s="799"/>
    </row>
    <row r="648">
      <c r="A648" s="914"/>
      <c r="B648" s="905"/>
      <c r="C648" s="906"/>
      <c r="D648" s="915" t="s">
        <v>1203</v>
      </c>
      <c r="G648" s="799"/>
      <c r="H648" s="283"/>
      <c r="I648" s="847"/>
      <c r="J648" s="848"/>
      <c r="K648" s="849"/>
      <c r="O648" s="799"/>
    </row>
    <row r="649">
      <c r="A649" s="853" t="s">
        <v>721</v>
      </c>
      <c r="B649" s="854"/>
      <c r="C649" s="855">
        <f>SUM(C643:C648)</f>
        <v>2821.98</v>
      </c>
      <c r="D649" s="248"/>
      <c r="G649" s="799"/>
      <c r="H649" s="283"/>
      <c r="I649" s="853" t="s">
        <v>721</v>
      </c>
      <c r="J649" s="854"/>
      <c r="K649" s="855">
        <f>SUM(K643:K648)</f>
        <v>0</v>
      </c>
      <c r="O649" s="799"/>
    </row>
    <row r="650">
      <c r="A650" s="856"/>
      <c r="B650" s="857"/>
      <c r="C650" s="857"/>
      <c r="D650" s="894"/>
      <c r="E650" s="857"/>
      <c r="F650" s="857"/>
      <c r="G650" s="808"/>
      <c r="H650" s="283"/>
      <c r="I650" s="856"/>
      <c r="J650" s="857"/>
      <c r="K650" s="857"/>
      <c r="L650" s="857"/>
      <c r="M650" s="857"/>
      <c r="N650" s="857"/>
      <c r="O650" s="808"/>
    </row>
    <row r="653">
      <c r="A653" s="769"/>
      <c r="B653" s="770"/>
      <c r="C653" s="770"/>
      <c r="D653" s="771" t="s">
        <v>700</v>
      </c>
      <c r="E653" s="772" t="str">
        <f>E126</f>
        <v>11.24.2025-11.30.2025</v>
      </c>
      <c r="F653" s="773"/>
      <c r="G653" s="774"/>
      <c r="H653" s="305">
        <v>18.0</v>
      </c>
      <c r="I653" s="769"/>
      <c r="J653" s="770"/>
      <c r="K653" s="770"/>
      <c r="L653" s="771" t="s">
        <v>700</v>
      </c>
      <c r="M653" s="772" t="str">
        <f>E653</f>
        <v>11.24.2025-11.30.2025</v>
      </c>
      <c r="N653" s="773"/>
      <c r="O653" s="774"/>
    </row>
    <row r="654">
      <c r="A654" s="775"/>
      <c r="D654" s="771" t="s">
        <v>702</v>
      </c>
      <c r="E654" s="772" t="str">
        <f t="array" ref="E654">XLOOKUP(E655,$Q$973:$Q$1008,$R$973:$R$1008)</f>
        <v>FERHAT BAL</v>
      </c>
      <c r="F654" s="773"/>
      <c r="G654" s="774"/>
      <c r="H654" s="858"/>
      <c r="I654" s="775"/>
      <c r="L654" s="771" t="s">
        <v>702</v>
      </c>
      <c r="M654" s="772" t="s">
        <v>693</v>
      </c>
      <c r="N654" s="773"/>
      <c r="O654" s="774"/>
    </row>
    <row r="655">
      <c r="A655" s="775"/>
      <c r="D655" s="771" t="s">
        <v>703</v>
      </c>
      <c r="E655" s="772">
        <v>6643.0</v>
      </c>
      <c r="F655" s="773"/>
      <c r="G655" s="774"/>
      <c r="H655" s="283"/>
      <c r="I655" s="775"/>
      <c r="L655" s="771" t="s">
        <v>703</v>
      </c>
      <c r="M655" s="772">
        <v>6643.0</v>
      </c>
      <c r="N655" s="773"/>
      <c r="O655" s="774"/>
    </row>
    <row r="656">
      <c r="A656" s="779" t="s">
        <v>704</v>
      </c>
      <c r="B656" s="779" t="s">
        <v>5</v>
      </c>
      <c r="C656" s="779" t="s">
        <v>6</v>
      </c>
      <c r="D656" s="779" t="s">
        <v>7</v>
      </c>
      <c r="E656" s="779" t="s">
        <v>8</v>
      </c>
      <c r="F656" s="779" t="s">
        <v>706</v>
      </c>
      <c r="G656" s="779" t="s">
        <v>707</v>
      </c>
      <c r="H656" s="34"/>
      <c r="I656" s="779"/>
      <c r="J656" s="779"/>
      <c r="K656" s="779"/>
      <c r="L656" s="779"/>
      <c r="M656" s="779" t="s">
        <v>1204</v>
      </c>
      <c r="N656" s="779"/>
      <c r="O656" s="779"/>
    </row>
    <row r="657">
      <c r="A657" s="780">
        <f>IFERROR(__xludf.DUMMYFUNCTION("FILTER($D$3:$H$122,$L$3:$L$122=E655)"),45985.0)</f>
        <v>45985</v>
      </c>
      <c r="B657" s="781">
        <f>IFERROR(__xludf.DUMMYFUNCTION("""COMPUTED_VALUE"""),2.0638176E7)</f>
        <v>20638176</v>
      </c>
      <c r="C657" s="781" t="str">
        <f>IFERROR(__xludf.DUMMYFUNCTION("""COMPUTED_VALUE"""),"Lemont, IL, 60439")</f>
        <v>Lemont, IL, 60439</v>
      </c>
      <c r="D657" s="781" t="str">
        <f>IFERROR(__xludf.DUMMYFUNCTION("""COMPUTED_VALUE"""),"North Kansas City, MO, 64116")</f>
        <v>North Kansas City, MO, 64116</v>
      </c>
      <c r="E657" s="782">
        <f>IFERROR(__xludf.DUMMYFUNCTION("""COMPUTED_VALUE"""),1400.0)</f>
        <v>1400</v>
      </c>
      <c r="F657" s="783">
        <v>0.88</v>
      </c>
      <c r="G657" s="782">
        <f t="shared" ref="G657:G659" si="23">E657*F657</f>
        <v>1232</v>
      </c>
      <c r="H657" s="283"/>
      <c r="I657" s="780"/>
      <c r="J657" s="781"/>
      <c r="K657" s="781"/>
      <c r="L657" s="781"/>
      <c r="M657" s="880">
        <f>IFERROR(__xludf.DUMMYFUNCTION("FILTER($I$3:$I$122,$L$3:$L$122=M655)"),598.0)</f>
        <v>598</v>
      </c>
      <c r="N657" s="781"/>
      <c r="O657" s="782"/>
    </row>
    <row r="658">
      <c r="A658" s="780">
        <f>IFERROR(__xludf.DUMMYFUNCTION("""COMPUTED_VALUE"""),45986.0)</f>
        <v>45986</v>
      </c>
      <c r="B658" s="781">
        <f>IFERROR(__xludf.DUMMYFUNCTION("""COMPUTED_VALUE"""),2174307.0)</f>
        <v>2174307</v>
      </c>
      <c r="C658" s="781" t="str">
        <f>IFERROR(__xludf.DUMMYFUNCTION("""COMPUTED_VALUE"""),"Olathe, KS, 66062")</f>
        <v>Olathe, KS, 66062</v>
      </c>
      <c r="D658" s="781" t="str">
        <f>IFERROR(__xludf.DUMMYFUNCTION("""COMPUTED_VALUE"""),"Champaign, IL, 61822")</f>
        <v>Champaign, IL, 61822</v>
      </c>
      <c r="E658" s="782">
        <f>IFERROR(__xludf.DUMMYFUNCTION("""COMPUTED_VALUE"""),1550.0)</f>
        <v>1550</v>
      </c>
      <c r="F658" s="783">
        <v>0.88</v>
      </c>
      <c r="G658" s="782">
        <f t="shared" si="23"/>
        <v>1364</v>
      </c>
      <c r="H658" s="283"/>
      <c r="I658" s="780"/>
      <c r="J658" s="781"/>
      <c r="K658" s="781"/>
      <c r="L658" s="781"/>
      <c r="M658" s="880">
        <f>IFERROR(__xludf.DUMMYFUNCTION("""COMPUTED_VALUE"""),411.0)</f>
        <v>411</v>
      </c>
      <c r="N658" s="781"/>
      <c r="O658" s="782"/>
    </row>
    <row r="659">
      <c r="A659" s="883">
        <f>IFERROR(__xludf.DUMMYFUNCTION("""COMPUTED_VALUE"""),45987.0)</f>
        <v>45987</v>
      </c>
      <c r="B659" s="786">
        <f>IFERROR(__xludf.DUMMYFUNCTION("""COMPUTED_VALUE"""),2177290.0)</f>
        <v>2177290</v>
      </c>
      <c r="C659" s="786" t="str">
        <f>IFERROR(__xludf.DUMMYFUNCTION("""COMPUTED_VALUE"""),"Mattoon, IL, 61938")</f>
        <v>Mattoon, IL, 61938</v>
      </c>
      <c r="D659" s="786" t="str">
        <f>IFERROR(__xludf.DUMMYFUNCTION("""COMPUTED_VALUE"""),"Columbia, SC, 29209")</f>
        <v>Columbia, SC, 29209</v>
      </c>
      <c r="E659" s="884">
        <f>IFERROR(__xludf.DUMMYFUNCTION("""COMPUTED_VALUE"""),2500.0)</f>
        <v>2500</v>
      </c>
      <c r="F659" s="783">
        <v>0.88</v>
      </c>
      <c r="G659" s="782">
        <f t="shared" si="23"/>
        <v>2200</v>
      </c>
      <c r="H659" s="283"/>
      <c r="I659" s="780"/>
      <c r="J659" s="781"/>
      <c r="K659" s="781"/>
      <c r="L659" s="781"/>
      <c r="M659" s="880">
        <f>IFERROR(__xludf.DUMMYFUNCTION("""COMPUTED_VALUE"""),782.0)</f>
        <v>782</v>
      </c>
      <c r="N659" s="781"/>
      <c r="O659" s="782"/>
    </row>
    <row r="660">
      <c r="A660" s="785"/>
      <c r="B660" s="786"/>
      <c r="C660" s="786"/>
      <c r="D660" s="786"/>
      <c r="E660" s="785"/>
      <c r="F660" s="787"/>
      <c r="G660" s="788"/>
      <c r="H660" s="283"/>
      <c r="I660" s="785"/>
      <c r="J660" s="786"/>
      <c r="K660" s="786"/>
      <c r="L660" s="786"/>
      <c r="M660" s="785"/>
      <c r="N660" s="787"/>
      <c r="O660" s="789"/>
    </row>
    <row r="661">
      <c r="A661" s="785"/>
      <c r="B661" s="786"/>
      <c r="C661" s="786"/>
      <c r="D661" s="786"/>
      <c r="E661" s="785"/>
      <c r="F661" s="787"/>
      <c r="G661" s="788"/>
      <c r="H661" s="283"/>
      <c r="I661" s="785"/>
      <c r="J661" s="786"/>
      <c r="K661" s="786"/>
      <c r="L661" s="786"/>
      <c r="M661" s="785"/>
      <c r="N661" s="787"/>
      <c r="O661" s="789"/>
    </row>
    <row r="662">
      <c r="A662" s="785"/>
      <c r="B662" s="786"/>
      <c r="C662" s="786"/>
      <c r="D662" s="786"/>
      <c r="E662" s="785"/>
      <c r="F662" s="787"/>
      <c r="G662" s="788"/>
      <c r="H662" s="283"/>
      <c r="I662" s="785"/>
      <c r="J662" s="786"/>
      <c r="K662" s="786"/>
      <c r="L662" s="786"/>
      <c r="M662" s="785"/>
      <c r="N662" s="787"/>
      <c r="O662" s="789"/>
    </row>
    <row r="663">
      <c r="A663" s="790" t="s">
        <v>711</v>
      </c>
      <c r="B663" s="791"/>
      <c r="C663" s="791"/>
      <c r="D663" s="792"/>
      <c r="E663" s="793">
        <f>SUM(E657:E662)</f>
        <v>5450</v>
      </c>
      <c r="F663" s="794"/>
      <c r="G663" s="793">
        <f>SUM(G657:G662)</f>
        <v>4796</v>
      </c>
      <c r="H663" s="283"/>
      <c r="I663" s="790"/>
      <c r="J663" s="791"/>
      <c r="K663" s="791"/>
      <c r="L663" s="792"/>
      <c r="M663" s="877">
        <f>SUM(M657:M662)</f>
        <v>1791</v>
      </c>
      <c r="N663" s="794"/>
      <c r="O663" s="793"/>
    </row>
    <row r="664">
      <c r="A664" s="796"/>
      <c r="D664" s="798"/>
      <c r="G664" s="799"/>
      <c r="H664" s="283"/>
      <c r="I664" s="796"/>
      <c r="L664" s="798"/>
      <c r="O664" s="799"/>
    </row>
    <row r="665">
      <c r="A665" s="800" t="s">
        <v>712</v>
      </c>
      <c r="B665" s="801"/>
      <c r="C665" s="802"/>
      <c r="G665" s="799"/>
      <c r="H665" s="283"/>
      <c r="I665" s="800"/>
      <c r="J665" s="803"/>
      <c r="K665" s="804"/>
      <c r="O665" s="799"/>
    </row>
    <row r="666">
      <c r="A666" s="902"/>
      <c r="B666" s="806"/>
      <c r="C666" s="807"/>
      <c r="G666" s="799"/>
      <c r="H666" s="283"/>
      <c r="I666" s="902" t="s">
        <v>1194</v>
      </c>
      <c r="J666" s="808"/>
      <c r="K666" s="809"/>
      <c r="O666" s="799"/>
    </row>
    <row r="667">
      <c r="A667" s="868"/>
      <c r="B667" s="774"/>
      <c r="C667" s="816"/>
      <c r="G667" s="799"/>
      <c r="H667" s="283"/>
      <c r="I667" s="868"/>
      <c r="J667" s="774"/>
      <c r="K667" s="816"/>
      <c r="O667" s="799"/>
    </row>
    <row r="668">
      <c r="A668" s="815"/>
      <c r="B668" s="792"/>
      <c r="C668" s="816"/>
      <c r="G668" s="799"/>
      <c r="H668" s="283"/>
      <c r="I668" s="815"/>
      <c r="J668" s="792"/>
      <c r="K668" s="816"/>
      <c r="O668" s="799"/>
    </row>
    <row r="669">
      <c r="A669" s="817"/>
      <c r="B669" s="774"/>
      <c r="C669" s="818"/>
      <c r="G669" s="799"/>
      <c r="H669" s="283"/>
      <c r="I669" s="817"/>
      <c r="J669" s="774"/>
      <c r="K669" s="818"/>
      <c r="O669" s="799"/>
    </row>
    <row r="670">
      <c r="A670" s="817"/>
      <c r="B670" s="792"/>
      <c r="C670" s="818"/>
      <c r="G670" s="799"/>
      <c r="H670" s="283"/>
      <c r="I670" s="817"/>
      <c r="J670" s="792"/>
      <c r="K670" s="818"/>
      <c r="O670" s="799"/>
    </row>
    <row r="671">
      <c r="A671" s="821" t="s">
        <v>714</v>
      </c>
      <c r="B671" s="822"/>
      <c r="C671" s="823">
        <f>SUM(C666:C670)</f>
        <v>0</v>
      </c>
      <c r="G671" s="799"/>
      <c r="H671" s="283"/>
      <c r="I671" s="821"/>
      <c r="J671" s="826"/>
      <c r="K671" s="827"/>
      <c r="O671" s="799"/>
    </row>
    <row r="672">
      <c r="A672" s="828"/>
      <c r="C672" s="829"/>
      <c r="G672" s="799"/>
      <c r="H672" s="283"/>
      <c r="I672" s="828"/>
      <c r="K672" s="829"/>
      <c r="O672" s="799"/>
    </row>
    <row r="673">
      <c r="A673" s="830" t="s">
        <v>715</v>
      </c>
      <c r="B673" s="831"/>
      <c r="C673" s="832"/>
      <c r="G673" s="799"/>
      <c r="H673" s="283"/>
      <c r="I673" s="833"/>
      <c r="J673" s="834"/>
      <c r="K673" s="835"/>
      <c r="O673" s="799"/>
    </row>
    <row r="674">
      <c r="A674" s="836" t="s">
        <v>716</v>
      </c>
      <c r="B674" s="837"/>
      <c r="C674" s="838">
        <v>150.0</v>
      </c>
      <c r="G674" s="799"/>
      <c r="H674" s="283"/>
      <c r="I674" s="839"/>
      <c r="J674" s="840"/>
      <c r="K674" s="841"/>
      <c r="O674" s="799"/>
    </row>
    <row r="675">
      <c r="A675" s="842" t="s">
        <v>717</v>
      </c>
      <c r="B675" s="843"/>
      <c r="C675" s="844">
        <v>400.0</v>
      </c>
      <c r="D675" s="248"/>
      <c r="E675" s="845" t="s">
        <v>1182</v>
      </c>
      <c r="G675" s="846">
        <f>G663+C671-C680</f>
        <v>2582.78</v>
      </c>
      <c r="H675" s="283"/>
      <c r="I675" s="847"/>
      <c r="J675" s="848"/>
      <c r="K675" s="849"/>
      <c r="L675" s="248"/>
      <c r="M675" s="845"/>
      <c r="O675" s="846"/>
    </row>
    <row r="676">
      <c r="A676" s="836" t="s">
        <v>718</v>
      </c>
      <c r="B676" s="837"/>
      <c r="C676" s="838"/>
      <c r="G676" s="799"/>
      <c r="H676" s="283"/>
      <c r="I676" s="847"/>
      <c r="J676" s="848"/>
      <c r="K676" s="849"/>
      <c r="O676" s="799"/>
    </row>
    <row r="677">
      <c r="A677" s="842" t="s">
        <v>656</v>
      </c>
      <c r="B677" s="843"/>
      <c r="C677" s="844">
        <f>IFERROR(__xludf.DUMMYFUNCTION("FILTER($C$4:$C$30,$B$4:$B$30=E655)"),1663.22)</f>
        <v>1663.22</v>
      </c>
      <c r="G677" s="799"/>
      <c r="H677" s="283"/>
      <c r="I677" s="847"/>
      <c r="J677" s="848"/>
      <c r="K677" s="849"/>
      <c r="O677" s="799"/>
    </row>
    <row r="678">
      <c r="A678" s="850" t="s">
        <v>1184</v>
      </c>
      <c r="B678" s="851"/>
      <c r="C678" s="852"/>
      <c r="E678" s="248"/>
      <c r="G678" s="799"/>
      <c r="H678" s="283"/>
      <c r="I678" s="847"/>
      <c r="J678" s="848"/>
      <c r="K678" s="849"/>
      <c r="M678" s="248"/>
      <c r="O678" s="799"/>
    </row>
    <row r="679">
      <c r="A679" s="847"/>
      <c r="B679" s="848"/>
      <c r="C679" s="849"/>
      <c r="G679" s="799"/>
      <c r="H679" s="283"/>
      <c r="I679" s="847"/>
      <c r="J679" s="848"/>
      <c r="K679" s="849"/>
      <c r="O679" s="799"/>
    </row>
    <row r="680">
      <c r="A680" s="853" t="s">
        <v>721</v>
      </c>
      <c r="B680" s="854"/>
      <c r="C680" s="855">
        <f>SUM(C674:C679)</f>
        <v>2213.22</v>
      </c>
      <c r="G680" s="799"/>
      <c r="H680" s="283"/>
      <c r="I680" s="853"/>
      <c r="J680" s="854"/>
      <c r="K680" s="855"/>
      <c r="O680" s="799"/>
    </row>
    <row r="681">
      <c r="A681" s="856"/>
      <c r="B681" s="857"/>
      <c r="C681" s="857"/>
      <c r="D681" s="857"/>
      <c r="E681" s="857"/>
      <c r="F681" s="857"/>
      <c r="G681" s="808"/>
      <c r="H681" s="283"/>
      <c r="I681" s="856"/>
      <c r="J681" s="857"/>
      <c r="K681" s="857"/>
      <c r="L681" s="857"/>
      <c r="M681" s="857"/>
      <c r="N681" s="857"/>
      <c r="O681" s="808"/>
    </row>
    <row r="684">
      <c r="A684" s="769"/>
      <c r="B684" s="770"/>
      <c r="C684" s="770"/>
      <c r="D684" s="771" t="s">
        <v>700</v>
      </c>
      <c r="E684" s="772" t="str">
        <f>E126</f>
        <v>11.24.2025-11.30.2025</v>
      </c>
      <c r="F684" s="773"/>
      <c r="G684" s="774"/>
      <c r="H684" s="305">
        <v>19.0</v>
      </c>
      <c r="I684" s="769"/>
      <c r="J684" s="770"/>
      <c r="K684" s="770"/>
      <c r="L684" s="771" t="s">
        <v>700</v>
      </c>
      <c r="M684" s="772" t="str">
        <f>E126</f>
        <v>11.24.2025-11.30.2025</v>
      </c>
      <c r="N684" s="773"/>
      <c r="O684" s="774"/>
    </row>
    <row r="685">
      <c r="A685" s="775"/>
      <c r="D685" s="771" t="s">
        <v>702</v>
      </c>
      <c r="E685" s="772" t="s">
        <v>682</v>
      </c>
      <c r="F685" s="773"/>
      <c r="G685" s="774"/>
      <c r="H685" s="776"/>
      <c r="I685" s="775"/>
      <c r="L685" s="771" t="s">
        <v>351</v>
      </c>
      <c r="M685" s="772" t="str">
        <f t="array" ref="M685">XLOOKUP(M686,$L$1:$L$122,$K$1:$K$122)</f>
        <v>JEAN SONNY</v>
      </c>
      <c r="N685" s="773"/>
      <c r="O685" s="774"/>
    </row>
    <row r="686">
      <c r="A686" s="775"/>
      <c r="D686" s="771" t="s">
        <v>703</v>
      </c>
      <c r="E686" s="772">
        <v>7352.0</v>
      </c>
      <c r="F686" s="773"/>
      <c r="G686" s="774"/>
      <c r="H686" s="283"/>
      <c r="I686" s="775"/>
      <c r="L686" s="771" t="s">
        <v>703</v>
      </c>
      <c r="M686" s="772">
        <f>E686</f>
        <v>7352</v>
      </c>
      <c r="N686" s="773"/>
      <c r="O686" s="774"/>
    </row>
    <row r="687">
      <c r="A687" s="779" t="s">
        <v>704</v>
      </c>
      <c r="B687" s="779" t="s">
        <v>5</v>
      </c>
      <c r="C687" s="779" t="s">
        <v>6</v>
      </c>
      <c r="D687" s="779" t="s">
        <v>7</v>
      </c>
      <c r="E687" s="779" t="s">
        <v>8</v>
      </c>
      <c r="F687" s="779" t="s">
        <v>706</v>
      </c>
      <c r="G687" s="779" t="s">
        <v>707</v>
      </c>
      <c r="H687" s="34"/>
      <c r="I687" s="779" t="s">
        <v>704</v>
      </c>
      <c r="J687" s="779" t="s">
        <v>5</v>
      </c>
      <c r="K687" s="779" t="s">
        <v>6</v>
      </c>
      <c r="L687" s="779" t="s">
        <v>7</v>
      </c>
      <c r="M687" s="779" t="s">
        <v>1178</v>
      </c>
      <c r="N687" s="779" t="s">
        <v>839</v>
      </c>
      <c r="O687" s="779" t="s">
        <v>707</v>
      </c>
    </row>
    <row r="688">
      <c r="A688" s="780">
        <f>IFERROR(__xludf.DUMMYFUNCTION("FILTER($D$3:$H$122,$L$3:$L$122=E686)"),45985.0)</f>
        <v>45985</v>
      </c>
      <c r="B688" s="781">
        <f>IFERROR(__xludf.DUMMYFUNCTION("""COMPUTED_VALUE"""),5.34890703E8)</f>
        <v>534890703</v>
      </c>
      <c r="C688" s="781" t="str">
        <f>IFERROR(__xludf.DUMMYFUNCTION("""COMPUTED_VALUE"""),"Ripon, CA, 95366")</f>
        <v>Ripon, CA, 95366</v>
      </c>
      <c r="D688" s="781" t="str">
        <f>IFERROR(__xludf.DUMMYFUNCTION("""COMPUTED_VALUE"""),"Goleta, CA, 93117")</f>
        <v>Goleta, CA, 93117</v>
      </c>
      <c r="E688" s="782">
        <f>IFERROR(__xludf.DUMMYFUNCTION("""COMPUTED_VALUE"""),1000.0)</f>
        <v>1000</v>
      </c>
      <c r="F688" s="783">
        <v>0.88</v>
      </c>
      <c r="G688" s="782">
        <f t="shared" ref="G688:G689" si="24">E688*F688</f>
        <v>880</v>
      </c>
      <c r="H688" s="283"/>
      <c r="I688" s="780">
        <f>IFERROR(__xludf.DUMMYFUNCTION("FILTER($D$3:$G$122,$L$3:$L$122=M686)"),45985.0)</f>
        <v>45985</v>
      </c>
      <c r="J688" s="781">
        <f>IFERROR(__xludf.DUMMYFUNCTION("""COMPUTED_VALUE"""),5.34890703E8)</f>
        <v>534890703</v>
      </c>
      <c r="K688" s="781" t="str">
        <f>IFERROR(__xludf.DUMMYFUNCTION("""COMPUTED_VALUE"""),"Ripon, CA, 95366")</f>
        <v>Ripon, CA, 95366</v>
      </c>
      <c r="L688" s="781" t="str">
        <f>IFERROR(__xludf.DUMMYFUNCTION("""COMPUTED_VALUE"""),"Goleta, CA, 93117")</f>
        <v>Goleta, CA, 93117</v>
      </c>
      <c r="M688" s="880">
        <f>IFERROR(__xludf.DUMMYFUNCTION("FILTER($I$3:$I$122,$L$3:$L$122=M686)"),391.0)</f>
        <v>391</v>
      </c>
      <c r="N688" s="781">
        <v>0.65</v>
      </c>
      <c r="O688" s="782">
        <f t="shared" ref="O688:O689" si="25">M688*N688</f>
        <v>254.15</v>
      </c>
    </row>
    <row r="689">
      <c r="A689" s="780">
        <f>IFERROR(__xludf.DUMMYFUNCTION("""COMPUTED_VALUE"""),45987.0)</f>
        <v>45987</v>
      </c>
      <c r="B689" s="781">
        <f>IFERROR(__xludf.DUMMYFUNCTION("""COMPUTED_VALUE"""),1243985.0)</f>
        <v>1243985</v>
      </c>
      <c r="C689" s="781" t="str">
        <f>IFERROR(__xludf.DUMMYFUNCTION("""COMPUTED_VALUE"""),"Vernon, CA, 90058")</f>
        <v>Vernon, CA, 90058</v>
      </c>
      <c r="D689" s="781" t="str">
        <f>IFERROR(__xludf.DUMMYFUNCTION("""COMPUTED_VALUE"""),"Mechanicsburg, PA, 17055")</f>
        <v>Mechanicsburg, PA, 17055</v>
      </c>
      <c r="E689" s="782">
        <f>IFERROR(__xludf.DUMMYFUNCTION("""COMPUTED_VALUE"""),6100.0)</f>
        <v>6100</v>
      </c>
      <c r="F689" s="783">
        <v>0.88</v>
      </c>
      <c r="G689" s="782">
        <f t="shared" si="24"/>
        <v>5368</v>
      </c>
      <c r="H689" s="283"/>
      <c r="I689" s="780">
        <f>IFERROR(__xludf.DUMMYFUNCTION("""COMPUTED_VALUE"""),45987.0)</f>
        <v>45987</v>
      </c>
      <c r="J689" s="781">
        <f>IFERROR(__xludf.DUMMYFUNCTION("""COMPUTED_VALUE"""),1243985.0)</f>
        <v>1243985</v>
      </c>
      <c r="K689" s="781" t="str">
        <f>IFERROR(__xludf.DUMMYFUNCTION("""COMPUTED_VALUE"""),"Vernon, CA, 90058")</f>
        <v>Vernon, CA, 90058</v>
      </c>
      <c r="L689" s="781" t="str">
        <f>IFERROR(__xludf.DUMMYFUNCTION("""COMPUTED_VALUE"""),"Mechanicsburg, PA, 17055")</f>
        <v>Mechanicsburg, PA, 17055</v>
      </c>
      <c r="M689" s="880">
        <f>IFERROR(__xludf.DUMMYFUNCTION("""COMPUTED_VALUE"""),2823.0)</f>
        <v>2823</v>
      </c>
      <c r="N689" s="781">
        <v>0.65</v>
      </c>
      <c r="O689" s="782">
        <f t="shared" si="25"/>
        <v>1834.95</v>
      </c>
    </row>
    <row r="690">
      <c r="A690" s="785"/>
      <c r="B690" s="786"/>
      <c r="C690" s="786"/>
      <c r="D690" s="786"/>
      <c r="E690" s="785"/>
      <c r="F690" s="787"/>
      <c r="G690" s="788"/>
      <c r="H690" s="283"/>
      <c r="I690" s="780"/>
      <c r="J690" s="781"/>
      <c r="K690" s="781"/>
      <c r="L690" s="781"/>
      <c r="M690" s="880"/>
      <c r="N690" s="781"/>
      <c r="O690" s="782"/>
    </row>
    <row r="691">
      <c r="A691" s="785"/>
      <c r="B691" s="786"/>
      <c r="C691" s="786"/>
      <c r="D691" s="786"/>
      <c r="E691" s="785"/>
      <c r="F691" s="787"/>
      <c r="G691" s="788"/>
      <c r="H691" s="283"/>
      <c r="I691" s="785"/>
      <c r="J691" s="786"/>
      <c r="K691" s="786"/>
      <c r="L691" s="786"/>
      <c r="M691" s="785"/>
      <c r="N691" s="787"/>
      <c r="O691" s="789"/>
    </row>
    <row r="692">
      <c r="A692" s="785"/>
      <c r="B692" s="786"/>
      <c r="C692" s="786"/>
      <c r="D692" s="786"/>
      <c r="E692" s="785"/>
      <c r="F692" s="787"/>
      <c r="G692" s="788"/>
      <c r="H692" s="283"/>
      <c r="I692" s="785"/>
      <c r="J692" s="786"/>
      <c r="K692" s="786"/>
      <c r="L692" s="786"/>
      <c r="M692" s="785"/>
      <c r="N692" s="787"/>
      <c r="O692" s="789"/>
      <c r="T692" s="29"/>
      <c r="U692" s="918"/>
    </row>
    <row r="693">
      <c r="A693" s="785"/>
      <c r="B693" s="786"/>
      <c r="C693" s="786"/>
      <c r="D693" s="786"/>
      <c r="E693" s="785"/>
      <c r="F693" s="787"/>
      <c r="G693" s="788"/>
      <c r="H693" s="283"/>
      <c r="I693" s="785"/>
      <c r="J693" s="786"/>
      <c r="K693" s="786"/>
      <c r="L693" s="786"/>
      <c r="M693" s="785"/>
      <c r="N693" s="787"/>
      <c r="O693" s="789"/>
      <c r="T693" s="29"/>
      <c r="U693" s="918"/>
    </row>
    <row r="694">
      <c r="A694" s="790" t="s">
        <v>711</v>
      </c>
      <c r="B694" s="791"/>
      <c r="C694" s="791"/>
      <c r="D694" s="792"/>
      <c r="E694" s="793">
        <f>SUM(E688:E693)</f>
        <v>7100</v>
      </c>
      <c r="F694" s="794"/>
      <c r="G694" s="793">
        <f>SUM(G688:G693)</f>
        <v>6248</v>
      </c>
      <c r="H694" s="283"/>
      <c r="I694" s="790" t="s">
        <v>711</v>
      </c>
      <c r="J694" s="791"/>
      <c r="K694" s="791"/>
      <c r="L694" s="792"/>
      <c r="M694" s="877">
        <f>SUM(M688:M693)</f>
        <v>3214</v>
      </c>
      <c r="N694" s="794"/>
      <c r="O694" s="793">
        <f>SUM(O688:O693)</f>
        <v>2089.1</v>
      </c>
      <c r="T694" s="29"/>
      <c r="U694" s="918"/>
    </row>
    <row r="695">
      <c r="A695" s="796"/>
      <c r="D695" s="798"/>
      <c r="G695" s="799"/>
      <c r="H695" s="283"/>
      <c r="I695" s="796"/>
      <c r="L695" s="798"/>
      <c r="O695" s="799"/>
      <c r="T695" s="29"/>
      <c r="U695" s="918"/>
    </row>
    <row r="696">
      <c r="A696" s="800" t="s">
        <v>712</v>
      </c>
      <c r="B696" s="801"/>
      <c r="C696" s="802"/>
      <c r="G696" s="799"/>
      <c r="H696" s="283"/>
      <c r="I696" s="800" t="s">
        <v>712</v>
      </c>
      <c r="J696" s="803"/>
      <c r="K696" s="804"/>
      <c r="O696" s="799"/>
      <c r="T696" s="29"/>
      <c r="U696" s="918"/>
    </row>
    <row r="697">
      <c r="A697" s="902" t="s">
        <v>1194</v>
      </c>
      <c r="B697" s="806"/>
      <c r="C697" s="807">
        <v>250.0</v>
      </c>
      <c r="G697" s="799"/>
      <c r="H697" s="283"/>
      <c r="I697" s="902" t="s">
        <v>1194</v>
      </c>
      <c r="J697" s="808"/>
      <c r="K697" s="903">
        <v>250.0</v>
      </c>
      <c r="O697" s="799"/>
      <c r="T697" s="29"/>
      <c r="U697" s="918"/>
    </row>
    <row r="698">
      <c r="A698" s="868"/>
      <c r="B698" s="774"/>
      <c r="C698" s="816"/>
      <c r="G698" s="799"/>
      <c r="H698" s="283"/>
      <c r="I698" s="868"/>
      <c r="J698" s="774"/>
      <c r="K698" s="816"/>
      <c r="O698" s="799"/>
      <c r="T698" s="29"/>
      <c r="U698" s="918"/>
    </row>
    <row r="699">
      <c r="A699" s="815"/>
      <c r="B699" s="792"/>
      <c r="C699" s="816"/>
      <c r="G699" s="799"/>
      <c r="H699" s="283"/>
      <c r="I699" s="815"/>
      <c r="J699" s="792"/>
      <c r="K699" s="816"/>
      <c r="O699" s="799"/>
      <c r="T699" s="29"/>
      <c r="U699" s="918"/>
    </row>
    <row r="700">
      <c r="A700" s="817"/>
      <c r="B700" s="774"/>
      <c r="C700" s="818"/>
      <c r="G700" s="799"/>
      <c r="H700" s="283"/>
      <c r="I700" s="817"/>
      <c r="J700" s="774"/>
      <c r="K700" s="818"/>
      <c r="O700" s="799"/>
      <c r="T700" s="29"/>
      <c r="U700" s="918"/>
    </row>
    <row r="701">
      <c r="A701" s="817"/>
      <c r="B701" s="792"/>
      <c r="C701" s="818"/>
      <c r="G701" s="799"/>
      <c r="H701" s="283"/>
      <c r="I701" s="817"/>
      <c r="J701" s="792"/>
      <c r="K701" s="818"/>
      <c r="O701" s="799"/>
      <c r="T701" s="29"/>
      <c r="U701" s="918"/>
    </row>
    <row r="702">
      <c r="A702" s="821" t="s">
        <v>714</v>
      </c>
      <c r="B702" s="822"/>
      <c r="C702" s="823">
        <f>SUM(C697:C701)</f>
        <v>250</v>
      </c>
      <c r="G702" s="799"/>
      <c r="H702" s="283"/>
      <c r="I702" s="821" t="s">
        <v>714</v>
      </c>
      <c r="J702" s="826"/>
      <c r="K702" s="823">
        <f>SUM(K697:K701)</f>
        <v>250</v>
      </c>
      <c r="O702" s="799"/>
      <c r="T702" s="29"/>
      <c r="U702" s="918"/>
    </row>
    <row r="703">
      <c r="A703" s="828"/>
      <c r="C703" s="829"/>
      <c r="G703" s="799"/>
      <c r="H703" s="283"/>
      <c r="I703" s="828"/>
      <c r="K703" s="829"/>
      <c r="O703" s="799"/>
      <c r="T703" s="29"/>
      <c r="U703" s="918"/>
    </row>
    <row r="704">
      <c r="A704" s="830" t="s">
        <v>715</v>
      </c>
      <c r="B704" s="831"/>
      <c r="C704" s="832"/>
      <c r="G704" s="799"/>
      <c r="H704" s="283"/>
      <c r="I704" s="833" t="s">
        <v>715</v>
      </c>
      <c r="J704" s="834"/>
      <c r="K704" s="835"/>
      <c r="O704" s="799"/>
      <c r="T704" s="29"/>
      <c r="U704" s="918"/>
    </row>
    <row r="705">
      <c r="A705" s="836" t="s">
        <v>716</v>
      </c>
      <c r="B705" s="837"/>
      <c r="C705" s="838">
        <v>150.0</v>
      </c>
      <c r="G705" s="799"/>
      <c r="H705" s="283"/>
      <c r="I705" s="839"/>
      <c r="J705" s="840"/>
      <c r="K705" s="841"/>
      <c r="O705" s="799"/>
      <c r="T705" s="29"/>
      <c r="U705" s="918"/>
    </row>
    <row r="706">
      <c r="A706" s="842" t="s">
        <v>717</v>
      </c>
      <c r="B706" s="843"/>
      <c r="C706" s="844">
        <v>400.0</v>
      </c>
      <c r="D706" s="891"/>
      <c r="E706" s="845" t="s">
        <v>1182</v>
      </c>
      <c r="G706" s="846">
        <f>G694+C702-C711</f>
        <v>-106.5</v>
      </c>
      <c r="H706" s="283"/>
      <c r="I706" s="847"/>
      <c r="J706" s="848"/>
      <c r="K706" s="849"/>
      <c r="L706" s="248"/>
      <c r="M706" s="845" t="s">
        <v>1183</v>
      </c>
      <c r="O706" s="846">
        <f>O694+K702-K711</f>
        <v>2339.1</v>
      </c>
      <c r="Q706" s="897" t="s">
        <v>1205</v>
      </c>
      <c r="T706" s="29"/>
      <c r="U706" s="918"/>
    </row>
    <row r="707">
      <c r="A707" s="836" t="s">
        <v>718</v>
      </c>
      <c r="B707" s="837"/>
      <c r="C707" s="838">
        <v>200.0</v>
      </c>
      <c r="D707" s="892"/>
      <c r="G707" s="799"/>
      <c r="H707" s="283"/>
      <c r="I707" s="847"/>
      <c r="J707" s="848"/>
      <c r="K707" s="849"/>
      <c r="O707" s="799"/>
      <c r="T707" s="29"/>
      <c r="U707" s="918"/>
    </row>
    <row r="708">
      <c r="A708" s="842" t="s">
        <v>656</v>
      </c>
      <c r="B708" s="843"/>
      <c r="C708" s="844">
        <f>IFERROR(__xludf.DUMMYFUNCTION("FILTER($C$4:$C$30,$B$4:$B$30=E686)"),2392.39)</f>
        <v>2392.39</v>
      </c>
      <c r="D708" s="891"/>
      <c r="G708" s="799"/>
      <c r="H708" s="283"/>
      <c r="I708" s="847"/>
      <c r="J708" s="848"/>
      <c r="K708" s="849"/>
      <c r="O708" s="799"/>
      <c r="T708" s="29"/>
      <c r="U708" s="918"/>
    </row>
    <row r="709">
      <c r="A709" s="850" t="s">
        <v>1184</v>
      </c>
      <c r="B709" s="851"/>
      <c r="C709" s="852">
        <f>523.44+344.36</f>
        <v>867.8</v>
      </c>
      <c r="D709" s="919" t="s">
        <v>1206</v>
      </c>
      <c r="G709" s="799"/>
      <c r="H709" s="283"/>
      <c r="I709" s="847"/>
      <c r="J709" s="848"/>
      <c r="K709" s="849"/>
      <c r="M709" s="248"/>
      <c r="O709" s="799"/>
      <c r="T709" s="29"/>
      <c r="U709" s="918"/>
    </row>
    <row r="710">
      <c r="A710" s="904" t="s">
        <v>1207</v>
      </c>
      <c r="B710" s="905"/>
      <c r="C710" s="906">
        <v>2594.31</v>
      </c>
      <c r="D710" s="920"/>
      <c r="E710" s="248"/>
      <c r="F710" s="248"/>
      <c r="G710" s="797"/>
      <c r="H710" s="283"/>
      <c r="I710" s="847"/>
      <c r="J710" s="848"/>
      <c r="K710" s="849"/>
      <c r="O710" s="799"/>
      <c r="T710" s="29"/>
      <c r="U710" s="918"/>
    </row>
    <row r="711">
      <c r="A711" s="853" t="s">
        <v>721</v>
      </c>
      <c r="B711" s="854"/>
      <c r="C711" s="855">
        <f>SUM(C705:C710)</f>
        <v>6604.5</v>
      </c>
      <c r="D711" s="248"/>
      <c r="E711" s="248"/>
      <c r="F711" s="248"/>
      <c r="G711" s="797"/>
      <c r="H711" s="283"/>
      <c r="I711" s="853" t="s">
        <v>721</v>
      </c>
      <c r="J711" s="854"/>
      <c r="K711" s="855">
        <f>SUM(K705:K710)</f>
        <v>0</v>
      </c>
      <c r="O711" s="799"/>
      <c r="T711" s="29"/>
      <c r="U711" s="918"/>
    </row>
    <row r="712">
      <c r="A712" s="856"/>
      <c r="B712" s="857"/>
      <c r="C712" s="857"/>
      <c r="D712" s="894"/>
      <c r="E712" s="894"/>
      <c r="F712" s="894"/>
      <c r="G712" s="921"/>
      <c r="H712" s="283"/>
      <c r="I712" s="856"/>
      <c r="J712" s="857"/>
      <c r="K712" s="857"/>
      <c r="L712" s="857"/>
      <c r="M712" s="857"/>
      <c r="N712" s="857"/>
      <c r="O712" s="808"/>
      <c r="T712" s="29"/>
      <c r="U712" s="918"/>
    </row>
    <row r="713">
      <c r="T713" s="29"/>
      <c r="U713" s="918"/>
    </row>
    <row r="714">
      <c r="T714" s="29"/>
      <c r="U714" s="918"/>
    </row>
    <row r="715">
      <c r="A715" s="769"/>
      <c r="B715" s="770"/>
      <c r="C715" s="770"/>
      <c r="D715" s="771" t="s">
        <v>700</v>
      </c>
      <c r="E715" s="772" t="str">
        <f>E126</f>
        <v>11.24.2025-11.30.2025</v>
      </c>
      <c r="F715" s="773"/>
      <c r="G715" s="774"/>
      <c r="H715" s="305">
        <v>20.0</v>
      </c>
      <c r="I715" s="769"/>
      <c r="J715" s="770"/>
      <c r="K715" s="770"/>
      <c r="L715" s="771" t="s">
        <v>700</v>
      </c>
      <c r="M715" s="772" t="str">
        <f>E126</f>
        <v>11.24.2025-11.30.2025</v>
      </c>
      <c r="N715" s="773"/>
      <c r="O715" s="774"/>
      <c r="T715" s="29"/>
      <c r="U715" s="918"/>
    </row>
    <row r="716">
      <c r="A716" s="775"/>
      <c r="D716" s="771" t="s">
        <v>702</v>
      </c>
      <c r="E716" s="772" t="s">
        <v>1208</v>
      </c>
      <c r="F716" s="773"/>
      <c r="G716" s="774"/>
      <c r="H716" s="858"/>
      <c r="I716" s="775"/>
      <c r="L716" s="771" t="s">
        <v>351</v>
      </c>
      <c r="M716" s="772" t="str">
        <f t="array" ref="M716">XLOOKUP(M717,$L$1:$L$122,$K$1:$K$122)</f>
        <v>FENEL EDME</v>
      </c>
      <c r="N716" s="773"/>
      <c r="O716" s="774"/>
      <c r="T716" s="29"/>
      <c r="U716" s="918"/>
    </row>
    <row r="717">
      <c r="A717" s="775"/>
      <c r="D717" s="771" t="s">
        <v>703</v>
      </c>
      <c r="E717" s="772">
        <v>3881.0</v>
      </c>
      <c r="F717" s="773"/>
      <c r="G717" s="774"/>
      <c r="H717" s="283"/>
      <c r="I717" s="775"/>
      <c r="L717" s="771" t="s">
        <v>703</v>
      </c>
      <c r="M717" s="772">
        <f>E717</f>
        <v>3881</v>
      </c>
      <c r="N717" s="773"/>
      <c r="O717" s="774"/>
      <c r="T717" s="29"/>
      <c r="U717" s="918"/>
    </row>
    <row r="718">
      <c r="A718" s="779" t="s">
        <v>704</v>
      </c>
      <c r="B718" s="779" t="s">
        <v>5</v>
      </c>
      <c r="C718" s="779" t="s">
        <v>6</v>
      </c>
      <c r="D718" s="779" t="s">
        <v>7</v>
      </c>
      <c r="E718" s="779" t="s">
        <v>8</v>
      </c>
      <c r="F718" s="779" t="s">
        <v>706</v>
      </c>
      <c r="G718" s="779" t="s">
        <v>707</v>
      </c>
      <c r="H718" s="34"/>
      <c r="I718" s="779" t="s">
        <v>704</v>
      </c>
      <c r="J718" s="779" t="s">
        <v>5</v>
      </c>
      <c r="K718" s="779" t="s">
        <v>6</v>
      </c>
      <c r="L718" s="779" t="s">
        <v>7</v>
      </c>
      <c r="M718" s="779" t="s">
        <v>1178</v>
      </c>
      <c r="N718" s="779" t="s">
        <v>839</v>
      </c>
      <c r="O718" s="779" t="s">
        <v>707</v>
      </c>
      <c r="T718" s="29"/>
      <c r="U718" s="918"/>
    </row>
    <row r="719">
      <c r="A719" s="780">
        <f>IFERROR(__xludf.DUMMYFUNCTION("FILTER($D$3:$H$122,$L$3:$L$122=E717)"),45985.0)</f>
        <v>45985</v>
      </c>
      <c r="B719" s="781">
        <f>IFERROR(__xludf.DUMMYFUNCTION("""COMPUTED_VALUE"""),5.35801219E8)</f>
        <v>535801219</v>
      </c>
      <c r="C719" s="781" t="str">
        <f>IFERROR(__xludf.DUMMYFUNCTION("""COMPUTED_VALUE"""),"Buford, GA, 30518")</f>
        <v>Buford, GA, 30518</v>
      </c>
      <c r="D719" s="781" t="str">
        <f>IFERROR(__xludf.DUMMYFUNCTION("""COMPUTED_VALUE"""),"Fairfield, NJ, 07004")</f>
        <v>Fairfield, NJ, 07004</v>
      </c>
      <c r="E719" s="782">
        <f>IFERROR(__xludf.DUMMYFUNCTION("""COMPUTED_VALUE"""),250.0)</f>
        <v>250</v>
      </c>
      <c r="F719" s="783">
        <v>0.88</v>
      </c>
      <c r="G719" s="782">
        <f t="shared" ref="G719:G723" si="26">E719*F719</f>
        <v>220</v>
      </c>
      <c r="H719" s="283"/>
      <c r="I719" s="780">
        <f>IFERROR(__xludf.DUMMYFUNCTION("FILTER($D$3:$G$122,$L$3:$L$122=M717)"),45985.0)</f>
        <v>45985</v>
      </c>
      <c r="J719" s="781">
        <f>IFERROR(__xludf.DUMMYFUNCTION("""COMPUTED_VALUE"""),5.35801219E8)</f>
        <v>535801219</v>
      </c>
      <c r="K719" s="781" t="str">
        <f>IFERROR(__xludf.DUMMYFUNCTION("""COMPUTED_VALUE"""),"Buford, GA, 30518")</f>
        <v>Buford, GA, 30518</v>
      </c>
      <c r="L719" s="781" t="str">
        <f>IFERROR(__xludf.DUMMYFUNCTION("""COMPUTED_VALUE"""),"Fairfield, NJ, 07004")</f>
        <v>Fairfield, NJ, 07004</v>
      </c>
      <c r="M719" s="896">
        <f>IFERROR(__xludf.DUMMYFUNCTION("FILTER($I$3:$I$122,$L$3:$L$122=M717)"),0.0)</f>
        <v>0</v>
      </c>
      <c r="N719" s="781">
        <v>0.65</v>
      </c>
      <c r="O719" s="782">
        <f t="shared" ref="O719:O723" si="27">M719*N719</f>
        <v>0</v>
      </c>
      <c r="T719" s="922"/>
      <c r="U719" s="923"/>
    </row>
    <row r="720">
      <c r="A720" s="780">
        <f>IFERROR(__xludf.DUMMYFUNCTION("""COMPUTED_VALUE"""),45985.0)</f>
        <v>45985</v>
      </c>
      <c r="B720" s="781">
        <f>IFERROR(__xludf.DUMMYFUNCTION("""COMPUTED_VALUE"""),5.35295368E8)</f>
        <v>535295368</v>
      </c>
      <c r="C720" s="781" t="str">
        <f>IFERROR(__xludf.DUMMYFUNCTION("""COMPUTED_VALUE"""),"Chattanooga, TN, 37406")</f>
        <v>Chattanooga, TN, 37406</v>
      </c>
      <c r="D720" s="781" t="str">
        <f>IFERROR(__xludf.DUMMYFUNCTION("""COMPUTED_VALUE"""),"Enfield, CT, 06082")</f>
        <v>Enfield, CT, 06082</v>
      </c>
      <c r="E720" s="782">
        <f>IFERROR(__xludf.DUMMYFUNCTION("""COMPUTED_VALUE"""),2300.0)</f>
        <v>2300</v>
      </c>
      <c r="F720" s="783">
        <v>0.88</v>
      </c>
      <c r="G720" s="782">
        <f t="shared" si="26"/>
        <v>2024</v>
      </c>
      <c r="H720" s="283"/>
      <c r="I720" s="780">
        <f>IFERROR(__xludf.DUMMYFUNCTION("""COMPUTED_VALUE"""),45985.0)</f>
        <v>45985</v>
      </c>
      <c r="J720" s="781">
        <f>IFERROR(__xludf.DUMMYFUNCTION("""COMPUTED_VALUE"""),5.35295368E8)</f>
        <v>535295368</v>
      </c>
      <c r="K720" s="781" t="str">
        <f>IFERROR(__xludf.DUMMYFUNCTION("""COMPUTED_VALUE"""),"Chattanooga, TN, 37406")</f>
        <v>Chattanooga, TN, 37406</v>
      </c>
      <c r="L720" s="781" t="str">
        <f>IFERROR(__xludf.DUMMYFUNCTION("""COMPUTED_VALUE"""),"Enfield, CT, 06082")</f>
        <v>Enfield, CT, 06082</v>
      </c>
      <c r="M720" s="896">
        <f>IFERROR(__xludf.DUMMYFUNCTION("""COMPUTED_VALUE"""),1155.0)</f>
        <v>1155</v>
      </c>
      <c r="N720" s="781">
        <v>0.65</v>
      </c>
      <c r="O720" s="782">
        <f t="shared" si="27"/>
        <v>750.75</v>
      </c>
    </row>
    <row r="721">
      <c r="A721" s="883">
        <f>IFERROR(__xludf.DUMMYFUNCTION("""COMPUTED_VALUE"""),45987.0)</f>
        <v>45987</v>
      </c>
      <c r="B721" s="786">
        <f>IFERROR(__xludf.DUMMYFUNCTION("""COMPUTED_VALUE"""),5.34524106E8)</f>
        <v>534524106</v>
      </c>
      <c r="C721" s="786" t="str">
        <f>IFERROR(__xludf.DUMMYFUNCTION("""COMPUTED_VALUE"""),"Ellington, CT, 06029")</f>
        <v>Ellington, CT, 06029</v>
      </c>
      <c r="D721" s="786" t="str">
        <f>IFERROR(__xludf.DUMMYFUNCTION("""COMPUTED_VALUE"""),"Abingdon, VA, 24210")</f>
        <v>Abingdon, VA, 24210</v>
      </c>
      <c r="E721" s="884">
        <f>IFERROR(__xludf.DUMMYFUNCTION("""COMPUTED_VALUE"""),1440.0)</f>
        <v>1440</v>
      </c>
      <c r="F721" s="783">
        <v>0.88</v>
      </c>
      <c r="G721" s="782">
        <f t="shared" si="26"/>
        <v>1267.2</v>
      </c>
      <c r="H721" s="283"/>
      <c r="I721" s="780">
        <f>IFERROR(__xludf.DUMMYFUNCTION("""COMPUTED_VALUE"""),45987.0)</f>
        <v>45987</v>
      </c>
      <c r="J721" s="781">
        <f>IFERROR(__xludf.DUMMYFUNCTION("""COMPUTED_VALUE"""),5.34524106E8)</f>
        <v>534524106</v>
      </c>
      <c r="K721" s="781" t="str">
        <f>IFERROR(__xludf.DUMMYFUNCTION("""COMPUTED_VALUE"""),"Ellington, CT, 06029")</f>
        <v>Ellington, CT, 06029</v>
      </c>
      <c r="L721" s="781" t="str">
        <f>IFERROR(__xludf.DUMMYFUNCTION("""COMPUTED_VALUE"""),"Abingdon, VA, 24210")</f>
        <v>Abingdon, VA, 24210</v>
      </c>
      <c r="M721" s="880">
        <f>IFERROR(__xludf.DUMMYFUNCTION("""COMPUTED_VALUE"""),733.0)</f>
        <v>733</v>
      </c>
      <c r="N721" s="781">
        <v>0.65</v>
      </c>
      <c r="O721" s="782">
        <f t="shared" si="27"/>
        <v>476.45</v>
      </c>
    </row>
    <row r="722">
      <c r="A722" s="883">
        <f>IFERROR(__xludf.DUMMYFUNCTION("""COMPUTED_VALUE"""),45989.0)</f>
        <v>45989</v>
      </c>
      <c r="B722" s="786">
        <f>IFERROR(__xludf.DUMMYFUNCTION("""COMPUTED_VALUE"""),2795724.0)</f>
        <v>2795724</v>
      </c>
      <c r="C722" s="786" t="str">
        <f>IFERROR(__xludf.DUMMYFUNCTION("""COMPUTED_VALUE"""),"Siler City, NC, 27344")</f>
        <v>Siler City, NC, 27344</v>
      </c>
      <c r="D722" s="786" t="str">
        <f>IFERROR(__xludf.DUMMYFUNCTION("""COMPUTED_VALUE"""),"Taunton, MA, 02780")</f>
        <v>Taunton, MA, 02780</v>
      </c>
      <c r="E722" s="884">
        <f>IFERROR(__xludf.DUMMYFUNCTION("""COMPUTED_VALUE"""),2200.0)</f>
        <v>2200</v>
      </c>
      <c r="F722" s="783">
        <v>0.88</v>
      </c>
      <c r="G722" s="782">
        <f t="shared" si="26"/>
        <v>1936</v>
      </c>
      <c r="H722" s="283"/>
      <c r="I722" s="924">
        <f>IFERROR(__xludf.DUMMYFUNCTION("""COMPUTED_VALUE"""),45989.0)</f>
        <v>45989</v>
      </c>
      <c r="J722" s="882">
        <f>IFERROR(__xludf.DUMMYFUNCTION("""COMPUTED_VALUE"""),2795724.0)</f>
        <v>2795724</v>
      </c>
      <c r="K722" s="882" t="str">
        <f>IFERROR(__xludf.DUMMYFUNCTION("""COMPUTED_VALUE"""),"Siler City, NC, 27344")</f>
        <v>Siler City, NC, 27344</v>
      </c>
      <c r="L722" s="882" t="str">
        <f>IFERROR(__xludf.DUMMYFUNCTION("""COMPUTED_VALUE"""),"Taunton, MA, 02780")</f>
        <v>Taunton, MA, 02780</v>
      </c>
      <c r="M722" s="895">
        <f>IFERROR(__xludf.DUMMYFUNCTION("""COMPUTED_VALUE"""),958.0)</f>
        <v>958</v>
      </c>
      <c r="N722" s="781">
        <v>0.65</v>
      </c>
      <c r="O722" s="782">
        <f t="shared" si="27"/>
        <v>622.7</v>
      </c>
    </row>
    <row r="723">
      <c r="A723" s="883">
        <f>IFERROR(__xludf.DUMMYFUNCTION("""COMPUTED_VALUE"""),45991.0)</f>
        <v>45991</v>
      </c>
      <c r="B723" s="786">
        <f>IFERROR(__xludf.DUMMYFUNCTION("""COMPUTED_VALUE"""),5.35039164E8)</f>
        <v>535039164</v>
      </c>
      <c r="C723" s="786" t="str">
        <f>IFERROR(__xludf.DUMMYFUNCTION("""COMPUTED_VALUE"""),"Hollis, ME, 04042")</f>
        <v>Hollis, ME, 04042</v>
      </c>
      <c r="D723" s="786" t="str">
        <f>IFERROR(__xludf.DUMMYFUNCTION("""COMPUTED_VALUE"""),"Seekonk, MA, 02771")</f>
        <v>Seekonk, MA, 02771</v>
      </c>
      <c r="E723" s="884">
        <f>IFERROR(__xludf.DUMMYFUNCTION("""COMPUTED_VALUE"""),735.0)</f>
        <v>735</v>
      </c>
      <c r="F723" s="783">
        <v>0.88</v>
      </c>
      <c r="G723" s="782">
        <f t="shared" si="26"/>
        <v>646.8</v>
      </c>
      <c r="H723" s="283"/>
      <c r="I723" s="924">
        <f>IFERROR(__xludf.DUMMYFUNCTION("""COMPUTED_VALUE"""),45991.0)</f>
        <v>45991</v>
      </c>
      <c r="J723" s="882">
        <f>IFERROR(__xludf.DUMMYFUNCTION("""COMPUTED_VALUE"""),5.35039164E8)</f>
        <v>535039164</v>
      </c>
      <c r="K723" s="882" t="str">
        <f>IFERROR(__xludf.DUMMYFUNCTION("""COMPUTED_VALUE"""),"Hollis, ME, 04042")</f>
        <v>Hollis, ME, 04042</v>
      </c>
      <c r="L723" s="882" t="str">
        <f>IFERROR(__xludf.DUMMYFUNCTION("""COMPUTED_VALUE"""),"Seekonk, MA, 02771")</f>
        <v>Seekonk, MA, 02771</v>
      </c>
      <c r="M723" s="925">
        <f>IFERROR(__xludf.DUMMYFUNCTION("""COMPUTED_VALUE"""),334.0)</f>
        <v>334</v>
      </c>
      <c r="N723" s="781">
        <v>0.65</v>
      </c>
      <c r="O723" s="782">
        <f t="shared" si="27"/>
        <v>217.1</v>
      </c>
    </row>
    <row r="724">
      <c r="A724" s="785"/>
      <c r="B724" s="786"/>
      <c r="C724" s="786"/>
      <c r="D724" s="786"/>
      <c r="E724" s="785"/>
      <c r="F724" s="787"/>
      <c r="G724" s="788"/>
      <c r="H724" s="283"/>
      <c r="I724" s="785"/>
      <c r="J724" s="786"/>
      <c r="K724" s="786"/>
      <c r="L724" s="786"/>
      <c r="M724" s="785"/>
      <c r="N724" s="787"/>
      <c r="O724" s="789"/>
    </row>
    <row r="725">
      <c r="A725" s="790" t="s">
        <v>711</v>
      </c>
      <c r="B725" s="791"/>
      <c r="C725" s="791"/>
      <c r="D725" s="792"/>
      <c r="E725" s="793">
        <f>SUM(E719:E724)</f>
        <v>6925</v>
      </c>
      <c r="F725" s="794"/>
      <c r="G725" s="793">
        <f>SUM(G719:G724)</f>
        <v>6094</v>
      </c>
      <c r="H725" s="283"/>
      <c r="I725" s="790" t="s">
        <v>711</v>
      </c>
      <c r="J725" s="791"/>
      <c r="K725" s="791"/>
      <c r="L725" s="792"/>
      <c r="M725" s="877">
        <f>SUM(M719:M724)</f>
        <v>3180</v>
      </c>
      <c r="N725" s="794"/>
      <c r="O725" s="793">
        <f>SUM(O719:O724)</f>
        <v>2067</v>
      </c>
    </row>
    <row r="726">
      <c r="A726" s="796"/>
      <c r="D726" s="798"/>
      <c r="G726" s="799"/>
      <c r="H726" s="283"/>
      <c r="I726" s="796"/>
      <c r="L726" s="798"/>
      <c r="O726" s="799"/>
    </row>
    <row r="727">
      <c r="A727" s="800" t="s">
        <v>712</v>
      </c>
      <c r="B727" s="801"/>
      <c r="C727" s="802"/>
      <c r="G727" s="799"/>
      <c r="H727" s="283"/>
      <c r="I727" s="800" t="s">
        <v>712</v>
      </c>
      <c r="J727" s="803"/>
      <c r="K727" s="804"/>
      <c r="O727" s="799"/>
    </row>
    <row r="728">
      <c r="A728" s="902" t="s">
        <v>1194</v>
      </c>
      <c r="B728" s="806"/>
      <c r="C728" s="807">
        <v>250.0</v>
      </c>
      <c r="G728" s="799"/>
      <c r="H728" s="283"/>
      <c r="I728" s="902" t="s">
        <v>1194</v>
      </c>
      <c r="J728" s="808"/>
      <c r="K728" s="903">
        <v>250.0</v>
      </c>
      <c r="O728" s="799"/>
    </row>
    <row r="729">
      <c r="A729" s="813" t="s">
        <v>885</v>
      </c>
      <c r="B729" s="898"/>
      <c r="C729" s="926">
        <v>250.0</v>
      </c>
      <c r="G729" s="799"/>
      <c r="H729" s="283"/>
      <c r="I729" s="868"/>
      <c r="J729" s="774"/>
      <c r="K729" s="816"/>
      <c r="O729" s="799"/>
    </row>
    <row r="730">
      <c r="A730" s="815"/>
      <c r="B730" s="792"/>
      <c r="C730" s="816"/>
      <c r="G730" s="799"/>
      <c r="H730" s="283"/>
      <c r="I730" s="815"/>
      <c r="J730" s="792"/>
      <c r="K730" s="816"/>
      <c r="O730" s="799"/>
    </row>
    <row r="731">
      <c r="A731" s="817"/>
      <c r="B731" s="774"/>
      <c r="C731" s="818"/>
      <c r="G731" s="799"/>
      <c r="H731" s="283"/>
      <c r="I731" s="817"/>
      <c r="J731" s="774"/>
      <c r="K731" s="818"/>
      <c r="O731" s="799"/>
    </row>
    <row r="732">
      <c r="A732" s="817"/>
      <c r="B732" s="792"/>
      <c r="C732" s="818"/>
      <c r="G732" s="799"/>
      <c r="H732" s="283"/>
      <c r="I732" s="817"/>
      <c r="J732" s="792"/>
      <c r="K732" s="818"/>
      <c r="O732" s="799"/>
    </row>
    <row r="733">
      <c r="A733" s="821" t="s">
        <v>714</v>
      </c>
      <c r="B733" s="822"/>
      <c r="C733" s="823">
        <f>SUM(C728:C732)</f>
        <v>500</v>
      </c>
      <c r="G733" s="799"/>
      <c r="H733" s="283"/>
      <c r="I733" s="821" t="s">
        <v>714</v>
      </c>
      <c r="J733" s="826"/>
      <c r="K733" s="823">
        <f>SUM(K728:K732)</f>
        <v>250</v>
      </c>
      <c r="O733" s="799"/>
    </row>
    <row r="734">
      <c r="A734" s="828"/>
      <c r="C734" s="829"/>
      <c r="G734" s="799"/>
      <c r="H734" s="283"/>
      <c r="I734" s="828"/>
      <c r="K734" s="829"/>
      <c r="O734" s="799"/>
    </row>
    <row r="735">
      <c r="A735" s="830" t="s">
        <v>715</v>
      </c>
      <c r="B735" s="831"/>
      <c r="C735" s="832"/>
      <c r="G735" s="799"/>
      <c r="H735" s="283"/>
      <c r="I735" s="833" t="s">
        <v>715</v>
      </c>
      <c r="J735" s="834"/>
      <c r="K735" s="835"/>
      <c r="O735" s="799"/>
    </row>
    <row r="736">
      <c r="A736" s="836" t="s">
        <v>716</v>
      </c>
      <c r="B736" s="837"/>
      <c r="C736" s="838">
        <v>150.0</v>
      </c>
      <c r="G736" s="799"/>
      <c r="H736" s="283"/>
      <c r="I736" s="839"/>
      <c r="J736" s="840"/>
      <c r="K736" s="841"/>
      <c r="O736" s="799"/>
    </row>
    <row r="737">
      <c r="A737" s="842" t="s">
        <v>717</v>
      </c>
      <c r="B737" s="843"/>
      <c r="C737" s="844">
        <v>400.0</v>
      </c>
      <c r="D737" s="248"/>
      <c r="E737" s="845" t="s">
        <v>1182</v>
      </c>
      <c r="G737" s="846">
        <f>G725+C733-C742</f>
        <v>3933.8</v>
      </c>
      <c r="H737" s="283"/>
      <c r="I737" s="847"/>
      <c r="J737" s="848"/>
      <c r="K737" s="849"/>
      <c r="L737" s="248"/>
      <c r="M737" s="845" t="s">
        <v>1183</v>
      </c>
      <c r="O737" s="846">
        <f>O725+K733-K742</f>
        <v>2317</v>
      </c>
    </row>
    <row r="738">
      <c r="A738" s="836" t="s">
        <v>718</v>
      </c>
      <c r="B738" s="837"/>
      <c r="C738" s="838"/>
      <c r="G738" s="799"/>
      <c r="H738" s="283"/>
      <c r="I738" s="847"/>
      <c r="J738" s="848"/>
      <c r="K738" s="849"/>
      <c r="O738" s="799"/>
    </row>
    <row r="739">
      <c r="A739" s="842" t="s">
        <v>656</v>
      </c>
      <c r="B739" s="843"/>
      <c r="C739" s="844">
        <f>IFERROR(__xludf.DUMMYFUNCTION("FILTER($C$4:$C$30,$B$4:$B$30=E717)"),2110.2)</f>
        <v>2110.2</v>
      </c>
      <c r="G739" s="799"/>
      <c r="H739" s="283"/>
      <c r="I739" s="847"/>
      <c r="J739" s="848"/>
      <c r="K739" s="849"/>
      <c r="O739" s="799"/>
    </row>
    <row r="740">
      <c r="A740" s="850" t="s">
        <v>1184</v>
      </c>
      <c r="B740" s="851"/>
      <c r="C740" s="852"/>
      <c r="E740" s="248"/>
      <c r="G740" s="799"/>
      <c r="H740" s="283"/>
      <c r="I740" s="847"/>
      <c r="J740" s="848"/>
      <c r="K740" s="849"/>
      <c r="M740" s="248"/>
      <c r="O740" s="799"/>
    </row>
    <row r="741">
      <c r="A741" s="847"/>
      <c r="B741" s="848"/>
      <c r="C741" s="849"/>
      <c r="G741" s="799"/>
      <c r="H741" s="283"/>
      <c r="I741" s="847"/>
      <c r="J741" s="848"/>
      <c r="K741" s="849"/>
      <c r="O741" s="799"/>
    </row>
    <row r="742">
      <c r="A742" s="853" t="s">
        <v>721</v>
      </c>
      <c r="B742" s="854"/>
      <c r="C742" s="855">
        <f>SUM(C736:C741)</f>
        <v>2660.2</v>
      </c>
      <c r="G742" s="799"/>
      <c r="H742" s="283"/>
      <c r="I742" s="853" t="s">
        <v>721</v>
      </c>
      <c r="J742" s="854"/>
      <c r="K742" s="855">
        <f>SUM(K736:K741)</f>
        <v>0</v>
      </c>
      <c r="O742" s="799"/>
    </row>
    <row r="743">
      <c r="A743" s="856"/>
      <c r="B743" s="857"/>
      <c r="C743" s="857"/>
      <c r="D743" s="857"/>
      <c r="E743" s="857"/>
      <c r="F743" s="857"/>
      <c r="G743" s="808"/>
      <c r="H743" s="283"/>
      <c r="I743" s="856"/>
      <c r="J743" s="857"/>
      <c r="K743" s="857"/>
      <c r="L743" s="857"/>
      <c r="M743" s="857"/>
      <c r="N743" s="857"/>
      <c r="O743" s="808"/>
    </row>
    <row r="744">
      <c r="A744" s="199"/>
      <c r="B744" s="199"/>
      <c r="C744" s="199"/>
      <c r="D744" s="248"/>
      <c r="E744" s="248"/>
      <c r="F744" s="248"/>
      <c r="G744" s="248"/>
      <c r="H744" s="283"/>
      <c r="I744" s="199"/>
      <c r="J744" s="199"/>
      <c r="K744" s="199"/>
      <c r="L744" s="248"/>
      <c r="M744" s="248"/>
      <c r="N744" s="248"/>
      <c r="O744" s="248"/>
    </row>
    <row r="745">
      <c r="A745" s="199"/>
      <c r="B745" s="199"/>
      <c r="C745" s="199"/>
      <c r="D745" s="248"/>
      <c r="E745" s="248"/>
      <c r="F745" s="248"/>
      <c r="G745" s="248"/>
      <c r="H745" s="283"/>
      <c r="I745" s="199"/>
      <c r="J745" s="199"/>
      <c r="K745" s="199"/>
      <c r="L745" s="248"/>
      <c r="M745" s="248"/>
      <c r="N745" s="248"/>
      <c r="O745" s="248"/>
    </row>
    <row r="746">
      <c r="A746" s="769"/>
      <c r="B746" s="770"/>
      <c r="C746" s="770"/>
      <c r="D746" s="771" t="s">
        <v>700</v>
      </c>
      <c r="E746" s="772" t="str">
        <f>E126</f>
        <v>11.24.2025-11.30.2025</v>
      </c>
      <c r="F746" s="773"/>
      <c r="G746" s="774"/>
      <c r="H746" s="305">
        <v>21.0</v>
      </c>
      <c r="I746" s="769"/>
      <c r="J746" s="770"/>
      <c r="K746" s="770"/>
      <c r="L746" s="771" t="s">
        <v>700</v>
      </c>
      <c r="M746" s="772" t="str">
        <f>E126</f>
        <v>11.24.2025-11.30.2025</v>
      </c>
      <c r="N746" s="773"/>
      <c r="O746" s="774"/>
    </row>
    <row r="747">
      <c r="A747" s="775"/>
      <c r="D747" s="771" t="s">
        <v>702</v>
      </c>
      <c r="E747" s="772" t="s">
        <v>825</v>
      </c>
      <c r="F747" s="773"/>
      <c r="G747" s="774"/>
      <c r="H747" s="858"/>
      <c r="I747" s="775"/>
      <c r="L747" s="771" t="s">
        <v>351</v>
      </c>
      <c r="M747" s="772" t="str">
        <f t="array" ref="M747">XLOOKUP(M748,$L$1:$L$122,$K$1:$K$122)</f>
        <v>MARVIN CREARY</v>
      </c>
      <c r="N747" s="773"/>
      <c r="O747" s="774"/>
    </row>
    <row r="748">
      <c r="A748" s="775"/>
      <c r="D748" s="771" t="s">
        <v>703</v>
      </c>
      <c r="E748" s="772">
        <v>3866.0</v>
      </c>
      <c r="F748" s="773"/>
      <c r="G748" s="774"/>
      <c r="H748" s="283"/>
      <c r="I748" s="775"/>
      <c r="L748" s="771" t="s">
        <v>703</v>
      </c>
      <c r="M748" s="772">
        <f>E748</f>
        <v>3866</v>
      </c>
      <c r="N748" s="773"/>
      <c r="O748" s="774"/>
    </row>
    <row r="749">
      <c r="A749" s="779" t="s">
        <v>704</v>
      </c>
      <c r="B749" s="779" t="s">
        <v>5</v>
      </c>
      <c r="C749" s="779" t="s">
        <v>6</v>
      </c>
      <c r="D749" s="779" t="s">
        <v>7</v>
      </c>
      <c r="E749" s="779" t="s">
        <v>8</v>
      </c>
      <c r="F749" s="779" t="s">
        <v>706</v>
      </c>
      <c r="G749" s="779" t="s">
        <v>707</v>
      </c>
      <c r="H749" s="34"/>
      <c r="I749" s="779" t="s">
        <v>704</v>
      </c>
      <c r="J749" s="779" t="s">
        <v>5</v>
      </c>
      <c r="K749" s="779" t="s">
        <v>6</v>
      </c>
      <c r="L749" s="779" t="s">
        <v>7</v>
      </c>
      <c r="M749" s="779" t="s">
        <v>1178</v>
      </c>
      <c r="N749" s="779" t="s">
        <v>839</v>
      </c>
      <c r="O749" s="779" t="s">
        <v>707</v>
      </c>
    </row>
    <row r="750">
      <c r="A750" s="780">
        <f>IFERROR(__xludf.DUMMYFUNCTION("FILTER($D$3:$H$122,$L$3:$L$122=E748)"),45985.0)</f>
        <v>45985</v>
      </c>
      <c r="B750" s="781" t="str">
        <f>IFERROR(__xludf.DUMMYFUNCTION("""COMPUTED_VALUE"""),"6MT0872")</f>
        <v>6MT0872</v>
      </c>
      <c r="C750" s="781" t="str">
        <f>IFERROR(__xludf.DUMMYFUNCTION("""COMPUTED_VALUE"""),"Commerce City, CO, 80022")</f>
        <v>Commerce City, CO, 80022</v>
      </c>
      <c r="D750" s="781" t="str">
        <f>IFERROR(__xludf.DUMMYFUNCTION("""COMPUTED_VALUE"""),"Riverton, UT, 84065")</f>
        <v>Riverton, UT, 84065</v>
      </c>
      <c r="E750" s="782">
        <f>IFERROR(__xludf.DUMMYFUNCTION("""COMPUTED_VALUE"""),849.0)</f>
        <v>849</v>
      </c>
      <c r="F750" s="783">
        <v>0.88</v>
      </c>
      <c r="G750" s="782">
        <f t="shared" ref="G750:G752" si="28">E750*F750</f>
        <v>747.12</v>
      </c>
      <c r="H750" s="283"/>
      <c r="I750" s="780">
        <f>IFERROR(__xludf.DUMMYFUNCTION("FILTER($D$3:$G$122,$L$3:$L$122=M748)"),45985.0)</f>
        <v>45985</v>
      </c>
      <c r="J750" s="781" t="str">
        <f>IFERROR(__xludf.DUMMYFUNCTION("""COMPUTED_VALUE"""),"6MT0872")</f>
        <v>6MT0872</v>
      </c>
      <c r="K750" s="781" t="str">
        <f>IFERROR(__xludf.DUMMYFUNCTION("""COMPUTED_VALUE"""),"Commerce City, CO, 80022")</f>
        <v>Commerce City, CO, 80022</v>
      </c>
      <c r="L750" s="781" t="str">
        <f>IFERROR(__xludf.DUMMYFUNCTION("""COMPUTED_VALUE"""),"Riverton, UT, 84065")</f>
        <v>Riverton, UT, 84065</v>
      </c>
      <c r="M750" s="896">
        <f>IFERROR(__xludf.DUMMYFUNCTION("FILTER($I$3:$I$122,$L$3:$L$122=M748)"),554.0)</f>
        <v>554</v>
      </c>
      <c r="N750" s="781">
        <v>0.65</v>
      </c>
      <c r="O750" s="782">
        <f t="shared" ref="O750:O752" si="29">M750*N750</f>
        <v>360.1</v>
      </c>
    </row>
    <row r="751">
      <c r="A751" s="780">
        <f>IFERROR(__xludf.DUMMYFUNCTION("""COMPUTED_VALUE"""),45986.0)</f>
        <v>45986</v>
      </c>
      <c r="B751" s="781">
        <f>IFERROR(__xludf.DUMMYFUNCTION("""COMPUTED_VALUE"""),5.35949541E8)</f>
        <v>535949541</v>
      </c>
      <c r="C751" s="781" t="str">
        <f>IFERROR(__xludf.DUMMYFUNCTION("""COMPUTED_VALUE"""),"West Valley City, UT, 84128")</f>
        <v>West Valley City, UT, 84128</v>
      </c>
      <c r="D751" s="781" t="str">
        <f>IFERROR(__xludf.DUMMYFUNCTION("""COMPUTED_VALUE"""),"Evansville, WY, 82636")</f>
        <v>Evansville, WY, 82636</v>
      </c>
      <c r="E751" s="782">
        <f>IFERROR(__xludf.DUMMYFUNCTION("""COMPUTED_VALUE"""),1700.0)</f>
        <v>1700</v>
      </c>
      <c r="F751" s="783">
        <v>0.88</v>
      </c>
      <c r="G751" s="782">
        <f t="shared" si="28"/>
        <v>1496</v>
      </c>
      <c r="H751" s="283"/>
      <c r="I751" s="780">
        <f>IFERROR(__xludf.DUMMYFUNCTION("""COMPUTED_VALUE"""),45986.0)</f>
        <v>45986</v>
      </c>
      <c r="J751" s="781">
        <f>IFERROR(__xludf.DUMMYFUNCTION("""COMPUTED_VALUE"""),5.35949541E8)</f>
        <v>535949541</v>
      </c>
      <c r="K751" s="781" t="str">
        <f>IFERROR(__xludf.DUMMYFUNCTION("""COMPUTED_VALUE"""),"West Valley City, UT, 84128")</f>
        <v>West Valley City, UT, 84128</v>
      </c>
      <c r="L751" s="781" t="str">
        <f>IFERROR(__xludf.DUMMYFUNCTION("""COMPUTED_VALUE"""),"Evansville, WY, 82636")</f>
        <v>Evansville, WY, 82636</v>
      </c>
      <c r="M751" s="880">
        <f>IFERROR(__xludf.DUMMYFUNCTION("""COMPUTED_VALUE"""),448.0)</f>
        <v>448</v>
      </c>
      <c r="N751" s="781">
        <v>0.65</v>
      </c>
      <c r="O751" s="782">
        <f t="shared" si="29"/>
        <v>291.2</v>
      </c>
    </row>
    <row r="752">
      <c r="A752" s="883">
        <f>IFERROR(__xludf.DUMMYFUNCTION("""COMPUTED_VALUE"""),45987.0)</f>
        <v>45987</v>
      </c>
      <c r="B752" s="786">
        <f>IFERROR(__xludf.DUMMYFUNCTION("""COMPUTED_VALUE"""),5.36270638E8)</f>
        <v>536270638</v>
      </c>
      <c r="C752" s="786" t="str">
        <f>IFERROR(__xludf.DUMMYFUNCTION("""COMPUTED_VALUE"""),"South Jordan, UT, 84095")</f>
        <v>South Jordan, UT, 84095</v>
      </c>
      <c r="D752" s="786" t="str">
        <f>IFERROR(__xludf.DUMMYFUNCTION("""COMPUTED_VALUE"""),"Spencer, IN, 47460")</f>
        <v>Spencer, IN, 47460</v>
      </c>
      <c r="E752" s="884">
        <f>IFERROR(__xludf.DUMMYFUNCTION("""COMPUTED_VALUE"""),2800.0)</f>
        <v>2800</v>
      </c>
      <c r="F752" s="783">
        <v>0.88</v>
      </c>
      <c r="G752" s="782">
        <f t="shared" si="28"/>
        <v>2464</v>
      </c>
      <c r="H752" s="283"/>
      <c r="I752" s="780">
        <f>IFERROR(__xludf.DUMMYFUNCTION("""COMPUTED_VALUE"""),45987.0)</f>
        <v>45987</v>
      </c>
      <c r="J752" s="781">
        <f>IFERROR(__xludf.DUMMYFUNCTION("""COMPUTED_VALUE"""),5.36270638E8)</f>
        <v>536270638</v>
      </c>
      <c r="K752" s="781" t="str">
        <f>IFERROR(__xludf.DUMMYFUNCTION("""COMPUTED_VALUE"""),"South Jordan, UT, 84095")</f>
        <v>South Jordan, UT, 84095</v>
      </c>
      <c r="L752" s="781" t="str">
        <f>IFERROR(__xludf.DUMMYFUNCTION("""COMPUTED_VALUE"""),"Spencer, IN, 47460")</f>
        <v>Spencer, IN, 47460</v>
      </c>
      <c r="M752" s="880">
        <f>IFERROR(__xludf.DUMMYFUNCTION("""COMPUTED_VALUE"""),1970.0)</f>
        <v>1970</v>
      </c>
      <c r="N752" s="781">
        <v>0.65</v>
      </c>
      <c r="O752" s="782">
        <f t="shared" si="29"/>
        <v>1280.5</v>
      </c>
    </row>
    <row r="753">
      <c r="A753" s="785"/>
      <c r="B753" s="786"/>
      <c r="C753" s="786"/>
      <c r="D753" s="786"/>
      <c r="E753" s="785"/>
      <c r="F753" s="787"/>
      <c r="G753" s="788"/>
      <c r="H753" s="283"/>
      <c r="I753" s="785"/>
      <c r="J753" s="786"/>
      <c r="K753" s="786"/>
      <c r="L753" s="786"/>
      <c r="M753" s="785"/>
      <c r="N753" s="787"/>
      <c r="O753" s="789"/>
    </row>
    <row r="754">
      <c r="A754" s="785"/>
      <c r="B754" s="786"/>
      <c r="C754" s="786"/>
      <c r="D754" s="786"/>
      <c r="E754" s="785"/>
      <c r="F754" s="787"/>
      <c r="G754" s="788"/>
      <c r="H754" s="283"/>
      <c r="I754" s="785"/>
      <c r="J754" s="786"/>
      <c r="K754" s="786"/>
      <c r="L754" s="786"/>
      <c r="M754" s="785"/>
      <c r="N754" s="787"/>
      <c r="O754" s="789"/>
    </row>
    <row r="755">
      <c r="A755" s="785"/>
      <c r="B755" s="786"/>
      <c r="C755" s="786"/>
      <c r="D755" s="786"/>
      <c r="E755" s="785"/>
      <c r="F755" s="787"/>
      <c r="G755" s="788"/>
      <c r="H755" s="283"/>
      <c r="I755" s="785"/>
      <c r="J755" s="786"/>
      <c r="K755" s="786"/>
      <c r="L755" s="786"/>
      <c r="M755" s="785"/>
      <c r="N755" s="787"/>
      <c r="O755" s="789"/>
    </row>
    <row r="756">
      <c r="A756" s="790" t="s">
        <v>711</v>
      </c>
      <c r="B756" s="791"/>
      <c r="C756" s="791"/>
      <c r="D756" s="792"/>
      <c r="E756" s="793">
        <f>SUM(E750:E755)</f>
        <v>5349</v>
      </c>
      <c r="F756" s="794"/>
      <c r="G756" s="793">
        <f>SUM(G750:G755)</f>
        <v>4707.12</v>
      </c>
      <c r="H756" s="283"/>
      <c r="I756" s="790" t="s">
        <v>711</v>
      </c>
      <c r="J756" s="791"/>
      <c r="K756" s="791"/>
      <c r="L756" s="792"/>
      <c r="M756" s="877">
        <f>SUM(M750:M755)</f>
        <v>2972</v>
      </c>
      <c r="N756" s="794"/>
      <c r="O756" s="793">
        <f>SUM(O750:O755)</f>
        <v>1931.8</v>
      </c>
    </row>
    <row r="757">
      <c r="A757" s="796"/>
      <c r="D757" s="798"/>
      <c r="G757" s="799"/>
      <c r="H757" s="283"/>
      <c r="I757" s="796"/>
      <c r="L757" s="798"/>
      <c r="O757" s="799"/>
    </row>
    <row r="758">
      <c r="A758" s="800" t="s">
        <v>712</v>
      </c>
      <c r="B758" s="801"/>
      <c r="C758" s="802"/>
      <c r="G758" s="799"/>
      <c r="H758" s="283"/>
      <c r="I758" s="800" t="s">
        <v>712</v>
      </c>
      <c r="J758" s="803"/>
      <c r="K758" s="804"/>
      <c r="O758" s="799"/>
    </row>
    <row r="759">
      <c r="A759" s="902" t="s">
        <v>1194</v>
      </c>
      <c r="B759" s="806"/>
      <c r="C759" s="807">
        <v>250.0</v>
      </c>
      <c r="G759" s="799"/>
      <c r="H759" s="283"/>
      <c r="I759" s="902" t="s">
        <v>1194</v>
      </c>
      <c r="J759" s="808"/>
      <c r="K759" s="903">
        <v>250.0</v>
      </c>
      <c r="O759" s="799"/>
    </row>
    <row r="760">
      <c r="A760" s="868"/>
      <c r="B760" s="774"/>
      <c r="C760" s="816"/>
      <c r="G760" s="799"/>
      <c r="H760" s="283"/>
      <c r="I760" s="868"/>
      <c r="J760" s="774"/>
      <c r="K760" s="816"/>
      <c r="O760" s="799"/>
    </row>
    <row r="761">
      <c r="A761" s="815"/>
      <c r="B761" s="792"/>
      <c r="C761" s="816"/>
      <c r="G761" s="799"/>
      <c r="H761" s="283"/>
      <c r="I761" s="815"/>
      <c r="J761" s="792"/>
      <c r="K761" s="816"/>
      <c r="O761" s="799"/>
    </row>
    <row r="762">
      <c r="A762" s="817"/>
      <c r="B762" s="774"/>
      <c r="C762" s="818"/>
      <c r="G762" s="799"/>
      <c r="H762" s="283"/>
      <c r="I762" s="817"/>
      <c r="J762" s="774"/>
      <c r="K762" s="818"/>
      <c r="O762" s="799"/>
    </row>
    <row r="763">
      <c r="A763" s="817"/>
      <c r="B763" s="792"/>
      <c r="C763" s="818"/>
      <c r="G763" s="799"/>
      <c r="H763" s="283"/>
      <c r="I763" s="817"/>
      <c r="J763" s="792"/>
      <c r="K763" s="818"/>
      <c r="O763" s="799"/>
    </row>
    <row r="764">
      <c r="A764" s="821" t="s">
        <v>714</v>
      </c>
      <c r="B764" s="822"/>
      <c r="C764" s="823">
        <f>SUM(C759:C763)</f>
        <v>250</v>
      </c>
      <c r="G764" s="799"/>
      <c r="H764" s="283"/>
      <c r="I764" s="821" t="s">
        <v>714</v>
      </c>
      <c r="J764" s="826"/>
      <c r="K764" s="827"/>
      <c r="O764" s="799"/>
    </row>
    <row r="765">
      <c r="A765" s="828"/>
      <c r="C765" s="829"/>
      <c r="G765" s="799"/>
      <c r="H765" s="283"/>
      <c r="I765" s="828"/>
      <c r="K765" s="829"/>
      <c r="O765" s="799"/>
    </row>
    <row r="766">
      <c r="A766" s="830" t="s">
        <v>715</v>
      </c>
      <c r="B766" s="831"/>
      <c r="C766" s="832"/>
      <c r="G766" s="799"/>
      <c r="H766" s="283"/>
      <c r="I766" s="833" t="s">
        <v>715</v>
      </c>
      <c r="J766" s="834"/>
      <c r="K766" s="835"/>
      <c r="O766" s="799"/>
      <c r="Q766" s="897" t="s">
        <v>1209</v>
      </c>
    </row>
    <row r="767">
      <c r="A767" s="836" t="s">
        <v>716</v>
      </c>
      <c r="B767" s="837"/>
      <c r="C767" s="838">
        <v>100.0</v>
      </c>
      <c r="G767" s="799"/>
      <c r="H767" s="283"/>
      <c r="I767" s="839"/>
      <c r="J767" s="840"/>
      <c r="K767" s="841"/>
      <c r="O767" s="799"/>
    </row>
    <row r="768">
      <c r="A768" s="842" t="s">
        <v>717</v>
      </c>
      <c r="B768" s="843"/>
      <c r="C768" s="844">
        <v>400.0</v>
      </c>
      <c r="D768" s="891"/>
      <c r="E768" s="845" t="s">
        <v>1182</v>
      </c>
      <c r="G768" s="846">
        <f>G756+C764-C773</f>
        <v>1612.15</v>
      </c>
      <c r="H768" s="283"/>
      <c r="I768" s="847"/>
      <c r="J768" s="848"/>
      <c r="K768" s="849"/>
      <c r="L768" s="248"/>
      <c r="M768" s="845" t="s">
        <v>1183</v>
      </c>
      <c r="O768" s="846">
        <f>O756+K764-K773</f>
        <v>1931.8</v>
      </c>
    </row>
    <row r="769">
      <c r="A769" s="836" t="s">
        <v>718</v>
      </c>
      <c r="B769" s="837"/>
      <c r="C769" s="838">
        <v>200.0</v>
      </c>
      <c r="D769" s="892"/>
      <c r="G769" s="799"/>
      <c r="H769" s="283"/>
      <c r="I769" s="847"/>
      <c r="J769" s="848"/>
      <c r="K769" s="849"/>
      <c r="O769" s="799"/>
    </row>
    <row r="770">
      <c r="A770" s="842" t="s">
        <v>656</v>
      </c>
      <c r="B770" s="843"/>
      <c r="C770" s="844">
        <f>IFERROR(__xludf.DUMMYFUNCTION("FILTER($C$4:$C$30,$B$4:$B$30=E748)"),2085.26)</f>
        <v>2085.26</v>
      </c>
      <c r="D770" s="891"/>
      <c r="G770" s="799"/>
      <c r="H770" s="283"/>
      <c r="I770" s="847"/>
      <c r="J770" s="848"/>
      <c r="K770" s="849"/>
      <c r="O770" s="799"/>
    </row>
    <row r="771">
      <c r="A771" s="850" t="s">
        <v>1184</v>
      </c>
      <c r="B771" s="851"/>
      <c r="C771" s="852">
        <v>90.52</v>
      </c>
      <c r="D771" s="917" t="s">
        <v>1210</v>
      </c>
      <c r="E771" s="248"/>
      <c r="G771" s="799"/>
      <c r="H771" s="283"/>
      <c r="I771" s="847"/>
      <c r="J771" s="848"/>
      <c r="K771" s="849"/>
      <c r="M771" s="248"/>
      <c r="O771" s="799"/>
    </row>
    <row r="772">
      <c r="A772" s="904" t="s">
        <v>807</v>
      </c>
      <c r="B772" s="905"/>
      <c r="C772" s="906">
        <v>469.19</v>
      </c>
      <c r="D772" s="927"/>
      <c r="G772" s="799"/>
      <c r="H772" s="283"/>
      <c r="I772" s="847"/>
      <c r="J772" s="848"/>
      <c r="K772" s="849"/>
      <c r="O772" s="799"/>
    </row>
    <row r="773">
      <c r="A773" s="853" t="s">
        <v>721</v>
      </c>
      <c r="B773" s="854"/>
      <c r="C773" s="855">
        <f>SUM(C767:C772)</f>
        <v>3344.97</v>
      </c>
      <c r="D773" s="248"/>
      <c r="G773" s="799"/>
      <c r="H773" s="283"/>
      <c r="I773" s="853" t="s">
        <v>721</v>
      </c>
      <c r="J773" s="854"/>
      <c r="K773" s="855"/>
      <c r="O773" s="799"/>
    </row>
    <row r="774">
      <c r="A774" s="856"/>
      <c r="B774" s="857"/>
      <c r="C774" s="857"/>
      <c r="D774" s="894"/>
      <c r="E774" s="857"/>
      <c r="F774" s="857"/>
      <c r="G774" s="808"/>
      <c r="H774" s="283"/>
      <c r="I774" s="856"/>
      <c r="J774" s="857"/>
      <c r="K774" s="857"/>
      <c r="L774" s="857"/>
      <c r="M774" s="857"/>
      <c r="N774" s="857"/>
      <c r="O774" s="808"/>
    </row>
    <row r="775">
      <c r="A775" s="199"/>
      <c r="B775" s="199"/>
      <c r="C775" s="199"/>
      <c r="D775" s="248"/>
      <c r="E775" s="248"/>
      <c r="F775" s="248"/>
      <c r="G775" s="248"/>
      <c r="H775" s="283"/>
      <c r="I775" s="199"/>
      <c r="J775" s="199"/>
      <c r="K775" s="199"/>
      <c r="L775" s="248"/>
      <c r="M775" s="248"/>
      <c r="N775" s="248"/>
      <c r="O775" s="248"/>
    </row>
    <row r="776">
      <c r="A776" s="199"/>
      <c r="B776" s="199"/>
      <c r="C776" s="199"/>
      <c r="D776" s="248"/>
      <c r="E776" s="248"/>
      <c r="F776" s="248"/>
      <c r="G776" s="248"/>
      <c r="H776" s="283"/>
      <c r="I776" s="199"/>
      <c r="J776" s="199"/>
      <c r="K776" s="199"/>
      <c r="L776" s="248"/>
      <c r="M776" s="248"/>
      <c r="N776" s="248"/>
      <c r="O776" s="248"/>
    </row>
    <row r="777">
      <c r="A777" s="769"/>
      <c r="B777" s="770"/>
      <c r="C777" s="770"/>
      <c r="D777" s="771" t="s">
        <v>700</v>
      </c>
      <c r="E777" s="772" t="str">
        <f>E126</f>
        <v>11.24.2025-11.30.2025</v>
      </c>
      <c r="F777" s="773"/>
      <c r="G777" s="774"/>
      <c r="H777" s="305">
        <v>22.0</v>
      </c>
      <c r="I777" s="769"/>
      <c r="J777" s="770"/>
      <c r="K777" s="770"/>
      <c r="L777" s="771" t="s">
        <v>700</v>
      </c>
      <c r="M777" s="772" t="str">
        <f>E126</f>
        <v>11.24.2025-11.30.2025</v>
      </c>
      <c r="N777" s="773"/>
      <c r="O777" s="774"/>
    </row>
    <row r="778">
      <c r="A778" s="775"/>
      <c r="D778" s="771" t="s">
        <v>702</v>
      </c>
      <c r="E778" s="772" t="s">
        <v>869</v>
      </c>
      <c r="F778" s="773"/>
      <c r="G778" s="774"/>
      <c r="H778" s="776"/>
      <c r="I778" s="775"/>
      <c r="L778" s="771" t="s">
        <v>351</v>
      </c>
      <c r="M778" s="772" t="str">
        <f t="array" ref="M778">XLOOKUP(M779,$L$1:$L$122,$K$1:$K$122)</f>
        <v>WILLIE HAMPTON ANDERSON</v>
      </c>
      <c r="N778" s="773"/>
      <c r="O778" s="774"/>
    </row>
    <row r="779">
      <c r="A779" s="775"/>
      <c r="D779" s="771" t="s">
        <v>703</v>
      </c>
      <c r="E779" s="772">
        <v>2675.0</v>
      </c>
      <c r="F779" s="773"/>
      <c r="G779" s="774"/>
      <c r="H779" s="283"/>
      <c r="I779" s="775"/>
      <c r="L779" s="771" t="s">
        <v>703</v>
      </c>
      <c r="M779" s="772">
        <f>E779</f>
        <v>2675</v>
      </c>
      <c r="N779" s="773"/>
      <c r="O779" s="774"/>
    </row>
    <row r="780">
      <c r="A780" s="779" t="s">
        <v>704</v>
      </c>
      <c r="B780" s="779" t="s">
        <v>5</v>
      </c>
      <c r="C780" s="779" t="s">
        <v>6</v>
      </c>
      <c r="D780" s="779" t="s">
        <v>7</v>
      </c>
      <c r="E780" s="779" t="s">
        <v>8</v>
      </c>
      <c r="F780" s="779" t="s">
        <v>706</v>
      </c>
      <c r="G780" s="779" t="s">
        <v>707</v>
      </c>
      <c r="H780" s="34"/>
      <c r="I780" s="779" t="s">
        <v>704</v>
      </c>
      <c r="J780" s="779" t="s">
        <v>5</v>
      </c>
      <c r="K780" s="779" t="s">
        <v>6</v>
      </c>
      <c r="L780" s="779" t="s">
        <v>7</v>
      </c>
      <c r="M780" s="779" t="s">
        <v>1178</v>
      </c>
      <c r="N780" s="779" t="s">
        <v>839</v>
      </c>
      <c r="O780" s="779" t="s">
        <v>707</v>
      </c>
    </row>
    <row r="781">
      <c r="A781" s="780">
        <f>IFERROR(__xludf.DUMMYFUNCTION("FILTER($D$3:$H$122,$L$3:$L$122=E779)"),45985.0)</f>
        <v>45985</v>
      </c>
      <c r="B781" s="781">
        <f>IFERROR(__xludf.DUMMYFUNCTION("""COMPUTED_VALUE"""),4.0115064E7)</f>
        <v>40115064</v>
      </c>
      <c r="C781" s="781" t="str">
        <f>IFERROR(__xludf.DUMMYFUNCTION("""COMPUTED_VALUE"""),"Easton, PA, 18064")</f>
        <v>Easton, PA, 18064</v>
      </c>
      <c r="D781" s="781" t="str">
        <f>IFERROR(__xludf.DUMMYFUNCTION("""COMPUTED_VALUE"""),"Huntington, WV, 25701")</f>
        <v>Huntington, WV, 25701</v>
      </c>
      <c r="E781" s="782">
        <f>IFERROR(__xludf.DUMMYFUNCTION("""COMPUTED_VALUE"""),1200.0)</f>
        <v>1200</v>
      </c>
      <c r="F781" s="783">
        <v>0.88</v>
      </c>
      <c r="G781" s="782">
        <f t="shared" ref="G781:G785" si="30">E781*F781</f>
        <v>1056</v>
      </c>
      <c r="H781" s="283"/>
      <c r="I781" s="780">
        <f>IFERROR(__xludf.DUMMYFUNCTION("FILTER($D$3:$G$122,$L$3:$L$122=M779)"),45985.0)</f>
        <v>45985</v>
      </c>
      <c r="J781" s="781">
        <f>IFERROR(__xludf.DUMMYFUNCTION("""COMPUTED_VALUE"""),4.0115064E7)</f>
        <v>40115064</v>
      </c>
      <c r="K781" s="781" t="str">
        <f>IFERROR(__xludf.DUMMYFUNCTION("""COMPUTED_VALUE"""),"Easton, PA, 18064")</f>
        <v>Easton, PA, 18064</v>
      </c>
      <c r="L781" s="781" t="str">
        <f>IFERROR(__xludf.DUMMYFUNCTION("""COMPUTED_VALUE"""),"Huntington, WV, 25701")</f>
        <v>Huntington, WV, 25701</v>
      </c>
      <c r="M781" s="880">
        <f>IFERROR(__xludf.DUMMYFUNCTION("FILTER($I$3:$I$122,$L$3:$L$122=M779)"),598.0)</f>
        <v>598</v>
      </c>
      <c r="N781" s="781">
        <v>0.65</v>
      </c>
      <c r="O781" s="782">
        <f t="shared" ref="O781:O785" si="31">M781*N781</f>
        <v>388.7</v>
      </c>
    </row>
    <row r="782">
      <c r="A782" s="780">
        <f>IFERROR(__xludf.DUMMYFUNCTION("""COMPUTED_VALUE"""),45986.0)</f>
        <v>45986</v>
      </c>
      <c r="B782" s="781">
        <f>IFERROR(__xludf.DUMMYFUNCTION("""COMPUTED_VALUE"""),120482.0)</f>
        <v>120482</v>
      </c>
      <c r="C782" s="781" t="str">
        <f>IFERROR(__xludf.DUMMYFUNCTION("""COMPUTED_VALUE"""),"Ironton, OH, 45638")</f>
        <v>Ironton, OH, 45638</v>
      </c>
      <c r="D782" s="781" t="str">
        <f>IFERROR(__xludf.DUMMYFUNCTION("""COMPUTED_VALUE"""),"Sterling, VA, 20166")</f>
        <v>Sterling, VA, 20166</v>
      </c>
      <c r="E782" s="782">
        <f>IFERROR(__xludf.DUMMYFUNCTION("""COMPUTED_VALUE"""),1800.0)</f>
        <v>1800</v>
      </c>
      <c r="F782" s="783">
        <v>0.88</v>
      </c>
      <c r="G782" s="782">
        <f t="shared" si="30"/>
        <v>1584</v>
      </c>
      <c r="H782" s="283"/>
      <c r="I782" s="780">
        <f>IFERROR(__xludf.DUMMYFUNCTION("""COMPUTED_VALUE"""),45986.0)</f>
        <v>45986</v>
      </c>
      <c r="J782" s="781">
        <f>IFERROR(__xludf.DUMMYFUNCTION("""COMPUTED_VALUE"""),120482.0)</f>
        <v>120482</v>
      </c>
      <c r="K782" s="781" t="str">
        <f>IFERROR(__xludf.DUMMYFUNCTION("""COMPUTED_VALUE"""),"Ironton, OH, 45638")</f>
        <v>Ironton, OH, 45638</v>
      </c>
      <c r="L782" s="781" t="str">
        <f>IFERROR(__xludf.DUMMYFUNCTION("""COMPUTED_VALUE"""),"Sterling, VA, 20166")</f>
        <v>Sterling, VA, 20166</v>
      </c>
      <c r="M782" s="896">
        <f>IFERROR(__xludf.DUMMYFUNCTION("""COMPUTED_VALUE"""),434.0)</f>
        <v>434</v>
      </c>
      <c r="N782" s="781">
        <v>0.65</v>
      </c>
      <c r="O782" s="782">
        <f t="shared" si="31"/>
        <v>282.1</v>
      </c>
    </row>
    <row r="783">
      <c r="A783" s="883">
        <f>IFERROR(__xludf.DUMMYFUNCTION("""COMPUTED_VALUE"""),45987.0)</f>
        <v>45987</v>
      </c>
      <c r="B783" s="786" t="str">
        <f>IFERROR(__xludf.DUMMYFUNCTION("""COMPUTED_VALUE"""),"6MN4999")</f>
        <v>6MN4999</v>
      </c>
      <c r="C783" s="786" t="str">
        <f>IFERROR(__xludf.DUMMYFUNCTION("""COMPUTED_VALUE"""),"Shippensburg, PA, 17257")</f>
        <v>Shippensburg, PA, 17257</v>
      </c>
      <c r="D783" s="786" t="str">
        <f>IFERROR(__xludf.DUMMYFUNCTION("""COMPUTED_VALUE"""),"Windsor Locks, CT, 06096")</f>
        <v>Windsor Locks, CT, 06096</v>
      </c>
      <c r="E783" s="884">
        <f>IFERROR(__xludf.DUMMYFUNCTION("""COMPUTED_VALUE"""),1200.0)</f>
        <v>1200</v>
      </c>
      <c r="F783" s="783">
        <v>0.88</v>
      </c>
      <c r="G783" s="782">
        <f t="shared" si="30"/>
        <v>1056</v>
      </c>
      <c r="H783" s="283"/>
      <c r="I783" s="780">
        <f>IFERROR(__xludf.DUMMYFUNCTION("""COMPUTED_VALUE"""),45987.0)</f>
        <v>45987</v>
      </c>
      <c r="J783" s="781" t="str">
        <f>IFERROR(__xludf.DUMMYFUNCTION("""COMPUTED_VALUE"""),"6MN4999")</f>
        <v>6MN4999</v>
      </c>
      <c r="K783" s="781" t="str">
        <f>IFERROR(__xludf.DUMMYFUNCTION("""COMPUTED_VALUE"""),"Shippensburg, PA, 17257")</f>
        <v>Shippensburg, PA, 17257</v>
      </c>
      <c r="L783" s="781" t="str">
        <f>IFERROR(__xludf.DUMMYFUNCTION("""COMPUTED_VALUE"""),"Windsor Locks, CT, 06096")</f>
        <v>Windsor Locks, CT, 06096</v>
      </c>
      <c r="M783" s="880">
        <f>IFERROR(__xludf.DUMMYFUNCTION("""COMPUTED_VALUE"""),429.0)</f>
        <v>429</v>
      </c>
      <c r="N783" s="781">
        <v>0.65</v>
      </c>
      <c r="O783" s="782">
        <f t="shared" si="31"/>
        <v>278.85</v>
      </c>
    </row>
    <row r="784">
      <c r="A784" s="883">
        <f>IFERROR(__xludf.DUMMYFUNCTION("""COMPUTED_VALUE"""),45990.0)</f>
        <v>45990</v>
      </c>
      <c r="B784" s="786">
        <f>IFERROR(__xludf.DUMMYFUNCTION("""COMPUTED_VALUE"""),12639.0)</f>
        <v>12639</v>
      </c>
      <c r="C784" s="786" t="str">
        <f>IFERROR(__xludf.DUMMYFUNCTION("""COMPUTED_VALUE"""),"West Jefferson, OH, 43162")</f>
        <v>West Jefferson, OH, 43162</v>
      </c>
      <c r="D784" s="786" t="str">
        <f>IFERROR(__xludf.DUMMYFUNCTION("""COMPUTED_VALUE"""),"Naples, FL, 34104")</f>
        <v>Naples, FL, 34104</v>
      </c>
      <c r="E784" s="884">
        <f>IFERROR(__xludf.DUMMYFUNCTION("""COMPUTED_VALUE"""),3000.0)</f>
        <v>3000</v>
      </c>
      <c r="F784" s="783">
        <v>0.88</v>
      </c>
      <c r="G784" s="782">
        <f t="shared" si="30"/>
        <v>2640</v>
      </c>
      <c r="H784" s="283"/>
      <c r="I784" s="883">
        <f>IFERROR(__xludf.DUMMYFUNCTION("""COMPUTED_VALUE"""),45990.0)</f>
        <v>45990</v>
      </c>
      <c r="J784" s="786">
        <f>IFERROR(__xludf.DUMMYFUNCTION("""COMPUTED_VALUE"""),12639.0)</f>
        <v>12639</v>
      </c>
      <c r="K784" s="786" t="str">
        <f>IFERROR(__xludf.DUMMYFUNCTION("""COMPUTED_VALUE"""),"West Jefferson, OH, 43162")</f>
        <v>West Jefferson, OH, 43162</v>
      </c>
      <c r="L784" s="786" t="str">
        <f>IFERROR(__xludf.DUMMYFUNCTION("""COMPUTED_VALUE"""),"Naples, FL, 34104")</f>
        <v>Naples, FL, 34104</v>
      </c>
      <c r="M784" s="880">
        <f>IFERROR(__xludf.DUMMYFUNCTION("""COMPUTED_VALUE"""),1191.0)</f>
        <v>1191</v>
      </c>
      <c r="N784" s="781">
        <v>0.65</v>
      </c>
      <c r="O784" s="782">
        <f t="shared" si="31"/>
        <v>774.15</v>
      </c>
    </row>
    <row r="785">
      <c r="A785" s="883">
        <f>IFERROR(__xludf.DUMMYFUNCTION("""COMPUTED_VALUE"""),45990.0)</f>
        <v>45990</v>
      </c>
      <c r="B785" s="786">
        <f>IFERROR(__xludf.DUMMYFUNCTION("""COMPUTED_VALUE"""),14256.0)</f>
        <v>14256</v>
      </c>
      <c r="C785" s="786" t="str">
        <f>IFERROR(__xludf.DUMMYFUNCTION("""COMPUTED_VALUE"""),"New Windsor, NY, 12553")</f>
        <v>New Windsor, NY, 12553</v>
      </c>
      <c r="D785" s="928" t="str">
        <f>IFERROR(__xludf.DUMMYFUNCTION("""COMPUTED_VALUE"""),"Columbus, OH, 43215")</f>
        <v>Columbus, OH, 43215</v>
      </c>
      <c r="E785" s="884">
        <f>IFERROR(__xludf.DUMMYFUNCTION("""COMPUTED_VALUE"""),700.0)</f>
        <v>700</v>
      </c>
      <c r="F785" s="783">
        <v>0.88</v>
      </c>
      <c r="G785" s="782">
        <f t="shared" si="30"/>
        <v>616</v>
      </c>
      <c r="H785" s="283"/>
      <c r="I785" s="883">
        <f>IFERROR(__xludf.DUMMYFUNCTION("""COMPUTED_VALUE"""),45990.0)</f>
        <v>45990</v>
      </c>
      <c r="J785" s="786">
        <f>IFERROR(__xludf.DUMMYFUNCTION("""COMPUTED_VALUE"""),14256.0)</f>
        <v>14256</v>
      </c>
      <c r="K785" s="786" t="str">
        <f>IFERROR(__xludf.DUMMYFUNCTION("""COMPUTED_VALUE"""),"New Windsor, NY, 12553")</f>
        <v>New Windsor, NY, 12553</v>
      </c>
      <c r="L785" s="928" t="str">
        <f>IFERROR(__xludf.DUMMYFUNCTION("""COMPUTED_VALUE"""),"Columbus, OH, 43215")</f>
        <v>Columbus, OH, 43215</v>
      </c>
      <c r="M785" s="880">
        <f>IFERROR(__xludf.DUMMYFUNCTION("""COMPUTED_VALUE"""),680.0)</f>
        <v>680</v>
      </c>
      <c r="N785" s="781">
        <v>0.65</v>
      </c>
      <c r="O785" s="782">
        <f t="shared" si="31"/>
        <v>442</v>
      </c>
    </row>
    <row r="786">
      <c r="A786" s="785"/>
      <c r="B786" s="786"/>
      <c r="C786" s="786"/>
      <c r="D786" s="786"/>
      <c r="E786" s="785"/>
      <c r="F786" s="787"/>
      <c r="G786" s="788"/>
      <c r="H786" s="283"/>
      <c r="I786" s="785"/>
      <c r="J786" s="786"/>
      <c r="K786" s="786"/>
      <c r="L786" s="786"/>
      <c r="M786" s="785"/>
      <c r="N786" s="787"/>
      <c r="O786" s="789"/>
    </row>
    <row r="787">
      <c r="A787" s="790" t="s">
        <v>711</v>
      </c>
      <c r="B787" s="791"/>
      <c r="C787" s="791"/>
      <c r="D787" s="792"/>
      <c r="E787" s="793">
        <f>SUM(E781:E786)</f>
        <v>7900</v>
      </c>
      <c r="F787" s="794"/>
      <c r="G787" s="793">
        <f>SUM(G781:G786)</f>
        <v>6952</v>
      </c>
      <c r="H787" s="283"/>
      <c r="I787" s="790" t="s">
        <v>711</v>
      </c>
      <c r="J787" s="791"/>
      <c r="K787" s="791"/>
      <c r="L787" s="792"/>
      <c r="M787" s="877">
        <f>SUM(M781:M786)</f>
        <v>3332</v>
      </c>
      <c r="N787" s="794"/>
      <c r="O787" s="793">
        <f>SUM(O781:O786)</f>
        <v>2165.8</v>
      </c>
      <c r="Q787" s="897" t="s">
        <v>1211</v>
      </c>
    </row>
    <row r="788">
      <c r="A788" s="796"/>
      <c r="D788" s="798"/>
      <c r="G788" s="799"/>
      <c r="H788" s="283"/>
      <c r="I788" s="796"/>
      <c r="L788" s="798"/>
      <c r="O788" s="799"/>
    </row>
    <row r="789">
      <c r="A789" s="800" t="s">
        <v>712</v>
      </c>
      <c r="B789" s="801"/>
      <c r="C789" s="802"/>
      <c r="G789" s="799"/>
      <c r="H789" s="283"/>
      <c r="I789" s="800" t="s">
        <v>712</v>
      </c>
      <c r="J789" s="803"/>
      <c r="K789" s="804"/>
      <c r="O789" s="799"/>
    </row>
    <row r="790">
      <c r="A790" s="902" t="s">
        <v>1194</v>
      </c>
      <c r="B790" s="806"/>
      <c r="C790" s="807">
        <v>250.0</v>
      </c>
      <c r="G790" s="799"/>
      <c r="H790" s="283"/>
      <c r="I790" s="902" t="s">
        <v>1194</v>
      </c>
      <c r="J790" s="808"/>
      <c r="K790" s="903">
        <v>250.0</v>
      </c>
      <c r="O790" s="799"/>
    </row>
    <row r="791">
      <c r="A791" s="868"/>
      <c r="B791" s="774"/>
      <c r="C791" s="816"/>
      <c r="G791" s="799"/>
      <c r="H791" s="283"/>
      <c r="I791" s="868"/>
      <c r="J791" s="774"/>
      <c r="K791" s="816"/>
      <c r="O791" s="799"/>
    </row>
    <row r="792">
      <c r="A792" s="815"/>
      <c r="B792" s="792"/>
      <c r="C792" s="816"/>
      <c r="G792" s="799"/>
      <c r="H792" s="283"/>
      <c r="I792" s="815"/>
      <c r="J792" s="792"/>
      <c r="K792" s="816"/>
      <c r="O792" s="799"/>
    </row>
    <row r="793">
      <c r="A793" s="817"/>
      <c r="B793" s="774"/>
      <c r="C793" s="818"/>
      <c r="G793" s="799"/>
      <c r="H793" s="283"/>
      <c r="I793" s="817"/>
      <c r="J793" s="774"/>
      <c r="K793" s="818"/>
      <c r="O793" s="799"/>
    </row>
    <row r="794">
      <c r="A794" s="817"/>
      <c r="B794" s="792"/>
      <c r="C794" s="818"/>
      <c r="G794" s="799"/>
      <c r="H794" s="283"/>
      <c r="I794" s="817"/>
      <c r="J794" s="792"/>
      <c r="K794" s="818"/>
      <c r="O794" s="799"/>
    </row>
    <row r="795">
      <c r="A795" s="821" t="s">
        <v>714</v>
      </c>
      <c r="B795" s="822"/>
      <c r="C795" s="823">
        <f>SUM(C790:C794)</f>
        <v>250</v>
      </c>
      <c r="G795" s="799"/>
      <c r="H795" s="283"/>
      <c r="I795" s="821" t="s">
        <v>714</v>
      </c>
      <c r="J795" s="826"/>
      <c r="K795" s="823">
        <f>SUM(K790:K794)</f>
        <v>250</v>
      </c>
      <c r="O795" s="799"/>
    </row>
    <row r="796">
      <c r="A796" s="828"/>
      <c r="C796" s="829"/>
      <c r="G796" s="799"/>
      <c r="H796" s="283"/>
      <c r="I796" s="828"/>
      <c r="K796" s="829"/>
      <c r="O796" s="799"/>
    </row>
    <row r="797">
      <c r="A797" s="830" t="s">
        <v>715</v>
      </c>
      <c r="B797" s="831"/>
      <c r="C797" s="832"/>
      <c r="G797" s="799"/>
      <c r="H797" s="283"/>
      <c r="I797" s="833" t="s">
        <v>715</v>
      </c>
      <c r="J797" s="834"/>
      <c r="K797" s="835"/>
      <c r="O797" s="799"/>
    </row>
    <row r="798">
      <c r="A798" s="836" t="s">
        <v>716</v>
      </c>
      <c r="B798" s="837"/>
      <c r="C798" s="929">
        <v>100.0</v>
      </c>
      <c r="G798" s="799"/>
      <c r="H798" s="283"/>
      <c r="I798" s="839"/>
      <c r="J798" s="840"/>
      <c r="K798" s="841"/>
      <c r="O798" s="799"/>
    </row>
    <row r="799">
      <c r="A799" s="842" t="s">
        <v>717</v>
      </c>
      <c r="B799" s="843"/>
      <c r="C799" s="844">
        <v>400.0</v>
      </c>
      <c r="D799" s="891"/>
      <c r="E799" s="845" t="s">
        <v>1182</v>
      </c>
      <c r="G799" s="846">
        <f>G787+C795-C804</f>
        <v>3187.16</v>
      </c>
      <c r="H799" s="283"/>
      <c r="I799" s="847"/>
      <c r="J799" s="848"/>
      <c r="K799" s="849"/>
      <c r="L799" s="248"/>
      <c r="M799" s="845" t="s">
        <v>1183</v>
      </c>
      <c r="O799" s="846">
        <f>O787+K795-K804</f>
        <v>2415.8</v>
      </c>
    </row>
    <row r="800">
      <c r="A800" s="836" t="s">
        <v>718</v>
      </c>
      <c r="B800" s="837"/>
      <c r="C800" s="838">
        <v>200.0</v>
      </c>
      <c r="D800" s="892"/>
      <c r="G800" s="799"/>
      <c r="H800" s="283"/>
      <c r="I800" s="847"/>
      <c r="J800" s="848"/>
      <c r="K800" s="849"/>
      <c r="O800" s="799"/>
    </row>
    <row r="801">
      <c r="A801" s="842" t="s">
        <v>656</v>
      </c>
      <c r="B801" s="843"/>
      <c r="C801" s="844">
        <f>IFERROR(__xludf.DUMMYFUNCTION("FILTER($C$4:$C$30,$B$4:$B$30=E779)"),2610.76)</f>
        <v>2610.76</v>
      </c>
      <c r="D801" s="891"/>
      <c r="G801" s="799"/>
      <c r="H801" s="283"/>
      <c r="I801" s="847"/>
      <c r="J801" s="848"/>
      <c r="K801" s="849"/>
      <c r="O801" s="799"/>
    </row>
    <row r="802">
      <c r="A802" s="850" t="s">
        <v>1184</v>
      </c>
      <c r="B802" s="851"/>
      <c r="C802" s="852">
        <f>654.08</f>
        <v>654.08</v>
      </c>
      <c r="D802" s="930" t="s">
        <v>1212</v>
      </c>
      <c r="E802" s="248"/>
      <c r="G802" s="799"/>
      <c r="H802" s="283"/>
      <c r="I802" s="847"/>
      <c r="J802" s="848"/>
      <c r="K802" s="849"/>
      <c r="M802" s="248"/>
      <c r="O802" s="799"/>
    </row>
    <row r="803">
      <c r="A803" s="914"/>
      <c r="B803" s="905"/>
      <c r="C803" s="906">
        <v>50.0</v>
      </c>
      <c r="D803" s="931" t="s">
        <v>1213</v>
      </c>
      <c r="G803" s="799"/>
      <c r="H803" s="283"/>
      <c r="I803" s="847"/>
      <c r="J803" s="848"/>
      <c r="K803" s="849"/>
      <c r="O803" s="799"/>
    </row>
    <row r="804">
      <c r="A804" s="853" t="s">
        <v>721</v>
      </c>
      <c r="B804" s="854"/>
      <c r="C804" s="855">
        <f>SUM(C798:C803)</f>
        <v>4014.84</v>
      </c>
      <c r="D804" s="248"/>
      <c r="G804" s="799"/>
      <c r="H804" s="283"/>
      <c r="I804" s="853" t="s">
        <v>721</v>
      </c>
      <c r="J804" s="854"/>
      <c r="K804" s="855">
        <f>SUM(K798:K803)</f>
        <v>0</v>
      </c>
      <c r="O804" s="799"/>
    </row>
    <row r="805">
      <c r="A805" s="856"/>
      <c r="B805" s="857"/>
      <c r="C805" s="857"/>
      <c r="D805" s="894"/>
      <c r="E805" s="857"/>
      <c r="F805" s="857"/>
      <c r="G805" s="808"/>
      <c r="H805" s="283"/>
      <c r="I805" s="856"/>
      <c r="J805" s="857"/>
      <c r="K805" s="857"/>
      <c r="L805" s="857"/>
      <c r="M805" s="857"/>
      <c r="N805" s="857"/>
      <c r="O805" s="808"/>
    </row>
    <row r="806">
      <c r="A806" s="199"/>
      <c r="B806" s="199"/>
      <c r="C806" s="199"/>
      <c r="D806" s="248"/>
      <c r="E806" s="248"/>
      <c r="F806" s="248"/>
      <c r="G806" s="248"/>
      <c r="H806" s="283"/>
      <c r="I806" s="199"/>
      <c r="J806" s="199"/>
      <c r="K806" s="199"/>
      <c r="L806" s="248"/>
      <c r="M806" s="248"/>
      <c r="N806" s="248"/>
      <c r="O806" s="248"/>
    </row>
    <row r="807">
      <c r="A807" s="199"/>
      <c r="B807" s="199"/>
      <c r="C807" s="199"/>
      <c r="D807" s="248"/>
      <c r="E807" s="248"/>
      <c r="F807" s="248"/>
      <c r="G807" s="248"/>
      <c r="H807" s="283"/>
      <c r="I807" s="199"/>
      <c r="J807" s="199"/>
      <c r="K807" s="199"/>
      <c r="L807" s="248"/>
      <c r="M807" s="248"/>
      <c r="N807" s="248"/>
      <c r="O807" s="248"/>
    </row>
    <row r="808">
      <c r="A808" s="769"/>
      <c r="B808" s="770"/>
      <c r="C808" s="770"/>
      <c r="D808" s="771" t="s">
        <v>700</v>
      </c>
      <c r="E808" s="772" t="str">
        <f>E126</f>
        <v>11.24.2025-11.30.2025</v>
      </c>
      <c r="F808" s="773"/>
      <c r="G808" s="774"/>
      <c r="H808" s="305">
        <v>23.0</v>
      </c>
      <c r="I808" s="769"/>
      <c r="J808" s="770"/>
      <c r="K808" s="770"/>
      <c r="L808" s="771" t="s">
        <v>700</v>
      </c>
      <c r="M808" s="772" t="str">
        <f>E126</f>
        <v>11.24.2025-11.30.2025</v>
      </c>
      <c r="N808" s="773"/>
      <c r="O808" s="774"/>
    </row>
    <row r="809">
      <c r="A809" s="775"/>
      <c r="D809" s="771" t="s">
        <v>702</v>
      </c>
      <c r="E809" s="772" t="s">
        <v>1214</v>
      </c>
      <c r="F809" s="773"/>
      <c r="G809" s="774"/>
      <c r="H809" s="776"/>
      <c r="I809" s="775"/>
      <c r="L809" s="771" t="s">
        <v>351</v>
      </c>
      <c r="M809" s="772" t="str">
        <f t="array" ref="M809">XLOOKUP(M810,$L$1:$L$122,$K$1:$K$122)</f>
        <v>CLAUDY VALMOND</v>
      </c>
      <c r="N809" s="773"/>
      <c r="O809" s="774"/>
    </row>
    <row r="810">
      <c r="A810" s="775"/>
      <c r="D810" s="771" t="s">
        <v>703</v>
      </c>
      <c r="E810" s="772">
        <v>6339.0</v>
      </c>
      <c r="F810" s="773"/>
      <c r="G810" s="774"/>
      <c r="H810" s="283"/>
      <c r="I810" s="775"/>
      <c r="L810" s="771" t="s">
        <v>703</v>
      </c>
      <c r="M810" s="772">
        <f>E810</f>
        <v>6339</v>
      </c>
      <c r="N810" s="773"/>
      <c r="O810" s="774"/>
    </row>
    <row r="811">
      <c r="A811" s="779" t="s">
        <v>704</v>
      </c>
      <c r="B811" s="779" t="s">
        <v>5</v>
      </c>
      <c r="C811" s="779" t="s">
        <v>6</v>
      </c>
      <c r="D811" s="779" t="s">
        <v>7</v>
      </c>
      <c r="E811" s="779" t="s">
        <v>8</v>
      </c>
      <c r="F811" s="779" t="s">
        <v>706</v>
      </c>
      <c r="G811" s="779" t="s">
        <v>707</v>
      </c>
      <c r="H811" s="34"/>
      <c r="I811" s="779" t="s">
        <v>704</v>
      </c>
      <c r="J811" s="779" t="s">
        <v>5</v>
      </c>
      <c r="K811" s="779" t="s">
        <v>6</v>
      </c>
      <c r="L811" s="779" t="s">
        <v>7</v>
      </c>
      <c r="M811" s="779" t="s">
        <v>1178</v>
      </c>
      <c r="N811" s="779" t="s">
        <v>839</v>
      </c>
      <c r="O811" s="779" t="s">
        <v>707</v>
      </c>
    </row>
    <row r="812">
      <c r="A812" s="780">
        <f>IFERROR(__xludf.DUMMYFUNCTION("FILTER($D$3:$H$122,$L$3:$L$122=E810)"),45986.0)</f>
        <v>45986</v>
      </c>
      <c r="B812" s="781">
        <f>IFERROR(__xludf.DUMMYFUNCTION("""COMPUTED_VALUE"""),5.36013958E8)</f>
        <v>536013958</v>
      </c>
      <c r="C812" s="781" t="str">
        <f>IFERROR(__xludf.DUMMYFUNCTION("""COMPUTED_VALUE"""),"Westlake, LA, 70669")</f>
        <v>Westlake, LA, 70669</v>
      </c>
      <c r="D812" s="781" t="str">
        <f>IFERROR(__xludf.DUMMYFUNCTION("""COMPUTED_VALUE"""),"Mount Vernon, IL, 62864")</f>
        <v>Mount Vernon, IL, 62864</v>
      </c>
      <c r="E812" s="782">
        <f>IFERROR(__xludf.DUMMYFUNCTION("""COMPUTED_VALUE"""),1500.0)</f>
        <v>1500</v>
      </c>
      <c r="F812" s="783">
        <v>0.88</v>
      </c>
      <c r="G812" s="782">
        <f t="shared" ref="G812:G814" si="32">E812*F812</f>
        <v>1320</v>
      </c>
      <c r="H812" s="283"/>
      <c r="I812" s="780">
        <f>IFERROR(__xludf.DUMMYFUNCTION("FILTER($D$3:$G$122,$L$3:$L$122=M810)"),45986.0)</f>
        <v>45986</v>
      </c>
      <c r="J812" s="781">
        <f>IFERROR(__xludf.DUMMYFUNCTION("""COMPUTED_VALUE"""),5.36013958E8)</f>
        <v>536013958</v>
      </c>
      <c r="K812" s="781" t="str">
        <f>IFERROR(__xludf.DUMMYFUNCTION("""COMPUTED_VALUE"""),"Westlake, LA, 70669")</f>
        <v>Westlake, LA, 70669</v>
      </c>
      <c r="L812" s="781" t="str">
        <f>IFERROR(__xludf.DUMMYFUNCTION("""COMPUTED_VALUE"""),"Mount Vernon, IL, 62864")</f>
        <v>Mount Vernon, IL, 62864</v>
      </c>
      <c r="M812" s="896">
        <f>IFERROR(__xludf.DUMMYFUNCTION("FILTER($I$3:$I$122,$L$3:$L$122=M810)"),902.0)</f>
        <v>902</v>
      </c>
      <c r="N812" s="781">
        <v>0.65</v>
      </c>
      <c r="O812" s="782">
        <f t="shared" ref="O812:O814" si="33">M812*N812</f>
        <v>586.3</v>
      </c>
    </row>
    <row r="813">
      <c r="A813" s="780">
        <f>IFERROR(__xludf.DUMMYFUNCTION("""COMPUTED_VALUE"""),45987.0)</f>
        <v>45987</v>
      </c>
      <c r="B813" s="781">
        <f>IFERROR(__xludf.DUMMYFUNCTION("""COMPUTED_VALUE"""),5.34465726E8)</f>
        <v>534465726</v>
      </c>
      <c r="C813" s="781" t="str">
        <f>IFERROR(__xludf.DUMMYFUNCTION("""COMPUTED_VALUE"""),"Jonesboro, AR, 72401")</f>
        <v>Jonesboro, AR, 72401</v>
      </c>
      <c r="D813" s="781" t="str">
        <f>IFERROR(__xludf.DUMMYFUNCTION("""COMPUTED_VALUE"""),"Westborough, MA, 01581")</f>
        <v>Westborough, MA, 01581</v>
      </c>
      <c r="E813" s="782">
        <f>IFERROR(__xludf.DUMMYFUNCTION("""COMPUTED_VALUE"""),2960.0)</f>
        <v>2960</v>
      </c>
      <c r="F813" s="783">
        <v>0.88</v>
      </c>
      <c r="G813" s="782">
        <f t="shared" si="32"/>
        <v>2604.8</v>
      </c>
      <c r="H813" s="283"/>
      <c r="I813" s="780">
        <f>IFERROR(__xludf.DUMMYFUNCTION("""COMPUTED_VALUE"""),45987.0)</f>
        <v>45987</v>
      </c>
      <c r="J813" s="781">
        <f>IFERROR(__xludf.DUMMYFUNCTION("""COMPUTED_VALUE"""),5.34465726E8)</f>
        <v>534465726</v>
      </c>
      <c r="K813" s="781" t="str">
        <f>IFERROR(__xludf.DUMMYFUNCTION("""COMPUTED_VALUE"""),"Jonesboro, AR, 72401")</f>
        <v>Jonesboro, AR, 72401</v>
      </c>
      <c r="L813" s="781" t="str">
        <f>IFERROR(__xludf.DUMMYFUNCTION("""COMPUTED_VALUE"""),"Westborough, MA, 01581")</f>
        <v>Westborough, MA, 01581</v>
      </c>
      <c r="M813" s="896">
        <f>IFERROR(__xludf.DUMMYFUNCTION("""COMPUTED_VALUE"""),1565.0)</f>
        <v>1565</v>
      </c>
      <c r="N813" s="781">
        <v>0.65</v>
      </c>
      <c r="O813" s="782">
        <f t="shared" si="33"/>
        <v>1017.25</v>
      </c>
    </row>
    <row r="814">
      <c r="A814" s="883">
        <f>IFERROR(__xludf.DUMMYFUNCTION("""COMPUTED_VALUE"""),45991.0)</f>
        <v>45991</v>
      </c>
      <c r="B814" s="786">
        <f>IFERROR(__xludf.DUMMYFUNCTION("""COMPUTED_VALUE"""),714176.0)</f>
        <v>714176</v>
      </c>
      <c r="C814" s="786" t="str">
        <f>IFERROR(__xludf.DUMMYFUNCTION("""COMPUTED_VALUE"""),"Southborough, MA, 01772")</f>
        <v>Southborough, MA, 01772</v>
      </c>
      <c r="D814" s="786" t="str">
        <f>IFERROR(__xludf.DUMMYFUNCTION("""COMPUTED_VALUE"""),"Savannah, GA, 31401")</f>
        <v>Savannah, GA, 31401</v>
      </c>
      <c r="E814" s="884">
        <f>IFERROR(__xludf.DUMMYFUNCTION("""COMPUTED_VALUE"""),1700.0)</f>
        <v>1700</v>
      </c>
      <c r="F814" s="783">
        <v>0.88</v>
      </c>
      <c r="G814" s="782">
        <f t="shared" si="32"/>
        <v>1496</v>
      </c>
      <c r="H814" s="283"/>
      <c r="I814" s="780">
        <f>IFERROR(__xludf.DUMMYFUNCTION("""COMPUTED_VALUE"""),45991.0)</f>
        <v>45991</v>
      </c>
      <c r="J814" s="781">
        <f>IFERROR(__xludf.DUMMYFUNCTION("""COMPUTED_VALUE"""),714176.0)</f>
        <v>714176</v>
      </c>
      <c r="K814" s="781" t="str">
        <f>IFERROR(__xludf.DUMMYFUNCTION("""COMPUTED_VALUE"""),"Southborough, MA, 01772")</f>
        <v>Southborough, MA, 01772</v>
      </c>
      <c r="L814" s="781" t="str">
        <f>IFERROR(__xludf.DUMMYFUNCTION("""COMPUTED_VALUE"""),"Savannah, GA, 31401")</f>
        <v>Savannah, GA, 31401</v>
      </c>
      <c r="M814" s="880">
        <f>IFERROR(__xludf.DUMMYFUNCTION("""COMPUTED_VALUE"""),1003.0)</f>
        <v>1003</v>
      </c>
      <c r="N814" s="781">
        <v>0.65</v>
      </c>
      <c r="O814" s="782">
        <f t="shared" si="33"/>
        <v>651.95</v>
      </c>
    </row>
    <row r="815">
      <c r="A815" s="785"/>
      <c r="B815" s="786"/>
      <c r="C815" s="786"/>
      <c r="D815" s="786"/>
      <c r="E815" s="785"/>
      <c r="F815" s="787"/>
      <c r="G815" s="788"/>
      <c r="H815" s="283"/>
      <c r="I815" s="785"/>
      <c r="J815" s="786"/>
      <c r="K815" s="786"/>
      <c r="L815" s="786"/>
      <c r="M815" s="785"/>
      <c r="N815" s="787"/>
      <c r="O815" s="789"/>
    </row>
    <row r="816">
      <c r="A816" s="785"/>
      <c r="B816" s="786"/>
      <c r="C816" s="786"/>
      <c r="D816" s="786"/>
      <c r="E816" s="785"/>
      <c r="F816" s="787"/>
      <c r="G816" s="788"/>
      <c r="H816" s="283"/>
      <c r="I816" s="785"/>
      <c r="J816" s="786"/>
      <c r="K816" s="786"/>
      <c r="L816" s="786"/>
      <c r="M816" s="785"/>
      <c r="N816" s="787"/>
      <c r="O816" s="789"/>
    </row>
    <row r="817">
      <c r="A817" s="785"/>
      <c r="B817" s="786"/>
      <c r="C817" s="786"/>
      <c r="D817" s="786"/>
      <c r="E817" s="785"/>
      <c r="F817" s="787"/>
      <c r="G817" s="788"/>
      <c r="H817" s="283"/>
      <c r="I817" s="785"/>
      <c r="J817" s="786"/>
      <c r="K817" s="786"/>
      <c r="L817" s="786"/>
      <c r="M817" s="785"/>
      <c r="N817" s="787"/>
      <c r="O817" s="789"/>
    </row>
    <row r="818">
      <c r="A818" s="790" t="s">
        <v>711</v>
      </c>
      <c r="B818" s="791"/>
      <c r="C818" s="791"/>
      <c r="D818" s="792"/>
      <c r="E818" s="793">
        <f>SUM(E812:E817)</f>
        <v>6160</v>
      </c>
      <c r="F818" s="794"/>
      <c r="G818" s="793">
        <f>SUM(G812:G817)</f>
        <v>5420.8</v>
      </c>
      <c r="H818" s="283"/>
      <c r="I818" s="790" t="s">
        <v>711</v>
      </c>
      <c r="J818" s="791"/>
      <c r="K818" s="791"/>
      <c r="L818" s="792"/>
      <c r="M818" s="877">
        <f>SUM(M812:M817)</f>
        <v>3470</v>
      </c>
      <c r="N818" s="794"/>
      <c r="O818" s="793">
        <f>SUM(O812:O817)</f>
        <v>2255.5</v>
      </c>
      <c r="Q818" s="897" t="s">
        <v>1215</v>
      </c>
    </row>
    <row r="819">
      <c r="A819" s="796"/>
      <c r="D819" s="798"/>
      <c r="G819" s="799"/>
      <c r="H819" s="283"/>
      <c r="I819" s="796"/>
      <c r="L819" s="798"/>
      <c r="O819" s="799"/>
    </row>
    <row r="820">
      <c r="A820" s="800" t="s">
        <v>712</v>
      </c>
      <c r="B820" s="801"/>
      <c r="C820" s="802"/>
      <c r="G820" s="799"/>
      <c r="H820" s="283"/>
      <c r="I820" s="800" t="s">
        <v>712</v>
      </c>
      <c r="J820" s="803"/>
      <c r="K820" s="804"/>
      <c r="O820" s="799"/>
    </row>
    <row r="821">
      <c r="A821" s="902" t="s">
        <v>1194</v>
      </c>
      <c r="B821" s="806"/>
      <c r="C821" s="807">
        <v>250.0</v>
      </c>
      <c r="G821" s="799"/>
      <c r="H821" s="283"/>
      <c r="I821" s="902" t="s">
        <v>1194</v>
      </c>
      <c r="J821" s="808"/>
      <c r="K821" s="903">
        <v>250.0</v>
      </c>
      <c r="O821" s="799"/>
    </row>
    <row r="822">
      <c r="A822" s="868"/>
      <c r="B822" s="774"/>
      <c r="C822" s="816"/>
      <c r="G822" s="799"/>
      <c r="H822" s="283"/>
      <c r="I822" s="868"/>
      <c r="J822" s="774"/>
      <c r="K822" s="816"/>
      <c r="O822" s="799"/>
    </row>
    <row r="823">
      <c r="A823" s="815"/>
      <c r="B823" s="792"/>
      <c r="C823" s="816"/>
      <c r="G823" s="799"/>
      <c r="H823" s="283"/>
      <c r="I823" s="815"/>
      <c r="J823" s="792"/>
      <c r="K823" s="816"/>
      <c r="O823" s="799"/>
    </row>
    <row r="824">
      <c r="A824" s="817"/>
      <c r="B824" s="774"/>
      <c r="C824" s="818"/>
      <c r="G824" s="799"/>
      <c r="H824" s="283"/>
      <c r="I824" s="817"/>
      <c r="J824" s="774"/>
      <c r="K824" s="818"/>
      <c r="O824" s="799"/>
    </row>
    <row r="825">
      <c r="A825" s="817"/>
      <c r="B825" s="792"/>
      <c r="C825" s="818"/>
      <c r="G825" s="799"/>
      <c r="H825" s="283"/>
      <c r="I825" s="817"/>
      <c r="J825" s="792"/>
      <c r="K825" s="818"/>
      <c r="O825" s="799"/>
    </row>
    <row r="826">
      <c r="A826" s="821" t="s">
        <v>714</v>
      </c>
      <c r="B826" s="822"/>
      <c r="C826" s="823">
        <f>SUM(C821:C825)</f>
        <v>250</v>
      </c>
      <c r="G826" s="799"/>
      <c r="H826" s="283"/>
      <c r="I826" s="821" t="s">
        <v>714</v>
      </c>
      <c r="J826" s="826"/>
      <c r="K826" s="823">
        <f>SUM(K821:K825)</f>
        <v>250</v>
      </c>
      <c r="O826" s="799"/>
    </row>
    <row r="827">
      <c r="A827" s="828"/>
      <c r="C827" s="829"/>
      <c r="G827" s="799"/>
      <c r="H827" s="283"/>
      <c r="I827" s="828"/>
      <c r="K827" s="829"/>
      <c r="O827" s="799"/>
    </row>
    <row r="828">
      <c r="A828" s="830" t="s">
        <v>715</v>
      </c>
      <c r="B828" s="831"/>
      <c r="C828" s="832"/>
      <c r="G828" s="799"/>
      <c r="H828" s="283"/>
      <c r="I828" s="833" t="s">
        <v>715</v>
      </c>
      <c r="J828" s="834"/>
      <c r="K828" s="835"/>
      <c r="O828" s="799"/>
    </row>
    <row r="829">
      <c r="A829" s="836" t="s">
        <v>716</v>
      </c>
      <c r="B829" s="837"/>
      <c r="C829" s="838">
        <v>150.0</v>
      </c>
      <c r="G829" s="799"/>
      <c r="H829" s="283"/>
      <c r="I829" s="839"/>
      <c r="J829" s="840"/>
      <c r="K829" s="841"/>
      <c r="O829" s="799"/>
    </row>
    <row r="830">
      <c r="A830" s="842" t="s">
        <v>717</v>
      </c>
      <c r="B830" s="843"/>
      <c r="C830" s="844">
        <v>400.0</v>
      </c>
      <c r="D830" s="891"/>
      <c r="E830" s="845" t="s">
        <v>1182</v>
      </c>
      <c r="G830" s="846">
        <f>G818+C826-C835</f>
        <v>2962.08</v>
      </c>
      <c r="H830" s="283"/>
      <c r="I830" s="847"/>
      <c r="J830" s="848"/>
      <c r="K830" s="849"/>
      <c r="L830" s="248"/>
      <c r="M830" s="845" t="s">
        <v>1183</v>
      </c>
      <c r="O830" s="846">
        <f>O818+K826-K835</f>
        <v>2505.5</v>
      </c>
    </row>
    <row r="831">
      <c r="A831" s="836" t="s">
        <v>718</v>
      </c>
      <c r="B831" s="837"/>
      <c r="C831" s="838"/>
      <c r="D831" s="892"/>
      <c r="G831" s="799"/>
      <c r="H831" s="283"/>
      <c r="I831" s="847"/>
      <c r="J831" s="848"/>
      <c r="K831" s="849"/>
      <c r="O831" s="799"/>
    </row>
    <row r="832">
      <c r="A832" s="842" t="s">
        <v>656</v>
      </c>
      <c r="B832" s="843"/>
      <c r="C832" s="844">
        <f>IFERROR(__xludf.DUMMYFUNCTION("FILTER($C$4:$C$30,$B$4:$B$30=E810)"),1900.22)</f>
        <v>1900.22</v>
      </c>
      <c r="D832" s="891"/>
      <c r="G832" s="799"/>
      <c r="H832" s="283"/>
      <c r="I832" s="847"/>
      <c r="J832" s="848"/>
      <c r="K832" s="849"/>
      <c r="O832" s="799"/>
    </row>
    <row r="833">
      <c r="A833" s="850" t="s">
        <v>1184</v>
      </c>
      <c r="B833" s="851"/>
      <c r="C833" s="852">
        <f>32.69+21.95+203.86</f>
        <v>258.5</v>
      </c>
      <c r="D833" s="930" t="s">
        <v>1216</v>
      </c>
      <c r="E833" s="248"/>
      <c r="G833" s="799"/>
      <c r="H833" s="283"/>
      <c r="I833" s="847"/>
      <c r="J833" s="848"/>
      <c r="K833" s="849"/>
      <c r="M833" s="248"/>
      <c r="O833" s="799"/>
    </row>
    <row r="834">
      <c r="A834" s="847"/>
      <c r="B834" s="848"/>
      <c r="C834" s="849"/>
      <c r="D834" s="248"/>
      <c r="G834" s="799"/>
      <c r="H834" s="283"/>
      <c r="I834" s="847"/>
      <c r="J834" s="848"/>
      <c r="K834" s="849"/>
      <c r="O834" s="799"/>
    </row>
    <row r="835">
      <c r="A835" s="853" t="s">
        <v>721</v>
      </c>
      <c r="B835" s="854"/>
      <c r="C835" s="855">
        <f>SUM(C829:C834)</f>
        <v>2708.72</v>
      </c>
      <c r="D835" s="248"/>
      <c r="G835" s="799"/>
      <c r="H835" s="283"/>
      <c r="I835" s="853" t="s">
        <v>721</v>
      </c>
      <c r="J835" s="854"/>
      <c r="K835" s="855">
        <f>SUM(K829:K834)</f>
        <v>0</v>
      </c>
      <c r="O835" s="799"/>
    </row>
    <row r="836">
      <c r="A836" s="856"/>
      <c r="B836" s="857"/>
      <c r="C836" s="857"/>
      <c r="D836" s="894"/>
      <c r="E836" s="857"/>
      <c r="F836" s="857"/>
      <c r="G836" s="808"/>
      <c r="H836" s="283"/>
      <c r="I836" s="856"/>
      <c r="J836" s="857"/>
      <c r="K836" s="857"/>
      <c r="L836" s="857"/>
      <c r="M836" s="857"/>
      <c r="N836" s="857"/>
      <c r="O836" s="808"/>
    </row>
    <row r="837">
      <c r="A837" s="199"/>
      <c r="B837" s="199"/>
      <c r="C837" s="199"/>
      <c r="D837" s="248"/>
      <c r="E837" s="248"/>
      <c r="F837" s="248"/>
      <c r="G837" s="248"/>
      <c r="H837" s="283"/>
      <c r="I837" s="199"/>
      <c r="J837" s="199"/>
      <c r="K837" s="199"/>
      <c r="L837" s="248"/>
      <c r="M837" s="248"/>
      <c r="N837" s="248"/>
      <c r="O837" s="248"/>
    </row>
    <row r="838">
      <c r="A838" s="199"/>
      <c r="B838" s="199"/>
      <c r="C838" s="199"/>
      <c r="D838" s="248"/>
      <c r="E838" s="248"/>
      <c r="F838" s="248"/>
      <c r="G838" s="248"/>
      <c r="H838" s="283"/>
      <c r="I838" s="199"/>
      <c r="J838" s="199"/>
      <c r="K838" s="199"/>
      <c r="L838" s="248"/>
      <c r="M838" s="248"/>
      <c r="N838" s="248"/>
      <c r="O838" s="248"/>
    </row>
    <row r="839">
      <c r="A839" s="769"/>
      <c r="B839" s="770"/>
      <c r="C839" s="770"/>
      <c r="D839" s="771" t="s">
        <v>700</v>
      </c>
      <c r="E839" s="772" t="str">
        <f>E126</f>
        <v>11.24.2025-11.30.2025</v>
      </c>
      <c r="F839" s="773"/>
      <c r="G839" s="774"/>
      <c r="H839" s="305">
        <v>24.0</v>
      </c>
      <c r="I839" s="769"/>
      <c r="J839" s="770"/>
      <c r="K839" s="770"/>
      <c r="L839" s="771" t="s">
        <v>700</v>
      </c>
      <c r="M839" s="772" t="str">
        <f>E126</f>
        <v>11.24.2025-11.30.2025</v>
      </c>
      <c r="N839" s="773"/>
      <c r="O839" s="774"/>
    </row>
    <row r="840">
      <c r="A840" s="775"/>
      <c r="D840" s="771" t="s">
        <v>702</v>
      </c>
      <c r="E840" s="772" t="s">
        <v>819</v>
      </c>
      <c r="F840" s="773"/>
      <c r="G840" s="774"/>
      <c r="H840" s="776"/>
      <c r="I840" s="775"/>
      <c r="L840" s="771" t="s">
        <v>351</v>
      </c>
      <c r="M840" s="772" t="str">
        <f t="array" ref="M840">XLOOKUP(M841,$L$1:$L$122,$K$1:$K$122)</f>
        <v>LAWRENCE DANIEL MARTIN</v>
      </c>
      <c r="N840" s="773"/>
      <c r="O840" s="774"/>
    </row>
    <row r="841">
      <c r="A841" s="775"/>
      <c r="D841" s="771" t="s">
        <v>703</v>
      </c>
      <c r="E841" s="772">
        <v>6813.0</v>
      </c>
      <c r="F841" s="773"/>
      <c r="G841" s="774"/>
      <c r="H841" s="283"/>
      <c r="I841" s="775"/>
      <c r="L841" s="771" t="s">
        <v>703</v>
      </c>
      <c r="M841" s="772">
        <f>E841</f>
        <v>6813</v>
      </c>
      <c r="N841" s="773"/>
      <c r="O841" s="774"/>
    </row>
    <row r="842">
      <c r="A842" s="779" t="s">
        <v>704</v>
      </c>
      <c r="B842" s="779" t="s">
        <v>5</v>
      </c>
      <c r="C842" s="779" t="s">
        <v>6</v>
      </c>
      <c r="D842" s="779" t="s">
        <v>7</v>
      </c>
      <c r="E842" s="779" t="s">
        <v>8</v>
      </c>
      <c r="F842" s="779" t="s">
        <v>706</v>
      </c>
      <c r="G842" s="779" t="s">
        <v>707</v>
      </c>
      <c r="H842" s="34"/>
      <c r="I842" s="779" t="s">
        <v>704</v>
      </c>
      <c r="J842" s="779" t="s">
        <v>5</v>
      </c>
      <c r="K842" s="779" t="s">
        <v>6</v>
      </c>
      <c r="L842" s="779" t="s">
        <v>7</v>
      </c>
      <c r="M842" s="779" t="s">
        <v>1178</v>
      </c>
      <c r="N842" s="779" t="s">
        <v>839</v>
      </c>
      <c r="O842" s="779" t="s">
        <v>707</v>
      </c>
    </row>
    <row r="843">
      <c r="A843" s="780">
        <f>IFERROR(__xludf.DUMMYFUNCTION("FILTER($D$3:$H$122,$L$3:$L$122=E841)"),45987.0)</f>
        <v>45987</v>
      </c>
      <c r="B843" s="781">
        <f>IFERROR(__xludf.DUMMYFUNCTION("""COMPUTED_VALUE"""),5.36184345E8)</f>
        <v>536184345</v>
      </c>
      <c r="C843" s="781" t="str">
        <f>IFERROR(__xludf.DUMMYFUNCTION("""COMPUTED_VALUE"""),"North Haven, CT, 06473")</f>
        <v>North Haven, CT, 06473</v>
      </c>
      <c r="D843" s="781" t="str">
        <f>IFERROR(__xludf.DUMMYFUNCTION("""COMPUTED_VALUE"""),"City of Auburn, NY, 13021")</f>
        <v>City of Auburn, NY, 13021</v>
      </c>
      <c r="E843" s="782">
        <f>IFERROR(__xludf.DUMMYFUNCTION("""COMPUTED_VALUE"""),1250.0)</f>
        <v>1250</v>
      </c>
      <c r="F843" s="783">
        <v>0.88</v>
      </c>
      <c r="G843" s="782">
        <f t="shared" ref="G843:G845" si="34">E843*F843</f>
        <v>1100</v>
      </c>
      <c r="H843" s="283"/>
      <c r="I843" s="780">
        <f>IFERROR(__xludf.DUMMYFUNCTION("FILTER($D$3:$G$122,$L$3:$L$122=M841)"),45987.0)</f>
        <v>45987</v>
      </c>
      <c r="J843" s="781">
        <f>IFERROR(__xludf.DUMMYFUNCTION("""COMPUTED_VALUE"""),5.36184345E8)</f>
        <v>536184345</v>
      </c>
      <c r="K843" s="781" t="str">
        <f>IFERROR(__xludf.DUMMYFUNCTION("""COMPUTED_VALUE"""),"North Haven, CT, 06473")</f>
        <v>North Haven, CT, 06473</v>
      </c>
      <c r="L843" s="781" t="str">
        <f>IFERROR(__xludf.DUMMYFUNCTION("""COMPUTED_VALUE"""),"City of Auburn, NY, 13021")</f>
        <v>City of Auburn, NY, 13021</v>
      </c>
      <c r="M843" s="880">
        <f>IFERROR(__xludf.DUMMYFUNCTION("FILTER($I$3:$I$122,$L$3:$L$122=M841)"),411.0)</f>
        <v>411</v>
      </c>
      <c r="N843" s="781">
        <v>0.65</v>
      </c>
      <c r="O843" s="782">
        <f t="shared" ref="O843:O845" si="35">M843*N843</f>
        <v>267.15</v>
      </c>
    </row>
    <row r="844">
      <c r="A844" s="780">
        <f>IFERROR(__xludf.DUMMYFUNCTION("""COMPUTED_VALUE"""),45990.0)</f>
        <v>45990</v>
      </c>
      <c r="B844" s="781">
        <f>IFERROR(__xludf.DUMMYFUNCTION("""COMPUTED_VALUE"""),2898343.0)</f>
        <v>2898343</v>
      </c>
      <c r="C844" s="781" t="str">
        <f>IFERROR(__xludf.DUMMYFUNCTION("""COMPUTED_VALUE"""),"Williamsport, PA, 17701")</f>
        <v>Williamsport, PA, 17701</v>
      </c>
      <c r="D844" s="781" t="str">
        <f>IFERROR(__xludf.DUMMYFUNCTION("""COMPUTED_VALUE"""),"Williamsport, PA, 17701")</f>
        <v>Williamsport, PA, 17701</v>
      </c>
      <c r="E844" s="782">
        <f>IFERROR(__xludf.DUMMYFUNCTION("""COMPUTED_VALUE"""),1400.0)</f>
        <v>1400</v>
      </c>
      <c r="F844" s="783">
        <v>0.88</v>
      </c>
      <c r="G844" s="782">
        <f t="shared" si="34"/>
        <v>1232</v>
      </c>
      <c r="H844" s="283"/>
      <c r="I844" s="780">
        <f>IFERROR(__xludf.DUMMYFUNCTION("""COMPUTED_VALUE"""),45990.0)</f>
        <v>45990</v>
      </c>
      <c r="J844" s="781">
        <f>IFERROR(__xludf.DUMMYFUNCTION("""COMPUTED_VALUE"""),2898343.0)</f>
        <v>2898343</v>
      </c>
      <c r="K844" s="781" t="str">
        <f>IFERROR(__xludf.DUMMYFUNCTION("""COMPUTED_VALUE"""),"Williamsport, PA, 17701")</f>
        <v>Williamsport, PA, 17701</v>
      </c>
      <c r="L844" s="781" t="str">
        <f>IFERROR(__xludf.DUMMYFUNCTION("""COMPUTED_VALUE"""),"Williamsport, PA, 17701")</f>
        <v>Williamsport, PA, 17701</v>
      </c>
      <c r="M844" s="896">
        <f>IFERROR(__xludf.DUMMYFUNCTION("""COMPUTED_VALUE"""),742.0)</f>
        <v>742</v>
      </c>
      <c r="N844" s="781">
        <v>0.65</v>
      </c>
      <c r="O844" s="782">
        <f t="shared" si="35"/>
        <v>482.3</v>
      </c>
    </row>
    <row r="845">
      <c r="A845" s="883">
        <f>IFERROR(__xludf.DUMMYFUNCTION("""COMPUTED_VALUE"""),45987.0)</f>
        <v>45987</v>
      </c>
      <c r="B845" s="786">
        <f>IFERROR(__xludf.DUMMYFUNCTION("""COMPUTED_VALUE"""),5.36090795E8)</f>
        <v>536090795</v>
      </c>
      <c r="C845" s="786" t="str">
        <f>IFERROR(__xludf.DUMMYFUNCTION("""COMPUTED_VALUE"""),"North Haven, CT, 06473")</f>
        <v>North Haven, CT, 06473</v>
      </c>
      <c r="D845" s="786" t="str">
        <f>IFERROR(__xludf.DUMMYFUNCTION("""COMPUTED_VALUE"""),"City of Auburn, NY, 13021")</f>
        <v>City of Auburn, NY, 13021</v>
      </c>
      <c r="E845" s="884">
        <f>IFERROR(__xludf.DUMMYFUNCTION("""COMPUTED_VALUE"""),0.0)</f>
        <v>0</v>
      </c>
      <c r="F845" s="783">
        <v>0.88</v>
      </c>
      <c r="G845" s="782">
        <f t="shared" si="34"/>
        <v>0</v>
      </c>
      <c r="H845" s="283"/>
      <c r="I845" s="780">
        <f>IFERROR(__xludf.DUMMYFUNCTION("""COMPUTED_VALUE"""),45987.0)</f>
        <v>45987</v>
      </c>
      <c r="J845" s="781">
        <f>IFERROR(__xludf.DUMMYFUNCTION("""COMPUTED_VALUE"""),5.36090795E8)</f>
        <v>536090795</v>
      </c>
      <c r="K845" s="781" t="str">
        <f>IFERROR(__xludf.DUMMYFUNCTION("""COMPUTED_VALUE"""),"North Haven, CT, 06473")</f>
        <v>North Haven, CT, 06473</v>
      </c>
      <c r="L845" s="781" t="str">
        <f>IFERROR(__xludf.DUMMYFUNCTION("""COMPUTED_VALUE"""),"City of Auburn, NY, 13021")</f>
        <v>City of Auburn, NY, 13021</v>
      </c>
      <c r="M845" s="880">
        <f>IFERROR(__xludf.DUMMYFUNCTION("""COMPUTED_VALUE"""),0.0)</f>
        <v>0</v>
      </c>
      <c r="N845" s="781">
        <v>0.65</v>
      </c>
      <c r="O845" s="782">
        <f t="shared" si="35"/>
        <v>0</v>
      </c>
    </row>
    <row r="846">
      <c r="A846" s="785"/>
      <c r="B846" s="786"/>
      <c r="C846" s="786"/>
      <c r="D846" s="786"/>
      <c r="E846" s="785"/>
      <c r="F846" s="787"/>
      <c r="G846" s="788"/>
      <c r="H846" s="283"/>
      <c r="I846" s="785"/>
      <c r="J846" s="786"/>
      <c r="K846" s="786"/>
      <c r="L846" s="786"/>
      <c r="M846" s="785"/>
      <c r="N846" s="787"/>
      <c r="O846" s="789"/>
    </row>
    <row r="847">
      <c r="A847" s="785"/>
      <c r="B847" s="786"/>
      <c r="C847" s="786"/>
      <c r="D847" s="786"/>
      <c r="E847" s="785"/>
      <c r="F847" s="787"/>
      <c r="G847" s="788"/>
      <c r="H847" s="283"/>
      <c r="I847" s="785"/>
      <c r="J847" s="786"/>
      <c r="K847" s="786"/>
      <c r="L847" s="786"/>
      <c r="M847" s="785"/>
      <c r="N847" s="787"/>
      <c r="O847" s="789"/>
    </row>
    <row r="848">
      <c r="A848" s="785"/>
      <c r="B848" s="786"/>
      <c r="C848" s="786"/>
      <c r="D848" s="786"/>
      <c r="E848" s="785"/>
      <c r="F848" s="787"/>
      <c r="G848" s="788"/>
      <c r="H848" s="283"/>
      <c r="I848" s="785"/>
      <c r="J848" s="786"/>
      <c r="K848" s="786"/>
      <c r="L848" s="786"/>
      <c r="M848" s="785"/>
      <c r="N848" s="787"/>
      <c r="O848" s="789"/>
    </row>
    <row r="849">
      <c r="A849" s="790" t="s">
        <v>711</v>
      </c>
      <c r="B849" s="791"/>
      <c r="C849" s="791"/>
      <c r="D849" s="792"/>
      <c r="E849" s="793">
        <f>SUM(E843:E848)</f>
        <v>2650</v>
      </c>
      <c r="F849" s="794"/>
      <c r="G849" s="793">
        <f>SUM(G843:G848)</f>
        <v>2332</v>
      </c>
      <c r="H849" s="283"/>
      <c r="I849" s="790" t="s">
        <v>711</v>
      </c>
      <c r="J849" s="791"/>
      <c r="K849" s="791"/>
      <c r="L849" s="792"/>
      <c r="M849" s="877">
        <f>SUM(M843:M848)</f>
        <v>1153</v>
      </c>
      <c r="N849" s="794"/>
      <c r="O849" s="793">
        <f>SUM(O843:O848)</f>
        <v>749.45</v>
      </c>
      <c r="Q849" s="897" t="s">
        <v>1217</v>
      </c>
    </row>
    <row r="850">
      <c r="A850" s="796"/>
      <c r="D850" s="798"/>
      <c r="G850" s="799"/>
      <c r="H850" s="283"/>
      <c r="I850" s="796"/>
      <c r="L850" s="798"/>
      <c r="M850" s="798"/>
      <c r="N850" s="798"/>
      <c r="O850" s="878"/>
    </row>
    <row r="851">
      <c r="A851" s="800" t="s">
        <v>712</v>
      </c>
      <c r="B851" s="801"/>
      <c r="C851" s="802"/>
      <c r="G851" s="799"/>
      <c r="H851" s="283"/>
      <c r="I851" s="800" t="s">
        <v>712</v>
      </c>
      <c r="J851" s="803"/>
      <c r="K851" s="804"/>
      <c r="L851" s="798"/>
      <c r="M851" s="798"/>
      <c r="N851" s="798"/>
      <c r="O851" s="878"/>
    </row>
    <row r="852">
      <c r="A852" s="902" t="s">
        <v>1194</v>
      </c>
      <c r="B852" s="806"/>
      <c r="C852" s="807">
        <v>250.0</v>
      </c>
      <c r="G852" s="799"/>
      <c r="H852" s="283"/>
      <c r="I852" s="902" t="s">
        <v>1194</v>
      </c>
      <c r="J852" s="808"/>
      <c r="K852" s="903">
        <v>250.0</v>
      </c>
      <c r="L852" s="798"/>
      <c r="M852" s="798"/>
      <c r="N852" s="798"/>
      <c r="O852" s="878"/>
    </row>
    <row r="853">
      <c r="A853" s="813" t="s">
        <v>885</v>
      </c>
      <c r="B853" s="898"/>
      <c r="C853" s="926">
        <v>250.0</v>
      </c>
      <c r="G853" s="799"/>
      <c r="H853" s="283"/>
      <c r="I853" s="868"/>
      <c r="J853" s="774"/>
      <c r="K853" s="816"/>
      <c r="L853" s="798"/>
      <c r="M853" s="798"/>
      <c r="N853" s="798"/>
      <c r="O853" s="878"/>
    </row>
    <row r="854">
      <c r="A854" s="815"/>
      <c r="B854" s="792"/>
      <c r="C854" s="816"/>
      <c r="G854" s="799"/>
      <c r="H854" s="283"/>
      <c r="I854" s="815"/>
      <c r="J854" s="792"/>
      <c r="K854" s="816"/>
      <c r="L854" s="798"/>
      <c r="M854" s="798"/>
      <c r="N854" s="798"/>
      <c r="O854" s="878"/>
    </row>
    <row r="855">
      <c r="A855" s="817"/>
      <c r="B855" s="774"/>
      <c r="C855" s="818"/>
      <c r="G855" s="799"/>
      <c r="H855" s="283"/>
      <c r="I855" s="817"/>
      <c r="J855" s="774"/>
      <c r="K855" s="818"/>
      <c r="L855" s="798"/>
      <c r="M855" s="798"/>
      <c r="N855" s="798"/>
      <c r="O855" s="878"/>
    </row>
    <row r="856">
      <c r="A856" s="817"/>
      <c r="B856" s="792"/>
      <c r="C856" s="818"/>
      <c r="G856" s="799"/>
      <c r="H856" s="283"/>
      <c r="I856" s="817"/>
      <c r="J856" s="792"/>
      <c r="K856" s="818"/>
      <c r="L856" s="798"/>
      <c r="M856" s="798"/>
      <c r="N856" s="798"/>
      <c r="O856" s="878"/>
    </row>
    <row r="857">
      <c r="A857" s="821" t="s">
        <v>714</v>
      </c>
      <c r="B857" s="822"/>
      <c r="C857" s="823">
        <f>SUM(C852:C856)</f>
        <v>500</v>
      </c>
      <c r="G857" s="799"/>
      <c r="H857" s="283"/>
      <c r="I857" s="821" t="s">
        <v>714</v>
      </c>
      <c r="J857" s="826"/>
      <c r="K857" s="827">
        <f>SUM(K852:K856)</f>
        <v>250</v>
      </c>
      <c r="L857" s="798"/>
      <c r="M857" s="798"/>
      <c r="N857" s="798"/>
      <c r="O857" s="878"/>
    </row>
    <row r="858">
      <c r="A858" s="828"/>
      <c r="C858" s="829"/>
      <c r="G858" s="799"/>
      <c r="H858" s="283"/>
      <c r="I858" s="828"/>
      <c r="K858" s="829"/>
      <c r="L858" s="798"/>
      <c r="M858" s="798"/>
      <c r="N858" s="798"/>
      <c r="O858" s="878"/>
    </row>
    <row r="859">
      <c r="A859" s="830" t="s">
        <v>715</v>
      </c>
      <c r="B859" s="831"/>
      <c r="C859" s="832"/>
      <c r="G859" s="799"/>
      <c r="H859" s="283"/>
      <c r="I859" s="833" t="s">
        <v>715</v>
      </c>
      <c r="J859" s="834"/>
      <c r="K859" s="835"/>
      <c r="L859" s="932"/>
      <c r="M859" s="798"/>
      <c r="N859" s="798"/>
      <c r="O859" s="878"/>
    </row>
    <row r="860">
      <c r="A860" s="836" t="s">
        <v>716</v>
      </c>
      <c r="B860" s="837"/>
      <c r="C860" s="838">
        <v>150.0</v>
      </c>
      <c r="G860" s="799"/>
      <c r="H860" s="283"/>
      <c r="I860" s="889" t="s">
        <v>1218</v>
      </c>
      <c r="J860" s="851"/>
      <c r="K860" s="852">
        <v>220.0</v>
      </c>
      <c r="L860" s="865" t="s">
        <v>1219</v>
      </c>
      <c r="M860" s="798"/>
      <c r="N860" s="798"/>
      <c r="O860" s="878"/>
    </row>
    <row r="861">
      <c r="A861" s="842" t="s">
        <v>717</v>
      </c>
      <c r="B861" s="843"/>
      <c r="C861" s="844">
        <v>400.0</v>
      </c>
      <c r="D861" s="248"/>
      <c r="E861" s="845" t="s">
        <v>1182</v>
      </c>
      <c r="G861" s="846">
        <f>G849+C857-C866</f>
        <v>927.28</v>
      </c>
      <c r="H861" s="283"/>
      <c r="I861" s="847"/>
      <c r="J861" s="848"/>
      <c r="K861" s="849"/>
      <c r="L861" s="248"/>
      <c r="M861" s="845" t="s">
        <v>1183</v>
      </c>
      <c r="O861" s="846">
        <f>O849+K857-K866</f>
        <v>779.45</v>
      </c>
    </row>
    <row r="862">
      <c r="A862" s="836" t="s">
        <v>718</v>
      </c>
      <c r="B862" s="837"/>
      <c r="C862" s="838"/>
      <c r="G862" s="799"/>
      <c r="H862" s="283"/>
      <c r="I862" s="847"/>
      <c r="J862" s="848"/>
      <c r="K862" s="849"/>
      <c r="O862" s="799"/>
    </row>
    <row r="863">
      <c r="A863" s="842" t="s">
        <v>656</v>
      </c>
      <c r="B863" s="843"/>
      <c r="C863" s="844">
        <f>IFERROR(__xludf.DUMMYFUNCTION("FILTER($C$4:$C$30,$B$4:$B$30=E841)"),1004.82)</f>
        <v>1004.82</v>
      </c>
      <c r="G863" s="799"/>
      <c r="H863" s="283"/>
      <c r="I863" s="847"/>
      <c r="J863" s="848"/>
      <c r="K863" s="849"/>
      <c r="O863" s="799"/>
    </row>
    <row r="864">
      <c r="A864" s="850" t="s">
        <v>1184</v>
      </c>
      <c r="B864" s="851"/>
      <c r="C864" s="852">
        <v>220.0</v>
      </c>
      <c r="E864" s="248"/>
      <c r="G864" s="799"/>
      <c r="H864" s="283"/>
      <c r="I864" s="847"/>
      <c r="J864" s="848"/>
      <c r="K864" s="849"/>
      <c r="M864" s="248"/>
      <c r="O864" s="799"/>
    </row>
    <row r="865">
      <c r="A865" s="904" t="s">
        <v>887</v>
      </c>
      <c r="B865" s="905"/>
      <c r="C865" s="906">
        <v>129.9</v>
      </c>
      <c r="G865" s="799"/>
      <c r="H865" s="283"/>
      <c r="I865" s="847"/>
      <c r="J865" s="848"/>
      <c r="K865" s="849"/>
      <c r="O865" s="799"/>
    </row>
    <row r="866">
      <c r="A866" s="853" t="s">
        <v>721</v>
      </c>
      <c r="B866" s="854"/>
      <c r="C866" s="855">
        <f>SUM(C860:C865)</f>
        <v>1904.72</v>
      </c>
      <c r="G866" s="799"/>
      <c r="H866" s="283"/>
      <c r="I866" s="853" t="s">
        <v>721</v>
      </c>
      <c r="J866" s="854"/>
      <c r="K866" s="855">
        <f>SUM(K860:K864)</f>
        <v>220</v>
      </c>
      <c r="O866" s="799"/>
    </row>
    <row r="867">
      <c r="A867" s="856"/>
      <c r="B867" s="857"/>
      <c r="C867" s="857"/>
      <c r="D867" s="857"/>
      <c r="E867" s="857"/>
      <c r="F867" s="857"/>
      <c r="G867" s="808"/>
      <c r="H867" s="283"/>
      <c r="I867" s="856"/>
      <c r="J867" s="857"/>
      <c r="K867" s="857"/>
      <c r="L867" s="857"/>
      <c r="M867" s="857"/>
      <c r="N867" s="857"/>
      <c r="O867" s="808"/>
    </row>
    <row r="868">
      <c r="A868" s="199"/>
      <c r="B868" s="199"/>
      <c r="C868" s="199"/>
      <c r="D868" s="248"/>
      <c r="E868" s="248"/>
      <c r="F868" s="248"/>
      <c r="G868" s="248"/>
      <c r="H868" s="283"/>
      <c r="I868" s="199"/>
      <c r="J868" s="199"/>
      <c r="K868" s="199"/>
      <c r="L868" s="248"/>
      <c r="M868" s="248"/>
      <c r="N868" s="248"/>
      <c r="O868" s="248"/>
    </row>
    <row r="869">
      <c r="A869" s="199"/>
      <c r="B869" s="199"/>
      <c r="C869" s="199"/>
      <c r="D869" s="248"/>
      <c r="E869" s="248"/>
      <c r="F869" s="248"/>
      <c r="G869" s="248"/>
      <c r="H869" s="283"/>
      <c r="I869" s="199"/>
      <c r="J869" s="199"/>
      <c r="K869" s="199"/>
      <c r="L869" s="248"/>
      <c r="M869" s="248"/>
      <c r="N869" s="248"/>
      <c r="O869" s="248"/>
    </row>
    <row r="870">
      <c r="A870" s="769"/>
      <c r="B870" s="770"/>
      <c r="C870" s="770"/>
      <c r="D870" s="771" t="s">
        <v>700</v>
      </c>
      <c r="E870" s="772" t="str">
        <f>E126</f>
        <v>11.24.2025-11.30.2025</v>
      </c>
      <c r="F870" s="773"/>
      <c r="G870" s="774"/>
      <c r="H870" s="305">
        <v>25.0</v>
      </c>
      <c r="I870" s="769"/>
      <c r="J870" s="770"/>
      <c r="K870" s="770"/>
      <c r="L870" s="771" t="s">
        <v>700</v>
      </c>
      <c r="M870" s="772" t="str">
        <f>E126</f>
        <v>11.24.2025-11.30.2025</v>
      </c>
      <c r="N870" s="773"/>
      <c r="O870" s="774"/>
    </row>
    <row r="871">
      <c r="A871" s="775"/>
      <c r="D871" s="771" t="s">
        <v>702</v>
      </c>
      <c r="E871" s="772" t="s">
        <v>783</v>
      </c>
      <c r="F871" s="773"/>
      <c r="G871" s="774"/>
      <c r="H871" s="283"/>
      <c r="I871" s="775"/>
      <c r="L871" s="771" t="s">
        <v>351</v>
      </c>
      <c r="M871" s="772" t="str">
        <f t="array" ref="M871">XLOOKUP(M872,$L$1:$L$122,$K$1:$K$122)</f>
        <v>KIMBERLY MONIQUE SOWELL</v>
      </c>
      <c r="N871" s="773"/>
      <c r="O871" s="774"/>
    </row>
    <row r="872">
      <c r="A872" s="775"/>
      <c r="D872" s="771" t="s">
        <v>703</v>
      </c>
      <c r="E872" s="772">
        <v>6338.0</v>
      </c>
      <c r="F872" s="773"/>
      <c r="G872" s="774"/>
      <c r="H872" s="283"/>
      <c r="I872" s="775"/>
      <c r="L872" s="771" t="s">
        <v>703</v>
      </c>
      <c r="M872" s="772">
        <f>E872</f>
        <v>6338</v>
      </c>
      <c r="N872" s="773"/>
      <c r="O872" s="774"/>
    </row>
    <row r="873">
      <c r="A873" s="779" t="s">
        <v>704</v>
      </c>
      <c r="B873" s="779" t="s">
        <v>5</v>
      </c>
      <c r="C873" s="779" t="s">
        <v>6</v>
      </c>
      <c r="D873" s="779" t="s">
        <v>7</v>
      </c>
      <c r="E873" s="779" t="s">
        <v>8</v>
      </c>
      <c r="F873" s="779" t="s">
        <v>706</v>
      </c>
      <c r="G873" s="779" t="s">
        <v>707</v>
      </c>
      <c r="H873" s="34"/>
      <c r="I873" s="779" t="s">
        <v>704</v>
      </c>
      <c r="J873" s="779" t="s">
        <v>5</v>
      </c>
      <c r="K873" s="779" t="s">
        <v>6</v>
      </c>
      <c r="L873" s="779" t="s">
        <v>7</v>
      </c>
      <c r="M873" s="779" t="s">
        <v>1178</v>
      </c>
      <c r="N873" s="779" t="s">
        <v>839</v>
      </c>
      <c r="O873" s="779" t="s">
        <v>707</v>
      </c>
    </row>
    <row r="874">
      <c r="A874" s="780">
        <f>IFERROR(__xludf.DUMMYFUNCTION("FILTER($D$3:$H$122,$L$3:$L$122=E872)"),45985.0)</f>
        <v>45985</v>
      </c>
      <c r="B874" s="781">
        <f>IFERROR(__xludf.DUMMYFUNCTION("""COMPUTED_VALUE"""),161551.0)</f>
        <v>161551</v>
      </c>
      <c r="C874" s="781" t="str">
        <f>IFERROR(__xludf.DUMMYFUNCTION("""COMPUTED_VALUE"""),"Staunton, VA, 24401")</f>
        <v>Staunton, VA, 24401</v>
      </c>
      <c r="D874" s="781" t="str">
        <f>IFERROR(__xludf.DUMMYFUNCTION("""COMPUTED_VALUE"""),"Macon, GA, 31206")</f>
        <v>Macon, GA, 31206</v>
      </c>
      <c r="E874" s="782">
        <f>IFERROR(__xludf.DUMMYFUNCTION("""COMPUTED_VALUE"""),1050.0)</f>
        <v>1050</v>
      </c>
      <c r="F874" s="783">
        <v>0.88</v>
      </c>
      <c r="G874" s="782">
        <f t="shared" ref="G874:G876" si="36">E874*F874</f>
        <v>924</v>
      </c>
      <c r="H874" s="283"/>
      <c r="I874" s="780">
        <f>IFERROR(__xludf.DUMMYFUNCTION("FILTER($D$3:$G$122,$L$3:$L$122=M872)"),45985.0)</f>
        <v>45985</v>
      </c>
      <c r="J874" s="781">
        <f>IFERROR(__xludf.DUMMYFUNCTION("""COMPUTED_VALUE"""),161551.0)</f>
        <v>161551</v>
      </c>
      <c r="K874" s="781" t="str">
        <f>IFERROR(__xludf.DUMMYFUNCTION("""COMPUTED_VALUE"""),"Staunton, VA, 24401")</f>
        <v>Staunton, VA, 24401</v>
      </c>
      <c r="L874" s="781" t="str">
        <f>IFERROR(__xludf.DUMMYFUNCTION("""COMPUTED_VALUE"""),"Macon, GA, 31206")</f>
        <v>Macon, GA, 31206</v>
      </c>
      <c r="M874" s="896">
        <f>IFERROR(__xludf.DUMMYFUNCTION("FILTER($I$3:$I$122,$L$3:$L$122=M872)"),659.0)</f>
        <v>659</v>
      </c>
      <c r="N874" s="781">
        <v>0.65</v>
      </c>
      <c r="O874" s="782">
        <f t="shared" ref="O874:O876" si="37">M874*N874</f>
        <v>428.35</v>
      </c>
    </row>
    <row r="875">
      <c r="A875" s="780">
        <f>IFERROR(__xludf.DUMMYFUNCTION("""COMPUTED_VALUE"""),45986.0)</f>
        <v>45986</v>
      </c>
      <c r="B875" s="781">
        <f>IFERROR(__xludf.DUMMYFUNCTION("""COMPUTED_VALUE"""),1258418.0)</f>
        <v>1258418</v>
      </c>
      <c r="C875" s="781" t="str">
        <f>IFERROR(__xludf.DUMMYFUNCTION("""COMPUTED_VALUE"""),", GA, 30294")</f>
        <v>, GA, 30294</v>
      </c>
      <c r="D875" s="781" t="str">
        <f>IFERROR(__xludf.DUMMYFUNCTION("""COMPUTED_VALUE"""),"Jersey City, NJ, 07307")</f>
        <v>Jersey City, NJ, 07307</v>
      </c>
      <c r="E875" s="782">
        <f>IFERROR(__xludf.DUMMYFUNCTION("""COMPUTED_VALUE"""),400.0)</f>
        <v>400</v>
      </c>
      <c r="F875" s="783">
        <v>0.88</v>
      </c>
      <c r="G875" s="782">
        <f t="shared" si="36"/>
        <v>352</v>
      </c>
      <c r="H875" s="283"/>
      <c r="I875" s="780">
        <f>IFERROR(__xludf.DUMMYFUNCTION("""COMPUTED_VALUE"""),45986.0)</f>
        <v>45986</v>
      </c>
      <c r="J875" s="781">
        <f>IFERROR(__xludf.DUMMYFUNCTION("""COMPUTED_VALUE"""),1258418.0)</f>
        <v>1258418</v>
      </c>
      <c r="K875" s="781" t="str">
        <f>IFERROR(__xludf.DUMMYFUNCTION("""COMPUTED_VALUE"""),", GA, 30294")</f>
        <v>, GA, 30294</v>
      </c>
      <c r="L875" s="781" t="str">
        <f>IFERROR(__xludf.DUMMYFUNCTION("""COMPUTED_VALUE"""),"Jersey City, NJ, 07307")</f>
        <v>Jersey City, NJ, 07307</v>
      </c>
      <c r="M875" s="896">
        <f>IFERROR(__xludf.DUMMYFUNCTION("""COMPUTED_VALUE"""),47.0)</f>
        <v>47</v>
      </c>
      <c r="N875" s="781">
        <v>0.65</v>
      </c>
      <c r="O875" s="782">
        <f t="shared" si="37"/>
        <v>30.55</v>
      </c>
    </row>
    <row r="876">
      <c r="A876" s="883">
        <f>IFERROR(__xludf.DUMMYFUNCTION("""COMPUTED_VALUE"""),45986.0)</f>
        <v>45986</v>
      </c>
      <c r="B876" s="786">
        <f>IFERROR(__xludf.DUMMYFUNCTION("""COMPUTED_VALUE"""),1540219.0)</f>
        <v>1540219</v>
      </c>
      <c r="C876" s="786" t="str">
        <f>IFERROR(__xludf.DUMMYFUNCTION("""COMPUTED_VALUE"""),"Clarkston, GA, 30021")</f>
        <v>Clarkston, GA, 30021</v>
      </c>
      <c r="D876" s="786" t="str">
        <f>IFERROR(__xludf.DUMMYFUNCTION("""COMPUTED_VALUE"""),"Houston, TX, 77060")</f>
        <v>Houston, TX, 77060</v>
      </c>
      <c r="E876" s="884">
        <f>IFERROR(__xludf.DUMMYFUNCTION("""COMPUTED_VALUE"""),1360.0)</f>
        <v>1360</v>
      </c>
      <c r="F876" s="783">
        <v>0.88</v>
      </c>
      <c r="G876" s="782">
        <f t="shared" si="36"/>
        <v>1196.8</v>
      </c>
      <c r="H876" s="283"/>
      <c r="I876" s="780">
        <f>IFERROR(__xludf.DUMMYFUNCTION("""COMPUTED_VALUE"""),45986.0)</f>
        <v>45986</v>
      </c>
      <c r="J876" s="781">
        <f>IFERROR(__xludf.DUMMYFUNCTION("""COMPUTED_VALUE"""),1540219.0)</f>
        <v>1540219</v>
      </c>
      <c r="K876" s="781" t="str">
        <f>IFERROR(__xludf.DUMMYFUNCTION("""COMPUTED_VALUE"""),"Clarkston, GA, 30021")</f>
        <v>Clarkston, GA, 30021</v>
      </c>
      <c r="L876" s="781" t="str">
        <f>IFERROR(__xludf.DUMMYFUNCTION("""COMPUTED_VALUE"""),"Houston, TX, 77060")</f>
        <v>Houston, TX, 77060</v>
      </c>
      <c r="M876" s="880">
        <f>IFERROR(__xludf.DUMMYFUNCTION("""COMPUTED_VALUE"""),809.0)</f>
        <v>809</v>
      </c>
      <c r="N876" s="781">
        <v>0.65</v>
      </c>
      <c r="O876" s="782">
        <f t="shared" si="37"/>
        <v>525.85</v>
      </c>
    </row>
    <row r="877">
      <c r="A877" s="785"/>
      <c r="B877" s="786"/>
      <c r="C877" s="786"/>
      <c r="D877" s="786"/>
      <c r="E877" s="785"/>
      <c r="F877" s="787"/>
      <c r="G877" s="788"/>
      <c r="H877" s="283"/>
      <c r="I877" s="785"/>
      <c r="J877" s="786"/>
      <c r="K877" s="786"/>
      <c r="L877" s="786"/>
      <c r="M877" s="785"/>
      <c r="N877" s="787"/>
      <c r="O877" s="789"/>
    </row>
    <row r="878">
      <c r="A878" s="785"/>
      <c r="B878" s="786"/>
      <c r="C878" s="786"/>
      <c r="D878" s="786"/>
      <c r="E878" s="785"/>
      <c r="F878" s="787"/>
      <c r="G878" s="788"/>
      <c r="H878" s="283"/>
      <c r="I878" s="785"/>
      <c r="J878" s="786"/>
      <c r="K878" s="786"/>
      <c r="L878" s="786"/>
      <c r="M878" s="785"/>
      <c r="N878" s="787"/>
      <c r="O878" s="789"/>
    </row>
    <row r="879">
      <c r="A879" s="785"/>
      <c r="B879" s="786"/>
      <c r="C879" s="786"/>
      <c r="D879" s="786"/>
      <c r="E879" s="785"/>
      <c r="F879" s="787"/>
      <c r="G879" s="788"/>
      <c r="H879" s="283"/>
      <c r="I879" s="785"/>
      <c r="J879" s="786"/>
      <c r="K879" s="786"/>
      <c r="L879" s="786"/>
      <c r="M879" s="785"/>
      <c r="N879" s="787"/>
      <c r="O879" s="789"/>
    </row>
    <row r="880">
      <c r="A880" s="790" t="s">
        <v>711</v>
      </c>
      <c r="B880" s="791"/>
      <c r="C880" s="791"/>
      <c r="D880" s="792"/>
      <c r="E880" s="793">
        <f>SUM(E874:E879)</f>
        <v>2810</v>
      </c>
      <c r="F880" s="794"/>
      <c r="G880" s="793">
        <f>SUM(G874:G879)</f>
        <v>2472.8</v>
      </c>
      <c r="H880" s="283"/>
      <c r="I880" s="790" t="s">
        <v>711</v>
      </c>
      <c r="J880" s="791"/>
      <c r="K880" s="791"/>
      <c r="L880" s="792"/>
      <c r="M880" s="877">
        <f>SUM(M874:M879)</f>
        <v>1515</v>
      </c>
      <c r="N880" s="794"/>
      <c r="O880" s="793">
        <f>SUM(O874:O879)</f>
        <v>984.75</v>
      </c>
    </row>
    <row r="881">
      <c r="A881" s="796"/>
      <c r="D881" s="798"/>
      <c r="G881" s="799"/>
      <c r="H881" s="283"/>
      <c r="I881" s="796"/>
      <c r="L881" s="798"/>
      <c r="O881" s="799"/>
    </row>
    <row r="882">
      <c r="A882" s="800" t="s">
        <v>712</v>
      </c>
      <c r="B882" s="801"/>
      <c r="C882" s="802"/>
      <c r="G882" s="799"/>
      <c r="H882" s="283"/>
      <c r="I882" s="800" t="s">
        <v>712</v>
      </c>
      <c r="J882" s="803"/>
      <c r="K882" s="804"/>
      <c r="O882" s="799"/>
    </row>
    <row r="883">
      <c r="A883" s="902" t="s">
        <v>1194</v>
      </c>
      <c r="B883" s="806"/>
      <c r="C883" s="807">
        <v>250.0</v>
      </c>
      <c r="G883" s="799"/>
      <c r="H883" s="283"/>
      <c r="I883" s="902" t="s">
        <v>1194</v>
      </c>
      <c r="J883" s="808"/>
      <c r="K883" s="903">
        <v>250.0</v>
      </c>
      <c r="O883" s="799"/>
    </row>
    <row r="884">
      <c r="A884" s="868"/>
      <c r="B884" s="774"/>
      <c r="C884" s="816"/>
      <c r="G884" s="799"/>
      <c r="H884" s="283"/>
      <c r="I884" s="868"/>
      <c r="J884" s="774"/>
      <c r="K884" s="816"/>
      <c r="O884" s="799"/>
    </row>
    <row r="885">
      <c r="A885" s="815"/>
      <c r="B885" s="792"/>
      <c r="C885" s="816"/>
      <c r="G885" s="799"/>
      <c r="H885" s="283"/>
      <c r="I885" s="815"/>
      <c r="J885" s="792"/>
      <c r="K885" s="816"/>
      <c r="O885" s="799"/>
    </row>
    <row r="886">
      <c r="A886" s="817"/>
      <c r="B886" s="774"/>
      <c r="C886" s="818"/>
      <c r="G886" s="799"/>
      <c r="H886" s="283"/>
      <c r="I886" s="817"/>
      <c r="J886" s="774"/>
      <c r="K886" s="818"/>
      <c r="O886" s="799"/>
    </row>
    <row r="887">
      <c r="A887" s="817"/>
      <c r="B887" s="792"/>
      <c r="C887" s="818"/>
      <c r="G887" s="799"/>
      <c r="H887" s="283"/>
      <c r="I887" s="817"/>
      <c r="J887" s="792"/>
      <c r="K887" s="818"/>
      <c r="O887" s="799"/>
    </row>
    <row r="888">
      <c r="A888" s="821" t="s">
        <v>714</v>
      </c>
      <c r="B888" s="822"/>
      <c r="C888" s="823">
        <f>SUM(C883:C887)</f>
        <v>250</v>
      </c>
      <c r="G888" s="799"/>
      <c r="H888" s="283"/>
      <c r="I888" s="821" t="s">
        <v>714</v>
      </c>
      <c r="J888" s="826"/>
      <c r="K888" s="827">
        <f>SUM(K883:K887)</f>
        <v>250</v>
      </c>
      <c r="O888" s="799"/>
    </row>
    <row r="889">
      <c r="A889" s="828"/>
      <c r="C889" s="829"/>
      <c r="G889" s="799"/>
      <c r="H889" s="283"/>
      <c r="I889" s="828"/>
      <c r="K889" s="829"/>
      <c r="O889" s="799"/>
    </row>
    <row r="890">
      <c r="A890" s="830" t="s">
        <v>715</v>
      </c>
      <c r="B890" s="831"/>
      <c r="C890" s="832"/>
      <c r="G890" s="799"/>
      <c r="H890" s="283"/>
      <c r="I890" s="833" t="s">
        <v>715</v>
      </c>
      <c r="J890" s="834"/>
      <c r="K890" s="835"/>
      <c r="O890" s="799"/>
      <c r="Q890" s="897" t="s">
        <v>1207</v>
      </c>
    </row>
    <row r="891">
      <c r="A891" s="836" t="s">
        <v>716</v>
      </c>
      <c r="B891" s="837"/>
      <c r="C891" s="838">
        <v>150.0</v>
      </c>
      <c r="G891" s="799"/>
      <c r="H891" s="283"/>
      <c r="I891" s="839"/>
      <c r="J891" s="840"/>
      <c r="K891" s="841"/>
      <c r="O891" s="799"/>
    </row>
    <row r="892">
      <c r="A892" s="842" t="s">
        <v>717</v>
      </c>
      <c r="B892" s="843"/>
      <c r="C892" s="844">
        <v>400.0</v>
      </c>
      <c r="D892" s="891"/>
      <c r="E892" s="845" t="s">
        <v>1182</v>
      </c>
      <c r="G892" s="846">
        <f>G880+C888-C897</f>
        <v>-1104.49</v>
      </c>
      <c r="H892" s="283"/>
      <c r="I892" s="847"/>
      <c r="J892" s="848"/>
      <c r="K892" s="849"/>
      <c r="L892" s="248"/>
      <c r="M892" s="845" t="s">
        <v>1183</v>
      </c>
      <c r="O892" s="846">
        <f>O880+K888-K897</f>
        <v>1234.75</v>
      </c>
    </row>
    <row r="893">
      <c r="A893" s="836" t="s">
        <v>718</v>
      </c>
      <c r="B893" s="837"/>
      <c r="C893" s="838"/>
      <c r="D893" s="892"/>
      <c r="G893" s="799"/>
      <c r="H893" s="283"/>
      <c r="I893" s="847"/>
      <c r="J893" s="848"/>
      <c r="K893" s="849"/>
      <c r="O893" s="799"/>
    </row>
    <row r="894">
      <c r="A894" s="842" t="s">
        <v>656</v>
      </c>
      <c r="B894" s="843"/>
      <c r="C894" s="844">
        <f>IFERROR(__xludf.DUMMYFUNCTION("FILTER($C$4:$C$30,$B$4:$B$30=E872)"),926.26)</f>
        <v>926.26</v>
      </c>
      <c r="D894" s="891"/>
      <c r="G894" s="799"/>
      <c r="H894" s="283"/>
      <c r="I894" s="847"/>
      <c r="J894" s="848"/>
      <c r="K894" s="849"/>
      <c r="O894" s="799"/>
    </row>
    <row r="895">
      <c r="A895" s="850" t="s">
        <v>1184</v>
      </c>
      <c r="B895" s="851"/>
      <c r="C895" s="852">
        <v>744.62</v>
      </c>
      <c r="D895" s="917" t="s">
        <v>1220</v>
      </c>
      <c r="E895" s="248"/>
      <c r="G895" s="799"/>
      <c r="H895" s="283"/>
      <c r="I895" s="847"/>
      <c r="J895" s="848"/>
      <c r="K895" s="849"/>
      <c r="M895" s="248"/>
      <c r="O895" s="799"/>
    </row>
    <row r="896">
      <c r="A896" s="904" t="s">
        <v>1207</v>
      </c>
      <c r="B896" s="905"/>
      <c r="C896" s="906">
        <v>1606.41</v>
      </c>
      <c r="D896" s="927"/>
      <c r="G896" s="799"/>
      <c r="H896" s="283"/>
      <c r="I896" s="847"/>
      <c r="J896" s="848"/>
      <c r="K896" s="849"/>
      <c r="O896" s="799"/>
    </row>
    <row r="897">
      <c r="A897" s="853" t="s">
        <v>721</v>
      </c>
      <c r="B897" s="854"/>
      <c r="C897" s="855">
        <f>SUM(C891:C896)</f>
        <v>3827.29</v>
      </c>
      <c r="D897" s="248"/>
      <c r="G897" s="799"/>
      <c r="H897" s="283"/>
      <c r="I897" s="853" t="s">
        <v>721</v>
      </c>
      <c r="J897" s="854"/>
      <c r="K897" s="855"/>
      <c r="O897" s="799"/>
    </row>
    <row r="898">
      <c r="A898" s="856"/>
      <c r="B898" s="857"/>
      <c r="C898" s="857"/>
      <c r="D898" s="894"/>
      <c r="E898" s="857"/>
      <c r="F898" s="857"/>
      <c r="G898" s="808"/>
      <c r="H898" s="283"/>
      <c r="I898" s="856"/>
      <c r="J898" s="857"/>
      <c r="K898" s="857"/>
      <c r="L898" s="857"/>
      <c r="M898" s="857"/>
      <c r="N898" s="857"/>
      <c r="O898" s="808"/>
    </row>
    <row r="899">
      <c r="A899" s="199"/>
      <c r="B899" s="199"/>
      <c r="C899" s="199"/>
      <c r="D899" s="248"/>
      <c r="E899" s="248"/>
      <c r="F899" s="248"/>
      <c r="G899" s="248"/>
      <c r="H899" s="283"/>
      <c r="I899" s="199"/>
      <c r="J899" s="199"/>
      <c r="K899" s="199"/>
      <c r="L899" s="248"/>
      <c r="M899" s="248"/>
      <c r="N899" s="248"/>
      <c r="O899" s="248"/>
    </row>
    <row r="900">
      <c r="A900" s="199"/>
      <c r="B900" s="199"/>
      <c r="C900" s="199"/>
      <c r="D900" s="248"/>
      <c r="E900" s="248"/>
      <c r="F900" s="248"/>
      <c r="G900" s="248"/>
      <c r="H900" s="283"/>
      <c r="I900" s="199"/>
      <c r="J900" s="199"/>
      <c r="K900" s="199"/>
      <c r="L900" s="248"/>
      <c r="M900" s="248"/>
      <c r="N900" s="248"/>
      <c r="O900" s="248"/>
    </row>
    <row r="901">
      <c r="A901" s="769"/>
      <c r="B901" s="770"/>
      <c r="C901" s="770"/>
      <c r="D901" s="771" t="s">
        <v>700</v>
      </c>
      <c r="E901" s="772" t="str">
        <f>E126</f>
        <v>11.24.2025-11.30.2025</v>
      </c>
      <c r="F901" s="773"/>
      <c r="G901" s="774"/>
      <c r="H901" s="305">
        <v>26.0</v>
      </c>
      <c r="I901" s="769"/>
      <c r="J901" s="770"/>
      <c r="K901" s="770"/>
      <c r="L901" s="771" t="s">
        <v>700</v>
      </c>
      <c r="M901" s="772" t="str">
        <f>E126</f>
        <v>11.24.2025-11.30.2025</v>
      </c>
      <c r="N901" s="773"/>
      <c r="O901" s="774"/>
    </row>
    <row r="902">
      <c r="A902" s="775"/>
      <c r="D902" s="771" t="s">
        <v>702</v>
      </c>
      <c r="E902" s="772" t="str">
        <f t="array" ref="E902">XLOOKUP(E903,$Q$973:$Q$1008,$R$973:$R$1008)</f>
        <v>Nationwide LLC</v>
      </c>
      <c r="F902" s="773"/>
      <c r="G902" s="774"/>
      <c r="H902" s="283"/>
      <c r="I902" s="775"/>
      <c r="L902" s="771" t="s">
        <v>351</v>
      </c>
      <c r="M902" s="772" t="str">
        <f t="array" ref="M902">XLOOKUP(M903,$L$1:$L$122,$K$1:$K$122)</f>
        <v>#N/A</v>
      </c>
      <c r="N902" s="773"/>
      <c r="O902" s="774"/>
    </row>
    <row r="903">
      <c r="A903" s="775"/>
      <c r="D903" s="771" t="s">
        <v>703</v>
      </c>
      <c r="E903" s="772">
        <v>9617.0</v>
      </c>
      <c r="F903" s="773"/>
      <c r="G903" s="774"/>
      <c r="H903" s="283"/>
      <c r="I903" s="775"/>
      <c r="L903" s="771" t="s">
        <v>703</v>
      </c>
      <c r="M903" s="772">
        <f>E903</f>
        <v>9617</v>
      </c>
      <c r="N903" s="773"/>
      <c r="O903" s="774"/>
    </row>
    <row r="904">
      <c r="A904" s="779" t="s">
        <v>704</v>
      </c>
      <c r="B904" s="779" t="s">
        <v>5</v>
      </c>
      <c r="C904" s="779" t="s">
        <v>6</v>
      </c>
      <c r="D904" s="779" t="s">
        <v>7</v>
      </c>
      <c r="E904" s="779" t="s">
        <v>8</v>
      </c>
      <c r="F904" s="779" t="s">
        <v>706</v>
      </c>
      <c r="G904" s="779" t="s">
        <v>707</v>
      </c>
      <c r="H904" s="34"/>
      <c r="I904" s="779" t="s">
        <v>704</v>
      </c>
      <c r="J904" s="779" t="s">
        <v>5</v>
      </c>
      <c r="K904" s="779" t="s">
        <v>6</v>
      </c>
      <c r="L904" s="779" t="s">
        <v>7</v>
      </c>
      <c r="M904" s="779" t="s">
        <v>1178</v>
      </c>
      <c r="N904" s="779" t="s">
        <v>839</v>
      </c>
      <c r="O904" s="779" t="s">
        <v>707</v>
      </c>
    </row>
    <row r="905">
      <c r="A905" s="780" t="str">
        <f>IFERROR(__xludf.DUMMYFUNCTION("FILTER($D$3:$H$122,$L$3:$L$122=E903)"),"#N/A")</f>
        <v>#N/A</v>
      </c>
      <c r="B905" s="781"/>
      <c r="C905" s="781"/>
      <c r="D905" s="781"/>
      <c r="E905" s="782"/>
      <c r="F905" s="783">
        <v>0.88</v>
      </c>
      <c r="G905" s="782">
        <f>E905*F905</f>
        <v>0</v>
      </c>
      <c r="H905" s="283"/>
      <c r="I905" s="780" t="str">
        <f>IFERROR(__xludf.DUMMYFUNCTION("FILTER($D$3:$G$122,$L$3:$L$122=M903)"),"#N/A")</f>
        <v>#N/A</v>
      </c>
      <c r="J905" s="781"/>
      <c r="K905" s="781"/>
      <c r="L905" s="781"/>
      <c r="M905" s="880" t="str">
        <f>IFERROR(__xludf.DUMMYFUNCTION("FILTER($I$3:$I$122,$L$3:$L$122=M903)"),"#N/A")</f>
        <v>#N/A</v>
      </c>
      <c r="N905" s="781">
        <v>0.65</v>
      </c>
      <c r="O905" s="782" t="str">
        <f>M905*N905</f>
        <v>#N/A</v>
      </c>
    </row>
    <row r="906">
      <c r="A906" s="780"/>
      <c r="B906" s="781"/>
      <c r="C906" s="781"/>
      <c r="D906" s="781"/>
      <c r="E906" s="782"/>
      <c r="F906" s="783"/>
      <c r="G906" s="782"/>
      <c r="H906" s="283"/>
      <c r="I906" s="780"/>
      <c r="J906" s="781"/>
      <c r="K906" s="781"/>
      <c r="L906" s="781"/>
      <c r="M906" s="880"/>
      <c r="N906" s="781"/>
      <c r="O906" s="782"/>
    </row>
    <row r="907">
      <c r="A907" s="785"/>
      <c r="B907" s="786"/>
      <c r="C907" s="786"/>
      <c r="D907" s="786"/>
      <c r="E907" s="785"/>
      <c r="F907" s="787"/>
      <c r="G907" s="788"/>
      <c r="H907" s="283"/>
      <c r="I907" s="780"/>
      <c r="J907" s="781"/>
      <c r="K907" s="781"/>
      <c r="L907" s="781"/>
      <c r="M907" s="880"/>
      <c r="N907" s="781"/>
      <c r="O907" s="782"/>
    </row>
    <row r="908">
      <c r="A908" s="785"/>
      <c r="B908" s="786"/>
      <c r="C908" s="786"/>
      <c r="D908" s="786"/>
      <c r="E908" s="785"/>
      <c r="F908" s="787"/>
      <c r="G908" s="788"/>
      <c r="H908" s="283"/>
      <c r="I908" s="785"/>
      <c r="J908" s="786"/>
      <c r="K908" s="786"/>
      <c r="L908" s="786"/>
      <c r="M908" s="785"/>
      <c r="N908" s="787"/>
      <c r="O908" s="789"/>
    </row>
    <row r="909">
      <c r="A909" s="785"/>
      <c r="B909" s="786"/>
      <c r="C909" s="786"/>
      <c r="D909" s="786"/>
      <c r="E909" s="785"/>
      <c r="F909" s="787"/>
      <c r="G909" s="788"/>
      <c r="H909" s="283"/>
      <c r="I909" s="785"/>
      <c r="J909" s="786"/>
      <c r="K909" s="786"/>
      <c r="L909" s="786"/>
      <c r="M909" s="785"/>
      <c r="N909" s="787"/>
      <c r="O909" s="789"/>
    </row>
    <row r="910">
      <c r="A910" s="785"/>
      <c r="B910" s="786"/>
      <c r="C910" s="786"/>
      <c r="D910" s="786"/>
      <c r="E910" s="785"/>
      <c r="F910" s="787"/>
      <c r="G910" s="788"/>
      <c r="H910" s="283"/>
      <c r="I910" s="785"/>
      <c r="J910" s="786"/>
      <c r="K910" s="786"/>
      <c r="L910" s="786"/>
      <c r="M910" s="785"/>
      <c r="N910" s="787"/>
      <c r="O910" s="789"/>
    </row>
    <row r="911">
      <c r="A911" s="790" t="s">
        <v>711</v>
      </c>
      <c r="B911" s="791"/>
      <c r="C911" s="791"/>
      <c r="D911" s="792"/>
      <c r="E911" s="793">
        <f>SUM(E905:E910)</f>
        <v>0</v>
      </c>
      <c r="F911" s="794"/>
      <c r="G911" s="793">
        <f>SUM(G905:G910)</f>
        <v>0</v>
      </c>
      <c r="H911" s="283"/>
      <c r="I911" s="790" t="s">
        <v>711</v>
      </c>
      <c r="J911" s="791"/>
      <c r="K911" s="791"/>
      <c r="L911" s="792"/>
      <c r="M911" s="933" t="str">
        <f>SUM(M905:M910)</f>
        <v>#N/A</v>
      </c>
      <c r="N911" s="794"/>
      <c r="O911" s="793" t="str">
        <f>SUM(O905:O910)</f>
        <v>#N/A</v>
      </c>
    </row>
    <row r="912">
      <c r="A912" s="796"/>
      <c r="D912" s="798"/>
      <c r="G912" s="799"/>
      <c r="H912" s="283"/>
      <c r="I912" s="796"/>
      <c r="L912" s="798"/>
      <c r="O912" s="799"/>
    </row>
    <row r="913">
      <c r="A913" s="800" t="s">
        <v>712</v>
      </c>
      <c r="B913" s="801"/>
      <c r="C913" s="802"/>
      <c r="G913" s="799"/>
      <c r="H913" s="283"/>
      <c r="I913" s="800" t="s">
        <v>712</v>
      </c>
      <c r="J913" s="803"/>
      <c r="K913" s="804"/>
      <c r="O913" s="799"/>
    </row>
    <row r="914">
      <c r="A914" s="867"/>
      <c r="B914" s="808"/>
      <c r="C914" s="809"/>
      <c r="G914" s="799"/>
      <c r="H914" s="283"/>
      <c r="I914" s="867"/>
      <c r="J914" s="808"/>
      <c r="K914" s="809"/>
      <c r="O914" s="799"/>
    </row>
    <row r="915">
      <c r="A915" s="868"/>
      <c r="B915" s="774"/>
      <c r="C915" s="816"/>
      <c r="G915" s="799"/>
      <c r="H915" s="283"/>
      <c r="I915" s="868"/>
      <c r="J915" s="774"/>
      <c r="K915" s="816"/>
      <c r="O915" s="799"/>
    </row>
    <row r="916">
      <c r="A916" s="815"/>
      <c r="B916" s="792"/>
      <c r="C916" s="816"/>
      <c r="G916" s="799"/>
      <c r="H916" s="283"/>
      <c r="I916" s="815"/>
      <c r="J916" s="792"/>
      <c r="K916" s="816"/>
      <c r="O916" s="799"/>
    </row>
    <row r="917">
      <c r="A917" s="817"/>
      <c r="B917" s="774"/>
      <c r="C917" s="818"/>
      <c r="G917" s="799"/>
      <c r="H917" s="283"/>
      <c r="I917" s="817"/>
      <c r="J917" s="774"/>
      <c r="K917" s="818"/>
      <c r="O917" s="799"/>
    </row>
    <row r="918">
      <c r="A918" s="817"/>
      <c r="B918" s="792"/>
      <c r="C918" s="818"/>
      <c r="G918" s="799"/>
      <c r="H918" s="283"/>
      <c r="I918" s="817"/>
      <c r="J918" s="792"/>
      <c r="K918" s="818"/>
      <c r="O918" s="799"/>
    </row>
    <row r="919">
      <c r="A919" s="821" t="s">
        <v>714</v>
      </c>
      <c r="B919" s="822"/>
      <c r="C919" s="823">
        <f>SUM(C914:C918)</f>
        <v>0</v>
      </c>
      <c r="G919" s="799"/>
      <c r="H919" s="283"/>
      <c r="I919" s="821" t="s">
        <v>714</v>
      </c>
      <c r="J919" s="826"/>
      <c r="K919" s="827"/>
      <c r="O919" s="799"/>
    </row>
    <row r="920">
      <c r="A920" s="828"/>
      <c r="C920" s="829"/>
      <c r="G920" s="799"/>
      <c r="H920" s="283"/>
      <c r="I920" s="828"/>
      <c r="K920" s="829"/>
      <c r="O920" s="799"/>
    </row>
    <row r="921">
      <c r="A921" s="830" t="s">
        <v>715</v>
      </c>
      <c r="B921" s="831"/>
      <c r="C921" s="832"/>
      <c r="G921" s="799"/>
      <c r="H921" s="283"/>
      <c r="I921" s="833" t="s">
        <v>715</v>
      </c>
      <c r="J921" s="834"/>
      <c r="K921" s="835"/>
      <c r="O921" s="799"/>
    </row>
    <row r="922">
      <c r="A922" s="836" t="s">
        <v>716</v>
      </c>
      <c r="B922" s="837"/>
      <c r="C922" s="838">
        <v>150.0</v>
      </c>
      <c r="G922" s="799"/>
      <c r="H922" s="283"/>
      <c r="I922" s="839"/>
      <c r="J922" s="840"/>
      <c r="K922" s="841"/>
      <c r="O922" s="799"/>
    </row>
    <row r="923">
      <c r="A923" s="842" t="s">
        <v>717</v>
      </c>
      <c r="B923" s="843"/>
      <c r="C923" s="844">
        <v>400.0</v>
      </c>
      <c r="D923" s="248"/>
      <c r="E923" s="845" t="s">
        <v>1182</v>
      </c>
      <c r="G923" s="846">
        <f>G911+C919-C928</f>
        <v>-1661.29</v>
      </c>
      <c r="H923" s="283"/>
      <c r="I923" s="847"/>
      <c r="J923" s="848"/>
      <c r="K923" s="849"/>
      <c r="L923" s="248"/>
      <c r="M923" s="845" t="s">
        <v>1183</v>
      </c>
      <c r="O923" s="846" t="str">
        <f>O911+K919-K928</f>
        <v>#N/A</v>
      </c>
    </row>
    <row r="924">
      <c r="A924" s="836" t="s">
        <v>718</v>
      </c>
      <c r="B924" s="837"/>
      <c r="C924" s="838">
        <v>200.0</v>
      </c>
      <c r="G924" s="799"/>
      <c r="H924" s="283"/>
      <c r="I924" s="847"/>
      <c r="J924" s="848"/>
      <c r="K924" s="849"/>
      <c r="O924" s="799"/>
    </row>
    <row r="925">
      <c r="A925" s="842" t="s">
        <v>656</v>
      </c>
      <c r="B925" s="843"/>
      <c r="C925" s="844">
        <f>IFERROR(__xludf.DUMMYFUNCTION("FILTER($C$4:$C$30,$B$4:$B$30=E903)"),911.29)</f>
        <v>911.29</v>
      </c>
      <c r="G925" s="799"/>
      <c r="H925" s="283"/>
      <c r="I925" s="847"/>
      <c r="J925" s="848"/>
      <c r="K925" s="849"/>
      <c r="O925" s="799"/>
    </row>
    <row r="926">
      <c r="A926" s="850" t="s">
        <v>1184</v>
      </c>
      <c r="B926" s="851"/>
      <c r="C926" s="852"/>
      <c r="E926" s="248"/>
      <c r="G926" s="799"/>
      <c r="H926" s="283"/>
      <c r="I926" s="847"/>
      <c r="J926" s="848"/>
      <c r="K926" s="849"/>
      <c r="M926" s="248"/>
      <c r="O926" s="799"/>
    </row>
    <row r="927">
      <c r="A927" s="847"/>
      <c r="B927" s="848"/>
      <c r="C927" s="849"/>
      <c r="G927" s="799"/>
      <c r="H927" s="283"/>
      <c r="I927" s="847"/>
      <c r="J927" s="848"/>
      <c r="K927" s="849"/>
      <c r="O927" s="799"/>
    </row>
    <row r="928">
      <c r="A928" s="853" t="s">
        <v>721</v>
      </c>
      <c r="B928" s="854"/>
      <c r="C928" s="855">
        <f>SUM(C922:C927)</f>
        <v>1661.29</v>
      </c>
      <c r="G928" s="799"/>
      <c r="H928" s="283"/>
      <c r="I928" s="853" t="s">
        <v>721</v>
      </c>
      <c r="J928" s="854"/>
      <c r="K928" s="855"/>
      <c r="O928" s="799"/>
    </row>
    <row r="929">
      <c r="A929" s="856"/>
      <c r="B929" s="857"/>
      <c r="C929" s="857"/>
      <c r="D929" s="857"/>
      <c r="E929" s="857"/>
      <c r="F929" s="857"/>
      <c r="G929" s="808"/>
      <c r="H929" s="283"/>
      <c r="I929" s="856"/>
      <c r="J929" s="857"/>
      <c r="K929" s="857"/>
      <c r="L929" s="857"/>
      <c r="M929" s="857"/>
      <c r="N929" s="857"/>
      <c r="O929" s="808"/>
    </row>
    <row r="930">
      <c r="A930" s="199"/>
      <c r="B930" s="199"/>
      <c r="C930" s="199"/>
      <c r="D930" s="248"/>
      <c r="E930" s="248"/>
      <c r="F930" s="248"/>
      <c r="G930" s="248"/>
      <c r="H930" s="283"/>
      <c r="I930" s="199"/>
      <c r="J930" s="199"/>
      <c r="K930" s="199"/>
      <c r="L930" s="248"/>
      <c r="M930" s="248"/>
      <c r="N930" s="248"/>
      <c r="O930" s="248"/>
    </row>
    <row r="931">
      <c r="A931" s="199"/>
      <c r="B931" s="199"/>
      <c r="C931" s="199"/>
      <c r="D931" s="248"/>
      <c r="E931" s="248"/>
      <c r="F931" s="248"/>
      <c r="G931" s="248"/>
      <c r="H931" s="283"/>
      <c r="I931" s="199"/>
      <c r="J931" s="199"/>
      <c r="K931" s="199"/>
      <c r="L931" s="248"/>
      <c r="M931" s="248"/>
      <c r="N931" s="248"/>
      <c r="O931" s="248"/>
    </row>
    <row r="932">
      <c r="A932" s="769"/>
      <c r="B932" s="770"/>
      <c r="C932" s="770"/>
      <c r="D932" s="771" t="s">
        <v>700</v>
      </c>
      <c r="E932" s="772" t="str">
        <f>E126</f>
        <v>11.24.2025-11.30.2025</v>
      </c>
      <c r="F932" s="773"/>
      <c r="G932" s="774"/>
      <c r="H932" s="305">
        <v>27.0</v>
      </c>
      <c r="I932" s="769"/>
      <c r="J932" s="770"/>
      <c r="K932" s="770"/>
      <c r="L932" s="771" t="s">
        <v>700</v>
      </c>
      <c r="M932" s="772" t="str">
        <f>E126</f>
        <v>11.24.2025-11.30.2025</v>
      </c>
      <c r="N932" s="773"/>
      <c r="O932" s="774"/>
    </row>
    <row r="933">
      <c r="A933" s="775"/>
      <c r="D933" s="771" t="s">
        <v>702</v>
      </c>
      <c r="E933" s="772" t="str">
        <f t="array" ref="E933">XLOOKUP(E934,$Q$973:$Q$1008,$R$973:$R$1008)</f>
        <v>US Ela Logistic LLC</v>
      </c>
      <c r="F933" s="773"/>
      <c r="G933" s="774"/>
      <c r="H933" s="283"/>
      <c r="I933" s="775"/>
      <c r="L933" s="771" t="s">
        <v>351</v>
      </c>
      <c r="M933" s="772" t="str">
        <f t="array" ref="M933">XLOOKUP(M934,$L$1:$L$122,$K$1:$K$122)</f>
        <v>#N/A</v>
      </c>
      <c r="N933" s="773"/>
      <c r="O933" s="774"/>
    </row>
    <row r="934">
      <c r="A934" s="775"/>
      <c r="D934" s="771" t="s">
        <v>703</v>
      </c>
      <c r="E934" s="772">
        <v>3403.0</v>
      </c>
      <c r="F934" s="773"/>
      <c r="G934" s="774"/>
      <c r="H934" s="283"/>
      <c r="I934" s="775"/>
      <c r="L934" s="771" t="s">
        <v>703</v>
      </c>
      <c r="M934" s="772">
        <f>E934</f>
        <v>3403</v>
      </c>
      <c r="N934" s="773"/>
      <c r="O934" s="774"/>
    </row>
    <row r="935">
      <c r="A935" s="779" t="s">
        <v>704</v>
      </c>
      <c r="B935" s="779" t="s">
        <v>5</v>
      </c>
      <c r="C935" s="779" t="s">
        <v>6</v>
      </c>
      <c r="D935" s="779" t="s">
        <v>7</v>
      </c>
      <c r="E935" s="779" t="s">
        <v>8</v>
      </c>
      <c r="F935" s="779" t="s">
        <v>706</v>
      </c>
      <c r="G935" s="779" t="s">
        <v>707</v>
      </c>
      <c r="H935" s="34"/>
      <c r="I935" s="779" t="s">
        <v>704</v>
      </c>
      <c r="J935" s="779" t="s">
        <v>5</v>
      </c>
      <c r="K935" s="779" t="s">
        <v>6</v>
      </c>
      <c r="L935" s="779" t="s">
        <v>7</v>
      </c>
      <c r="M935" s="779" t="s">
        <v>1178</v>
      </c>
      <c r="N935" s="779" t="s">
        <v>839</v>
      </c>
      <c r="O935" s="779" t="s">
        <v>707</v>
      </c>
    </row>
    <row r="936">
      <c r="A936" s="780" t="str">
        <f>IFERROR(__xludf.DUMMYFUNCTION("FILTER($D$3:$H$122,$L$3:$L$122=E934)"),"#N/A")</f>
        <v>#N/A</v>
      </c>
      <c r="B936" s="781"/>
      <c r="C936" s="781"/>
      <c r="D936" s="781"/>
      <c r="E936" s="782"/>
      <c r="F936" s="783">
        <v>0.88</v>
      </c>
      <c r="G936" s="782">
        <f>E936*F936</f>
        <v>0</v>
      </c>
      <c r="H936" s="283"/>
      <c r="I936" s="780" t="str">
        <f>IFERROR(__xludf.DUMMYFUNCTION("FILTER($D$3:$G$122,$L$3:$L$122=M934)"),"#N/A")</f>
        <v>#N/A</v>
      </c>
      <c r="J936" s="781"/>
      <c r="K936" s="781"/>
      <c r="L936" s="781"/>
      <c r="M936" s="880" t="str">
        <f>IFERROR(__xludf.DUMMYFUNCTION("FILTER($I$3:$I$122,$L$3:$L$122=M934)"),"#N/A")</f>
        <v>#N/A</v>
      </c>
      <c r="N936" s="781">
        <v>0.6</v>
      </c>
      <c r="O936" s="782" t="str">
        <f>M936*N936</f>
        <v>#N/A</v>
      </c>
    </row>
    <row r="937">
      <c r="A937" s="780"/>
      <c r="B937" s="781"/>
      <c r="C937" s="781"/>
      <c r="D937" s="781"/>
      <c r="E937" s="782"/>
      <c r="F937" s="783"/>
      <c r="G937" s="782"/>
      <c r="H937" s="283"/>
      <c r="I937" s="780"/>
      <c r="J937" s="781"/>
      <c r="K937" s="781"/>
      <c r="L937" s="781"/>
      <c r="M937" s="880"/>
      <c r="N937" s="781"/>
      <c r="O937" s="782"/>
    </row>
    <row r="938">
      <c r="A938" s="785"/>
      <c r="B938" s="786"/>
      <c r="C938" s="786"/>
      <c r="D938" s="786"/>
      <c r="E938" s="785"/>
      <c r="F938" s="787"/>
      <c r="G938" s="788"/>
      <c r="H938" s="283"/>
      <c r="I938" s="780"/>
      <c r="J938" s="781"/>
      <c r="K938" s="781"/>
      <c r="L938" s="781"/>
      <c r="M938" s="880"/>
      <c r="N938" s="781"/>
      <c r="O938" s="782"/>
    </row>
    <row r="939">
      <c r="A939" s="785"/>
      <c r="B939" s="786"/>
      <c r="C939" s="786"/>
      <c r="D939" s="786"/>
      <c r="E939" s="785"/>
      <c r="F939" s="787"/>
      <c r="G939" s="788"/>
      <c r="H939" s="283"/>
      <c r="I939" s="785"/>
      <c r="J939" s="786"/>
      <c r="K939" s="786"/>
      <c r="L939" s="786"/>
      <c r="M939" s="785"/>
      <c r="N939" s="787"/>
      <c r="O939" s="789"/>
    </row>
    <row r="940">
      <c r="A940" s="785"/>
      <c r="B940" s="786"/>
      <c r="C940" s="786"/>
      <c r="D940" s="786"/>
      <c r="E940" s="785"/>
      <c r="F940" s="787"/>
      <c r="G940" s="788"/>
      <c r="H940" s="283"/>
      <c r="I940" s="785"/>
      <c r="J940" s="786"/>
      <c r="K940" s="786"/>
      <c r="L940" s="786"/>
      <c r="M940" s="785"/>
      <c r="N940" s="787"/>
      <c r="O940" s="789"/>
    </row>
    <row r="941">
      <c r="A941" s="785"/>
      <c r="B941" s="786"/>
      <c r="C941" s="786"/>
      <c r="D941" s="786"/>
      <c r="E941" s="785"/>
      <c r="F941" s="787"/>
      <c r="G941" s="788"/>
      <c r="H941" s="283"/>
      <c r="I941" s="785"/>
      <c r="J941" s="786"/>
      <c r="K941" s="786"/>
      <c r="L941" s="786"/>
      <c r="M941" s="785"/>
      <c r="N941" s="787"/>
      <c r="O941" s="789"/>
    </row>
    <row r="942">
      <c r="A942" s="790" t="s">
        <v>711</v>
      </c>
      <c r="B942" s="791"/>
      <c r="C942" s="791"/>
      <c r="D942" s="792"/>
      <c r="E942" s="793">
        <f>SUM(E936:E941)</f>
        <v>0</v>
      </c>
      <c r="F942" s="794"/>
      <c r="G942" s="793">
        <f>SUM(G936:G941)</f>
        <v>0</v>
      </c>
      <c r="H942" s="283"/>
      <c r="I942" s="790" t="s">
        <v>711</v>
      </c>
      <c r="J942" s="791"/>
      <c r="K942" s="791"/>
      <c r="L942" s="792"/>
      <c r="M942" s="933" t="str">
        <f>SUM(M936:M941)</f>
        <v>#N/A</v>
      </c>
      <c r="N942" s="794"/>
      <c r="O942" s="793" t="str">
        <f>SUM(O936:O941)</f>
        <v>#N/A</v>
      </c>
    </row>
    <row r="943">
      <c r="A943" s="796"/>
      <c r="D943" s="798"/>
      <c r="G943" s="799"/>
      <c r="H943" s="283"/>
      <c r="I943" s="796"/>
      <c r="L943" s="798"/>
      <c r="O943" s="799"/>
    </row>
    <row r="944">
      <c r="A944" s="800" t="s">
        <v>712</v>
      </c>
      <c r="B944" s="801"/>
      <c r="C944" s="802"/>
      <c r="G944" s="799"/>
      <c r="H944" s="283"/>
      <c r="I944" s="800" t="s">
        <v>712</v>
      </c>
      <c r="J944" s="803"/>
      <c r="K944" s="804"/>
      <c r="O944" s="799"/>
    </row>
    <row r="945">
      <c r="A945" s="867"/>
      <c r="B945" s="808"/>
      <c r="C945" s="809"/>
      <c r="G945" s="799"/>
      <c r="H945" s="283"/>
      <c r="I945" s="867"/>
      <c r="J945" s="808"/>
      <c r="K945" s="809"/>
      <c r="O945" s="799"/>
    </row>
    <row r="946">
      <c r="A946" s="868"/>
      <c r="B946" s="774"/>
      <c r="C946" s="816"/>
      <c r="G946" s="799"/>
      <c r="H946" s="283"/>
      <c r="I946" s="868"/>
      <c r="J946" s="774"/>
      <c r="K946" s="816"/>
      <c r="O946" s="799"/>
    </row>
    <row r="947">
      <c r="A947" s="815"/>
      <c r="B947" s="792"/>
      <c r="C947" s="816"/>
      <c r="G947" s="799"/>
      <c r="H947" s="283"/>
      <c r="I947" s="815"/>
      <c r="J947" s="792"/>
      <c r="K947" s="816"/>
      <c r="O947" s="799"/>
    </row>
    <row r="948">
      <c r="A948" s="817"/>
      <c r="B948" s="774"/>
      <c r="C948" s="818"/>
      <c r="G948" s="799"/>
      <c r="H948" s="283"/>
      <c r="I948" s="817"/>
      <c r="J948" s="774"/>
      <c r="K948" s="818"/>
      <c r="O948" s="799"/>
    </row>
    <row r="949">
      <c r="A949" s="817"/>
      <c r="B949" s="792"/>
      <c r="C949" s="818"/>
      <c r="G949" s="799"/>
      <c r="H949" s="283"/>
      <c r="I949" s="817"/>
      <c r="J949" s="792"/>
      <c r="K949" s="818"/>
      <c r="O949" s="799"/>
    </row>
    <row r="950">
      <c r="A950" s="821" t="s">
        <v>714</v>
      </c>
      <c r="B950" s="822"/>
      <c r="C950" s="823">
        <f>SUM(C945:C949)</f>
        <v>0</v>
      </c>
      <c r="G950" s="799"/>
      <c r="H950" s="283"/>
      <c r="I950" s="821" t="s">
        <v>714</v>
      </c>
      <c r="J950" s="826"/>
      <c r="K950" s="827"/>
      <c r="O950" s="799"/>
    </row>
    <row r="951">
      <c r="A951" s="828"/>
      <c r="C951" s="829"/>
      <c r="G951" s="799"/>
      <c r="H951" s="283"/>
      <c r="I951" s="828"/>
      <c r="K951" s="829"/>
      <c r="O951" s="799"/>
    </row>
    <row r="952">
      <c r="A952" s="830" t="s">
        <v>715</v>
      </c>
      <c r="B952" s="831"/>
      <c r="C952" s="832"/>
      <c r="G952" s="799"/>
      <c r="H952" s="283"/>
      <c r="I952" s="833" t="s">
        <v>715</v>
      </c>
      <c r="J952" s="834"/>
      <c r="K952" s="835"/>
      <c r="O952" s="799"/>
    </row>
    <row r="953">
      <c r="A953" s="836" t="s">
        <v>716</v>
      </c>
      <c r="B953" s="837"/>
      <c r="C953" s="838">
        <v>150.0</v>
      </c>
      <c r="G953" s="799"/>
      <c r="H953" s="283"/>
      <c r="I953" s="839"/>
      <c r="J953" s="840"/>
      <c r="K953" s="841"/>
      <c r="O953" s="799"/>
    </row>
    <row r="954">
      <c r="A954" s="842" t="s">
        <v>717</v>
      </c>
      <c r="B954" s="843"/>
      <c r="C954" s="844">
        <v>400.0</v>
      </c>
      <c r="D954" s="248"/>
      <c r="E954" s="845" t="s">
        <v>1182</v>
      </c>
      <c r="G954" s="846">
        <f>G942+C950-C959</f>
        <v>-1233.58</v>
      </c>
      <c r="H954" s="283"/>
      <c r="I954" s="847"/>
      <c r="J954" s="848"/>
      <c r="K954" s="849"/>
      <c r="L954" s="248"/>
      <c r="M954" s="845" t="s">
        <v>1183</v>
      </c>
      <c r="O954" s="846" t="str">
        <f>O942+K950-K959</f>
        <v>#N/A</v>
      </c>
    </row>
    <row r="955">
      <c r="A955" s="836" t="s">
        <v>718</v>
      </c>
      <c r="B955" s="837"/>
      <c r="C955" s="838">
        <v>200.0</v>
      </c>
      <c r="G955" s="799"/>
      <c r="H955" s="283"/>
      <c r="I955" s="847"/>
      <c r="J955" s="848"/>
      <c r="K955" s="849"/>
      <c r="O955" s="799"/>
    </row>
    <row r="956">
      <c r="A956" s="842" t="s">
        <v>656</v>
      </c>
      <c r="B956" s="843"/>
      <c r="C956" s="844">
        <f>IFERROR(__xludf.DUMMYFUNCTION("FILTER($C$4:$C$30,$B$4:$B$30=E934)"),483.58)</f>
        <v>483.58</v>
      </c>
      <c r="G956" s="799"/>
      <c r="H956" s="283"/>
      <c r="I956" s="847"/>
      <c r="J956" s="848"/>
      <c r="K956" s="849"/>
      <c r="O956" s="799"/>
    </row>
    <row r="957">
      <c r="A957" s="850" t="s">
        <v>1184</v>
      </c>
      <c r="B957" s="851"/>
      <c r="C957" s="852"/>
      <c r="E957" s="248"/>
      <c r="G957" s="799"/>
      <c r="H957" s="283"/>
      <c r="I957" s="847"/>
      <c r="J957" s="848"/>
      <c r="K957" s="849"/>
      <c r="M957" s="248"/>
      <c r="O957" s="799"/>
    </row>
    <row r="958">
      <c r="A958" s="847"/>
      <c r="B958" s="848"/>
      <c r="C958" s="849"/>
      <c r="G958" s="799"/>
      <c r="H958" s="283"/>
      <c r="I958" s="847"/>
      <c r="J958" s="848"/>
      <c r="K958" s="849"/>
      <c r="O958" s="799"/>
    </row>
    <row r="959">
      <c r="A959" s="853" t="s">
        <v>721</v>
      </c>
      <c r="B959" s="854"/>
      <c r="C959" s="855">
        <f>SUM(C953:C958)</f>
        <v>1233.58</v>
      </c>
      <c r="G959" s="799"/>
      <c r="H959" s="283"/>
      <c r="I959" s="853" t="s">
        <v>721</v>
      </c>
      <c r="J959" s="854"/>
      <c r="K959" s="855"/>
      <c r="O959" s="799"/>
    </row>
    <row r="960">
      <c r="A960" s="856"/>
      <c r="B960" s="857"/>
      <c r="C960" s="857"/>
      <c r="D960" s="857"/>
      <c r="E960" s="857"/>
      <c r="F960" s="857"/>
      <c r="G960" s="808"/>
      <c r="H960" s="283"/>
      <c r="I960" s="856"/>
      <c r="J960" s="857"/>
      <c r="K960" s="857"/>
      <c r="L960" s="857"/>
      <c r="M960" s="857"/>
      <c r="N960" s="857"/>
      <c r="O960" s="808"/>
    </row>
    <row r="961">
      <c r="A961" s="199"/>
      <c r="B961" s="199"/>
      <c r="C961" s="199"/>
      <c r="D961" s="248"/>
      <c r="E961" s="248"/>
      <c r="F961" s="248"/>
      <c r="G961" s="248"/>
      <c r="H961" s="283"/>
      <c r="I961" s="199"/>
      <c r="J961" s="199"/>
      <c r="K961" s="199"/>
      <c r="L961" s="248"/>
      <c r="M961" s="248"/>
      <c r="N961" s="248"/>
      <c r="O961" s="248"/>
    </row>
    <row r="962">
      <c r="A962" s="199"/>
      <c r="B962" s="199"/>
      <c r="C962" s="199"/>
      <c r="D962" s="248"/>
      <c r="E962" s="248"/>
      <c r="F962" s="248"/>
      <c r="G962" s="248"/>
      <c r="H962" s="283"/>
      <c r="I962" s="199"/>
      <c r="J962" s="199"/>
      <c r="K962" s="199"/>
      <c r="L962" s="248"/>
      <c r="M962" s="248"/>
      <c r="N962" s="248"/>
      <c r="O962" s="248"/>
    </row>
    <row r="963">
      <c r="A963" s="199"/>
      <c r="B963" s="199"/>
      <c r="C963" s="199"/>
      <c r="D963" s="248"/>
      <c r="E963" s="248"/>
      <c r="F963" s="248"/>
      <c r="G963" s="248"/>
      <c r="H963" s="283"/>
      <c r="I963" s="199"/>
      <c r="J963" s="199"/>
      <c r="K963" s="199"/>
      <c r="L963" s="248"/>
      <c r="M963" s="248"/>
      <c r="N963" s="248"/>
      <c r="O963" s="248"/>
    </row>
    <row r="964">
      <c r="A964" s="199"/>
      <c r="B964" s="199"/>
      <c r="C964" s="199"/>
      <c r="D964" s="248"/>
      <c r="E964" s="248"/>
      <c r="F964" s="248"/>
      <c r="G964" s="248"/>
      <c r="H964" s="283"/>
      <c r="I964" s="199"/>
      <c r="J964" s="199"/>
      <c r="K964" s="199"/>
      <c r="L964" s="248"/>
      <c r="M964" s="248"/>
      <c r="N964" s="248"/>
      <c r="O964" s="248"/>
    </row>
    <row r="965">
      <c r="A965" s="199"/>
      <c r="B965" s="199"/>
      <c r="C965" s="199"/>
      <c r="D965" s="248"/>
      <c r="E965" s="248"/>
      <c r="F965" s="248"/>
      <c r="G965" s="248"/>
      <c r="H965" s="283"/>
      <c r="I965" s="199"/>
      <c r="J965" s="199"/>
      <c r="K965" s="199"/>
      <c r="L965" s="248"/>
      <c r="M965" s="248"/>
      <c r="N965" s="248"/>
      <c r="O965" s="248"/>
    </row>
    <row r="966">
      <c r="A966" s="199"/>
      <c r="B966" s="199"/>
      <c r="C966" s="199"/>
      <c r="D966" s="248"/>
      <c r="E966" s="248"/>
      <c r="F966" s="248"/>
      <c r="G966" s="248"/>
      <c r="H966" s="283"/>
      <c r="I966" s="199"/>
      <c r="J966" s="199"/>
      <c r="K966" s="199"/>
      <c r="L966" s="248"/>
      <c r="M966" s="248"/>
      <c r="N966" s="248"/>
      <c r="O966" s="248"/>
    </row>
    <row r="967">
      <c r="A967" s="199"/>
      <c r="B967" s="199"/>
      <c r="C967" s="199"/>
      <c r="D967" s="248"/>
      <c r="E967" s="248"/>
      <c r="F967" s="248"/>
      <c r="G967" s="248"/>
      <c r="H967" s="283"/>
      <c r="I967" s="199"/>
      <c r="J967" s="199"/>
      <c r="K967" s="199"/>
      <c r="L967" s="248"/>
      <c r="M967" s="248"/>
      <c r="N967" s="248"/>
      <c r="O967" s="248"/>
    </row>
    <row r="968">
      <c r="A968" s="199"/>
      <c r="B968" s="199"/>
      <c r="C968" s="199"/>
      <c r="D968" s="248"/>
      <c r="E968" s="248"/>
      <c r="F968" s="248"/>
      <c r="G968" s="248"/>
      <c r="H968" s="283"/>
      <c r="I968" s="199"/>
      <c r="J968" s="199"/>
      <c r="K968" s="199"/>
      <c r="L968" s="248"/>
      <c r="M968" s="248"/>
      <c r="N968" s="248"/>
      <c r="O968" s="248"/>
    </row>
    <row r="969">
      <c r="A969" s="199"/>
      <c r="B969" s="199"/>
      <c r="C969" s="199"/>
      <c r="D969" s="248"/>
      <c r="E969" s="248"/>
      <c r="F969" s="248"/>
      <c r="G969" s="248"/>
      <c r="H969" s="283"/>
      <c r="I969" s="199"/>
      <c r="J969" s="199"/>
      <c r="K969" s="199"/>
      <c r="L969" s="248"/>
      <c r="M969" s="248"/>
      <c r="N969" s="248"/>
      <c r="O969" s="248"/>
    </row>
    <row r="970">
      <c r="A970" s="199"/>
      <c r="B970" s="199"/>
      <c r="C970" s="199"/>
      <c r="D970" s="248"/>
      <c r="E970" s="248"/>
      <c r="F970" s="248"/>
      <c r="G970" s="248"/>
      <c r="H970" s="283"/>
      <c r="I970" s="199"/>
      <c r="J970" s="199"/>
      <c r="K970" s="199"/>
      <c r="L970" s="248"/>
      <c r="M970" s="248"/>
      <c r="N970" s="248"/>
      <c r="O970" s="248"/>
    </row>
    <row r="971">
      <c r="A971" s="199"/>
      <c r="B971" s="199"/>
      <c r="C971" s="199"/>
      <c r="D971" s="248"/>
      <c r="E971" s="248"/>
      <c r="F971" s="248"/>
      <c r="G971" s="248"/>
      <c r="H971" s="283"/>
      <c r="I971" s="199"/>
      <c r="J971" s="199"/>
      <c r="K971" s="199"/>
      <c r="L971" s="248"/>
      <c r="M971" s="248"/>
      <c r="N971" s="248"/>
      <c r="O971" s="248"/>
    </row>
    <row r="972">
      <c r="A972" s="199"/>
      <c r="B972" s="199"/>
      <c r="C972" s="199"/>
      <c r="D972" s="248"/>
      <c r="E972" s="248"/>
      <c r="F972" s="248"/>
      <c r="G972" s="248"/>
      <c r="H972" s="283"/>
      <c r="I972" s="199"/>
      <c r="J972" s="199"/>
      <c r="K972" s="199"/>
      <c r="L972" s="248"/>
      <c r="M972" s="248"/>
      <c r="N972" s="248"/>
      <c r="O972" s="248"/>
    </row>
    <row r="973">
      <c r="A973" s="199"/>
      <c r="B973" s="199"/>
      <c r="C973" s="199"/>
      <c r="D973" s="248"/>
      <c r="E973" s="248"/>
      <c r="F973" s="248"/>
      <c r="G973" s="248"/>
      <c r="H973" s="283"/>
      <c r="I973" s="199"/>
      <c r="J973" s="199"/>
      <c r="K973" s="199"/>
      <c r="L973" s="248"/>
      <c r="M973" s="248"/>
      <c r="N973" s="248"/>
      <c r="O973" s="248"/>
      <c r="Q973" s="934">
        <v>2319.0</v>
      </c>
      <c r="R973" s="935" t="s">
        <v>660</v>
      </c>
      <c r="S973" s="936"/>
    </row>
    <row r="974">
      <c r="A974" s="199"/>
      <c r="B974" s="199"/>
      <c r="C974" s="199"/>
      <c r="D974" s="248"/>
      <c r="E974" s="248"/>
      <c r="F974" s="248"/>
      <c r="G974" s="248"/>
      <c r="H974" s="283"/>
      <c r="I974" s="199"/>
      <c r="J974" s="199"/>
      <c r="K974" s="199"/>
      <c r="L974" s="248"/>
      <c r="M974" s="248"/>
      <c r="N974" s="248"/>
      <c r="O974" s="248"/>
      <c r="Q974" s="937">
        <v>9308.0</v>
      </c>
      <c r="R974" s="938" t="s">
        <v>660</v>
      </c>
      <c r="S974" s="759"/>
    </row>
    <row r="975">
      <c r="A975" s="199"/>
      <c r="B975" s="199"/>
      <c r="C975" s="199"/>
      <c r="D975" s="248"/>
      <c r="E975" s="248"/>
      <c r="F975" s="248"/>
      <c r="G975" s="248"/>
      <c r="H975" s="283"/>
      <c r="I975" s="199"/>
      <c r="J975" s="199"/>
      <c r="K975" s="199"/>
      <c r="L975" s="248"/>
      <c r="M975" s="248"/>
      <c r="N975" s="248"/>
      <c r="O975" s="248"/>
      <c r="Q975" s="937">
        <v>6960.0</v>
      </c>
      <c r="R975" s="938" t="s">
        <v>660</v>
      </c>
      <c r="S975" s="759"/>
    </row>
    <row r="976">
      <c r="A976" s="199"/>
      <c r="B976" s="199"/>
      <c r="C976" s="199"/>
      <c r="D976" s="248"/>
      <c r="E976" s="248"/>
      <c r="F976" s="248"/>
      <c r="G976" s="248"/>
      <c r="H976" s="283"/>
      <c r="I976" s="199"/>
      <c r="J976" s="199"/>
      <c r="K976" s="199"/>
      <c r="L976" s="248"/>
      <c r="M976" s="248"/>
      <c r="N976" s="248"/>
      <c r="O976" s="248"/>
      <c r="Q976" s="937">
        <v>5653.0</v>
      </c>
      <c r="R976" s="938" t="s">
        <v>660</v>
      </c>
      <c r="S976" s="759"/>
    </row>
    <row r="977">
      <c r="A977" s="199"/>
      <c r="B977" s="199"/>
      <c r="C977" s="199"/>
      <c r="D977" s="248"/>
      <c r="E977" s="248"/>
      <c r="F977" s="248"/>
      <c r="G977" s="248"/>
      <c r="H977" s="283"/>
      <c r="I977" s="199"/>
      <c r="J977" s="199"/>
      <c r="K977" s="199"/>
      <c r="L977" s="248"/>
      <c r="M977" s="248"/>
      <c r="N977" s="248"/>
      <c r="O977" s="248"/>
      <c r="Q977" s="937">
        <v>7048.0</v>
      </c>
      <c r="R977" s="938" t="s">
        <v>660</v>
      </c>
      <c r="S977" s="759"/>
    </row>
    <row r="978">
      <c r="A978" s="199"/>
      <c r="B978" s="199"/>
      <c r="C978" s="199"/>
      <c r="D978" s="248"/>
      <c r="E978" s="248"/>
      <c r="F978" s="248"/>
      <c r="G978" s="248"/>
      <c r="H978" s="283"/>
      <c r="I978" s="199"/>
      <c r="J978" s="199"/>
      <c r="K978" s="199"/>
      <c r="L978" s="248"/>
      <c r="M978" s="248"/>
      <c r="N978" s="248"/>
      <c r="O978" s="248"/>
      <c r="Q978" s="937">
        <v>9309.0</v>
      </c>
      <c r="R978" s="938" t="s">
        <v>660</v>
      </c>
      <c r="S978" s="759"/>
    </row>
    <row r="979">
      <c r="A979" s="199"/>
      <c r="B979" s="199"/>
      <c r="C979" s="199"/>
      <c r="D979" s="248"/>
      <c r="E979" s="248"/>
      <c r="F979" s="248"/>
      <c r="G979" s="248"/>
      <c r="H979" s="283"/>
      <c r="I979" s="199"/>
      <c r="J979" s="199"/>
      <c r="K979" s="199"/>
      <c r="L979" s="248"/>
      <c r="M979" s="248"/>
      <c r="N979" s="248"/>
      <c r="O979" s="248"/>
      <c r="Q979" s="937">
        <v>8136.0</v>
      </c>
      <c r="R979" s="938" t="s">
        <v>660</v>
      </c>
      <c r="S979" s="759"/>
    </row>
    <row r="980">
      <c r="A980" s="199"/>
      <c r="B980" s="199"/>
      <c r="C980" s="199"/>
      <c r="D980" s="248"/>
      <c r="E980" s="248"/>
      <c r="F980" s="248"/>
      <c r="G980" s="248"/>
      <c r="H980" s="283"/>
      <c r="I980" s="199"/>
      <c r="J980" s="199"/>
      <c r="K980" s="199"/>
      <c r="L980" s="248"/>
      <c r="M980" s="248"/>
      <c r="N980" s="248"/>
      <c r="O980" s="248"/>
      <c r="Q980" s="937">
        <v>5490.0</v>
      </c>
      <c r="R980" s="938" t="s">
        <v>660</v>
      </c>
      <c r="S980" s="759"/>
    </row>
    <row r="981">
      <c r="A981" s="199"/>
      <c r="B981" s="199"/>
      <c r="C981" s="199"/>
      <c r="D981" s="248"/>
      <c r="E981" s="248"/>
      <c r="F981" s="248"/>
      <c r="G981" s="248"/>
      <c r="H981" s="283"/>
      <c r="I981" s="199"/>
      <c r="J981" s="199"/>
      <c r="K981" s="199"/>
      <c r="L981" s="248"/>
      <c r="M981" s="248"/>
      <c r="N981" s="248"/>
      <c r="O981" s="248"/>
      <c r="Q981" s="937">
        <v>7607.0</v>
      </c>
      <c r="R981" s="938" t="s">
        <v>660</v>
      </c>
      <c r="S981" s="759"/>
    </row>
    <row r="982">
      <c r="A982" s="199"/>
      <c r="B982" s="199"/>
      <c r="C982" s="199"/>
      <c r="D982" s="248"/>
      <c r="E982" s="248"/>
      <c r="F982" s="248"/>
      <c r="G982" s="248"/>
      <c r="H982" s="283"/>
      <c r="I982" s="199"/>
      <c r="J982" s="199"/>
      <c r="K982" s="199"/>
      <c r="L982" s="248"/>
      <c r="M982" s="248"/>
      <c r="N982" s="248"/>
      <c r="O982" s="248"/>
      <c r="Q982" s="939" t="s">
        <v>431</v>
      </c>
      <c r="R982" s="940" t="s">
        <v>664</v>
      </c>
      <c r="S982" s="759"/>
    </row>
    <row r="983">
      <c r="A983" s="199"/>
      <c r="B983" s="199"/>
      <c r="C983" s="199"/>
      <c r="D983" s="248"/>
      <c r="E983" s="248"/>
      <c r="F983" s="248"/>
      <c r="G983" s="248"/>
      <c r="H983" s="283"/>
      <c r="I983" s="199"/>
      <c r="J983" s="199"/>
      <c r="K983" s="199"/>
      <c r="L983" s="248"/>
      <c r="M983" s="248"/>
      <c r="N983" s="248"/>
      <c r="O983" s="248"/>
      <c r="Q983" s="937">
        <v>7265.0</v>
      </c>
      <c r="R983" s="940" t="s">
        <v>664</v>
      </c>
      <c r="S983" s="759"/>
    </row>
    <row r="984">
      <c r="A984" s="199"/>
      <c r="B984" s="199"/>
      <c r="C984" s="199"/>
      <c r="D984" s="248"/>
      <c r="E984" s="248"/>
      <c r="F984" s="248"/>
      <c r="G984" s="248"/>
      <c r="H984" s="283"/>
      <c r="I984" s="199"/>
      <c r="J984" s="199"/>
      <c r="K984" s="199"/>
      <c r="L984" s="248"/>
      <c r="M984" s="248"/>
      <c r="N984" s="248"/>
      <c r="O984" s="248"/>
      <c r="Q984" s="937">
        <v>3819.0</v>
      </c>
      <c r="R984" s="940" t="s">
        <v>664</v>
      </c>
      <c r="S984" s="759"/>
    </row>
    <row r="985">
      <c r="A985" s="199"/>
      <c r="B985" s="199"/>
      <c r="C985" s="199"/>
      <c r="D985" s="248"/>
      <c r="E985" s="248"/>
      <c r="F985" s="248"/>
      <c r="G985" s="248"/>
      <c r="H985" s="283"/>
      <c r="I985" s="199"/>
      <c r="J985" s="199"/>
      <c r="K985" s="199"/>
      <c r="L985" s="248"/>
      <c r="M985" s="248"/>
      <c r="N985" s="248"/>
      <c r="O985" s="248"/>
      <c r="Q985" s="937">
        <v>9348.0</v>
      </c>
      <c r="R985" s="940" t="s">
        <v>664</v>
      </c>
      <c r="S985" s="759"/>
    </row>
    <row r="986">
      <c r="A986" s="199"/>
      <c r="B986" s="199"/>
      <c r="C986" s="199"/>
      <c r="D986" s="248"/>
      <c r="E986" s="248"/>
      <c r="F986" s="248"/>
      <c r="G986" s="248"/>
      <c r="H986" s="283"/>
      <c r="I986" s="199"/>
      <c r="J986" s="199"/>
      <c r="K986" s="199"/>
      <c r="L986" s="248"/>
      <c r="M986" s="248"/>
      <c r="N986" s="248"/>
      <c r="O986" s="248"/>
      <c r="Q986" s="937">
        <v>7807.0</v>
      </c>
      <c r="R986" s="940" t="s">
        <v>665</v>
      </c>
      <c r="S986" s="759"/>
    </row>
    <row r="987">
      <c r="A987" s="199"/>
      <c r="B987" s="199"/>
      <c r="C987" s="199"/>
      <c r="D987" s="248"/>
      <c r="E987" s="248"/>
      <c r="F987" s="248"/>
      <c r="G987" s="248"/>
      <c r="H987" s="283"/>
      <c r="I987" s="199"/>
      <c r="J987" s="199"/>
      <c r="K987" s="199"/>
      <c r="L987" s="248"/>
      <c r="M987" s="248"/>
      <c r="N987" s="248"/>
      <c r="O987" s="248"/>
      <c r="Q987" s="937">
        <v>8479.0</v>
      </c>
      <c r="R987" s="940" t="s">
        <v>666</v>
      </c>
      <c r="S987" s="759"/>
    </row>
    <row r="988">
      <c r="A988" s="199"/>
      <c r="B988" s="199"/>
      <c r="C988" s="199"/>
      <c r="D988" s="248"/>
      <c r="E988" s="248"/>
      <c r="F988" s="248"/>
      <c r="G988" s="248"/>
      <c r="H988" s="283"/>
      <c r="I988" s="199"/>
      <c r="J988" s="199"/>
      <c r="K988" s="199"/>
      <c r="L988" s="248"/>
      <c r="M988" s="248"/>
      <c r="N988" s="248"/>
      <c r="O988" s="248"/>
      <c r="Q988" s="937">
        <v>9617.0</v>
      </c>
      <c r="R988" s="940" t="s">
        <v>673</v>
      </c>
      <c r="S988" s="759"/>
    </row>
    <row r="989">
      <c r="A989" s="199"/>
      <c r="B989" s="199"/>
      <c r="C989" s="199"/>
      <c r="D989" s="248"/>
      <c r="E989" s="248"/>
      <c r="F989" s="248"/>
      <c r="G989" s="248"/>
      <c r="H989" s="283"/>
      <c r="I989" s="199"/>
      <c r="J989" s="199"/>
      <c r="K989" s="199"/>
      <c r="L989" s="248"/>
      <c r="M989" s="248"/>
      <c r="N989" s="248"/>
      <c r="O989" s="248"/>
      <c r="Q989" s="937">
        <v>2693.0</v>
      </c>
      <c r="R989" s="940" t="s">
        <v>674</v>
      </c>
      <c r="S989" s="759"/>
    </row>
    <row r="990">
      <c r="A990" s="199"/>
      <c r="B990" s="199"/>
      <c r="C990" s="199"/>
      <c r="D990" s="248"/>
      <c r="E990" s="248"/>
      <c r="F990" s="248"/>
      <c r="G990" s="248"/>
      <c r="H990" s="283"/>
      <c r="I990" s="199"/>
      <c r="J990" s="199"/>
      <c r="K990" s="199"/>
      <c r="L990" s="248"/>
      <c r="M990" s="248"/>
      <c r="N990" s="248"/>
      <c r="O990" s="248"/>
      <c r="Q990" s="937">
        <v>3403.0</v>
      </c>
      <c r="R990" s="940" t="s">
        <v>674</v>
      </c>
      <c r="S990" s="759"/>
    </row>
    <row r="991">
      <c r="A991" s="199"/>
      <c r="B991" s="199"/>
      <c r="C991" s="199"/>
      <c r="D991" s="248"/>
      <c r="E991" s="248"/>
      <c r="F991" s="248"/>
      <c r="G991" s="248"/>
      <c r="H991" s="283"/>
      <c r="I991" s="199"/>
      <c r="J991" s="199"/>
      <c r="K991" s="199"/>
      <c r="L991" s="248"/>
      <c r="M991" s="248"/>
      <c r="N991" s="248"/>
      <c r="O991" s="248"/>
      <c r="Q991" s="937">
        <v>9334.0</v>
      </c>
      <c r="R991" s="940" t="s">
        <v>675</v>
      </c>
      <c r="S991" s="759"/>
    </row>
    <row r="992">
      <c r="A992" s="199"/>
      <c r="B992" s="199"/>
      <c r="C992" s="199"/>
      <c r="D992" s="248"/>
      <c r="E992" s="248"/>
      <c r="F992" s="248"/>
      <c r="G992" s="248"/>
      <c r="H992" s="283"/>
      <c r="I992" s="199"/>
      <c r="J992" s="199"/>
      <c r="K992" s="199"/>
      <c r="L992" s="248"/>
      <c r="M992" s="248"/>
      <c r="N992" s="248"/>
      <c r="O992" s="248"/>
      <c r="Q992" s="937">
        <v>2890.0</v>
      </c>
      <c r="R992" s="940" t="s">
        <v>676</v>
      </c>
      <c r="S992" s="759"/>
    </row>
    <row r="993">
      <c r="A993" s="199"/>
      <c r="B993" s="199"/>
      <c r="C993" s="199"/>
      <c r="D993" s="248"/>
      <c r="E993" s="248"/>
      <c r="F993" s="248"/>
      <c r="G993" s="248"/>
      <c r="H993" s="283"/>
      <c r="I993" s="199"/>
      <c r="J993" s="199"/>
      <c r="K993" s="199"/>
      <c r="L993" s="248"/>
      <c r="M993" s="248"/>
      <c r="N993" s="248"/>
      <c r="O993" s="248"/>
      <c r="Q993" s="937">
        <v>2316.0</v>
      </c>
      <c r="R993" s="940" t="s">
        <v>676</v>
      </c>
      <c r="S993" s="759"/>
    </row>
    <row r="994">
      <c r="A994" s="199"/>
      <c r="B994" s="199"/>
      <c r="C994" s="199"/>
      <c r="D994" s="248"/>
      <c r="E994" s="248"/>
      <c r="F994" s="248"/>
      <c r="G994" s="248"/>
      <c r="H994" s="283"/>
      <c r="I994" s="199"/>
      <c r="J994" s="199"/>
      <c r="K994" s="199"/>
      <c r="L994" s="248"/>
      <c r="M994" s="248"/>
      <c r="N994" s="248"/>
      <c r="O994" s="248"/>
      <c r="Q994" s="937">
        <v>1002.0</v>
      </c>
      <c r="R994" s="940" t="s">
        <v>678</v>
      </c>
      <c r="S994" s="759"/>
    </row>
    <row r="995">
      <c r="A995" s="199"/>
      <c r="B995" s="199"/>
      <c r="C995" s="199"/>
      <c r="D995" s="248"/>
      <c r="E995" s="248"/>
      <c r="F995" s="248"/>
      <c r="G995" s="248"/>
      <c r="H995" s="283"/>
      <c r="I995" s="199"/>
      <c r="J995" s="199"/>
      <c r="K995" s="199"/>
      <c r="L995" s="248"/>
      <c r="M995" s="248"/>
      <c r="N995" s="248"/>
      <c r="O995" s="248"/>
      <c r="Q995" s="939" t="s">
        <v>1221</v>
      </c>
      <c r="R995" s="940" t="s">
        <v>679</v>
      </c>
      <c r="S995" s="759"/>
    </row>
    <row r="996">
      <c r="A996" s="199"/>
      <c r="B996" s="199"/>
      <c r="C996" s="199"/>
      <c r="D996" s="248"/>
      <c r="E996" s="248"/>
      <c r="F996" s="248"/>
      <c r="G996" s="248"/>
      <c r="H996" s="283"/>
      <c r="I996" s="199"/>
      <c r="J996" s="199"/>
      <c r="K996" s="199"/>
      <c r="L996" s="248"/>
      <c r="M996" s="248"/>
      <c r="N996" s="248"/>
      <c r="O996" s="248"/>
      <c r="Q996" s="939" t="s">
        <v>540</v>
      </c>
      <c r="R996" s="940" t="s">
        <v>679</v>
      </c>
      <c r="S996" s="759"/>
    </row>
    <row r="997">
      <c r="A997" s="199"/>
      <c r="B997" s="199"/>
      <c r="C997" s="199"/>
      <c r="D997" s="248"/>
      <c r="E997" s="248"/>
      <c r="F997" s="248"/>
      <c r="G997" s="248"/>
      <c r="H997" s="283"/>
      <c r="I997" s="199"/>
      <c r="J997" s="199"/>
      <c r="K997" s="199"/>
      <c r="L997" s="248"/>
      <c r="M997" s="248"/>
      <c r="N997" s="248"/>
      <c r="O997" s="248"/>
      <c r="Q997" s="937">
        <v>2932.0</v>
      </c>
      <c r="R997" s="940" t="s">
        <v>680</v>
      </c>
      <c r="S997" s="759"/>
    </row>
    <row r="998">
      <c r="A998" s="199"/>
      <c r="B998" s="199"/>
      <c r="C998" s="199"/>
      <c r="D998" s="248"/>
      <c r="E998" s="248"/>
      <c r="F998" s="248"/>
      <c r="G998" s="248"/>
      <c r="H998" s="283"/>
      <c r="I998" s="199"/>
      <c r="J998" s="199"/>
      <c r="K998" s="199"/>
      <c r="L998" s="248"/>
      <c r="M998" s="248"/>
      <c r="N998" s="248"/>
      <c r="O998" s="248"/>
      <c r="Q998" s="937">
        <v>2774.0</v>
      </c>
      <c r="R998" s="940" t="s">
        <v>680</v>
      </c>
      <c r="S998" s="759"/>
    </row>
    <row r="999">
      <c r="A999" s="199"/>
      <c r="B999" s="199"/>
      <c r="C999" s="199"/>
      <c r="D999" s="248"/>
      <c r="E999" s="248"/>
      <c r="F999" s="248"/>
      <c r="G999" s="248"/>
      <c r="H999" s="283"/>
      <c r="I999" s="199"/>
      <c r="J999" s="199"/>
      <c r="K999" s="199"/>
      <c r="L999" s="248"/>
      <c r="M999" s="248"/>
      <c r="N999" s="248"/>
      <c r="O999" s="248"/>
      <c r="Q999" s="939" t="s">
        <v>973</v>
      </c>
      <c r="R999" s="940" t="s">
        <v>680</v>
      </c>
      <c r="S999" s="759"/>
    </row>
    <row r="1000">
      <c r="A1000" s="199"/>
      <c r="B1000" s="199"/>
      <c r="C1000" s="199"/>
      <c r="D1000" s="248"/>
      <c r="E1000" s="248"/>
      <c r="F1000" s="248"/>
      <c r="G1000" s="248"/>
      <c r="H1000" s="283"/>
      <c r="I1000" s="199"/>
      <c r="J1000" s="199"/>
      <c r="K1000" s="199"/>
      <c r="L1000" s="248"/>
      <c r="M1000" s="248"/>
      <c r="N1000" s="248"/>
      <c r="O1000" s="248"/>
      <c r="Q1000" s="937">
        <v>3301.0</v>
      </c>
      <c r="R1000" s="940" t="s">
        <v>682</v>
      </c>
      <c r="S1000" s="759"/>
    </row>
    <row r="1001">
      <c r="A1001" s="199"/>
      <c r="B1001" s="199"/>
      <c r="C1001" s="199"/>
      <c r="D1001" s="248"/>
      <c r="E1001" s="248"/>
      <c r="F1001" s="248"/>
      <c r="G1001" s="248"/>
      <c r="H1001" s="283"/>
      <c r="I1001" s="199"/>
      <c r="J1001" s="199"/>
      <c r="K1001" s="199"/>
      <c r="L1001" s="248"/>
      <c r="M1001" s="248"/>
      <c r="N1001" s="248"/>
      <c r="O1001" s="248"/>
      <c r="Q1001" s="939" t="s">
        <v>513</v>
      </c>
      <c r="R1001" s="940" t="s">
        <v>683</v>
      </c>
      <c r="S1001" s="759"/>
    </row>
    <row r="1002">
      <c r="A1002" s="199"/>
      <c r="B1002" s="199"/>
      <c r="C1002" s="199"/>
      <c r="D1002" s="248"/>
      <c r="E1002" s="248"/>
      <c r="F1002" s="248"/>
      <c r="G1002" s="248"/>
      <c r="H1002" s="283"/>
      <c r="I1002" s="199"/>
      <c r="J1002" s="199"/>
      <c r="K1002" s="199"/>
      <c r="L1002" s="248"/>
      <c r="M1002" s="248"/>
      <c r="N1002" s="248"/>
      <c r="O1002" s="248"/>
      <c r="Q1002" s="937">
        <v>2516.0</v>
      </c>
      <c r="R1002" s="940" t="s">
        <v>684</v>
      </c>
      <c r="S1002" s="759"/>
    </row>
    <row r="1003">
      <c r="A1003" s="199"/>
      <c r="B1003" s="199"/>
      <c r="C1003" s="199"/>
      <c r="D1003" s="248"/>
      <c r="E1003" s="248"/>
      <c r="F1003" s="248"/>
      <c r="G1003" s="248"/>
      <c r="H1003" s="283"/>
      <c r="I1003" s="199"/>
      <c r="J1003" s="199"/>
      <c r="K1003" s="199"/>
      <c r="L1003" s="248"/>
      <c r="M1003" s="248"/>
      <c r="N1003" s="248"/>
      <c r="O1003" s="248"/>
      <c r="Q1003" s="939" t="s">
        <v>982</v>
      </c>
      <c r="R1003" s="940" t="s">
        <v>684</v>
      </c>
      <c r="S1003" s="759"/>
    </row>
    <row r="1004">
      <c r="A1004" s="199"/>
      <c r="B1004" s="199"/>
      <c r="C1004" s="199"/>
      <c r="D1004" s="248"/>
      <c r="E1004" s="248"/>
      <c r="F1004" s="248"/>
      <c r="G1004" s="248"/>
      <c r="H1004" s="283"/>
      <c r="I1004" s="199"/>
      <c r="J1004" s="199"/>
      <c r="K1004" s="199"/>
      <c r="L1004" s="248"/>
      <c r="M1004" s="248"/>
      <c r="N1004" s="248"/>
      <c r="O1004" s="248"/>
      <c r="Q1004" s="937">
        <v>6643.0</v>
      </c>
      <c r="R1004" s="940" t="s">
        <v>197</v>
      </c>
      <c r="S1004" s="759"/>
    </row>
    <row r="1005">
      <c r="A1005" s="199"/>
      <c r="B1005" s="199"/>
      <c r="C1005" s="199"/>
      <c r="D1005" s="248"/>
      <c r="E1005" s="248"/>
      <c r="F1005" s="248"/>
      <c r="G1005" s="248"/>
      <c r="H1005" s="283"/>
      <c r="I1005" s="199"/>
      <c r="J1005" s="199"/>
      <c r="K1005" s="199"/>
      <c r="L1005" s="248"/>
      <c r="M1005" s="248"/>
      <c r="N1005" s="248"/>
      <c r="O1005" s="248"/>
      <c r="Q1005" s="937">
        <v>2653.0</v>
      </c>
      <c r="R1005" s="943" t="s">
        <v>802</v>
      </c>
      <c r="S1005" s="759"/>
    </row>
    <row r="1006">
      <c r="A1006" s="199"/>
      <c r="B1006" s="199"/>
      <c r="C1006" s="199"/>
      <c r="D1006" s="248"/>
      <c r="E1006" s="248"/>
      <c r="F1006" s="248"/>
      <c r="G1006" s="248"/>
      <c r="H1006" s="283"/>
      <c r="I1006" s="199"/>
      <c r="J1006" s="199"/>
      <c r="K1006" s="199"/>
      <c r="L1006" s="248"/>
      <c r="M1006" s="248"/>
      <c r="N1006" s="248"/>
      <c r="O1006" s="248"/>
      <c r="Q1006" s="937"/>
      <c r="R1006" s="940"/>
      <c r="S1006" s="759"/>
    </row>
    <row r="1007">
      <c r="A1007" s="199"/>
      <c r="B1007" s="199"/>
      <c r="C1007" s="199"/>
      <c r="D1007" s="248"/>
      <c r="E1007" s="248"/>
      <c r="F1007" s="248"/>
      <c r="G1007" s="248"/>
      <c r="H1007" s="283"/>
      <c r="I1007" s="199"/>
      <c r="J1007" s="199"/>
      <c r="K1007" s="199"/>
      <c r="L1007" s="248"/>
      <c r="M1007" s="248"/>
      <c r="N1007" s="248"/>
      <c r="O1007" s="248"/>
      <c r="Q1007" s="937"/>
      <c r="R1007" s="940"/>
      <c r="S1007" s="759"/>
    </row>
    <row r="1008">
      <c r="A1008" s="199"/>
      <c r="B1008" s="199"/>
      <c r="C1008" s="199"/>
      <c r="D1008" s="248"/>
      <c r="E1008" s="248"/>
      <c r="F1008" s="248"/>
      <c r="G1008" s="248"/>
      <c r="H1008" s="283"/>
      <c r="I1008" s="199"/>
      <c r="J1008" s="199"/>
      <c r="K1008" s="199"/>
      <c r="L1008" s="248"/>
      <c r="M1008" s="248"/>
      <c r="N1008" s="248"/>
      <c r="O1008" s="248"/>
      <c r="Q1008" s="941">
        <v>8775.0</v>
      </c>
      <c r="R1008" s="942" t="e">
        <v>#N/A</v>
      </c>
      <c r="S1008" s="768"/>
    </row>
    <row r="1009">
      <c r="A1009" s="199"/>
      <c r="B1009" s="199"/>
      <c r="C1009" s="199"/>
      <c r="D1009" s="248"/>
      <c r="E1009" s="248"/>
      <c r="F1009" s="248"/>
      <c r="G1009" s="248"/>
      <c r="H1009" s="283"/>
      <c r="I1009" s="199"/>
      <c r="J1009" s="199"/>
      <c r="K1009" s="199"/>
      <c r="L1009" s="248"/>
      <c r="M1009" s="248"/>
      <c r="N1009" s="248"/>
      <c r="O1009" s="248"/>
    </row>
    <row r="1010">
      <c r="A1010" s="199"/>
      <c r="B1010" s="199"/>
      <c r="C1010" s="199"/>
      <c r="D1010" s="248"/>
      <c r="E1010" s="248"/>
      <c r="F1010" s="248"/>
      <c r="G1010" s="248"/>
      <c r="H1010" s="283"/>
      <c r="I1010" s="199"/>
      <c r="J1010" s="199"/>
      <c r="K1010" s="199"/>
      <c r="L1010" s="248"/>
      <c r="M1010" s="248"/>
      <c r="N1010" s="248"/>
      <c r="O1010" s="248"/>
    </row>
    <row r="1011">
      <c r="A1011" s="199"/>
      <c r="B1011" s="199"/>
      <c r="C1011" s="199"/>
      <c r="D1011" s="248"/>
      <c r="E1011" s="248"/>
      <c r="F1011" s="248"/>
      <c r="G1011" s="248"/>
      <c r="H1011" s="283"/>
      <c r="I1011" s="199"/>
      <c r="J1011" s="199"/>
      <c r="K1011" s="199"/>
      <c r="L1011" s="248"/>
      <c r="M1011" s="248"/>
      <c r="N1011" s="248"/>
      <c r="O1011" s="248"/>
    </row>
    <row r="1012">
      <c r="A1012" s="199"/>
      <c r="B1012" s="199"/>
      <c r="C1012" s="199"/>
      <c r="D1012" s="248"/>
      <c r="E1012" s="248"/>
      <c r="F1012" s="248"/>
      <c r="G1012" s="248"/>
      <c r="H1012" s="283"/>
      <c r="I1012" s="199"/>
      <c r="J1012" s="199"/>
      <c r="K1012" s="199"/>
      <c r="L1012" s="248"/>
      <c r="M1012" s="248"/>
      <c r="N1012" s="248"/>
      <c r="O1012" s="248"/>
    </row>
    <row r="1013">
      <c r="A1013" s="199"/>
      <c r="B1013" s="199"/>
      <c r="C1013" s="199"/>
      <c r="D1013" s="248"/>
      <c r="E1013" s="248"/>
      <c r="F1013" s="248"/>
      <c r="G1013" s="248"/>
      <c r="H1013" s="283"/>
      <c r="I1013" s="199"/>
      <c r="J1013" s="199"/>
      <c r="K1013" s="199"/>
      <c r="L1013" s="248"/>
      <c r="M1013" s="248"/>
      <c r="N1013" s="248"/>
      <c r="O1013" s="248"/>
    </row>
    <row r="1014">
      <c r="A1014" s="199"/>
      <c r="B1014" s="199"/>
      <c r="C1014" s="199"/>
      <c r="D1014" s="248"/>
      <c r="E1014" s="248"/>
      <c r="F1014" s="248"/>
      <c r="G1014" s="248"/>
      <c r="H1014" s="283"/>
      <c r="I1014" s="199"/>
      <c r="J1014" s="199"/>
      <c r="K1014" s="199"/>
      <c r="L1014" s="248"/>
      <c r="M1014" s="248"/>
      <c r="N1014" s="248"/>
      <c r="O1014" s="248"/>
    </row>
    <row r="1015">
      <c r="A1015" s="199"/>
      <c r="B1015" s="199"/>
      <c r="C1015" s="199"/>
      <c r="D1015" s="248"/>
      <c r="E1015" s="248"/>
      <c r="F1015" s="248"/>
      <c r="G1015" s="248"/>
      <c r="H1015" s="283"/>
      <c r="I1015" s="199"/>
      <c r="J1015" s="199"/>
      <c r="K1015" s="199"/>
      <c r="L1015" s="248"/>
      <c r="M1015" s="248"/>
      <c r="N1015" s="248"/>
      <c r="O1015" s="248"/>
    </row>
    <row r="1016">
      <c r="A1016" s="199"/>
      <c r="B1016" s="199"/>
      <c r="C1016" s="199"/>
      <c r="D1016" s="248"/>
      <c r="E1016" s="248"/>
      <c r="F1016" s="248"/>
      <c r="G1016" s="248"/>
      <c r="H1016" s="283"/>
      <c r="I1016" s="199"/>
      <c r="J1016" s="199"/>
      <c r="K1016" s="199"/>
      <c r="L1016" s="248"/>
      <c r="M1016" s="248"/>
      <c r="N1016" s="248"/>
      <c r="O1016" s="248"/>
    </row>
    <row r="1017">
      <c r="A1017" s="199"/>
      <c r="B1017" s="199"/>
      <c r="C1017" s="199"/>
      <c r="D1017" s="248"/>
      <c r="E1017" s="248"/>
      <c r="F1017" s="248"/>
      <c r="G1017" s="248"/>
      <c r="H1017" s="283"/>
      <c r="I1017" s="199"/>
      <c r="J1017" s="199"/>
      <c r="K1017" s="199"/>
      <c r="L1017" s="248"/>
      <c r="M1017" s="248"/>
      <c r="N1017" s="248"/>
      <c r="O1017" s="248"/>
    </row>
    <row r="1018">
      <c r="A1018" s="199"/>
      <c r="B1018" s="199"/>
      <c r="C1018" s="199"/>
      <c r="D1018" s="248"/>
      <c r="E1018" s="248"/>
      <c r="F1018" s="248"/>
      <c r="G1018" s="248"/>
      <c r="H1018" s="283"/>
      <c r="I1018" s="199"/>
      <c r="J1018" s="199"/>
      <c r="K1018" s="199"/>
      <c r="L1018" s="248"/>
      <c r="M1018" s="248"/>
      <c r="N1018" s="248"/>
      <c r="O1018" s="248"/>
    </row>
    <row r="1019">
      <c r="A1019" s="199"/>
      <c r="B1019" s="199"/>
      <c r="C1019" s="199"/>
      <c r="D1019" s="248"/>
      <c r="E1019" s="248"/>
      <c r="F1019" s="248"/>
      <c r="G1019" s="248"/>
      <c r="H1019" s="283"/>
      <c r="I1019" s="199"/>
      <c r="J1019" s="199"/>
      <c r="K1019" s="199"/>
      <c r="L1019" s="248"/>
      <c r="M1019" s="248"/>
      <c r="N1019" s="248"/>
      <c r="O1019" s="248"/>
    </row>
    <row r="1020">
      <c r="A1020" s="199"/>
      <c r="B1020" s="199"/>
      <c r="C1020" s="199"/>
      <c r="D1020" s="248"/>
      <c r="E1020" s="248"/>
      <c r="F1020" s="248"/>
      <c r="G1020" s="248"/>
      <c r="H1020" s="283"/>
      <c r="I1020" s="199"/>
      <c r="J1020" s="199"/>
      <c r="K1020" s="199"/>
      <c r="L1020" s="248"/>
      <c r="M1020" s="248"/>
      <c r="N1020" s="248"/>
      <c r="O1020" s="248"/>
    </row>
    <row r="1021">
      <c r="A1021" s="199"/>
      <c r="B1021" s="199"/>
      <c r="C1021" s="199"/>
      <c r="D1021" s="248"/>
      <c r="E1021" s="248"/>
      <c r="F1021" s="248"/>
      <c r="G1021" s="248"/>
      <c r="H1021" s="283"/>
      <c r="I1021" s="199"/>
      <c r="J1021" s="199"/>
      <c r="K1021" s="199"/>
      <c r="L1021" s="248"/>
      <c r="M1021" s="248"/>
      <c r="N1021" s="248"/>
      <c r="O1021" s="248"/>
    </row>
    <row r="1022">
      <c r="A1022" s="199"/>
      <c r="B1022" s="199"/>
      <c r="C1022" s="199"/>
      <c r="D1022" s="248"/>
      <c r="E1022" s="248"/>
      <c r="F1022" s="248"/>
      <c r="G1022" s="248"/>
      <c r="H1022" s="283"/>
      <c r="I1022" s="199"/>
      <c r="J1022" s="199"/>
      <c r="K1022" s="199"/>
      <c r="L1022" s="248"/>
      <c r="M1022" s="248"/>
      <c r="N1022" s="248"/>
      <c r="O1022" s="248"/>
    </row>
    <row r="1023">
      <c r="A1023" s="199"/>
      <c r="B1023" s="199"/>
      <c r="C1023" s="199"/>
      <c r="D1023" s="248"/>
      <c r="E1023" s="248"/>
      <c r="F1023" s="248"/>
      <c r="G1023" s="248"/>
      <c r="H1023" s="283"/>
      <c r="I1023" s="199"/>
      <c r="J1023" s="199"/>
      <c r="K1023" s="199"/>
      <c r="L1023" s="248"/>
      <c r="M1023" s="248"/>
      <c r="N1023" s="248"/>
      <c r="O1023" s="248"/>
    </row>
    <row r="1024">
      <c r="A1024" s="199"/>
      <c r="B1024" s="199"/>
      <c r="C1024" s="199"/>
      <c r="D1024" s="248"/>
      <c r="E1024" s="248"/>
      <c r="F1024" s="248"/>
      <c r="G1024" s="248"/>
      <c r="H1024" s="283"/>
      <c r="I1024" s="199"/>
      <c r="J1024" s="199"/>
      <c r="K1024" s="199"/>
      <c r="L1024" s="248"/>
      <c r="M1024" s="248"/>
      <c r="N1024" s="248"/>
      <c r="O1024" s="248"/>
    </row>
    <row r="1025">
      <c r="A1025" s="199"/>
      <c r="B1025" s="199"/>
      <c r="C1025" s="199"/>
      <c r="D1025" s="248"/>
      <c r="E1025" s="248"/>
      <c r="F1025" s="248"/>
      <c r="G1025" s="248"/>
      <c r="H1025" s="283"/>
      <c r="I1025" s="199"/>
      <c r="J1025" s="199"/>
      <c r="K1025" s="199"/>
      <c r="L1025" s="248"/>
      <c r="M1025" s="248"/>
      <c r="N1025" s="248"/>
      <c r="O1025" s="248"/>
    </row>
    <row r="1026">
      <c r="A1026" s="199"/>
      <c r="B1026" s="199"/>
      <c r="C1026" s="199"/>
      <c r="D1026" s="248"/>
      <c r="E1026" s="248"/>
      <c r="F1026" s="248"/>
      <c r="G1026" s="248"/>
      <c r="H1026" s="283"/>
      <c r="I1026" s="199"/>
      <c r="J1026" s="199"/>
      <c r="K1026" s="199"/>
      <c r="L1026" s="248"/>
      <c r="M1026" s="248"/>
      <c r="N1026" s="248"/>
      <c r="O1026" s="248"/>
    </row>
    <row r="1027">
      <c r="A1027" s="199"/>
      <c r="B1027" s="199"/>
      <c r="C1027" s="199"/>
      <c r="D1027" s="248"/>
      <c r="E1027" s="248"/>
      <c r="F1027" s="248"/>
      <c r="G1027" s="248"/>
      <c r="H1027" s="283"/>
      <c r="I1027" s="199"/>
      <c r="J1027" s="199"/>
      <c r="K1027" s="199"/>
      <c r="L1027" s="248"/>
      <c r="M1027" s="248"/>
      <c r="N1027" s="248"/>
      <c r="O1027" s="248"/>
    </row>
    <row r="1028">
      <c r="A1028" s="199"/>
      <c r="B1028" s="199"/>
      <c r="C1028" s="199"/>
      <c r="D1028" s="248"/>
      <c r="E1028" s="248"/>
      <c r="F1028" s="248"/>
      <c r="G1028" s="248"/>
      <c r="H1028" s="283"/>
      <c r="I1028" s="199"/>
      <c r="J1028" s="199"/>
      <c r="K1028" s="199"/>
      <c r="L1028" s="248"/>
      <c r="M1028" s="248"/>
      <c r="N1028" s="248"/>
      <c r="O1028" s="248"/>
    </row>
    <row r="1029">
      <c r="A1029" s="199"/>
      <c r="B1029" s="199"/>
      <c r="C1029" s="199"/>
      <c r="D1029" s="248"/>
      <c r="E1029" s="248"/>
      <c r="F1029" s="248"/>
      <c r="G1029" s="248"/>
      <c r="H1029" s="283"/>
      <c r="I1029" s="199"/>
      <c r="J1029" s="199"/>
      <c r="K1029" s="199"/>
      <c r="L1029" s="248"/>
      <c r="M1029" s="248"/>
      <c r="N1029" s="248"/>
      <c r="O1029" s="248"/>
    </row>
    <row r="1030">
      <c r="A1030" s="199"/>
      <c r="B1030" s="199"/>
      <c r="C1030" s="199"/>
      <c r="D1030" s="248"/>
      <c r="E1030" s="248"/>
      <c r="F1030" s="248"/>
      <c r="G1030" s="248"/>
      <c r="H1030" s="283"/>
      <c r="I1030" s="199"/>
      <c r="J1030" s="199"/>
      <c r="K1030" s="199"/>
      <c r="L1030" s="248"/>
      <c r="M1030" s="248"/>
      <c r="N1030" s="248"/>
      <c r="O1030" s="248"/>
    </row>
    <row r="1031">
      <c r="A1031" s="199"/>
      <c r="B1031" s="199"/>
      <c r="C1031" s="199"/>
      <c r="D1031" s="248"/>
      <c r="E1031" s="248"/>
      <c r="F1031" s="248"/>
      <c r="G1031" s="248"/>
      <c r="H1031" s="283"/>
      <c r="I1031" s="199"/>
      <c r="J1031" s="199"/>
      <c r="K1031" s="199"/>
      <c r="L1031" s="248"/>
      <c r="M1031" s="248"/>
      <c r="N1031" s="248"/>
      <c r="O1031" s="248"/>
    </row>
    <row r="1032">
      <c r="A1032" s="199"/>
      <c r="B1032" s="199"/>
      <c r="C1032" s="199"/>
      <c r="D1032" s="248"/>
      <c r="E1032" s="248"/>
      <c r="F1032" s="248"/>
      <c r="G1032" s="248"/>
      <c r="H1032" s="283"/>
      <c r="I1032" s="199"/>
      <c r="J1032" s="199"/>
      <c r="K1032" s="199"/>
      <c r="L1032" s="248"/>
      <c r="M1032" s="248"/>
      <c r="N1032" s="248"/>
      <c r="O1032" s="248"/>
    </row>
    <row r="1033">
      <c r="A1033" s="199"/>
      <c r="B1033" s="199"/>
      <c r="C1033" s="199"/>
      <c r="D1033" s="248"/>
      <c r="E1033" s="248"/>
      <c r="F1033" s="248"/>
      <c r="G1033" s="248"/>
      <c r="H1033" s="283"/>
      <c r="I1033" s="199"/>
      <c r="J1033" s="199"/>
      <c r="K1033" s="199"/>
      <c r="L1033" s="248"/>
      <c r="M1033" s="248"/>
      <c r="N1033" s="248"/>
      <c r="O1033" s="248"/>
    </row>
    <row r="1034">
      <c r="A1034" s="199"/>
      <c r="B1034" s="199"/>
      <c r="C1034" s="199"/>
      <c r="D1034" s="248"/>
      <c r="E1034" s="248"/>
      <c r="F1034" s="248"/>
      <c r="G1034" s="248"/>
      <c r="H1034" s="283"/>
      <c r="I1034" s="199"/>
      <c r="J1034" s="199"/>
      <c r="K1034" s="199"/>
      <c r="L1034" s="248"/>
      <c r="M1034" s="248"/>
      <c r="N1034" s="248"/>
      <c r="O1034" s="248"/>
    </row>
    <row r="1035">
      <c r="A1035" s="199"/>
      <c r="B1035" s="199"/>
      <c r="C1035" s="199"/>
      <c r="D1035" s="248"/>
      <c r="E1035" s="248"/>
      <c r="F1035" s="248"/>
      <c r="G1035" s="248"/>
      <c r="H1035" s="283"/>
      <c r="I1035" s="199"/>
      <c r="J1035" s="199"/>
      <c r="K1035" s="199"/>
      <c r="L1035" s="248"/>
      <c r="M1035" s="248"/>
      <c r="N1035" s="248"/>
      <c r="O1035" s="248"/>
    </row>
    <row r="1036">
      <c r="A1036" s="199"/>
      <c r="B1036" s="199"/>
      <c r="C1036" s="199"/>
      <c r="D1036" s="248"/>
      <c r="E1036" s="248"/>
      <c r="F1036" s="248"/>
      <c r="G1036" s="248"/>
      <c r="H1036" s="283"/>
      <c r="I1036" s="199"/>
      <c r="J1036" s="199"/>
      <c r="K1036" s="199"/>
      <c r="L1036" s="248"/>
      <c r="M1036" s="248"/>
      <c r="N1036" s="248"/>
      <c r="O1036" s="248"/>
    </row>
    <row r="1037">
      <c r="A1037" s="199"/>
      <c r="B1037" s="199"/>
      <c r="C1037" s="199"/>
      <c r="D1037" s="248"/>
      <c r="E1037" s="248"/>
      <c r="F1037" s="248"/>
      <c r="G1037" s="248"/>
      <c r="H1037" s="283"/>
      <c r="I1037" s="199"/>
      <c r="J1037" s="199"/>
      <c r="K1037" s="199"/>
      <c r="L1037" s="248"/>
      <c r="M1037" s="248"/>
      <c r="N1037" s="248"/>
      <c r="O1037" s="248"/>
    </row>
    <row r="1038">
      <c r="A1038" s="199"/>
      <c r="B1038" s="199"/>
      <c r="C1038" s="199"/>
      <c r="D1038" s="248"/>
      <c r="E1038" s="248"/>
      <c r="F1038" s="248"/>
      <c r="G1038" s="248"/>
      <c r="H1038" s="283"/>
      <c r="I1038" s="199"/>
      <c r="J1038" s="199"/>
      <c r="K1038" s="199"/>
      <c r="L1038" s="248"/>
      <c r="M1038" s="248"/>
      <c r="N1038" s="248"/>
      <c r="O1038" s="248"/>
    </row>
    <row r="1039">
      <c r="A1039" s="199"/>
      <c r="B1039" s="199"/>
      <c r="C1039" s="199"/>
      <c r="D1039" s="248"/>
      <c r="E1039" s="248"/>
      <c r="F1039" s="248"/>
      <c r="G1039" s="248"/>
      <c r="H1039" s="283"/>
      <c r="I1039" s="199"/>
      <c r="J1039" s="199"/>
      <c r="K1039" s="199"/>
      <c r="L1039" s="248"/>
      <c r="M1039" s="248"/>
      <c r="N1039" s="248"/>
      <c r="O1039" s="248"/>
    </row>
    <row r="1040">
      <c r="A1040" s="199"/>
      <c r="B1040" s="199"/>
      <c r="C1040" s="199"/>
      <c r="D1040" s="248"/>
      <c r="E1040" s="248"/>
      <c r="F1040" s="248"/>
      <c r="G1040" s="248"/>
      <c r="H1040" s="283"/>
      <c r="I1040" s="199"/>
      <c r="J1040" s="199"/>
      <c r="K1040" s="199"/>
      <c r="L1040" s="248"/>
      <c r="M1040" s="248"/>
      <c r="N1040" s="248"/>
      <c r="O1040" s="248"/>
    </row>
    <row r="1041">
      <c r="A1041" s="199"/>
      <c r="B1041" s="199"/>
      <c r="C1041" s="199"/>
      <c r="D1041" s="248"/>
      <c r="E1041" s="248"/>
      <c r="F1041" s="248"/>
      <c r="G1041" s="248"/>
      <c r="H1041" s="283"/>
      <c r="I1041" s="199"/>
      <c r="J1041" s="199"/>
      <c r="K1041" s="199"/>
      <c r="L1041" s="248"/>
      <c r="M1041" s="248"/>
      <c r="N1041" s="248"/>
      <c r="O1041" s="248"/>
    </row>
    <row r="1042">
      <c r="A1042" s="199"/>
      <c r="B1042" s="199"/>
      <c r="C1042" s="199"/>
      <c r="D1042" s="248"/>
      <c r="E1042" s="248"/>
      <c r="F1042" s="248"/>
      <c r="G1042" s="248"/>
      <c r="H1042" s="283"/>
      <c r="I1042" s="199"/>
      <c r="J1042" s="199"/>
      <c r="K1042" s="199"/>
      <c r="L1042" s="248"/>
      <c r="M1042" s="248"/>
      <c r="N1042" s="248"/>
      <c r="O1042" s="248"/>
    </row>
    <row r="1043">
      <c r="A1043" s="199"/>
      <c r="B1043" s="199"/>
      <c r="C1043" s="199"/>
      <c r="D1043" s="248"/>
      <c r="E1043" s="248"/>
      <c r="F1043" s="248"/>
      <c r="G1043" s="248"/>
      <c r="H1043" s="283"/>
      <c r="I1043" s="199"/>
      <c r="J1043" s="199"/>
      <c r="K1043" s="199"/>
      <c r="L1043" s="248"/>
      <c r="M1043" s="248"/>
      <c r="N1043" s="248"/>
      <c r="O1043" s="248"/>
    </row>
    <row r="1044">
      <c r="A1044" s="199"/>
      <c r="B1044" s="199"/>
      <c r="C1044" s="199"/>
      <c r="D1044" s="248"/>
      <c r="E1044" s="248"/>
      <c r="F1044" s="248"/>
      <c r="G1044" s="248"/>
      <c r="H1044" s="283"/>
      <c r="I1044" s="199"/>
      <c r="J1044" s="199"/>
      <c r="K1044" s="199"/>
      <c r="L1044" s="248"/>
      <c r="M1044" s="248"/>
      <c r="N1044" s="248"/>
      <c r="O1044" s="248"/>
    </row>
    <row r="1045">
      <c r="A1045" s="199"/>
      <c r="B1045" s="199"/>
      <c r="C1045" s="199"/>
      <c r="D1045" s="248"/>
      <c r="E1045" s="248"/>
      <c r="F1045" s="248"/>
      <c r="G1045" s="248"/>
      <c r="H1045" s="283"/>
      <c r="I1045" s="199"/>
      <c r="J1045" s="199"/>
      <c r="K1045" s="199"/>
      <c r="L1045" s="248"/>
      <c r="M1045" s="248"/>
      <c r="N1045" s="248"/>
      <c r="O1045" s="248"/>
    </row>
    <row r="1046">
      <c r="A1046" s="199"/>
      <c r="B1046" s="199"/>
      <c r="C1046" s="199"/>
      <c r="D1046" s="248"/>
      <c r="E1046" s="248"/>
      <c r="F1046" s="248"/>
      <c r="G1046" s="248"/>
      <c r="H1046" s="283"/>
      <c r="I1046" s="199"/>
      <c r="J1046" s="199"/>
      <c r="K1046" s="199"/>
      <c r="L1046" s="248"/>
      <c r="M1046" s="248"/>
      <c r="N1046" s="248"/>
      <c r="O1046" s="248"/>
    </row>
    <row r="1047">
      <c r="A1047" s="199"/>
      <c r="B1047" s="199"/>
      <c r="C1047" s="199"/>
      <c r="D1047" s="248"/>
      <c r="E1047" s="248"/>
      <c r="F1047" s="248"/>
      <c r="G1047" s="248"/>
      <c r="H1047" s="283"/>
      <c r="I1047" s="199"/>
      <c r="J1047" s="199"/>
      <c r="K1047" s="199"/>
      <c r="L1047" s="248"/>
      <c r="M1047" s="248"/>
      <c r="N1047" s="248"/>
      <c r="O1047" s="248"/>
    </row>
    <row r="1048">
      <c r="A1048" s="199"/>
      <c r="B1048" s="199"/>
      <c r="C1048" s="199"/>
      <c r="D1048" s="248"/>
      <c r="E1048" s="248"/>
      <c r="F1048" s="248"/>
      <c r="G1048" s="248"/>
      <c r="H1048" s="283"/>
      <c r="I1048" s="199"/>
      <c r="J1048" s="199"/>
      <c r="K1048" s="199"/>
      <c r="L1048" s="248"/>
      <c r="M1048" s="248"/>
      <c r="N1048" s="248"/>
      <c r="O1048" s="248"/>
    </row>
    <row r="1049">
      <c r="A1049" s="199"/>
      <c r="B1049" s="199"/>
      <c r="C1049" s="199"/>
      <c r="D1049" s="248"/>
      <c r="E1049" s="248"/>
      <c r="F1049" s="248"/>
      <c r="G1049" s="248"/>
      <c r="H1049" s="283"/>
      <c r="I1049" s="199"/>
      <c r="J1049" s="199"/>
      <c r="K1049" s="199"/>
      <c r="L1049" s="248"/>
      <c r="M1049" s="248"/>
      <c r="N1049" s="248"/>
      <c r="O1049" s="248"/>
    </row>
    <row r="1050">
      <c r="A1050" s="199"/>
      <c r="B1050" s="199"/>
      <c r="C1050" s="199"/>
      <c r="D1050" s="248"/>
      <c r="E1050" s="248"/>
      <c r="F1050" s="248"/>
      <c r="G1050" s="248"/>
      <c r="H1050" s="283"/>
      <c r="I1050" s="199"/>
      <c r="J1050" s="199"/>
      <c r="K1050" s="199"/>
      <c r="L1050" s="248"/>
      <c r="M1050" s="248"/>
      <c r="N1050" s="248"/>
      <c r="O1050" s="248"/>
    </row>
    <row r="1051">
      <c r="A1051" s="199"/>
      <c r="B1051" s="199"/>
      <c r="C1051" s="199"/>
      <c r="D1051" s="248"/>
      <c r="E1051" s="248"/>
      <c r="F1051" s="248"/>
      <c r="G1051" s="248"/>
      <c r="H1051" s="283"/>
      <c r="I1051" s="199"/>
      <c r="J1051" s="199"/>
      <c r="K1051" s="199"/>
      <c r="L1051" s="248"/>
      <c r="M1051" s="248"/>
      <c r="N1051" s="248"/>
      <c r="O1051" s="248"/>
    </row>
    <row r="1052">
      <c r="A1052" s="199"/>
      <c r="B1052" s="199"/>
      <c r="C1052" s="199"/>
      <c r="D1052" s="248"/>
      <c r="E1052" s="248"/>
      <c r="F1052" s="248"/>
      <c r="G1052" s="248"/>
      <c r="H1052" s="283"/>
      <c r="I1052" s="199"/>
      <c r="J1052" s="199"/>
      <c r="K1052" s="199"/>
      <c r="L1052" s="248"/>
      <c r="M1052" s="248"/>
      <c r="N1052" s="248"/>
      <c r="O1052" s="248"/>
    </row>
    <row r="1053">
      <c r="A1053" s="199"/>
      <c r="B1053" s="199"/>
      <c r="C1053" s="199"/>
      <c r="D1053" s="248"/>
      <c r="E1053" s="248"/>
      <c r="F1053" s="248"/>
      <c r="G1053" s="248"/>
      <c r="H1053" s="283"/>
      <c r="I1053" s="199"/>
      <c r="J1053" s="199"/>
      <c r="K1053" s="199"/>
      <c r="L1053" s="248"/>
      <c r="M1053" s="248"/>
      <c r="N1053" s="248"/>
      <c r="O1053" s="248"/>
    </row>
    <row r="1054">
      <c r="A1054" s="199"/>
      <c r="B1054" s="199"/>
      <c r="C1054" s="199"/>
      <c r="D1054" s="248"/>
      <c r="E1054" s="248"/>
      <c r="F1054" s="248"/>
      <c r="G1054" s="248"/>
      <c r="H1054" s="283"/>
      <c r="I1054" s="199"/>
      <c r="J1054" s="199"/>
      <c r="K1054" s="199"/>
      <c r="L1054" s="248"/>
      <c r="M1054" s="248"/>
      <c r="N1054" s="248"/>
      <c r="O1054" s="248"/>
    </row>
    <row r="1055">
      <c r="A1055" s="199"/>
      <c r="B1055" s="199"/>
      <c r="C1055" s="199"/>
      <c r="D1055" s="248"/>
      <c r="E1055" s="248"/>
      <c r="F1055" s="248"/>
      <c r="G1055" s="248"/>
      <c r="H1055" s="283"/>
      <c r="I1055" s="199"/>
      <c r="J1055" s="199"/>
      <c r="K1055" s="199"/>
      <c r="L1055" s="248"/>
      <c r="M1055" s="248"/>
      <c r="N1055" s="248"/>
      <c r="O1055" s="248"/>
    </row>
    <row r="1056">
      <c r="A1056" s="199"/>
      <c r="B1056" s="199"/>
      <c r="C1056" s="199"/>
      <c r="D1056" s="248"/>
      <c r="E1056" s="248"/>
      <c r="F1056" s="248"/>
      <c r="G1056" s="248"/>
      <c r="H1056" s="283"/>
      <c r="I1056" s="199"/>
      <c r="J1056" s="199"/>
      <c r="K1056" s="199"/>
      <c r="L1056" s="248"/>
      <c r="M1056" s="248"/>
      <c r="N1056" s="248"/>
      <c r="O1056" s="248"/>
    </row>
    <row r="1057">
      <c r="A1057" s="199"/>
      <c r="B1057" s="199"/>
      <c r="C1057" s="199"/>
      <c r="D1057" s="248"/>
      <c r="E1057" s="248"/>
      <c r="F1057" s="248"/>
      <c r="G1057" s="248"/>
      <c r="H1057" s="283"/>
      <c r="I1057" s="199"/>
      <c r="J1057" s="199"/>
      <c r="K1057" s="199"/>
      <c r="L1057" s="248"/>
      <c r="M1057" s="248"/>
      <c r="N1057" s="248"/>
      <c r="O1057" s="248"/>
    </row>
    <row r="1058">
      <c r="A1058" s="199"/>
      <c r="B1058" s="199"/>
      <c r="C1058" s="199"/>
      <c r="D1058" s="248"/>
      <c r="E1058" s="248"/>
      <c r="F1058" s="248"/>
      <c r="G1058" s="248"/>
      <c r="H1058" s="283"/>
      <c r="I1058" s="199"/>
      <c r="J1058" s="199"/>
      <c r="K1058" s="199"/>
      <c r="L1058" s="248"/>
      <c r="M1058" s="248"/>
      <c r="N1058" s="248"/>
      <c r="O1058" s="248"/>
    </row>
    <row r="1059">
      <c r="A1059" s="199"/>
      <c r="B1059" s="199"/>
      <c r="C1059" s="199"/>
      <c r="D1059" s="248"/>
      <c r="E1059" s="248"/>
      <c r="F1059" s="248"/>
      <c r="G1059" s="248"/>
      <c r="H1059" s="283"/>
      <c r="I1059" s="199"/>
      <c r="J1059" s="199"/>
      <c r="K1059" s="199"/>
      <c r="L1059" s="248"/>
      <c r="M1059" s="248"/>
      <c r="N1059" s="248"/>
      <c r="O1059" s="248"/>
    </row>
    <row r="1060">
      <c r="A1060" s="199"/>
      <c r="B1060" s="199"/>
      <c r="C1060" s="199"/>
      <c r="D1060" s="248"/>
      <c r="E1060" s="248"/>
      <c r="F1060" s="248"/>
      <c r="G1060" s="248"/>
      <c r="H1060" s="283"/>
      <c r="I1060" s="199"/>
      <c r="J1060" s="199"/>
      <c r="K1060" s="199"/>
      <c r="L1060" s="248"/>
      <c r="M1060" s="248"/>
      <c r="N1060" s="248"/>
      <c r="O1060" s="248"/>
    </row>
    <row r="1061">
      <c r="A1061" s="199"/>
      <c r="B1061" s="199"/>
      <c r="C1061" s="199"/>
      <c r="D1061" s="248"/>
      <c r="E1061" s="248"/>
      <c r="F1061" s="248"/>
      <c r="G1061" s="248"/>
      <c r="H1061" s="283"/>
      <c r="I1061" s="199"/>
      <c r="J1061" s="199"/>
      <c r="K1061" s="199"/>
      <c r="L1061" s="248"/>
      <c r="M1061" s="248"/>
      <c r="N1061" s="248"/>
      <c r="O1061" s="248"/>
    </row>
    <row r="1062">
      <c r="A1062" s="199"/>
      <c r="B1062" s="199"/>
      <c r="C1062" s="199"/>
      <c r="D1062" s="248"/>
      <c r="E1062" s="248"/>
      <c r="F1062" s="248"/>
      <c r="G1062" s="248"/>
      <c r="H1062" s="283"/>
      <c r="I1062" s="199"/>
      <c r="J1062" s="199"/>
      <c r="K1062" s="199"/>
      <c r="L1062" s="248"/>
      <c r="M1062" s="248"/>
      <c r="N1062" s="248"/>
      <c r="O1062" s="248"/>
    </row>
    <row r="1063">
      <c r="A1063" s="199"/>
      <c r="B1063" s="199"/>
      <c r="C1063" s="199"/>
      <c r="D1063" s="248"/>
      <c r="E1063" s="248"/>
      <c r="F1063" s="248"/>
      <c r="G1063" s="248"/>
      <c r="H1063" s="283"/>
      <c r="I1063" s="199"/>
      <c r="J1063" s="199"/>
      <c r="K1063" s="199"/>
      <c r="L1063" s="248"/>
      <c r="M1063" s="248"/>
      <c r="N1063" s="248"/>
      <c r="O1063" s="248"/>
    </row>
    <row r="1064">
      <c r="A1064" s="199"/>
      <c r="B1064" s="199"/>
      <c r="C1064" s="199"/>
      <c r="D1064" s="248"/>
      <c r="E1064" s="248"/>
      <c r="F1064" s="248"/>
      <c r="G1064" s="248"/>
      <c r="H1064" s="283"/>
      <c r="I1064" s="199"/>
      <c r="J1064" s="199"/>
      <c r="K1064" s="199"/>
      <c r="L1064" s="248"/>
      <c r="M1064" s="248"/>
      <c r="N1064" s="248"/>
      <c r="O1064" s="248"/>
    </row>
    <row r="1065">
      <c r="A1065" s="199"/>
      <c r="B1065" s="199"/>
      <c r="C1065" s="199"/>
      <c r="D1065" s="248"/>
      <c r="E1065" s="248"/>
      <c r="F1065" s="248"/>
      <c r="G1065" s="248"/>
      <c r="H1065" s="283"/>
      <c r="I1065" s="199"/>
      <c r="J1065" s="199"/>
      <c r="K1065" s="199"/>
      <c r="L1065" s="248"/>
      <c r="M1065" s="248"/>
      <c r="N1065" s="248"/>
      <c r="O1065" s="248"/>
    </row>
    <row r="1066">
      <c r="A1066" s="199"/>
      <c r="B1066" s="199"/>
      <c r="C1066" s="199"/>
      <c r="D1066" s="248"/>
      <c r="E1066" s="248"/>
      <c r="F1066" s="248"/>
      <c r="G1066" s="248"/>
      <c r="H1066" s="283"/>
      <c r="I1066" s="199"/>
      <c r="J1066" s="199"/>
      <c r="K1066" s="199"/>
      <c r="L1066" s="248"/>
      <c r="M1066" s="248"/>
      <c r="N1066" s="248"/>
      <c r="O1066" s="248"/>
    </row>
    <row r="1067">
      <c r="A1067" s="199"/>
      <c r="B1067" s="199"/>
      <c r="C1067" s="199"/>
      <c r="D1067" s="248"/>
      <c r="E1067" s="248"/>
      <c r="F1067" s="248"/>
      <c r="G1067" s="248"/>
      <c r="H1067" s="283"/>
      <c r="I1067" s="199"/>
      <c r="J1067" s="199"/>
      <c r="K1067" s="199"/>
      <c r="L1067" s="248"/>
      <c r="M1067" s="248"/>
      <c r="N1067" s="248"/>
      <c r="O1067" s="248"/>
    </row>
    <row r="1068">
      <c r="A1068" s="199"/>
      <c r="B1068" s="199"/>
      <c r="C1068" s="199"/>
      <c r="D1068" s="248"/>
      <c r="E1068" s="248"/>
      <c r="F1068" s="248"/>
      <c r="G1068" s="248"/>
      <c r="H1068" s="283"/>
      <c r="I1068" s="199"/>
      <c r="J1068" s="199"/>
      <c r="K1068" s="199"/>
      <c r="L1068" s="248"/>
      <c r="M1068" s="248"/>
      <c r="N1068" s="248"/>
      <c r="O1068" s="248"/>
    </row>
    <row r="1069">
      <c r="A1069" s="199"/>
      <c r="B1069" s="199"/>
      <c r="C1069" s="199"/>
      <c r="D1069" s="248"/>
      <c r="E1069" s="248"/>
      <c r="F1069" s="248"/>
      <c r="G1069" s="248"/>
      <c r="H1069" s="283"/>
      <c r="I1069" s="199"/>
      <c r="J1069" s="199"/>
      <c r="K1069" s="199"/>
      <c r="L1069" s="248"/>
      <c r="M1069" s="248"/>
      <c r="N1069" s="248"/>
      <c r="O1069" s="248"/>
    </row>
    <row r="1070">
      <c r="A1070" s="199"/>
      <c r="B1070" s="199"/>
      <c r="C1070" s="199"/>
      <c r="D1070" s="248"/>
      <c r="E1070" s="248"/>
      <c r="F1070" s="248"/>
      <c r="G1070" s="248"/>
      <c r="H1070" s="283"/>
      <c r="I1070" s="199"/>
      <c r="J1070" s="199"/>
      <c r="K1070" s="199"/>
      <c r="L1070" s="248"/>
      <c r="M1070" s="248"/>
      <c r="N1070" s="248"/>
      <c r="O1070" s="248"/>
    </row>
    <row r="1071">
      <c r="A1071" s="199"/>
      <c r="B1071" s="199"/>
      <c r="C1071" s="199"/>
      <c r="D1071" s="248"/>
      <c r="E1071" s="248"/>
      <c r="F1071" s="248"/>
      <c r="G1071" s="248"/>
      <c r="H1071" s="283"/>
      <c r="I1071" s="199"/>
      <c r="J1071" s="199"/>
      <c r="K1071" s="199"/>
      <c r="L1071" s="248"/>
      <c r="M1071" s="248"/>
      <c r="N1071" s="248"/>
      <c r="O1071" s="248"/>
    </row>
    <row r="1072">
      <c r="A1072" s="199"/>
      <c r="B1072" s="199"/>
      <c r="C1072" s="199"/>
      <c r="D1072" s="248"/>
      <c r="E1072" s="248"/>
      <c r="F1072" s="248"/>
      <c r="G1072" s="248"/>
      <c r="H1072" s="283"/>
      <c r="I1072" s="199"/>
      <c r="J1072" s="199"/>
      <c r="K1072" s="199"/>
      <c r="L1072" s="248"/>
      <c r="M1072" s="248"/>
      <c r="N1072" s="248"/>
      <c r="O1072" s="248"/>
    </row>
    <row r="1073">
      <c r="A1073" s="199"/>
      <c r="B1073" s="199"/>
      <c r="C1073" s="199"/>
      <c r="D1073" s="248"/>
      <c r="E1073" s="248"/>
      <c r="F1073" s="248"/>
      <c r="G1073" s="248"/>
      <c r="H1073" s="283"/>
      <c r="I1073" s="199"/>
      <c r="J1073" s="199"/>
      <c r="K1073" s="199"/>
      <c r="L1073" s="248"/>
      <c r="M1073" s="248"/>
      <c r="N1073" s="248"/>
      <c r="O1073" s="248"/>
    </row>
    <row r="1074">
      <c r="A1074" s="199"/>
      <c r="B1074" s="199"/>
      <c r="C1074" s="199"/>
      <c r="D1074" s="248"/>
      <c r="E1074" s="248"/>
      <c r="F1074" s="248"/>
      <c r="G1074" s="248"/>
      <c r="H1074" s="283"/>
      <c r="I1074" s="199"/>
      <c r="J1074" s="199"/>
      <c r="K1074" s="199"/>
      <c r="L1074" s="248"/>
      <c r="M1074" s="248"/>
      <c r="N1074" s="248"/>
      <c r="O1074" s="248"/>
    </row>
    <row r="1075">
      <c r="A1075" s="199"/>
      <c r="B1075" s="199"/>
      <c r="C1075" s="199"/>
      <c r="D1075" s="248"/>
      <c r="E1075" s="248"/>
      <c r="F1075" s="248"/>
      <c r="G1075" s="248"/>
      <c r="H1075" s="283"/>
      <c r="I1075" s="199"/>
      <c r="J1075" s="199"/>
      <c r="K1075" s="199"/>
      <c r="L1075" s="248"/>
      <c r="M1075" s="248"/>
      <c r="N1075" s="248"/>
      <c r="O1075" s="248"/>
    </row>
    <row r="1076">
      <c r="A1076" s="199"/>
      <c r="B1076" s="199"/>
      <c r="C1076" s="199"/>
      <c r="D1076" s="248"/>
      <c r="E1076" s="248"/>
      <c r="F1076" s="248"/>
      <c r="G1076" s="248"/>
      <c r="H1076" s="283"/>
      <c r="I1076" s="199"/>
      <c r="J1076" s="199"/>
      <c r="K1076" s="199"/>
      <c r="L1076" s="248"/>
      <c r="M1076" s="248"/>
      <c r="N1076" s="248"/>
      <c r="O1076" s="248"/>
    </row>
    <row r="1077">
      <c r="A1077" s="199"/>
      <c r="B1077" s="199"/>
      <c r="C1077" s="199"/>
      <c r="D1077" s="248"/>
      <c r="E1077" s="248"/>
      <c r="F1077" s="248"/>
      <c r="G1077" s="248"/>
      <c r="H1077" s="283"/>
      <c r="I1077" s="199"/>
      <c r="J1077" s="199"/>
      <c r="K1077" s="199"/>
      <c r="L1077" s="248"/>
      <c r="M1077" s="248"/>
      <c r="N1077" s="248"/>
      <c r="O1077" s="248"/>
    </row>
    <row r="1078">
      <c r="A1078" s="199"/>
      <c r="B1078" s="199"/>
      <c r="C1078" s="199"/>
      <c r="D1078" s="248"/>
      <c r="E1078" s="248"/>
      <c r="F1078" s="248"/>
      <c r="G1078" s="248"/>
      <c r="H1078" s="283"/>
      <c r="I1078" s="199"/>
      <c r="J1078" s="199"/>
      <c r="K1078" s="199"/>
      <c r="L1078" s="248"/>
      <c r="M1078" s="248"/>
      <c r="N1078" s="248"/>
      <c r="O1078" s="248"/>
    </row>
    <row r="1079">
      <c r="A1079" s="199"/>
      <c r="B1079" s="199"/>
      <c r="C1079" s="199"/>
      <c r="D1079" s="248"/>
      <c r="E1079" s="248"/>
      <c r="F1079" s="248"/>
      <c r="G1079" s="248"/>
      <c r="H1079" s="283"/>
      <c r="I1079" s="199"/>
      <c r="J1079" s="199"/>
      <c r="K1079" s="199"/>
      <c r="L1079" s="248"/>
      <c r="M1079" s="248"/>
      <c r="N1079" s="248"/>
      <c r="O1079" s="248"/>
    </row>
    <row r="1080">
      <c r="A1080" s="199"/>
      <c r="B1080" s="199"/>
      <c r="C1080" s="199"/>
      <c r="D1080" s="248"/>
      <c r="E1080" s="248"/>
      <c r="F1080" s="248"/>
      <c r="G1080" s="248"/>
      <c r="H1080" s="283"/>
      <c r="I1080" s="199"/>
      <c r="J1080" s="199"/>
      <c r="K1080" s="199"/>
      <c r="L1080" s="248"/>
      <c r="M1080" s="248"/>
      <c r="N1080" s="248"/>
      <c r="O1080" s="248"/>
    </row>
    <row r="1081">
      <c r="A1081" s="199"/>
      <c r="B1081" s="199"/>
      <c r="C1081" s="199"/>
      <c r="D1081" s="248"/>
      <c r="E1081" s="248"/>
      <c r="F1081" s="248"/>
      <c r="G1081" s="248"/>
      <c r="H1081" s="283"/>
      <c r="I1081" s="199"/>
      <c r="J1081" s="199"/>
      <c r="K1081" s="199"/>
      <c r="L1081" s="248"/>
      <c r="M1081" s="248"/>
      <c r="N1081" s="248"/>
      <c r="O1081" s="248"/>
    </row>
    <row r="1082">
      <c r="A1082" s="199"/>
      <c r="B1082" s="199"/>
      <c r="C1082" s="199"/>
      <c r="D1082" s="248"/>
      <c r="E1082" s="248"/>
      <c r="F1082" s="248"/>
      <c r="G1082" s="248"/>
      <c r="H1082" s="283"/>
      <c r="I1082" s="199"/>
      <c r="J1082" s="199"/>
      <c r="K1082" s="199"/>
      <c r="L1082" s="248"/>
      <c r="M1082" s="248"/>
      <c r="N1082" s="248"/>
      <c r="O1082" s="248"/>
    </row>
    <row r="1083">
      <c r="A1083" s="199"/>
      <c r="B1083" s="199"/>
      <c r="C1083" s="199"/>
      <c r="D1083" s="248"/>
      <c r="E1083" s="248"/>
      <c r="F1083" s="248"/>
      <c r="G1083" s="248"/>
      <c r="H1083" s="283"/>
      <c r="I1083" s="199"/>
      <c r="J1083" s="199"/>
      <c r="K1083" s="199"/>
      <c r="L1083" s="248"/>
      <c r="M1083" s="248"/>
      <c r="N1083" s="248"/>
      <c r="O1083" s="248"/>
    </row>
    <row r="1084">
      <c r="A1084" s="199"/>
      <c r="B1084" s="199"/>
      <c r="C1084" s="199"/>
      <c r="D1084" s="248"/>
      <c r="E1084" s="248"/>
      <c r="F1084" s="248"/>
      <c r="G1084" s="248"/>
      <c r="H1084" s="283"/>
      <c r="I1084" s="199"/>
      <c r="J1084" s="199"/>
      <c r="K1084" s="199"/>
      <c r="L1084" s="248"/>
      <c r="M1084" s="248"/>
      <c r="N1084" s="248"/>
      <c r="O1084" s="248"/>
    </row>
    <row r="1085">
      <c r="A1085" s="199"/>
      <c r="B1085" s="199"/>
      <c r="C1085" s="199"/>
      <c r="D1085" s="248"/>
      <c r="E1085" s="248"/>
      <c r="F1085" s="248"/>
      <c r="G1085" s="248"/>
      <c r="H1085" s="283"/>
      <c r="I1085" s="199"/>
      <c r="J1085" s="199"/>
      <c r="K1085" s="199"/>
      <c r="L1085" s="248"/>
      <c r="M1085" s="248"/>
      <c r="N1085" s="248"/>
      <c r="O1085" s="248"/>
    </row>
    <row r="1086">
      <c r="A1086" s="199"/>
      <c r="B1086" s="199"/>
      <c r="C1086" s="199"/>
      <c r="D1086" s="248"/>
      <c r="E1086" s="248"/>
      <c r="F1086" s="248"/>
      <c r="G1086" s="248"/>
      <c r="H1086" s="283"/>
      <c r="I1086" s="199"/>
      <c r="J1086" s="199"/>
      <c r="K1086" s="199"/>
      <c r="L1086" s="248"/>
      <c r="M1086" s="248"/>
      <c r="N1086" s="248"/>
      <c r="O1086" s="248"/>
    </row>
    <row r="1087">
      <c r="A1087" s="199"/>
      <c r="B1087" s="199"/>
      <c r="C1087" s="199"/>
      <c r="D1087" s="248"/>
      <c r="E1087" s="248"/>
      <c r="F1087" s="248"/>
      <c r="G1087" s="248"/>
      <c r="H1087" s="283"/>
      <c r="I1087" s="199"/>
      <c r="J1087" s="199"/>
      <c r="K1087" s="199"/>
      <c r="L1087" s="248"/>
      <c r="M1087" s="248"/>
      <c r="N1087" s="248"/>
      <c r="O1087" s="248"/>
    </row>
    <row r="1088">
      <c r="A1088" s="199"/>
      <c r="B1088" s="199"/>
      <c r="C1088" s="199"/>
      <c r="D1088" s="248"/>
      <c r="E1088" s="248"/>
      <c r="F1088" s="248"/>
      <c r="G1088" s="248"/>
      <c r="H1088" s="283"/>
      <c r="I1088" s="199"/>
      <c r="J1088" s="199"/>
      <c r="K1088" s="199"/>
      <c r="L1088" s="248"/>
      <c r="M1088" s="248"/>
      <c r="N1088" s="248"/>
      <c r="O1088" s="248"/>
    </row>
    <row r="1089">
      <c r="A1089" s="199"/>
      <c r="B1089" s="199"/>
      <c r="C1089" s="199"/>
      <c r="D1089" s="248"/>
      <c r="E1089" s="248"/>
      <c r="F1089" s="248"/>
      <c r="G1089" s="248"/>
      <c r="H1089" s="283"/>
      <c r="I1089" s="199"/>
      <c r="J1089" s="199"/>
      <c r="K1089" s="199"/>
      <c r="L1089" s="248"/>
      <c r="M1089" s="248"/>
      <c r="N1089" s="248"/>
      <c r="O1089" s="248"/>
    </row>
    <row r="1090">
      <c r="A1090" s="199"/>
      <c r="B1090" s="199"/>
      <c r="C1090" s="199"/>
      <c r="D1090" s="248"/>
      <c r="E1090" s="248"/>
      <c r="F1090" s="248"/>
      <c r="G1090" s="248"/>
      <c r="H1090" s="283"/>
      <c r="I1090" s="199"/>
      <c r="J1090" s="199"/>
      <c r="K1090" s="199"/>
      <c r="L1090" s="248"/>
      <c r="M1090" s="248"/>
      <c r="N1090" s="248"/>
      <c r="O1090" s="248"/>
    </row>
    <row r="1091">
      <c r="A1091" s="199"/>
      <c r="B1091" s="199"/>
      <c r="C1091" s="199"/>
      <c r="D1091" s="248"/>
      <c r="E1091" s="248"/>
      <c r="F1091" s="248"/>
      <c r="G1091" s="248"/>
      <c r="H1091" s="283"/>
      <c r="I1091" s="199"/>
      <c r="J1091" s="199"/>
      <c r="K1091" s="199"/>
      <c r="L1091" s="248"/>
      <c r="M1091" s="248"/>
      <c r="N1091" s="248"/>
      <c r="O1091" s="248"/>
    </row>
    <row r="1092">
      <c r="A1092" s="199"/>
      <c r="B1092" s="199"/>
      <c r="C1092" s="199"/>
      <c r="D1092" s="248"/>
      <c r="E1092" s="248"/>
      <c r="F1092" s="248"/>
      <c r="G1092" s="248"/>
      <c r="H1092" s="283"/>
      <c r="I1092" s="199"/>
      <c r="J1092" s="199"/>
      <c r="K1092" s="199"/>
      <c r="L1092" s="248"/>
      <c r="M1092" s="248"/>
      <c r="N1092" s="248"/>
      <c r="O1092" s="248"/>
    </row>
    <row r="1093">
      <c r="A1093" s="199"/>
      <c r="B1093" s="199"/>
      <c r="C1093" s="199"/>
      <c r="D1093" s="248"/>
      <c r="E1093" s="248"/>
      <c r="F1093" s="248"/>
      <c r="G1093" s="248"/>
      <c r="H1093" s="283"/>
      <c r="I1093" s="199"/>
      <c r="J1093" s="199"/>
      <c r="K1093" s="199"/>
      <c r="L1093" s="248"/>
      <c r="M1093" s="248"/>
      <c r="N1093" s="248"/>
      <c r="O1093" s="248"/>
    </row>
    <row r="1094">
      <c r="A1094" s="199"/>
      <c r="B1094" s="199"/>
      <c r="C1094" s="199"/>
      <c r="D1094" s="248"/>
      <c r="E1094" s="248"/>
      <c r="F1094" s="248"/>
      <c r="G1094" s="248"/>
      <c r="H1094" s="283"/>
      <c r="I1094" s="199"/>
      <c r="J1094" s="199"/>
      <c r="K1094" s="199"/>
      <c r="L1094" s="248"/>
      <c r="M1094" s="248"/>
      <c r="N1094" s="248"/>
      <c r="O1094" s="248"/>
    </row>
    <row r="1095">
      <c r="A1095" s="199"/>
      <c r="B1095" s="199"/>
      <c r="C1095" s="199"/>
      <c r="D1095" s="248"/>
      <c r="E1095" s="248"/>
      <c r="F1095" s="248"/>
      <c r="G1095" s="248"/>
      <c r="H1095" s="283"/>
      <c r="I1095" s="199"/>
      <c r="J1095" s="199"/>
      <c r="K1095" s="199"/>
      <c r="L1095" s="248"/>
      <c r="M1095" s="248"/>
      <c r="N1095" s="248"/>
      <c r="O1095" s="248"/>
    </row>
    <row r="1096">
      <c r="A1096" s="199"/>
      <c r="B1096" s="199"/>
      <c r="C1096" s="199"/>
      <c r="D1096" s="248"/>
      <c r="E1096" s="248"/>
      <c r="F1096" s="248"/>
      <c r="G1096" s="248"/>
      <c r="H1096" s="283"/>
      <c r="I1096" s="199"/>
      <c r="J1096" s="199"/>
      <c r="K1096" s="199"/>
      <c r="L1096" s="248"/>
      <c r="M1096" s="248"/>
      <c r="N1096" s="248"/>
      <c r="O1096" s="248"/>
    </row>
    <row r="1097">
      <c r="A1097" s="199"/>
      <c r="B1097" s="199"/>
      <c r="C1097" s="199"/>
      <c r="D1097" s="248"/>
      <c r="E1097" s="248"/>
      <c r="F1097" s="248"/>
      <c r="G1097" s="248"/>
      <c r="H1097" s="283"/>
      <c r="I1097" s="199"/>
      <c r="J1097" s="199"/>
      <c r="K1097" s="199"/>
      <c r="L1097" s="248"/>
      <c r="M1097" s="248"/>
      <c r="N1097" s="248"/>
      <c r="O1097" s="248"/>
    </row>
    <row r="1098">
      <c r="A1098" s="199"/>
      <c r="B1098" s="199"/>
      <c r="C1098" s="199"/>
      <c r="D1098" s="248"/>
      <c r="E1098" s="248"/>
      <c r="F1098" s="248"/>
      <c r="G1098" s="248"/>
      <c r="H1098" s="283"/>
      <c r="I1098" s="199"/>
      <c r="J1098" s="199"/>
      <c r="K1098" s="199"/>
      <c r="L1098" s="248"/>
      <c r="M1098" s="248"/>
      <c r="N1098" s="248"/>
      <c r="O1098" s="248"/>
    </row>
    <row r="1099">
      <c r="A1099" s="199"/>
      <c r="B1099" s="199"/>
      <c r="C1099" s="199"/>
      <c r="D1099" s="248"/>
      <c r="E1099" s="248"/>
      <c r="F1099" s="248"/>
      <c r="G1099" s="248"/>
      <c r="H1099" s="283"/>
      <c r="I1099" s="199"/>
      <c r="J1099" s="199"/>
      <c r="K1099" s="199"/>
      <c r="L1099" s="248"/>
      <c r="M1099" s="248"/>
      <c r="N1099" s="248"/>
      <c r="O1099" s="248"/>
    </row>
    <row r="1100">
      <c r="A1100" s="199"/>
      <c r="B1100" s="199"/>
      <c r="C1100" s="199"/>
      <c r="D1100" s="248"/>
      <c r="E1100" s="248"/>
      <c r="F1100" s="248"/>
      <c r="G1100" s="248"/>
      <c r="H1100" s="283"/>
      <c r="I1100" s="199"/>
      <c r="J1100" s="199"/>
      <c r="K1100" s="199"/>
      <c r="L1100" s="248"/>
      <c r="M1100" s="248"/>
      <c r="N1100" s="248"/>
      <c r="O1100" s="248"/>
    </row>
    <row r="1101">
      <c r="A1101" s="199"/>
      <c r="B1101" s="199"/>
      <c r="C1101" s="199"/>
      <c r="D1101" s="248"/>
      <c r="E1101" s="248"/>
      <c r="F1101" s="248"/>
      <c r="G1101" s="248"/>
      <c r="H1101" s="283"/>
      <c r="I1101" s="199"/>
      <c r="J1101" s="199"/>
      <c r="K1101" s="199"/>
      <c r="L1101" s="248"/>
      <c r="M1101" s="248"/>
      <c r="N1101" s="248"/>
      <c r="O1101" s="248"/>
    </row>
    <row r="1102">
      <c r="A1102" s="199"/>
      <c r="B1102" s="199"/>
      <c r="C1102" s="199"/>
      <c r="D1102" s="248"/>
      <c r="E1102" s="248"/>
      <c r="F1102" s="248"/>
      <c r="G1102" s="248"/>
      <c r="H1102" s="283"/>
      <c r="I1102" s="199"/>
      <c r="J1102" s="199"/>
      <c r="K1102" s="199"/>
      <c r="L1102" s="248"/>
      <c r="M1102" s="248"/>
      <c r="N1102" s="248"/>
      <c r="O1102" s="248"/>
    </row>
    <row r="1103">
      <c r="A1103" s="199"/>
      <c r="B1103" s="199"/>
      <c r="C1103" s="199"/>
      <c r="D1103" s="248"/>
      <c r="E1103" s="248"/>
      <c r="F1103" s="248"/>
      <c r="G1103" s="248"/>
      <c r="H1103" s="283"/>
      <c r="I1103" s="199"/>
      <c r="J1103" s="199"/>
      <c r="K1103" s="199"/>
      <c r="L1103" s="248"/>
      <c r="M1103" s="248"/>
      <c r="N1103" s="248"/>
      <c r="O1103" s="248"/>
    </row>
    <row r="1104">
      <c r="A1104" s="199"/>
      <c r="B1104" s="199"/>
      <c r="C1104" s="199"/>
      <c r="D1104" s="248"/>
      <c r="E1104" s="248"/>
      <c r="F1104" s="248"/>
      <c r="G1104" s="248"/>
      <c r="H1104" s="283"/>
      <c r="I1104" s="199"/>
      <c r="J1104" s="199"/>
      <c r="K1104" s="199"/>
      <c r="L1104" s="248"/>
      <c r="M1104" s="248"/>
      <c r="N1104" s="248"/>
      <c r="O1104" s="248"/>
    </row>
    <row r="1105">
      <c r="A1105" s="199"/>
      <c r="B1105" s="199"/>
      <c r="C1105" s="199"/>
      <c r="D1105" s="248"/>
      <c r="E1105" s="248"/>
      <c r="F1105" s="248"/>
      <c r="G1105" s="248"/>
      <c r="H1105" s="283"/>
      <c r="I1105" s="199"/>
      <c r="J1105" s="199"/>
      <c r="K1105" s="199"/>
      <c r="L1105" s="248"/>
      <c r="M1105" s="248"/>
      <c r="N1105" s="248"/>
      <c r="O1105" s="248"/>
    </row>
    <row r="1106">
      <c r="A1106" s="199"/>
      <c r="B1106" s="199"/>
      <c r="C1106" s="199"/>
      <c r="D1106" s="248"/>
      <c r="E1106" s="248"/>
      <c r="F1106" s="248"/>
      <c r="G1106" s="248"/>
      <c r="H1106" s="283"/>
      <c r="I1106" s="199"/>
      <c r="J1106" s="199"/>
      <c r="K1106" s="199"/>
      <c r="L1106" s="248"/>
      <c r="M1106" s="248"/>
      <c r="N1106" s="248"/>
      <c r="O1106" s="248"/>
    </row>
    <row r="1107">
      <c r="A1107" s="199"/>
      <c r="B1107" s="199"/>
      <c r="C1107" s="199"/>
      <c r="D1107" s="248"/>
      <c r="E1107" s="248"/>
      <c r="F1107" s="248"/>
      <c r="G1107" s="248"/>
      <c r="H1107" s="283"/>
      <c r="I1107" s="199"/>
      <c r="J1107" s="199"/>
      <c r="K1107" s="199"/>
      <c r="L1107" s="248"/>
      <c r="M1107" s="248"/>
      <c r="N1107" s="248"/>
      <c r="O1107" s="248"/>
    </row>
    <row r="1108">
      <c r="A1108" s="199"/>
      <c r="B1108" s="199"/>
      <c r="C1108" s="199"/>
      <c r="D1108" s="248"/>
      <c r="E1108" s="248"/>
      <c r="F1108" s="248"/>
      <c r="G1108" s="248"/>
      <c r="H1108" s="283"/>
      <c r="I1108" s="199"/>
      <c r="J1108" s="199"/>
      <c r="K1108" s="199"/>
      <c r="L1108" s="248"/>
      <c r="M1108" s="248"/>
      <c r="N1108" s="248"/>
      <c r="O1108" s="248"/>
    </row>
    <row r="1109">
      <c r="A1109" s="199"/>
      <c r="B1109" s="199"/>
      <c r="C1109" s="199"/>
      <c r="D1109" s="248"/>
      <c r="E1109" s="248"/>
      <c r="F1109" s="248"/>
      <c r="G1109" s="248"/>
      <c r="H1109" s="283"/>
      <c r="I1109" s="199"/>
      <c r="J1109" s="199"/>
      <c r="K1109" s="199"/>
      <c r="L1109" s="248"/>
      <c r="M1109" s="248"/>
      <c r="N1109" s="248"/>
      <c r="O1109" s="248"/>
    </row>
    <row r="1110">
      <c r="A1110" s="199"/>
      <c r="B1110" s="199"/>
      <c r="C1110" s="199"/>
      <c r="D1110" s="248"/>
      <c r="E1110" s="248"/>
      <c r="F1110" s="248"/>
      <c r="G1110" s="248"/>
      <c r="H1110" s="283"/>
      <c r="I1110" s="199"/>
      <c r="J1110" s="199"/>
      <c r="K1110" s="199"/>
      <c r="L1110" s="248"/>
      <c r="M1110" s="248"/>
      <c r="N1110" s="248"/>
      <c r="O1110" s="248"/>
    </row>
    <row r="1111">
      <c r="A1111" s="199"/>
      <c r="B1111" s="199"/>
      <c r="C1111" s="199"/>
      <c r="D1111" s="248"/>
      <c r="E1111" s="248"/>
      <c r="F1111" s="248"/>
      <c r="G1111" s="248"/>
      <c r="H1111" s="283"/>
      <c r="I1111" s="199"/>
      <c r="J1111" s="199"/>
      <c r="K1111" s="199"/>
      <c r="L1111" s="248"/>
      <c r="M1111" s="248"/>
      <c r="N1111" s="248"/>
      <c r="O1111" s="248"/>
    </row>
    <row r="1112">
      <c r="A1112" s="199"/>
      <c r="B1112" s="199"/>
      <c r="C1112" s="199"/>
      <c r="D1112" s="248"/>
      <c r="E1112" s="248"/>
      <c r="F1112" s="248"/>
      <c r="G1112" s="248"/>
      <c r="H1112" s="283"/>
      <c r="I1112" s="199"/>
      <c r="J1112" s="199"/>
      <c r="K1112" s="199"/>
      <c r="L1112" s="248"/>
      <c r="M1112" s="248"/>
      <c r="N1112" s="248"/>
      <c r="O1112" s="248"/>
    </row>
    <row r="1113">
      <c r="A1113" s="199"/>
      <c r="B1113" s="199"/>
      <c r="C1113" s="199"/>
      <c r="D1113" s="248"/>
      <c r="E1113" s="248"/>
      <c r="F1113" s="248"/>
      <c r="G1113" s="248"/>
      <c r="H1113" s="283"/>
      <c r="I1113" s="199"/>
      <c r="J1113" s="199"/>
      <c r="K1113" s="199"/>
      <c r="L1113" s="248"/>
      <c r="M1113" s="248"/>
      <c r="N1113" s="248"/>
      <c r="O1113" s="248"/>
    </row>
    <row r="1114">
      <c r="A1114" s="199"/>
      <c r="B1114" s="199"/>
      <c r="C1114" s="199"/>
      <c r="D1114" s="248"/>
      <c r="E1114" s="248"/>
      <c r="F1114" s="248"/>
      <c r="G1114" s="248"/>
      <c r="H1114" s="283"/>
      <c r="I1114" s="199"/>
      <c r="J1114" s="199"/>
      <c r="K1114" s="199"/>
      <c r="L1114" s="248"/>
      <c r="M1114" s="248"/>
      <c r="N1114" s="248"/>
      <c r="O1114" s="248"/>
    </row>
    <row r="1115">
      <c r="A1115" s="199"/>
      <c r="B1115" s="199"/>
      <c r="C1115" s="199"/>
      <c r="D1115" s="248"/>
      <c r="E1115" s="248"/>
      <c r="F1115" s="248"/>
      <c r="G1115" s="248"/>
      <c r="H1115" s="283"/>
      <c r="I1115" s="199"/>
      <c r="J1115" s="199"/>
      <c r="K1115" s="199"/>
      <c r="L1115" s="248"/>
      <c r="M1115" s="248"/>
      <c r="N1115" s="248"/>
      <c r="O1115" s="248"/>
    </row>
    <row r="1116">
      <c r="A1116" s="199"/>
      <c r="B1116" s="199"/>
      <c r="C1116" s="199"/>
      <c r="D1116" s="248"/>
      <c r="E1116" s="248"/>
      <c r="F1116" s="248"/>
      <c r="G1116" s="248"/>
      <c r="H1116" s="283"/>
      <c r="I1116" s="199"/>
      <c r="J1116" s="199"/>
      <c r="K1116" s="199"/>
      <c r="L1116" s="248"/>
      <c r="M1116" s="248"/>
      <c r="N1116" s="248"/>
      <c r="O1116" s="248"/>
    </row>
    <row r="1117">
      <c r="A1117" s="199"/>
      <c r="B1117" s="199"/>
      <c r="C1117" s="199"/>
      <c r="D1117" s="248"/>
      <c r="E1117" s="248"/>
      <c r="F1117" s="248"/>
      <c r="G1117" s="248"/>
      <c r="H1117" s="283"/>
      <c r="I1117" s="199"/>
      <c r="J1117" s="199"/>
      <c r="K1117" s="199"/>
      <c r="L1117" s="248"/>
      <c r="M1117" s="248"/>
      <c r="N1117" s="248"/>
      <c r="O1117" s="248"/>
    </row>
    <row r="1118">
      <c r="A1118" s="199"/>
      <c r="B1118" s="199"/>
      <c r="C1118" s="199"/>
      <c r="D1118" s="248"/>
      <c r="E1118" s="248"/>
      <c r="F1118" s="248"/>
      <c r="G1118" s="248"/>
      <c r="H1118" s="283"/>
      <c r="I1118" s="199"/>
      <c r="J1118" s="199"/>
      <c r="K1118" s="199"/>
      <c r="L1118" s="248"/>
      <c r="M1118" s="248"/>
      <c r="N1118" s="248"/>
      <c r="O1118" s="248"/>
    </row>
    <row r="1119">
      <c r="A1119" s="199"/>
      <c r="B1119" s="199"/>
      <c r="C1119" s="199"/>
      <c r="D1119" s="248"/>
      <c r="E1119" s="248"/>
      <c r="F1119" s="248"/>
      <c r="G1119" s="248"/>
      <c r="H1119" s="283"/>
      <c r="I1119" s="199"/>
      <c r="J1119" s="199"/>
      <c r="K1119" s="199"/>
      <c r="L1119" s="248"/>
      <c r="M1119" s="248"/>
      <c r="N1119" s="248"/>
      <c r="O1119" s="248"/>
    </row>
    <row r="1120">
      <c r="A1120" s="199"/>
      <c r="B1120" s="199"/>
      <c r="C1120" s="199"/>
      <c r="D1120" s="248"/>
      <c r="E1120" s="248"/>
      <c r="F1120" s="248"/>
      <c r="G1120" s="248"/>
      <c r="H1120" s="283"/>
      <c r="I1120" s="199"/>
      <c r="J1120" s="199"/>
      <c r="K1120" s="199"/>
      <c r="L1120" s="248"/>
      <c r="M1120" s="248"/>
      <c r="N1120" s="248"/>
      <c r="O1120" s="248"/>
    </row>
    <row r="1121">
      <c r="A1121" s="199"/>
      <c r="B1121" s="199"/>
      <c r="C1121" s="199"/>
      <c r="D1121" s="248"/>
      <c r="E1121" s="248"/>
      <c r="F1121" s="248"/>
      <c r="G1121" s="248"/>
      <c r="H1121" s="283"/>
      <c r="I1121" s="199"/>
      <c r="J1121" s="199"/>
      <c r="K1121" s="199"/>
      <c r="L1121" s="248"/>
      <c r="M1121" s="248"/>
      <c r="N1121" s="248"/>
      <c r="O1121" s="248"/>
    </row>
    <row r="1122">
      <c r="A1122" s="199"/>
      <c r="B1122" s="199"/>
      <c r="C1122" s="199"/>
      <c r="D1122" s="248"/>
      <c r="E1122" s="248"/>
      <c r="F1122" s="248"/>
      <c r="G1122" s="248"/>
      <c r="H1122" s="283"/>
      <c r="I1122" s="199"/>
      <c r="J1122" s="199"/>
      <c r="K1122" s="199"/>
      <c r="L1122" s="248"/>
      <c r="M1122" s="248"/>
      <c r="N1122" s="248"/>
      <c r="O1122" s="248"/>
    </row>
    <row r="1123">
      <c r="A1123" s="199"/>
      <c r="B1123" s="199"/>
      <c r="C1123" s="199"/>
      <c r="D1123" s="248"/>
      <c r="E1123" s="248"/>
      <c r="F1123" s="248"/>
      <c r="G1123" s="248"/>
      <c r="H1123" s="283"/>
      <c r="I1123" s="199"/>
      <c r="J1123" s="199"/>
      <c r="K1123" s="199"/>
      <c r="L1123" s="248"/>
      <c r="M1123" s="248"/>
      <c r="N1123" s="248"/>
      <c r="O1123" s="248"/>
    </row>
    <row r="1124">
      <c r="A1124" s="199"/>
      <c r="B1124" s="199"/>
      <c r="C1124" s="199"/>
      <c r="D1124" s="248"/>
      <c r="E1124" s="248"/>
      <c r="F1124" s="248"/>
      <c r="G1124" s="248"/>
      <c r="H1124" s="283"/>
      <c r="I1124" s="199"/>
      <c r="J1124" s="199"/>
      <c r="K1124" s="199"/>
      <c r="L1124" s="248"/>
      <c r="M1124" s="248"/>
      <c r="N1124" s="248"/>
      <c r="O1124" s="248"/>
    </row>
    <row r="1125">
      <c r="A1125" s="199"/>
      <c r="B1125" s="199"/>
      <c r="C1125" s="199"/>
      <c r="D1125" s="248"/>
      <c r="E1125" s="248"/>
      <c r="F1125" s="248"/>
      <c r="G1125" s="248"/>
      <c r="H1125" s="283"/>
      <c r="I1125" s="199"/>
      <c r="J1125" s="199"/>
      <c r="K1125" s="199"/>
      <c r="L1125" s="248"/>
      <c r="M1125" s="248"/>
      <c r="N1125" s="248"/>
      <c r="O1125" s="248"/>
    </row>
    <row r="1126">
      <c r="A1126" s="199"/>
      <c r="B1126" s="199"/>
      <c r="C1126" s="199"/>
      <c r="D1126" s="248"/>
      <c r="E1126" s="248"/>
      <c r="F1126" s="248"/>
      <c r="G1126" s="248"/>
      <c r="H1126" s="283"/>
      <c r="I1126" s="199"/>
      <c r="J1126" s="199"/>
      <c r="K1126" s="199"/>
      <c r="L1126" s="248"/>
      <c r="M1126" s="248"/>
      <c r="N1126" s="248"/>
      <c r="O1126" s="248"/>
    </row>
    <row r="1127">
      <c r="A1127" s="199"/>
      <c r="B1127" s="199"/>
      <c r="C1127" s="199"/>
      <c r="D1127" s="248"/>
      <c r="E1127" s="248"/>
      <c r="F1127" s="248"/>
      <c r="G1127" s="248"/>
      <c r="H1127" s="283"/>
      <c r="I1127" s="199"/>
      <c r="J1127" s="199"/>
      <c r="K1127" s="199"/>
      <c r="L1127" s="248"/>
      <c r="M1127" s="248"/>
      <c r="N1127" s="248"/>
      <c r="O1127" s="248"/>
    </row>
    <row r="1128">
      <c r="A1128" s="199"/>
      <c r="B1128" s="199"/>
      <c r="C1128" s="199"/>
      <c r="D1128" s="248"/>
      <c r="E1128" s="248"/>
      <c r="F1128" s="248"/>
      <c r="G1128" s="248"/>
      <c r="H1128" s="283"/>
      <c r="I1128" s="199"/>
      <c r="J1128" s="199"/>
      <c r="K1128" s="199"/>
      <c r="L1128" s="248"/>
      <c r="M1128" s="248"/>
      <c r="N1128" s="248"/>
      <c r="O1128" s="248"/>
    </row>
    <row r="1129">
      <c r="A1129" s="199"/>
      <c r="B1129" s="199"/>
      <c r="C1129" s="199"/>
      <c r="D1129" s="248"/>
      <c r="E1129" s="248"/>
      <c r="F1129" s="248"/>
      <c r="G1129" s="248"/>
      <c r="H1129" s="283"/>
      <c r="I1129" s="199"/>
      <c r="J1129" s="199"/>
      <c r="K1129" s="199"/>
      <c r="L1129" s="248"/>
      <c r="M1129" s="248"/>
      <c r="N1129" s="248"/>
      <c r="O1129" s="248"/>
    </row>
    <row r="1130">
      <c r="A1130" s="199"/>
      <c r="B1130" s="199"/>
      <c r="C1130" s="199"/>
      <c r="D1130" s="248"/>
      <c r="E1130" s="248"/>
      <c r="F1130" s="248"/>
      <c r="G1130" s="248"/>
      <c r="H1130" s="283"/>
      <c r="I1130" s="199"/>
      <c r="J1130" s="199"/>
      <c r="K1130" s="199"/>
      <c r="L1130" s="248"/>
      <c r="M1130" s="248"/>
      <c r="N1130" s="248"/>
      <c r="O1130" s="248"/>
    </row>
    <row r="1131">
      <c r="A1131" s="199"/>
      <c r="B1131" s="199"/>
      <c r="C1131" s="199"/>
      <c r="D1131" s="248"/>
      <c r="E1131" s="248"/>
      <c r="F1131" s="248"/>
      <c r="G1131" s="248"/>
      <c r="H1131" s="283"/>
      <c r="I1131" s="199"/>
      <c r="J1131" s="199"/>
      <c r="K1131" s="199"/>
      <c r="L1131" s="248"/>
      <c r="M1131" s="248"/>
      <c r="N1131" s="248"/>
      <c r="O1131" s="248"/>
    </row>
    <row r="1132">
      <c r="A1132" s="199"/>
      <c r="B1132" s="199"/>
      <c r="C1132" s="199"/>
      <c r="D1132" s="248"/>
      <c r="E1132" s="248"/>
      <c r="F1132" s="248"/>
      <c r="G1132" s="248"/>
      <c r="H1132" s="283"/>
      <c r="I1132" s="199"/>
      <c r="J1132" s="199"/>
      <c r="K1132" s="199"/>
      <c r="L1132" s="248"/>
      <c r="M1132" s="248"/>
      <c r="N1132" s="248"/>
      <c r="O1132" s="248"/>
    </row>
    <row r="1133">
      <c r="A1133" s="199"/>
      <c r="B1133" s="199"/>
      <c r="C1133" s="199"/>
      <c r="D1133" s="248"/>
      <c r="E1133" s="248"/>
      <c r="F1133" s="248"/>
      <c r="G1133" s="248"/>
      <c r="H1133" s="283"/>
      <c r="I1133" s="199"/>
      <c r="J1133" s="199"/>
      <c r="K1133" s="199"/>
      <c r="L1133" s="248"/>
      <c r="M1133" s="248"/>
      <c r="N1133" s="248"/>
      <c r="O1133" s="248"/>
    </row>
    <row r="1134">
      <c r="A1134" s="199"/>
      <c r="B1134" s="199"/>
      <c r="C1134" s="199"/>
      <c r="D1134" s="248"/>
      <c r="E1134" s="248"/>
      <c r="F1134" s="248"/>
      <c r="G1134" s="248"/>
      <c r="H1134" s="283"/>
      <c r="I1134" s="199"/>
      <c r="J1134" s="199"/>
      <c r="K1134" s="199"/>
      <c r="L1134" s="248"/>
      <c r="M1134" s="248"/>
      <c r="N1134" s="248"/>
      <c r="O1134" s="248"/>
    </row>
    <row r="1135">
      <c r="A1135" s="199"/>
      <c r="B1135" s="199"/>
      <c r="C1135" s="199"/>
      <c r="D1135" s="248"/>
      <c r="E1135" s="248"/>
      <c r="F1135" s="248"/>
      <c r="G1135" s="248"/>
      <c r="H1135" s="283"/>
      <c r="I1135" s="199"/>
      <c r="J1135" s="199"/>
      <c r="K1135" s="199"/>
      <c r="L1135" s="248"/>
      <c r="M1135" s="248"/>
      <c r="N1135" s="248"/>
      <c r="O1135" s="248"/>
    </row>
    <row r="1136">
      <c r="A1136" s="199"/>
      <c r="B1136" s="199"/>
      <c r="C1136" s="199"/>
      <c r="D1136" s="248"/>
      <c r="E1136" s="248"/>
      <c r="F1136" s="248"/>
      <c r="G1136" s="248"/>
      <c r="H1136" s="283"/>
      <c r="I1136" s="199"/>
      <c r="J1136" s="199"/>
      <c r="K1136" s="199"/>
      <c r="L1136" s="248"/>
      <c r="M1136" s="248"/>
      <c r="N1136" s="248"/>
      <c r="O1136" s="248"/>
    </row>
    <row r="1137">
      <c r="A1137" s="199"/>
      <c r="B1137" s="199"/>
      <c r="C1137" s="199"/>
      <c r="D1137" s="248"/>
      <c r="E1137" s="248"/>
      <c r="F1137" s="248"/>
      <c r="G1137" s="248"/>
      <c r="H1137" s="283"/>
      <c r="I1137" s="199"/>
      <c r="J1137" s="199"/>
      <c r="K1137" s="199"/>
      <c r="L1137" s="248"/>
      <c r="M1137" s="248"/>
      <c r="N1137" s="248"/>
      <c r="O1137" s="248"/>
    </row>
    <row r="1138">
      <c r="A1138" s="199"/>
      <c r="B1138" s="199"/>
      <c r="C1138" s="199"/>
      <c r="D1138" s="248"/>
      <c r="E1138" s="248"/>
      <c r="F1138" s="248"/>
      <c r="G1138" s="248"/>
      <c r="H1138" s="283"/>
      <c r="I1138" s="199"/>
      <c r="J1138" s="199"/>
      <c r="K1138" s="199"/>
      <c r="L1138" s="248"/>
      <c r="M1138" s="248"/>
      <c r="N1138" s="248"/>
      <c r="O1138" s="248"/>
    </row>
    <row r="1139">
      <c r="A1139" s="199"/>
      <c r="B1139" s="199"/>
      <c r="C1139" s="199"/>
      <c r="D1139" s="248"/>
      <c r="E1139" s="248"/>
      <c r="F1139" s="248"/>
      <c r="G1139" s="248"/>
      <c r="H1139" s="283"/>
      <c r="I1139" s="199"/>
      <c r="J1139" s="199"/>
      <c r="K1139" s="199"/>
      <c r="L1139" s="248"/>
      <c r="M1139" s="248"/>
      <c r="N1139" s="248"/>
      <c r="O1139" s="248"/>
    </row>
    <row r="1140">
      <c r="A1140" s="199"/>
      <c r="B1140" s="199"/>
      <c r="C1140" s="199"/>
      <c r="D1140" s="248"/>
      <c r="E1140" s="248"/>
      <c r="F1140" s="248"/>
      <c r="G1140" s="248"/>
      <c r="H1140" s="283"/>
      <c r="I1140" s="199"/>
      <c r="J1140" s="199"/>
      <c r="K1140" s="199"/>
      <c r="L1140" s="248"/>
      <c r="M1140" s="248"/>
      <c r="N1140" s="248"/>
      <c r="O1140" s="248"/>
    </row>
    <row r="1141">
      <c r="A1141" s="199"/>
      <c r="B1141" s="199"/>
      <c r="C1141" s="199"/>
      <c r="D1141" s="248"/>
      <c r="E1141" s="248"/>
      <c r="F1141" s="248"/>
      <c r="G1141" s="248"/>
      <c r="H1141" s="283"/>
      <c r="I1141" s="199"/>
      <c r="J1141" s="199"/>
      <c r="K1141" s="199"/>
      <c r="L1141" s="248"/>
      <c r="M1141" s="248"/>
      <c r="N1141" s="248"/>
      <c r="O1141" s="248"/>
    </row>
    <row r="1142">
      <c r="A1142" s="199"/>
      <c r="B1142" s="199"/>
      <c r="C1142" s="199"/>
      <c r="D1142" s="248"/>
      <c r="E1142" s="248"/>
      <c r="F1142" s="248"/>
      <c r="G1142" s="248"/>
      <c r="H1142" s="283"/>
      <c r="I1142" s="199"/>
      <c r="J1142" s="199"/>
      <c r="K1142" s="199"/>
      <c r="L1142" s="248"/>
      <c r="M1142" s="248"/>
      <c r="N1142" s="248"/>
      <c r="O1142" s="248"/>
    </row>
    <row r="1143">
      <c r="A1143" s="199"/>
      <c r="B1143" s="199"/>
      <c r="C1143" s="199"/>
      <c r="D1143" s="248"/>
      <c r="E1143" s="248"/>
      <c r="F1143" s="248"/>
      <c r="G1143" s="248"/>
      <c r="H1143" s="283"/>
      <c r="I1143" s="199"/>
      <c r="J1143" s="199"/>
      <c r="K1143" s="199"/>
      <c r="L1143" s="248"/>
      <c r="M1143" s="248"/>
      <c r="N1143" s="248"/>
      <c r="O1143" s="248"/>
    </row>
    <row r="1144">
      <c r="A1144" s="199"/>
      <c r="B1144" s="199"/>
      <c r="C1144" s="199"/>
      <c r="D1144" s="248"/>
      <c r="E1144" s="248"/>
      <c r="F1144" s="248"/>
      <c r="G1144" s="248"/>
      <c r="H1144" s="283"/>
      <c r="I1144" s="199"/>
      <c r="J1144" s="199"/>
      <c r="K1144" s="199"/>
      <c r="L1144" s="248"/>
      <c r="M1144" s="248"/>
      <c r="N1144" s="248"/>
      <c r="O1144" s="248"/>
    </row>
    <row r="1145">
      <c r="A1145" s="199"/>
      <c r="B1145" s="199"/>
      <c r="C1145" s="199"/>
      <c r="D1145" s="248"/>
      <c r="E1145" s="248"/>
      <c r="F1145" s="248"/>
      <c r="G1145" s="248"/>
      <c r="H1145" s="283"/>
      <c r="I1145" s="199"/>
      <c r="J1145" s="199"/>
      <c r="K1145" s="199"/>
      <c r="L1145" s="248"/>
      <c r="M1145" s="248"/>
      <c r="N1145" s="248"/>
      <c r="O1145" s="248"/>
    </row>
    <row r="1146">
      <c r="A1146" s="199"/>
      <c r="B1146" s="199"/>
      <c r="C1146" s="199"/>
      <c r="D1146" s="248"/>
      <c r="E1146" s="248"/>
      <c r="F1146" s="248"/>
      <c r="G1146" s="248"/>
      <c r="H1146" s="283"/>
      <c r="I1146" s="199"/>
      <c r="J1146" s="199"/>
      <c r="K1146" s="199"/>
      <c r="L1146" s="248"/>
      <c r="M1146" s="248"/>
      <c r="N1146" s="248"/>
      <c r="O1146" s="248"/>
    </row>
    <row r="1147">
      <c r="A1147" s="199"/>
      <c r="B1147" s="199"/>
      <c r="C1147" s="199"/>
      <c r="D1147" s="248"/>
      <c r="E1147" s="248"/>
      <c r="F1147" s="248"/>
      <c r="G1147" s="248"/>
      <c r="H1147" s="283"/>
      <c r="I1147" s="199"/>
      <c r="J1147" s="199"/>
      <c r="K1147" s="199"/>
      <c r="L1147" s="248"/>
      <c r="M1147" s="248"/>
      <c r="N1147" s="248"/>
      <c r="O1147" s="248"/>
    </row>
    <row r="1148">
      <c r="A1148" s="199"/>
      <c r="B1148" s="199"/>
      <c r="C1148" s="199"/>
      <c r="D1148" s="248"/>
      <c r="E1148" s="248"/>
      <c r="F1148" s="248"/>
      <c r="G1148" s="248"/>
      <c r="H1148" s="283"/>
      <c r="I1148" s="199"/>
      <c r="J1148" s="199"/>
      <c r="K1148" s="199"/>
      <c r="L1148" s="248"/>
      <c r="M1148" s="248"/>
      <c r="N1148" s="248"/>
      <c r="O1148" s="248"/>
    </row>
    <row r="1149">
      <c r="A1149" s="199"/>
      <c r="B1149" s="199"/>
      <c r="C1149" s="199"/>
      <c r="D1149" s="248"/>
      <c r="E1149" s="248"/>
      <c r="F1149" s="248"/>
      <c r="G1149" s="248"/>
      <c r="H1149" s="283"/>
      <c r="I1149" s="199"/>
      <c r="J1149" s="199"/>
      <c r="K1149" s="199"/>
      <c r="L1149" s="248"/>
      <c r="M1149" s="248"/>
      <c r="N1149" s="248"/>
      <c r="O1149" s="248"/>
    </row>
    <row r="1150">
      <c r="A1150" s="199"/>
      <c r="B1150" s="199"/>
      <c r="C1150" s="199"/>
      <c r="D1150" s="248"/>
      <c r="E1150" s="248"/>
      <c r="F1150" s="248"/>
      <c r="G1150" s="248"/>
      <c r="H1150" s="283"/>
      <c r="I1150" s="199"/>
      <c r="J1150" s="199"/>
      <c r="K1150" s="199"/>
      <c r="L1150" s="248"/>
      <c r="M1150" s="248"/>
      <c r="N1150" s="248"/>
      <c r="O1150" s="248"/>
    </row>
    <row r="1151">
      <c r="A1151" s="199"/>
      <c r="B1151" s="199"/>
      <c r="C1151" s="199"/>
      <c r="D1151" s="248"/>
      <c r="E1151" s="248"/>
      <c r="F1151" s="248"/>
      <c r="G1151" s="248"/>
      <c r="H1151" s="283"/>
      <c r="I1151" s="199"/>
      <c r="J1151" s="199"/>
      <c r="K1151" s="199"/>
      <c r="L1151" s="248"/>
      <c r="M1151" s="248"/>
      <c r="N1151" s="248"/>
      <c r="O1151" s="248"/>
    </row>
    <row r="1152">
      <c r="A1152" s="199"/>
      <c r="B1152" s="199"/>
      <c r="C1152" s="199"/>
      <c r="D1152" s="248"/>
      <c r="E1152" s="248"/>
      <c r="F1152" s="248"/>
      <c r="G1152" s="248"/>
      <c r="H1152" s="283"/>
      <c r="I1152" s="199"/>
      <c r="J1152" s="199"/>
      <c r="K1152" s="199"/>
      <c r="L1152" s="248"/>
      <c r="M1152" s="248"/>
      <c r="N1152" s="248"/>
      <c r="O1152" s="248"/>
    </row>
    <row r="1153">
      <c r="A1153" s="199"/>
      <c r="B1153" s="199"/>
      <c r="C1153" s="199"/>
      <c r="D1153" s="248"/>
      <c r="E1153" s="248"/>
      <c r="F1153" s="248"/>
      <c r="G1153" s="248"/>
      <c r="H1153" s="283"/>
      <c r="I1153" s="199"/>
      <c r="J1153" s="199"/>
      <c r="K1153" s="199"/>
      <c r="L1153" s="248"/>
      <c r="M1153" s="248"/>
      <c r="N1153" s="248"/>
      <c r="O1153" s="248"/>
    </row>
    <row r="1154">
      <c r="A1154" s="199"/>
      <c r="B1154" s="199"/>
      <c r="C1154" s="199"/>
      <c r="D1154" s="248"/>
      <c r="E1154" s="248"/>
      <c r="F1154" s="248"/>
      <c r="G1154" s="248"/>
      <c r="H1154" s="283"/>
      <c r="I1154" s="199"/>
      <c r="J1154" s="199"/>
      <c r="K1154" s="199"/>
      <c r="L1154" s="248"/>
      <c r="M1154" s="248"/>
      <c r="N1154" s="248"/>
      <c r="O1154" s="248"/>
    </row>
    <row r="1155">
      <c r="A1155" s="199"/>
      <c r="B1155" s="199"/>
      <c r="C1155" s="199"/>
      <c r="D1155" s="248"/>
      <c r="E1155" s="248"/>
      <c r="F1155" s="248"/>
      <c r="G1155" s="248"/>
      <c r="H1155" s="283"/>
      <c r="I1155" s="199"/>
      <c r="J1155" s="199"/>
      <c r="K1155" s="199"/>
      <c r="L1155" s="248"/>
      <c r="M1155" s="248"/>
      <c r="N1155" s="248"/>
      <c r="O1155" s="248"/>
    </row>
    <row r="1156">
      <c r="A1156" s="199"/>
      <c r="B1156" s="199"/>
      <c r="C1156" s="199"/>
      <c r="D1156" s="248"/>
      <c r="E1156" s="248"/>
      <c r="F1156" s="248"/>
      <c r="G1156" s="248"/>
      <c r="H1156" s="283"/>
      <c r="I1156" s="199"/>
      <c r="J1156" s="199"/>
      <c r="K1156" s="199"/>
      <c r="L1156" s="248"/>
      <c r="M1156" s="248"/>
      <c r="N1156" s="248"/>
      <c r="O1156" s="248"/>
    </row>
    <row r="1157">
      <c r="A1157" s="199"/>
      <c r="B1157" s="199"/>
      <c r="C1157" s="199"/>
      <c r="D1157" s="248"/>
      <c r="E1157" s="248"/>
      <c r="F1157" s="248"/>
      <c r="G1157" s="248"/>
      <c r="H1157" s="283"/>
      <c r="I1157" s="199"/>
      <c r="J1157" s="199"/>
      <c r="K1157" s="199"/>
      <c r="L1157" s="248"/>
      <c r="M1157" s="248"/>
      <c r="N1157" s="248"/>
      <c r="O1157" s="248"/>
    </row>
    <row r="1158">
      <c r="A1158" s="199"/>
      <c r="B1158" s="199"/>
      <c r="C1158" s="199"/>
      <c r="D1158" s="248"/>
      <c r="E1158" s="248"/>
      <c r="F1158" s="248"/>
      <c r="G1158" s="248"/>
      <c r="H1158" s="283"/>
      <c r="I1158" s="199"/>
      <c r="J1158" s="199"/>
      <c r="K1158" s="199"/>
      <c r="L1158" s="248"/>
      <c r="M1158" s="248"/>
      <c r="N1158" s="248"/>
      <c r="O1158" s="248"/>
    </row>
    <row r="1159">
      <c r="A1159" s="199"/>
      <c r="B1159" s="199"/>
      <c r="C1159" s="199"/>
      <c r="D1159" s="248"/>
      <c r="E1159" s="248"/>
      <c r="F1159" s="248"/>
      <c r="G1159" s="248"/>
      <c r="H1159" s="283"/>
      <c r="I1159" s="199"/>
      <c r="J1159" s="199"/>
      <c r="K1159" s="199"/>
      <c r="L1159" s="248"/>
      <c r="M1159" s="248"/>
      <c r="N1159" s="248"/>
      <c r="O1159" s="248"/>
    </row>
    <row r="1160">
      <c r="A1160" s="199"/>
      <c r="B1160" s="199"/>
      <c r="C1160" s="199"/>
      <c r="D1160" s="248"/>
      <c r="E1160" s="248"/>
      <c r="F1160" s="248"/>
      <c r="G1160" s="248"/>
      <c r="H1160" s="283"/>
      <c r="I1160" s="199"/>
      <c r="J1160" s="199"/>
      <c r="K1160" s="199"/>
      <c r="L1160" s="248"/>
      <c r="M1160" s="248"/>
      <c r="N1160" s="248"/>
      <c r="O1160" s="248"/>
    </row>
    <row r="1161">
      <c r="A1161" s="199"/>
      <c r="B1161" s="199"/>
      <c r="C1161" s="199"/>
      <c r="D1161" s="248"/>
      <c r="E1161" s="248"/>
      <c r="F1161" s="248"/>
      <c r="G1161" s="248"/>
      <c r="H1161" s="283"/>
      <c r="I1161" s="199"/>
      <c r="J1161" s="199"/>
      <c r="K1161" s="199"/>
      <c r="L1161" s="248"/>
      <c r="M1161" s="248"/>
      <c r="N1161" s="248"/>
      <c r="O1161" s="248"/>
    </row>
    <row r="1162">
      <c r="A1162" s="199"/>
      <c r="B1162" s="199"/>
      <c r="C1162" s="199"/>
      <c r="D1162" s="248"/>
      <c r="E1162" s="248"/>
      <c r="F1162" s="248"/>
      <c r="G1162" s="248"/>
      <c r="H1162" s="283"/>
      <c r="I1162" s="199"/>
      <c r="J1162" s="199"/>
      <c r="K1162" s="199"/>
      <c r="L1162" s="248"/>
      <c r="M1162" s="248"/>
      <c r="N1162" s="248"/>
      <c r="O1162" s="248"/>
    </row>
    <row r="1163">
      <c r="A1163" s="199"/>
      <c r="B1163" s="199"/>
      <c r="C1163" s="199"/>
      <c r="D1163" s="248"/>
      <c r="E1163" s="248"/>
      <c r="F1163" s="248"/>
      <c r="G1163" s="248"/>
      <c r="H1163" s="283"/>
      <c r="I1163" s="199"/>
      <c r="J1163" s="199"/>
      <c r="K1163" s="199"/>
      <c r="L1163" s="248"/>
      <c r="M1163" s="248"/>
      <c r="N1163" s="248"/>
      <c r="O1163" s="248"/>
    </row>
    <row r="1164">
      <c r="A1164" s="199"/>
      <c r="B1164" s="199"/>
      <c r="C1164" s="199"/>
      <c r="D1164" s="248"/>
      <c r="E1164" s="248"/>
      <c r="F1164" s="248"/>
      <c r="G1164" s="248"/>
      <c r="H1164" s="283"/>
      <c r="I1164" s="199"/>
      <c r="J1164" s="199"/>
      <c r="K1164" s="199"/>
      <c r="L1164" s="248"/>
      <c r="M1164" s="248"/>
      <c r="N1164" s="248"/>
      <c r="O1164" s="248"/>
    </row>
    <row r="1165">
      <c r="A1165" s="199"/>
      <c r="B1165" s="199"/>
      <c r="C1165" s="199"/>
      <c r="D1165" s="248"/>
      <c r="E1165" s="248"/>
      <c r="F1165" s="248"/>
      <c r="G1165" s="248"/>
      <c r="H1165" s="283"/>
      <c r="I1165" s="199"/>
      <c r="J1165" s="199"/>
      <c r="K1165" s="199"/>
      <c r="L1165" s="248"/>
      <c r="M1165" s="248"/>
      <c r="N1165" s="248"/>
      <c r="O1165" s="248"/>
    </row>
    <row r="1166">
      <c r="A1166" s="199"/>
      <c r="B1166" s="199"/>
      <c r="C1166" s="199"/>
      <c r="D1166" s="248"/>
      <c r="E1166" s="248"/>
      <c r="F1166" s="248"/>
      <c r="G1166" s="248"/>
      <c r="H1166" s="283"/>
      <c r="I1166" s="199"/>
      <c r="J1166" s="199"/>
      <c r="K1166" s="199"/>
      <c r="L1166" s="248"/>
      <c r="M1166" s="248"/>
      <c r="N1166" s="248"/>
      <c r="O1166" s="248"/>
    </row>
    <row r="1167">
      <c r="A1167" s="199"/>
      <c r="B1167" s="199"/>
      <c r="C1167" s="199"/>
      <c r="D1167" s="248"/>
      <c r="E1167" s="248"/>
      <c r="F1167" s="248"/>
      <c r="G1167" s="248"/>
      <c r="H1167" s="283"/>
      <c r="I1167" s="199"/>
      <c r="J1167" s="199"/>
      <c r="K1167" s="199"/>
      <c r="L1167" s="248"/>
      <c r="M1167" s="248"/>
      <c r="N1167" s="248"/>
      <c r="O1167" s="248"/>
    </row>
    <row r="1168">
      <c r="A1168" s="199"/>
      <c r="B1168" s="199"/>
      <c r="C1168" s="199"/>
      <c r="D1168" s="248"/>
      <c r="E1168" s="248"/>
      <c r="F1168" s="248"/>
      <c r="G1168" s="248"/>
      <c r="H1168" s="283"/>
      <c r="I1168" s="199"/>
      <c r="J1168" s="199"/>
      <c r="K1168" s="199"/>
      <c r="L1168" s="248"/>
      <c r="M1168" s="248"/>
      <c r="N1168" s="248"/>
      <c r="O1168" s="248"/>
    </row>
    <row r="1169">
      <c r="A1169" s="199"/>
      <c r="B1169" s="199"/>
      <c r="C1169" s="199"/>
      <c r="D1169" s="248"/>
      <c r="E1169" s="248"/>
      <c r="F1169" s="248"/>
      <c r="G1169" s="248"/>
      <c r="H1169" s="283"/>
      <c r="I1169" s="199"/>
      <c r="J1169" s="199"/>
      <c r="K1169" s="199"/>
      <c r="L1169" s="248"/>
      <c r="M1169" s="248"/>
      <c r="N1169" s="248"/>
      <c r="O1169" s="248"/>
    </row>
    <row r="1170">
      <c r="A1170" s="199"/>
      <c r="B1170" s="199"/>
      <c r="C1170" s="199"/>
      <c r="D1170" s="248"/>
      <c r="E1170" s="248"/>
      <c r="F1170" s="248"/>
      <c r="G1170" s="248"/>
      <c r="H1170" s="283"/>
      <c r="I1170" s="199"/>
      <c r="J1170" s="199"/>
      <c r="K1170" s="199"/>
      <c r="L1170" s="248"/>
      <c r="M1170" s="248"/>
      <c r="N1170" s="248"/>
      <c r="O1170" s="248"/>
    </row>
    <row r="1171">
      <c r="A1171" s="199"/>
      <c r="B1171" s="199"/>
      <c r="C1171" s="199"/>
      <c r="D1171" s="248"/>
      <c r="E1171" s="248"/>
      <c r="F1171" s="248"/>
      <c r="G1171" s="248"/>
      <c r="H1171" s="283"/>
      <c r="I1171" s="199"/>
      <c r="J1171" s="199"/>
      <c r="K1171" s="199"/>
      <c r="L1171" s="248"/>
      <c r="M1171" s="248"/>
      <c r="N1171" s="248"/>
      <c r="O1171" s="248"/>
    </row>
    <row r="1172">
      <c r="A1172" s="199"/>
      <c r="B1172" s="199"/>
      <c r="C1172" s="199"/>
      <c r="D1172" s="248"/>
      <c r="E1172" s="248"/>
      <c r="F1172" s="248"/>
      <c r="G1172" s="248"/>
      <c r="H1172" s="283"/>
      <c r="I1172" s="199"/>
      <c r="J1172" s="199"/>
      <c r="K1172" s="199"/>
      <c r="L1172" s="248"/>
      <c r="M1172" s="248"/>
      <c r="N1172" s="248"/>
      <c r="O1172" s="248"/>
    </row>
    <row r="1173">
      <c r="A1173" s="199"/>
      <c r="B1173" s="199"/>
      <c r="C1173" s="199"/>
      <c r="D1173" s="248"/>
      <c r="E1173" s="248"/>
      <c r="F1173" s="248"/>
      <c r="G1173" s="248"/>
      <c r="H1173" s="283"/>
      <c r="I1173" s="199"/>
      <c r="J1173" s="199"/>
      <c r="K1173" s="199"/>
      <c r="L1173" s="248"/>
      <c r="M1173" s="248"/>
      <c r="N1173" s="248"/>
      <c r="O1173" s="248"/>
    </row>
    <row r="1174">
      <c r="A1174" s="199"/>
      <c r="B1174" s="199"/>
      <c r="C1174" s="199"/>
      <c r="D1174" s="248"/>
      <c r="E1174" s="248"/>
      <c r="F1174" s="248"/>
      <c r="G1174" s="248"/>
      <c r="H1174" s="283"/>
      <c r="I1174" s="199"/>
      <c r="J1174" s="199"/>
      <c r="K1174" s="199"/>
      <c r="L1174" s="248"/>
      <c r="M1174" s="248"/>
      <c r="N1174" s="248"/>
      <c r="O1174" s="248"/>
    </row>
    <row r="1175">
      <c r="A1175" s="199"/>
      <c r="B1175" s="199"/>
      <c r="C1175" s="199"/>
      <c r="D1175" s="248"/>
      <c r="E1175" s="248"/>
      <c r="F1175" s="248"/>
      <c r="G1175" s="248"/>
      <c r="H1175" s="283"/>
      <c r="I1175" s="199"/>
      <c r="J1175" s="199"/>
      <c r="K1175" s="199"/>
      <c r="L1175" s="248"/>
      <c r="M1175" s="248"/>
      <c r="N1175" s="248"/>
      <c r="O1175" s="248"/>
    </row>
    <row r="1176">
      <c r="A1176" s="199"/>
      <c r="B1176" s="199"/>
      <c r="C1176" s="199"/>
      <c r="D1176" s="248"/>
      <c r="E1176" s="248"/>
      <c r="F1176" s="248"/>
      <c r="G1176" s="248"/>
      <c r="H1176" s="283"/>
      <c r="I1176" s="199"/>
      <c r="J1176" s="199"/>
      <c r="K1176" s="199"/>
      <c r="L1176" s="248"/>
      <c r="M1176" s="248"/>
      <c r="N1176" s="248"/>
      <c r="O1176" s="248"/>
    </row>
    <row r="1177">
      <c r="A1177" s="199"/>
      <c r="B1177" s="199"/>
      <c r="C1177" s="199"/>
      <c r="D1177" s="248"/>
      <c r="E1177" s="248"/>
      <c r="F1177" s="248"/>
      <c r="G1177" s="248"/>
      <c r="H1177" s="283"/>
      <c r="I1177" s="199"/>
      <c r="J1177" s="199"/>
      <c r="K1177" s="199"/>
      <c r="L1177" s="248"/>
      <c r="M1177" s="248"/>
      <c r="N1177" s="248"/>
      <c r="O1177" s="248"/>
    </row>
    <row r="1178">
      <c r="A1178" s="199"/>
      <c r="B1178" s="199"/>
      <c r="C1178" s="199"/>
      <c r="D1178" s="248"/>
      <c r="E1178" s="248"/>
      <c r="F1178" s="248"/>
      <c r="G1178" s="248"/>
      <c r="H1178" s="283"/>
      <c r="I1178" s="199"/>
      <c r="J1178" s="199"/>
      <c r="K1178" s="199"/>
      <c r="L1178" s="248"/>
      <c r="M1178" s="248"/>
      <c r="N1178" s="248"/>
      <c r="O1178" s="248"/>
    </row>
    <row r="1179">
      <c r="A1179" s="199"/>
      <c r="B1179" s="199"/>
      <c r="C1179" s="199"/>
      <c r="D1179" s="248"/>
      <c r="E1179" s="248"/>
      <c r="F1179" s="248"/>
      <c r="G1179" s="248"/>
      <c r="H1179" s="283"/>
      <c r="I1179" s="199"/>
      <c r="J1179" s="199"/>
      <c r="K1179" s="199"/>
      <c r="L1179" s="248"/>
      <c r="M1179" s="248"/>
      <c r="N1179" s="248"/>
      <c r="O1179" s="248"/>
    </row>
    <row r="1180">
      <c r="A1180" s="199"/>
      <c r="B1180" s="199"/>
      <c r="C1180" s="199"/>
      <c r="D1180" s="248"/>
      <c r="E1180" s="248"/>
      <c r="F1180" s="248"/>
      <c r="G1180" s="248"/>
      <c r="H1180" s="283"/>
      <c r="I1180" s="199"/>
      <c r="J1180" s="199"/>
      <c r="K1180" s="199"/>
      <c r="L1180" s="248"/>
      <c r="M1180" s="248"/>
      <c r="N1180" s="248"/>
      <c r="O1180" s="248"/>
    </row>
    <row r="1181">
      <c r="A1181" s="199"/>
      <c r="B1181" s="199"/>
      <c r="C1181" s="199"/>
      <c r="D1181" s="248"/>
      <c r="E1181" s="248"/>
      <c r="F1181" s="248"/>
      <c r="G1181" s="248"/>
      <c r="H1181" s="283"/>
      <c r="I1181" s="199"/>
      <c r="J1181" s="199"/>
      <c r="K1181" s="199"/>
      <c r="L1181" s="248"/>
      <c r="M1181" s="248"/>
      <c r="N1181" s="248"/>
      <c r="O1181" s="248"/>
    </row>
    <row r="1182">
      <c r="A1182" s="199"/>
      <c r="B1182" s="199"/>
      <c r="C1182" s="199"/>
      <c r="D1182" s="248"/>
      <c r="E1182" s="248"/>
      <c r="F1182" s="248"/>
      <c r="G1182" s="248"/>
      <c r="H1182" s="283"/>
      <c r="I1182" s="199"/>
      <c r="J1182" s="199"/>
      <c r="K1182" s="199"/>
      <c r="L1182" s="248"/>
      <c r="M1182" s="248"/>
      <c r="N1182" s="248"/>
      <c r="O1182" s="248"/>
    </row>
    <row r="1183">
      <c r="A1183" s="199"/>
      <c r="B1183" s="199"/>
      <c r="C1183" s="199"/>
      <c r="D1183" s="248"/>
      <c r="E1183" s="248"/>
      <c r="F1183" s="248"/>
      <c r="G1183" s="248"/>
      <c r="H1183" s="283"/>
      <c r="I1183" s="199"/>
      <c r="J1183" s="199"/>
      <c r="K1183" s="199"/>
      <c r="L1183" s="248"/>
      <c r="M1183" s="248"/>
      <c r="N1183" s="248"/>
      <c r="O1183" s="248"/>
    </row>
    <row r="1184">
      <c r="A1184" s="199"/>
      <c r="B1184" s="199"/>
      <c r="C1184" s="199"/>
      <c r="D1184" s="248"/>
      <c r="E1184" s="248"/>
      <c r="F1184" s="248"/>
      <c r="G1184" s="248"/>
      <c r="H1184" s="283"/>
      <c r="I1184" s="199"/>
      <c r="J1184" s="199"/>
      <c r="K1184" s="199"/>
      <c r="L1184" s="248"/>
      <c r="M1184" s="248"/>
      <c r="N1184" s="248"/>
      <c r="O1184" s="248"/>
    </row>
    <row r="1185">
      <c r="A1185" s="199"/>
      <c r="B1185" s="199"/>
      <c r="C1185" s="199"/>
      <c r="D1185" s="248"/>
      <c r="E1185" s="248"/>
      <c r="F1185" s="248"/>
      <c r="G1185" s="248"/>
      <c r="H1185" s="283"/>
      <c r="I1185" s="199"/>
      <c r="J1185" s="199"/>
      <c r="K1185" s="199"/>
      <c r="L1185" s="248"/>
      <c r="M1185" s="248"/>
      <c r="N1185" s="248"/>
      <c r="O1185" s="248"/>
    </row>
    <row r="1186">
      <c r="A1186" s="199"/>
      <c r="B1186" s="199"/>
      <c r="C1186" s="199"/>
      <c r="D1186" s="248"/>
      <c r="E1186" s="248"/>
      <c r="F1186" s="248"/>
      <c r="G1186" s="248"/>
      <c r="H1186" s="283"/>
      <c r="I1186" s="199"/>
      <c r="J1186" s="199"/>
      <c r="K1186" s="199"/>
      <c r="L1186" s="248"/>
      <c r="M1186" s="248"/>
      <c r="N1186" s="248"/>
      <c r="O1186" s="248"/>
    </row>
    <row r="1187">
      <c r="A1187" s="199"/>
      <c r="B1187" s="199"/>
      <c r="C1187" s="199"/>
      <c r="D1187" s="248"/>
      <c r="E1187" s="248"/>
      <c r="F1187" s="248"/>
      <c r="G1187" s="248"/>
      <c r="H1187" s="283"/>
      <c r="I1187" s="199"/>
      <c r="J1187" s="199"/>
      <c r="K1187" s="199"/>
      <c r="L1187" s="248"/>
      <c r="M1187" s="248"/>
      <c r="N1187" s="248"/>
      <c r="O1187" s="248"/>
    </row>
    <row r="1188">
      <c r="A1188" s="199"/>
      <c r="B1188" s="199"/>
      <c r="C1188" s="199"/>
      <c r="D1188" s="248"/>
      <c r="E1188" s="248"/>
      <c r="F1188" s="248"/>
      <c r="G1188" s="248"/>
      <c r="H1188" s="283"/>
      <c r="I1188" s="199"/>
      <c r="J1188" s="199"/>
      <c r="K1188" s="199"/>
      <c r="L1188" s="248"/>
      <c r="M1188" s="248"/>
      <c r="N1188" s="248"/>
      <c r="O1188" s="248"/>
    </row>
    <row r="1189">
      <c r="A1189" s="199"/>
      <c r="B1189" s="199"/>
      <c r="C1189" s="199"/>
      <c r="D1189" s="248"/>
      <c r="E1189" s="248"/>
      <c r="F1189" s="248"/>
      <c r="G1189" s="248"/>
      <c r="H1189" s="283"/>
      <c r="I1189" s="199"/>
      <c r="J1189" s="199"/>
      <c r="K1189" s="199"/>
      <c r="L1189" s="248"/>
      <c r="M1189" s="248"/>
      <c r="N1189" s="248"/>
      <c r="O1189" s="248"/>
    </row>
    <row r="1190">
      <c r="A1190" s="199"/>
      <c r="B1190" s="199"/>
      <c r="C1190" s="199"/>
      <c r="D1190" s="248"/>
      <c r="E1190" s="248"/>
      <c r="F1190" s="248"/>
      <c r="G1190" s="248"/>
      <c r="H1190" s="283"/>
      <c r="I1190" s="199"/>
      <c r="J1190" s="199"/>
      <c r="K1190" s="199"/>
      <c r="L1190" s="248"/>
      <c r="M1190" s="248"/>
      <c r="N1190" s="248"/>
      <c r="O1190" s="248"/>
    </row>
    <row r="1191">
      <c r="A1191" s="199"/>
      <c r="B1191" s="199"/>
      <c r="C1191" s="199"/>
      <c r="D1191" s="248"/>
      <c r="E1191" s="248"/>
      <c r="F1191" s="248"/>
      <c r="G1191" s="248"/>
      <c r="H1191" s="283"/>
      <c r="I1191" s="199"/>
      <c r="J1191" s="199"/>
      <c r="K1191" s="199"/>
      <c r="L1191" s="248"/>
      <c r="M1191" s="248"/>
      <c r="N1191" s="248"/>
      <c r="O1191" s="248"/>
    </row>
    <row r="1192">
      <c r="A1192" s="199"/>
      <c r="B1192" s="199"/>
      <c r="C1192" s="199"/>
      <c r="D1192" s="248"/>
      <c r="E1192" s="248"/>
      <c r="F1192" s="248"/>
      <c r="G1192" s="248"/>
      <c r="H1192" s="283"/>
      <c r="I1192" s="199"/>
      <c r="J1192" s="199"/>
      <c r="K1192" s="199"/>
      <c r="L1192" s="248"/>
      <c r="M1192" s="248"/>
      <c r="N1192" s="248"/>
      <c r="O1192" s="248"/>
    </row>
    <row r="1193">
      <c r="A1193" s="199"/>
      <c r="B1193" s="199"/>
      <c r="C1193" s="199"/>
      <c r="D1193" s="248"/>
      <c r="E1193" s="248"/>
      <c r="F1193" s="248"/>
      <c r="G1193" s="248"/>
      <c r="H1193" s="283"/>
      <c r="I1193" s="199"/>
      <c r="J1193" s="199"/>
      <c r="K1193" s="199"/>
      <c r="L1193" s="248"/>
      <c r="M1193" s="248"/>
      <c r="N1193" s="248"/>
      <c r="O1193" s="248"/>
    </row>
    <row r="1194">
      <c r="A1194" s="199"/>
      <c r="B1194" s="199"/>
      <c r="C1194" s="199"/>
      <c r="D1194" s="248"/>
      <c r="E1194" s="248"/>
      <c r="F1194" s="248"/>
      <c r="G1194" s="248"/>
      <c r="H1194" s="283"/>
      <c r="I1194" s="199"/>
      <c r="J1194" s="199"/>
      <c r="K1194" s="199"/>
      <c r="L1194" s="248"/>
      <c r="M1194" s="248"/>
      <c r="N1194" s="248"/>
      <c r="O1194" s="248"/>
    </row>
    <row r="1195">
      <c r="A1195" s="199"/>
      <c r="B1195" s="199"/>
      <c r="C1195" s="199"/>
      <c r="D1195" s="248"/>
      <c r="E1195" s="248"/>
      <c r="F1195" s="248"/>
      <c r="G1195" s="248"/>
      <c r="H1195" s="283"/>
      <c r="I1195" s="199"/>
      <c r="J1195" s="199"/>
      <c r="K1195" s="199"/>
      <c r="L1195" s="248"/>
      <c r="M1195" s="248"/>
      <c r="N1195" s="248"/>
      <c r="O1195" s="248"/>
    </row>
    <row r="1196">
      <c r="A1196" s="199"/>
      <c r="B1196" s="199"/>
      <c r="C1196" s="199"/>
      <c r="D1196" s="248"/>
      <c r="E1196" s="248"/>
      <c r="F1196" s="248"/>
      <c r="G1196" s="248"/>
      <c r="H1196" s="283"/>
      <c r="I1196" s="199"/>
      <c r="J1196" s="199"/>
      <c r="K1196" s="199"/>
      <c r="L1196" s="248"/>
      <c r="M1196" s="248"/>
      <c r="N1196" s="248"/>
      <c r="O1196" s="248"/>
    </row>
    <row r="1197">
      <c r="A1197" s="199"/>
      <c r="B1197" s="199"/>
      <c r="C1197" s="199"/>
      <c r="D1197" s="248"/>
      <c r="E1197" s="248"/>
      <c r="F1197" s="248"/>
      <c r="G1197" s="248"/>
      <c r="H1197" s="283"/>
      <c r="I1197" s="199"/>
      <c r="J1197" s="199"/>
      <c r="K1197" s="199"/>
      <c r="L1197" s="248"/>
      <c r="M1197" s="248"/>
      <c r="N1197" s="248"/>
      <c r="O1197" s="248"/>
    </row>
    <row r="1198">
      <c r="A1198" s="199"/>
      <c r="B1198" s="199"/>
      <c r="C1198" s="199"/>
      <c r="D1198" s="248"/>
      <c r="E1198" s="248"/>
      <c r="F1198" s="248"/>
      <c r="G1198" s="248"/>
      <c r="H1198" s="283"/>
      <c r="I1198" s="199"/>
      <c r="J1198" s="199"/>
      <c r="K1198" s="199"/>
      <c r="L1198" s="248"/>
      <c r="M1198" s="248"/>
      <c r="N1198" s="248"/>
      <c r="O1198" s="248"/>
    </row>
    <row r="1199">
      <c r="A1199" s="199"/>
      <c r="B1199" s="199"/>
      <c r="C1199" s="199"/>
      <c r="D1199" s="248"/>
      <c r="E1199" s="248"/>
      <c r="F1199" s="248"/>
      <c r="G1199" s="248"/>
      <c r="H1199" s="283"/>
      <c r="I1199" s="199"/>
      <c r="J1199" s="199"/>
      <c r="K1199" s="199"/>
      <c r="L1199" s="248"/>
      <c r="M1199" s="248"/>
      <c r="N1199" s="248"/>
      <c r="O1199" s="248"/>
    </row>
    <row r="1200">
      <c r="A1200" s="199"/>
      <c r="B1200" s="199"/>
      <c r="C1200" s="199"/>
      <c r="D1200" s="248"/>
      <c r="E1200" s="248"/>
      <c r="F1200" s="248"/>
      <c r="G1200" s="248"/>
      <c r="H1200" s="283"/>
      <c r="I1200" s="199"/>
      <c r="J1200" s="199"/>
      <c r="K1200" s="199"/>
      <c r="L1200" s="248"/>
      <c r="M1200" s="248"/>
      <c r="N1200" s="248"/>
      <c r="O1200" s="248"/>
    </row>
    <row r="1201">
      <c r="A1201" s="199"/>
      <c r="B1201" s="199"/>
      <c r="C1201" s="199"/>
      <c r="D1201" s="248"/>
      <c r="E1201" s="248"/>
      <c r="F1201" s="248"/>
      <c r="G1201" s="248"/>
      <c r="H1201" s="283"/>
      <c r="I1201" s="199"/>
      <c r="J1201" s="199"/>
      <c r="K1201" s="199"/>
      <c r="L1201" s="248"/>
      <c r="M1201" s="248"/>
      <c r="N1201" s="248"/>
      <c r="O1201" s="248"/>
    </row>
    <row r="1202">
      <c r="A1202" s="199"/>
      <c r="B1202" s="199"/>
      <c r="C1202" s="199"/>
      <c r="D1202" s="248"/>
      <c r="E1202" s="248"/>
      <c r="F1202" s="248"/>
      <c r="G1202" s="248"/>
      <c r="H1202" s="283"/>
      <c r="I1202" s="199"/>
      <c r="J1202" s="199"/>
      <c r="K1202" s="199"/>
      <c r="L1202" s="248"/>
      <c r="M1202" s="248"/>
      <c r="N1202" s="248"/>
      <c r="O1202" s="248"/>
    </row>
    <row r="1203">
      <c r="A1203" s="199"/>
      <c r="B1203" s="199"/>
      <c r="C1203" s="199"/>
      <c r="D1203" s="248"/>
      <c r="E1203" s="248"/>
      <c r="F1203" s="248"/>
      <c r="G1203" s="248"/>
      <c r="H1203" s="283"/>
      <c r="I1203" s="199"/>
      <c r="J1203" s="199"/>
      <c r="K1203" s="199"/>
      <c r="L1203" s="248"/>
      <c r="M1203" s="248"/>
      <c r="N1203" s="248"/>
      <c r="O1203" s="248"/>
    </row>
    <row r="1204">
      <c r="A1204" s="199"/>
      <c r="B1204" s="199"/>
      <c r="C1204" s="199"/>
      <c r="D1204" s="248"/>
      <c r="E1204" s="248"/>
      <c r="F1204" s="248"/>
      <c r="G1204" s="248"/>
      <c r="H1204" s="283"/>
      <c r="I1204" s="199"/>
      <c r="J1204" s="199"/>
      <c r="K1204" s="199"/>
      <c r="L1204" s="248"/>
      <c r="M1204" s="248"/>
      <c r="N1204" s="248"/>
      <c r="O1204" s="248"/>
    </row>
    <row r="1205">
      <c r="A1205" s="199"/>
      <c r="B1205" s="199"/>
      <c r="C1205" s="199"/>
      <c r="D1205" s="248"/>
      <c r="E1205" s="248"/>
      <c r="F1205" s="248"/>
      <c r="G1205" s="248"/>
      <c r="H1205" s="283"/>
      <c r="I1205" s="199"/>
      <c r="J1205" s="199"/>
      <c r="K1205" s="199"/>
      <c r="L1205" s="248"/>
      <c r="M1205" s="248"/>
      <c r="N1205" s="248"/>
      <c r="O1205" s="248"/>
    </row>
    <row r="1206">
      <c r="A1206" s="199"/>
      <c r="B1206" s="199"/>
      <c r="C1206" s="199"/>
      <c r="D1206" s="248"/>
      <c r="E1206" s="248"/>
      <c r="F1206" s="248"/>
      <c r="G1206" s="248"/>
      <c r="H1206" s="283"/>
      <c r="I1206" s="199"/>
      <c r="J1206" s="199"/>
      <c r="K1206" s="199"/>
      <c r="L1206" s="248"/>
      <c r="M1206" s="248"/>
      <c r="N1206" s="248"/>
      <c r="O1206" s="248"/>
    </row>
    <row r="1207">
      <c r="A1207" s="199"/>
      <c r="B1207" s="199"/>
      <c r="C1207" s="199"/>
      <c r="D1207" s="248"/>
      <c r="E1207" s="248"/>
      <c r="F1207" s="248"/>
      <c r="G1207" s="248"/>
      <c r="H1207" s="283"/>
      <c r="I1207" s="199"/>
      <c r="J1207" s="199"/>
      <c r="K1207" s="199"/>
      <c r="L1207" s="248"/>
      <c r="M1207" s="248"/>
      <c r="N1207" s="248"/>
      <c r="O1207" s="248"/>
    </row>
    <row r="1208">
      <c r="A1208" s="199"/>
      <c r="B1208" s="199"/>
      <c r="C1208" s="199"/>
      <c r="D1208" s="248"/>
      <c r="E1208" s="248"/>
      <c r="F1208" s="248"/>
      <c r="G1208" s="248"/>
      <c r="H1208" s="283"/>
      <c r="I1208" s="199"/>
      <c r="J1208" s="199"/>
      <c r="K1208" s="199"/>
      <c r="L1208" s="248"/>
      <c r="M1208" s="248"/>
      <c r="N1208" s="248"/>
      <c r="O1208" s="248"/>
    </row>
    <row r="1209">
      <c r="A1209" s="199"/>
      <c r="B1209" s="199"/>
      <c r="C1209" s="199"/>
      <c r="D1209" s="248"/>
      <c r="E1209" s="248"/>
      <c r="F1209" s="248"/>
      <c r="G1209" s="248"/>
      <c r="H1209" s="283"/>
      <c r="I1209" s="199"/>
      <c r="J1209" s="199"/>
      <c r="K1209" s="199"/>
      <c r="L1209" s="248"/>
      <c r="M1209" s="248"/>
      <c r="N1209" s="248"/>
      <c r="O1209" s="248"/>
    </row>
    <row r="1210">
      <c r="A1210" s="199"/>
      <c r="B1210" s="199"/>
      <c r="C1210" s="199"/>
      <c r="D1210" s="248"/>
      <c r="E1210" s="248"/>
      <c r="F1210" s="248"/>
      <c r="G1210" s="248"/>
      <c r="H1210" s="283"/>
      <c r="I1210" s="199"/>
      <c r="J1210" s="199"/>
      <c r="K1210" s="199"/>
      <c r="L1210" s="248"/>
      <c r="M1210" s="248"/>
      <c r="N1210" s="248"/>
      <c r="O1210" s="248"/>
    </row>
    <row r="1211">
      <c r="A1211" s="199"/>
      <c r="B1211" s="199"/>
      <c r="C1211" s="199"/>
      <c r="D1211" s="248"/>
      <c r="E1211" s="248"/>
      <c r="F1211" s="248"/>
      <c r="G1211" s="248"/>
      <c r="H1211" s="283"/>
      <c r="I1211" s="199"/>
      <c r="J1211" s="199"/>
      <c r="K1211" s="199"/>
      <c r="L1211" s="248"/>
      <c r="M1211" s="248"/>
      <c r="N1211" s="248"/>
      <c r="O1211" s="248"/>
    </row>
    <row r="1212">
      <c r="A1212" s="199"/>
      <c r="B1212" s="199"/>
      <c r="C1212" s="199"/>
      <c r="D1212" s="248"/>
      <c r="E1212" s="248"/>
      <c r="F1212" s="248"/>
      <c r="G1212" s="248"/>
      <c r="H1212" s="283"/>
      <c r="I1212" s="199"/>
      <c r="J1212" s="199"/>
      <c r="K1212" s="199"/>
      <c r="L1212" s="248"/>
      <c r="M1212" s="248"/>
      <c r="N1212" s="248"/>
      <c r="O1212" s="248"/>
    </row>
    <row r="1213">
      <c r="A1213" s="199"/>
      <c r="B1213" s="199"/>
      <c r="C1213" s="199"/>
      <c r="D1213" s="248"/>
      <c r="E1213" s="248"/>
      <c r="F1213" s="248"/>
      <c r="G1213" s="248"/>
      <c r="H1213" s="283"/>
      <c r="I1213" s="199"/>
      <c r="J1213" s="199"/>
      <c r="K1213" s="199"/>
      <c r="L1213" s="248"/>
      <c r="M1213" s="248"/>
      <c r="N1213" s="248"/>
      <c r="O1213" s="248"/>
    </row>
    <row r="1214">
      <c r="A1214" s="199"/>
      <c r="B1214" s="199"/>
      <c r="C1214" s="199"/>
      <c r="D1214" s="248"/>
      <c r="E1214" s="248"/>
      <c r="F1214" s="248"/>
      <c r="G1214" s="248"/>
      <c r="H1214" s="283"/>
      <c r="I1214" s="199"/>
      <c r="J1214" s="199"/>
      <c r="K1214" s="199"/>
      <c r="L1214" s="248"/>
      <c r="M1214" s="248"/>
      <c r="N1214" s="248"/>
      <c r="O1214" s="248"/>
    </row>
    <row r="1215">
      <c r="A1215" s="199"/>
      <c r="B1215" s="199"/>
      <c r="C1215" s="199"/>
      <c r="D1215" s="248"/>
      <c r="E1215" s="248"/>
      <c r="F1215" s="248"/>
      <c r="G1215" s="248"/>
      <c r="H1215" s="283"/>
      <c r="I1215" s="199"/>
      <c r="J1215" s="199"/>
      <c r="K1215" s="199"/>
      <c r="L1215" s="248"/>
      <c r="M1215" s="248"/>
      <c r="N1215" s="248"/>
      <c r="O1215" s="248"/>
    </row>
    <row r="1216">
      <c r="A1216" s="199"/>
      <c r="B1216" s="199"/>
      <c r="C1216" s="199"/>
      <c r="D1216" s="248"/>
      <c r="E1216" s="248"/>
      <c r="F1216" s="248"/>
      <c r="G1216" s="248"/>
      <c r="H1216" s="283"/>
      <c r="I1216" s="199"/>
      <c r="J1216" s="199"/>
      <c r="K1216" s="199"/>
      <c r="L1216" s="248"/>
      <c r="M1216" s="248"/>
      <c r="N1216" s="248"/>
      <c r="O1216" s="248"/>
    </row>
    <row r="1217">
      <c r="A1217" s="199"/>
      <c r="B1217" s="199"/>
      <c r="C1217" s="199"/>
      <c r="D1217" s="248"/>
      <c r="E1217" s="248"/>
      <c r="F1217" s="248"/>
      <c r="G1217" s="248"/>
      <c r="H1217" s="283"/>
      <c r="I1217" s="199"/>
      <c r="J1217" s="199"/>
      <c r="K1217" s="199"/>
      <c r="L1217" s="248"/>
      <c r="M1217" s="248"/>
      <c r="N1217" s="248"/>
      <c r="O1217" s="248"/>
    </row>
    <row r="1218">
      <c r="A1218" s="199"/>
      <c r="B1218" s="199"/>
      <c r="C1218" s="199"/>
      <c r="D1218" s="248"/>
      <c r="E1218" s="248"/>
      <c r="F1218" s="248"/>
      <c r="G1218" s="248"/>
      <c r="H1218" s="283"/>
      <c r="I1218" s="199"/>
      <c r="J1218" s="199"/>
      <c r="K1218" s="199"/>
      <c r="L1218" s="248"/>
      <c r="M1218" s="248"/>
      <c r="N1218" s="248"/>
      <c r="O1218" s="248"/>
    </row>
    <row r="1219">
      <c r="A1219" s="199"/>
      <c r="B1219" s="199"/>
      <c r="C1219" s="199"/>
      <c r="D1219" s="248"/>
      <c r="E1219" s="248"/>
      <c r="F1219" s="248"/>
      <c r="G1219" s="248"/>
      <c r="H1219" s="283"/>
      <c r="I1219" s="199"/>
      <c r="J1219" s="199"/>
      <c r="K1219" s="199"/>
      <c r="L1219" s="248"/>
      <c r="M1219" s="248"/>
      <c r="N1219" s="248"/>
      <c r="O1219" s="248"/>
    </row>
    <row r="1220">
      <c r="A1220" s="199"/>
      <c r="B1220" s="199"/>
      <c r="C1220" s="199"/>
      <c r="D1220" s="248"/>
      <c r="E1220" s="248"/>
      <c r="F1220" s="248"/>
      <c r="G1220" s="248"/>
      <c r="H1220" s="283"/>
      <c r="I1220" s="199"/>
      <c r="J1220" s="199"/>
      <c r="K1220" s="199"/>
      <c r="L1220" s="248"/>
      <c r="M1220" s="248"/>
      <c r="N1220" s="248"/>
      <c r="O1220" s="248"/>
    </row>
    <row r="1221">
      <c r="A1221" s="199"/>
      <c r="B1221" s="199"/>
      <c r="C1221" s="199"/>
      <c r="D1221" s="248"/>
      <c r="E1221" s="248"/>
      <c r="F1221" s="248"/>
      <c r="G1221" s="248"/>
      <c r="H1221" s="283"/>
      <c r="I1221" s="199"/>
      <c r="J1221" s="199"/>
      <c r="K1221" s="199"/>
      <c r="L1221" s="248"/>
      <c r="M1221" s="248"/>
      <c r="N1221" s="248"/>
      <c r="O1221" s="248"/>
    </row>
    <row r="1222">
      <c r="A1222" s="199"/>
      <c r="B1222" s="199"/>
      <c r="C1222" s="199"/>
      <c r="D1222" s="248"/>
      <c r="E1222" s="248"/>
      <c r="F1222" s="248"/>
      <c r="G1222" s="248"/>
      <c r="H1222" s="283"/>
      <c r="I1222" s="199"/>
      <c r="J1222" s="199"/>
      <c r="K1222" s="199"/>
      <c r="L1222" s="248"/>
      <c r="M1222" s="248"/>
      <c r="N1222" s="248"/>
      <c r="O1222" s="248"/>
    </row>
    <row r="1223">
      <c r="A1223" s="199"/>
      <c r="B1223" s="199"/>
      <c r="C1223" s="199"/>
      <c r="D1223" s="248"/>
      <c r="E1223" s="248"/>
      <c r="F1223" s="248"/>
      <c r="G1223" s="248"/>
      <c r="H1223" s="283"/>
      <c r="I1223" s="199"/>
      <c r="J1223" s="199"/>
      <c r="K1223" s="199"/>
      <c r="L1223" s="248"/>
      <c r="M1223" s="248"/>
      <c r="N1223" s="248"/>
      <c r="O1223" s="248"/>
    </row>
    <row r="1224">
      <c r="A1224" s="199"/>
      <c r="B1224" s="199"/>
      <c r="C1224" s="199"/>
      <c r="D1224" s="248"/>
      <c r="E1224" s="248"/>
      <c r="F1224" s="248"/>
      <c r="G1224" s="248"/>
      <c r="H1224" s="283"/>
      <c r="I1224" s="199"/>
      <c r="J1224" s="199"/>
      <c r="K1224" s="199"/>
      <c r="L1224" s="248"/>
      <c r="M1224" s="248"/>
      <c r="N1224" s="248"/>
      <c r="O1224" s="248"/>
    </row>
    <row r="1225">
      <c r="A1225" s="199"/>
      <c r="B1225" s="199"/>
      <c r="C1225" s="199"/>
      <c r="D1225" s="248"/>
      <c r="E1225" s="248"/>
      <c r="F1225" s="248"/>
      <c r="G1225" s="248"/>
      <c r="H1225" s="283"/>
      <c r="I1225" s="199"/>
      <c r="J1225" s="199"/>
      <c r="K1225" s="199"/>
      <c r="L1225" s="248"/>
      <c r="M1225" s="248"/>
      <c r="N1225" s="248"/>
      <c r="O1225" s="248"/>
    </row>
    <row r="1226">
      <c r="A1226" s="199"/>
      <c r="B1226" s="199"/>
      <c r="C1226" s="199"/>
      <c r="D1226" s="248"/>
      <c r="E1226" s="248"/>
      <c r="F1226" s="248"/>
      <c r="G1226" s="248"/>
      <c r="H1226" s="283"/>
      <c r="I1226" s="199"/>
      <c r="J1226" s="199"/>
      <c r="K1226" s="199"/>
      <c r="L1226" s="248"/>
      <c r="M1226" s="248"/>
      <c r="N1226" s="248"/>
      <c r="O1226" s="248"/>
    </row>
    <row r="1227">
      <c r="A1227" s="199"/>
      <c r="B1227" s="199"/>
      <c r="C1227" s="199"/>
      <c r="D1227" s="248"/>
      <c r="E1227" s="248"/>
      <c r="F1227" s="248"/>
      <c r="G1227" s="248"/>
      <c r="H1227" s="283"/>
      <c r="I1227" s="199"/>
      <c r="J1227" s="199"/>
      <c r="K1227" s="199"/>
      <c r="L1227" s="248"/>
      <c r="M1227" s="248"/>
      <c r="N1227" s="248"/>
      <c r="O1227" s="248"/>
    </row>
    <row r="1228">
      <c r="A1228" s="199"/>
      <c r="B1228" s="199"/>
      <c r="C1228" s="199"/>
      <c r="D1228" s="248"/>
      <c r="E1228" s="248"/>
      <c r="F1228" s="248"/>
      <c r="G1228" s="248"/>
      <c r="H1228" s="283"/>
      <c r="I1228" s="199"/>
      <c r="J1228" s="199"/>
      <c r="K1228" s="199"/>
      <c r="L1228" s="248"/>
      <c r="M1228" s="248"/>
      <c r="N1228" s="248"/>
      <c r="O1228" s="248"/>
    </row>
    <row r="1229">
      <c r="A1229" s="199"/>
      <c r="B1229" s="199"/>
      <c r="C1229" s="199"/>
      <c r="D1229" s="248"/>
      <c r="E1229" s="248"/>
      <c r="F1229" s="248"/>
      <c r="G1229" s="248"/>
      <c r="H1229" s="283"/>
      <c r="I1229" s="199"/>
      <c r="J1229" s="199"/>
      <c r="K1229" s="199"/>
      <c r="L1229" s="248"/>
      <c r="M1229" s="248"/>
      <c r="N1229" s="248"/>
      <c r="O1229" s="248"/>
    </row>
    <row r="1230">
      <c r="A1230" s="199"/>
      <c r="B1230" s="199"/>
      <c r="C1230" s="199"/>
      <c r="D1230" s="248"/>
      <c r="E1230" s="248"/>
      <c r="F1230" s="248"/>
      <c r="G1230" s="248"/>
      <c r="H1230" s="283"/>
      <c r="I1230" s="199"/>
      <c r="J1230" s="199"/>
      <c r="K1230" s="199"/>
      <c r="L1230" s="248"/>
      <c r="M1230" s="248"/>
      <c r="N1230" s="248"/>
      <c r="O1230" s="248"/>
    </row>
    <row r="1231">
      <c r="A1231" s="199"/>
      <c r="B1231" s="199"/>
      <c r="C1231" s="199"/>
      <c r="D1231" s="248"/>
      <c r="E1231" s="248"/>
      <c r="F1231" s="248"/>
      <c r="G1231" s="248"/>
      <c r="H1231" s="283"/>
      <c r="I1231" s="199"/>
      <c r="J1231" s="199"/>
      <c r="K1231" s="199"/>
      <c r="L1231" s="248"/>
      <c r="M1231" s="248"/>
      <c r="N1231" s="248"/>
      <c r="O1231" s="248"/>
    </row>
    <row r="1232">
      <c r="A1232" s="199"/>
      <c r="B1232" s="199"/>
      <c r="C1232" s="199"/>
      <c r="D1232" s="248"/>
      <c r="E1232" s="248"/>
      <c r="F1232" s="248"/>
      <c r="G1232" s="248"/>
      <c r="H1232" s="283"/>
      <c r="I1232" s="199"/>
      <c r="J1232" s="199"/>
      <c r="K1232" s="199"/>
      <c r="L1232" s="248"/>
      <c r="M1232" s="248"/>
      <c r="N1232" s="248"/>
      <c r="O1232" s="248"/>
    </row>
    <row r="1233">
      <c r="A1233" s="199"/>
      <c r="B1233" s="199"/>
      <c r="C1233" s="199"/>
      <c r="D1233" s="248"/>
      <c r="E1233" s="248"/>
      <c r="F1233" s="248"/>
      <c r="G1233" s="248"/>
      <c r="H1233" s="283"/>
      <c r="I1233" s="199"/>
      <c r="J1233" s="199"/>
      <c r="K1233" s="199"/>
      <c r="L1233" s="248"/>
      <c r="M1233" s="248"/>
      <c r="N1233" s="248"/>
      <c r="O1233" s="248"/>
    </row>
    <row r="1234">
      <c r="A1234" s="199"/>
      <c r="B1234" s="199"/>
      <c r="C1234" s="199"/>
      <c r="D1234" s="248"/>
      <c r="E1234" s="248"/>
      <c r="F1234" s="248"/>
      <c r="G1234" s="248"/>
      <c r="H1234" s="283"/>
      <c r="I1234" s="199"/>
      <c r="J1234" s="199"/>
      <c r="K1234" s="199"/>
      <c r="L1234" s="248"/>
      <c r="M1234" s="248"/>
      <c r="N1234" s="248"/>
      <c r="O1234" s="248"/>
    </row>
    <row r="1235">
      <c r="A1235" s="199"/>
      <c r="B1235" s="199"/>
      <c r="C1235" s="199"/>
      <c r="D1235" s="248"/>
      <c r="E1235" s="248"/>
      <c r="F1235" s="248"/>
      <c r="G1235" s="248"/>
      <c r="H1235" s="283"/>
      <c r="I1235" s="199"/>
      <c r="J1235" s="199"/>
      <c r="K1235" s="199"/>
      <c r="L1235" s="248"/>
      <c r="M1235" s="248"/>
      <c r="N1235" s="248"/>
      <c r="O1235" s="248"/>
    </row>
    <row r="1236">
      <c r="A1236" s="199"/>
      <c r="B1236" s="199"/>
      <c r="C1236" s="199"/>
      <c r="D1236" s="248"/>
      <c r="E1236" s="248"/>
      <c r="F1236" s="248"/>
      <c r="G1236" s="248"/>
      <c r="H1236" s="283"/>
      <c r="I1236" s="199"/>
      <c r="J1236" s="199"/>
      <c r="K1236" s="199"/>
      <c r="L1236" s="248"/>
      <c r="M1236" s="248"/>
      <c r="N1236" s="248"/>
      <c r="O1236" s="248"/>
    </row>
    <row r="1237">
      <c r="A1237" s="199"/>
      <c r="B1237" s="199"/>
      <c r="C1237" s="199"/>
      <c r="D1237" s="248"/>
      <c r="E1237" s="248"/>
      <c r="F1237" s="248"/>
      <c r="G1237" s="248"/>
      <c r="H1237" s="283"/>
      <c r="I1237" s="199"/>
      <c r="J1237" s="199"/>
      <c r="K1237" s="199"/>
      <c r="L1237" s="248"/>
      <c r="M1237" s="248"/>
      <c r="N1237" s="248"/>
      <c r="O1237" s="248"/>
    </row>
    <row r="1238">
      <c r="A1238" s="199"/>
      <c r="B1238" s="199"/>
      <c r="C1238" s="199"/>
      <c r="D1238" s="248"/>
      <c r="E1238" s="248"/>
      <c r="F1238" s="248"/>
      <c r="G1238" s="248"/>
      <c r="H1238" s="283"/>
      <c r="I1238" s="199"/>
      <c r="J1238" s="199"/>
      <c r="K1238" s="199"/>
      <c r="L1238" s="248"/>
      <c r="M1238" s="248"/>
      <c r="N1238" s="248"/>
      <c r="O1238" s="248"/>
    </row>
    <row r="1239">
      <c r="A1239" s="199"/>
      <c r="B1239" s="199"/>
      <c r="C1239" s="199"/>
      <c r="D1239" s="248"/>
      <c r="E1239" s="248"/>
      <c r="F1239" s="248"/>
      <c r="G1239" s="248"/>
      <c r="H1239" s="283"/>
      <c r="I1239" s="199"/>
      <c r="J1239" s="199"/>
      <c r="K1239" s="199"/>
      <c r="L1239" s="248"/>
      <c r="M1239" s="248"/>
      <c r="N1239" s="248"/>
      <c r="O1239" s="248"/>
    </row>
    <row r="1240">
      <c r="A1240" s="199"/>
      <c r="B1240" s="199"/>
      <c r="C1240" s="199"/>
      <c r="D1240" s="248"/>
      <c r="E1240" s="248"/>
      <c r="F1240" s="248"/>
      <c r="G1240" s="248"/>
      <c r="H1240" s="283"/>
      <c r="I1240" s="199"/>
      <c r="J1240" s="199"/>
      <c r="K1240" s="199"/>
      <c r="L1240" s="248"/>
      <c r="M1240" s="248"/>
      <c r="N1240" s="248"/>
      <c r="O1240" s="248"/>
    </row>
    <row r="1241">
      <c r="A1241" s="199"/>
      <c r="B1241" s="199"/>
      <c r="C1241" s="199"/>
      <c r="D1241" s="248"/>
      <c r="E1241" s="248"/>
      <c r="F1241" s="248"/>
      <c r="G1241" s="248"/>
      <c r="H1241" s="283"/>
      <c r="I1241" s="199"/>
      <c r="J1241" s="199"/>
      <c r="K1241" s="199"/>
      <c r="L1241" s="248"/>
      <c r="M1241" s="248"/>
      <c r="N1241" s="248"/>
      <c r="O1241" s="248"/>
    </row>
    <row r="1242">
      <c r="A1242" s="199"/>
      <c r="B1242" s="199"/>
      <c r="C1242" s="199"/>
      <c r="D1242" s="248"/>
      <c r="E1242" s="248"/>
      <c r="F1242" s="248"/>
      <c r="G1242" s="248"/>
      <c r="H1242" s="283"/>
      <c r="I1242" s="199"/>
      <c r="J1242" s="199"/>
      <c r="K1242" s="199"/>
      <c r="L1242" s="248"/>
      <c r="M1242" s="248"/>
      <c r="N1242" s="248"/>
      <c r="O1242" s="248"/>
    </row>
    <row r="1243">
      <c r="A1243" s="199"/>
      <c r="B1243" s="199"/>
      <c r="C1243" s="199"/>
      <c r="D1243" s="248"/>
      <c r="E1243" s="248"/>
      <c r="F1243" s="248"/>
      <c r="G1243" s="248"/>
      <c r="H1243" s="283"/>
      <c r="I1243" s="199"/>
      <c r="J1243" s="199"/>
      <c r="K1243" s="199"/>
      <c r="L1243" s="248"/>
      <c r="M1243" s="248"/>
      <c r="N1243" s="248"/>
      <c r="O1243" s="248"/>
    </row>
    <row r="1244">
      <c r="A1244" s="199"/>
      <c r="B1244" s="199"/>
      <c r="C1244" s="199"/>
      <c r="D1244" s="248"/>
      <c r="E1244" s="248"/>
      <c r="F1244" s="248"/>
      <c r="G1244" s="248"/>
      <c r="H1244" s="283"/>
      <c r="I1244" s="199"/>
      <c r="J1244" s="199"/>
      <c r="K1244" s="199"/>
      <c r="L1244" s="248"/>
      <c r="M1244" s="248"/>
      <c r="N1244" s="248"/>
      <c r="O1244" s="248"/>
    </row>
    <row r="1245">
      <c r="A1245" s="199"/>
      <c r="B1245" s="199"/>
      <c r="C1245" s="199"/>
      <c r="D1245" s="248"/>
      <c r="E1245" s="248"/>
      <c r="F1245" s="248"/>
      <c r="G1245" s="248"/>
      <c r="H1245" s="283"/>
      <c r="I1245" s="199"/>
      <c r="J1245" s="199"/>
      <c r="K1245" s="199"/>
      <c r="L1245" s="248"/>
      <c r="M1245" s="248"/>
      <c r="N1245" s="248"/>
      <c r="O1245" s="248"/>
    </row>
    <row r="1246">
      <c r="A1246" s="199"/>
      <c r="B1246" s="199"/>
      <c r="C1246" s="199"/>
      <c r="D1246" s="248"/>
      <c r="E1246" s="248"/>
      <c r="F1246" s="248"/>
      <c r="G1246" s="248"/>
      <c r="H1246" s="283"/>
      <c r="I1246" s="199"/>
      <c r="J1246" s="199"/>
      <c r="K1246" s="199"/>
      <c r="L1246" s="248"/>
      <c r="M1246" s="248"/>
      <c r="N1246" s="248"/>
      <c r="O1246" s="248"/>
    </row>
    <row r="1247">
      <c r="A1247" s="199"/>
      <c r="B1247" s="199"/>
      <c r="C1247" s="199"/>
      <c r="D1247" s="248"/>
      <c r="E1247" s="248"/>
      <c r="F1247" s="248"/>
      <c r="G1247" s="248"/>
      <c r="H1247" s="283"/>
      <c r="I1247" s="199"/>
      <c r="J1247" s="199"/>
      <c r="K1247" s="199"/>
      <c r="L1247" s="248"/>
      <c r="M1247" s="248"/>
      <c r="N1247" s="248"/>
      <c r="O1247" s="248"/>
    </row>
    <row r="1248">
      <c r="A1248" s="199"/>
      <c r="B1248" s="199"/>
      <c r="C1248" s="199"/>
      <c r="D1248" s="248"/>
      <c r="E1248" s="248"/>
      <c r="F1248" s="248"/>
      <c r="G1248" s="248"/>
      <c r="H1248" s="283"/>
      <c r="I1248" s="199"/>
      <c r="J1248" s="199"/>
      <c r="K1248" s="199"/>
      <c r="L1248" s="248"/>
      <c r="M1248" s="248"/>
      <c r="N1248" s="248"/>
      <c r="O1248" s="248"/>
    </row>
    <row r="1249">
      <c r="A1249" s="199"/>
      <c r="B1249" s="199"/>
      <c r="C1249" s="199"/>
      <c r="D1249" s="248"/>
      <c r="E1249" s="248"/>
      <c r="F1249" s="248"/>
      <c r="G1249" s="248"/>
      <c r="H1249" s="283"/>
      <c r="I1249" s="199"/>
      <c r="J1249" s="199"/>
      <c r="K1249" s="199"/>
      <c r="L1249" s="248"/>
      <c r="M1249" s="248"/>
      <c r="N1249" s="248"/>
      <c r="O1249" s="248"/>
    </row>
    <row r="1250">
      <c r="A1250" s="199"/>
      <c r="B1250" s="199"/>
      <c r="C1250" s="199"/>
      <c r="D1250" s="248"/>
      <c r="E1250" s="248"/>
      <c r="F1250" s="248"/>
      <c r="G1250" s="248"/>
      <c r="H1250" s="283"/>
      <c r="I1250" s="199"/>
      <c r="J1250" s="199"/>
      <c r="K1250" s="199"/>
      <c r="L1250" s="248"/>
      <c r="M1250" s="248"/>
      <c r="N1250" s="248"/>
      <c r="O1250" s="248"/>
    </row>
    <row r="1251">
      <c r="A1251" s="199"/>
      <c r="B1251" s="199"/>
      <c r="C1251" s="199"/>
      <c r="D1251" s="248"/>
      <c r="E1251" s="248"/>
      <c r="F1251" s="248"/>
      <c r="G1251" s="248"/>
      <c r="H1251" s="283"/>
      <c r="I1251" s="199"/>
      <c r="J1251" s="199"/>
      <c r="K1251" s="199"/>
      <c r="L1251" s="248"/>
      <c r="M1251" s="248"/>
      <c r="N1251" s="248"/>
      <c r="O1251" s="248"/>
    </row>
    <row r="1252">
      <c r="A1252" s="199"/>
      <c r="B1252" s="199"/>
      <c r="C1252" s="199"/>
      <c r="D1252" s="248"/>
      <c r="E1252" s="248"/>
      <c r="F1252" s="248"/>
      <c r="G1252" s="248"/>
      <c r="H1252" s="283"/>
      <c r="I1252" s="199"/>
      <c r="J1252" s="199"/>
      <c r="K1252" s="199"/>
      <c r="L1252" s="248"/>
      <c r="M1252" s="248"/>
      <c r="N1252" s="248"/>
      <c r="O1252" s="248"/>
    </row>
    <row r="1253">
      <c r="A1253" s="199"/>
      <c r="B1253" s="199"/>
      <c r="C1253" s="199"/>
      <c r="D1253" s="248"/>
      <c r="E1253" s="248"/>
      <c r="F1253" s="248"/>
      <c r="G1253" s="248"/>
      <c r="H1253" s="283"/>
      <c r="I1253" s="199"/>
      <c r="J1253" s="199"/>
      <c r="K1253" s="199"/>
      <c r="L1253" s="248"/>
      <c r="M1253" s="248"/>
      <c r="N1253" s="248"/>
      <c r="O1253" s="248"/>
    </row>
    <row r="1254">
      <c r="A1254" s="199"/>
      <c r="B1254" s="199"/>
      <c r="C1254" s="199"/>
      <c r="D1254" s="248"/>
      <c r="E1254" s="248"/>
      <c r="F1254" s="248"/>
      <c r="G1254" s="248"/>
      <c r="H1254" s="283"/>
      <c r="I1254" s="199"/>
      <c r="J1254" s="199"/>
      <c r="K1254" s="199"/>
      <c r="L1254" s="248"/>
      <c r="M1254" s="248"/>
      <c r="N1254" s="248"/>
      <c r="O1254" s="248"/>
    </row>
    <row r="1255">
      <c r="A1255" s="199"/>
      <c r="B1255" s="199"/>
      <c r="C1255" s="199"/>
      <c r="D1255" s="248"/>
      <c r="E1255" s="248"/>
      <c r="F1255" s="248"/>
      <c r="G1255" s="248"/>
      <c r="H1255" s="283"/>
      <c r="I1255" s="199"/>
      <c r="J1255" s="199"/>
      <c r="K1255" s="199"/>
      <c r="L1255" s="248"/>
      <c r="M1255" s="248"/>
      <c r="N1255" s="248"/>
      <c r="O1255" s="248"/>
    </row>
    <row r="1256">
      <c r="A1256" s="199"/>
      <c r="B1256" s="199"/>
      <c r="C1256" s="199"/>
      <c r="D1256" s="248"/>
      <c r="E1256" s="248"/>
      <c r="F1256" s="248"/>
      <c r="G1256" s="248"/>
      <c r="H1256" s="283"/>
      <c r="I1256" s="199"/>
      <c r="J1256" s="199"/>
      <c r="K1256" s="199"/>
      <c r="L1256" s="248"/>
      <c r="M1256" s="248"/>
      <c r="N1256" s="248"/>
      <c r="O1256" s="248"/>
    </row>
    <row r="1257">
      <c r="A1257" s="199"/>
      <c r="B1257" s="199"/>
      <c r="C1257" s="199"/>
      <c r="D1257" s="248"/>
      <c r="E1257" s="248"/>
      <c r="F1257" s="248"/>
      <c r="G1257" s="248"/>
      <c r="H1257" s="283"/>
      <c r="I1257" s="199"/>
      <c r="J1257" s="199"/>
      <c r="K1257" s="199"/>
      <c r="L1257" s="248"/>
      <c r="M1257" s="248"/>
      <c r="N1257" s="248"/>
      <c r="O1257" s="248"/>
    </row>
    <row r="1258">
      <c r="A1258" s="199"/>
      <c r="B1258" s="199"/>
      <c r="C1258" s="199"/>
      <c r="D1258" s="248"/>
      <c r="E1258" s="248"/>
      <c r="F1258" s="248"/>
      <c r="G1258" s="248"/>
      <c r="H1258" s="283"/>
      <c r="I1258" s="199"/>
      <c r="J1258" s="199"/>
      <c r="K1258" s="199"/>
      <c r="L1258" s="248"/>
      <c r="M1258" s="248"/>
      <c r="N1258" s="248"/>
      <c r="O1258" s="248"/>
    </row>
    <row r="1259">
      <c r="A1259" s="199"/>
      <c r="B1259" s="199"/>
      <c r="C1259" s="199"/>
      <c r="D1259" s="248"/>
      <c r="E1259" s="248"/>
      <c r="F1259" s="248"/>
      <c r="G1259" s="248"/>
      <c r="H1259" s="283"/>
      <c r="I1259" s="199"/>
      <c r="J1259" s="199"/>
      <c r="K1259" s="199"/>
      <c r="L1259" s="248"/>
      <c r="M1259" s="248"/>
      <c r="N1259" s="248"/>
      <c r="O1259" s="248"/>
    </row>
    <row r="1260">
      <c r="A1260" s="199"/>
      <c r="B1260" s="199"/>
      <c r="C1260" s="199"/>
      <c r="D1260" s="248"/>
      <c r="E1260" s="248"/>
      <c r="F1260" s="248"/>
      <c r="G1260" s="248"/>
      <c r="H1260" s="283"/>
      <c r="I1260" s="199"/>
      <c r="J1260" s="199"/>
      <c r="K1260" s="199"/>
      <c r="L1260" s="248"/>
      <c r="M1260" s="248"/>
      <c r="N1260" s="248"/>
      <c r="O1260" s="248"/>
    </row>
    <row r="1261">
      <c r="A1261" s="199"/>
      <c r="B1261" s="199"/>
      <c r="C1261" s="199"/>
      <c r="D1261" s="248"/>
      <c r="E1261" s="248"/>
      <c r="F1261" s="248"/>
      <c r="G1261" s="248"/>
      <c r="H1261" s="283"/>
      <c r="I1261" s="199"/>
      <c r="J1261" s="199"/>
      <c r="K1261" s="199"/>
      <c r="L1261" s="248"/>
      <c r="M1261" s="248"/>
      <c r="N1261" s="248"/>
      <c r="O1261" s="248"/>
    </row>
    <row r="1262">
      <c r="A1262" s="199"/>
      <c r="B1262" s="199"/>
      <c r="C1262" s="199"/>
      <c r="D1262" s="248"/>
      <c r="E1262" s="248"/>
      <c r="F1262" s="248"/>
      <c r="G1262" s="248"/>
      <c r="H1262" s="283"/>
      <c r="I1262" s="199"/>
      <c r="J1262" s="199"/>
      <c r="K1262" s="199"/>
      <c r="L1262" s="248"/>
      <c r="M1262" s="248"/>
      <c r="N1262" s="248"/>
      <c r="O1262" s="248"/>
    </row>
    <row r="1263">
      <c r="A1263" s="199"/>
      <c r="B1263" s="199"/>
      <c r="C1263" s="199"/>
      <c r="D1263" s="248"/>
      <c r="E1263" s="248"/>
      <c r="F1263" s="248"/>
      <c r="G1263" s="248"/>
      <c r="H1263" s="283"/>
      <c r="I1263" s="199"/>
      <c r="J1263" s="199"/>
      <c r="K1263" s="199"/>
      <c r="L1263" s="248"/>
      <c r="M1263" s="248"/>
      <c r="N1263" s="248"/>
      <c r="O1263" s="248"/>
    </row>
    <row r="1264">
      <c r="A1264" s="199"/>
      <c r="B1264" s="199"/>
      <c r="C1264" s="199"/>
      <c r="D1264" s="248"/>
      <c r="E1264" s="248"/>
      <c r="F1264" s="248"/>
      <c r="G1264" s="248"/>
      <c r="H1264" s="283"/>
      <c r="I1264" s="199"/>
      <c r="J1264" s="199"/>
      <c r="K1264" s="199"/>
      <c r="L1264" s="248"/>
      <c r="M1264" s="248"/>
      <c r="N1264" s="248"/>
      <c r="O1264" s="248"/>
    </row>
    <row r="1265">
      <c r="A1265" s="199"/>
      <c r="B1265" s="199"/>
      <c r="C1265" s="199"/>
      <c r="D1265" s="248"/>
      <c r="E1265" s="248"/>
      <c r="F1265" s="248"/>
      <c r="G1265" s="248"/>
      <c r="H1265" s="283"/>
      <c r="I1265" s="199"/>
      <c r="J1265" s="199"/>
      <c r="K1265" s="199"/>
      <c r="L1265" s="248"/>
      <c r="M1265" s="248"/>
      <c r="N1265" s="248"/>
      <c r="O1265" s="248"/>
    </row>
    <row r="1266">
      <c r="A1266" s="199"/>
      <c r="B1266" s="199"/>
      <c r="C1266" s="199"/>
      <c r="D1266" s="248"/>
      <c r="E1266" s="248"/>
      <c r="F1266" s="248"/>
      <c r="G1266" s="248"/>
      <c r="H1266" s="283"/>
      <c r="I1266" s="199"/>
      <c r="J1266" s="199"/>
      <c r="K1266" s="199"/>
      <c r="L1266" s="248"/>
      <c r="M1266" s="248"/>
      <c r="N1266" s="248"/>
      <c r="O1266" s="248"/>
    </row>
    <row r="1267">
      <c r="A1267" s="199"/>
      <c r="B1267" s="199"/>
      <c r="C1267" s="199"/>
      <c r="D1267" s="248"/>
      <c r="E1267" s="248"/>
      <c r="F1267" s="248"/>
      <c r="G1267" s="248"/>
      <c r="H1267" s="283"/>
      <c r="I1267" s="199"/>
      <c r="J1267" s="199"/>
      <c r="K1267" s="199"/>
      <c r="L1267" s="248"/>
      <c r="M1267" s="248"/>
      <c r="N1267" s="248"/>
      <c r="O1267" s="248"/>
    </row>
    <row r="1268">
      <c r="A1268" s="199"/>
      <c r="B1268" s="199"/>
      <c r="C1268" s="199"/>
      <c r="D1268" s="248"/>
      <c r="E1268" s="248"/>
      <c r="F1268" s="248"/>
      <c r="G1268" s="248"/>
      <c r="H1268" s="283"/>
      <c r="I1268" s="199"/>
      <c r="J1268" s="199"/>
      <c r="K1268" s="199"/>
      <c r="L1268" s="248"/>
      <c r="M1268" s="248"/>
      <c r="N1268" s="248"/>
      <c r="O1268" s="248"/>
    </row>
    <row r="1269">
      <c r="A1269" s="199"/>
      <c r="B1269" s="199"/>
      <c r="C1269" s="199"/>
      <c r="D1269" s="248"/>
      <c r="E1269" s="248"/>
      <c r="F1269" s="248"/>
      <c r="G1269" s="248"/>
      <c r="H1269" s="283"/>
      <c r="I1269" s="199"/>
      <c r="J1269" s="199"/>
      <c r="K1269" s="199"/>
      <c r="L1269" s="248"/>
      <c r="M1269" s="248"/>
      <c r="N1269" s="248"/>
      <c r="O1269" s="248"/>
    </row>
    <row r="1270">
      <c r="A1270" s="199"/>
      <c r="B1270" s="199"/>
      <c r="C1270" s="199"/>
      <c r="D1270" s="248"/>
      <c r="E1270" s="248"/>
      <c r="F1270" s="248"/>
      <c r="G1270" s="248"/>
      <c r="H1270" s="283"/>
      <c r="I1270" s="199"/>
      <c r="J1270" s="199"/>
      <c r="K1270" s="199"/>
      <c r="L1270" s="248"/>
      <c r="M1270" s="248"/>
      <c r="N1270" s="248"/>
      <c r="O1270" s="248"/>
    </row>
    <row r="1271">
      <c r="A1271" s="199"/>
      <c r="B1271" s="199"/>
      <c r="C1271" s="199"/>
      <c r="D1271" s="248"/>
      <c r="E1271" s="248"/>
      <c r="F1271" s="248"/>
      <c r="G1271" s="248"/>
      <c r="H1271" s="283"/>
      <c r="I1271" s="199"/>
      <c r="J1271" s="199"/>
      <c r="K1271" s="199"/>
      <c r="L1271" s="248"/>
      <c r="M1271" s="248"/>
      <c r="N1271" s="248"/>
      <c r="O1271" s="248"/>
    </row>
    <row r="1272">
      <c r="A1272" s="199"/>
      <c r="B1272" s="199"/>
      <c r="C1272" s="199"/>
      <c r="D1272" s="248"/>
      <c r="E1272" s="248"/>
      <c r="F1272" s="248"/>
      <c r="G1272" s="248"/>
      <c r="H1272" s="283"/>
      <c r="I1272" s="199"/>
      <c r="J1272" s="199"/>
      <c r="K1272" s="199"/>
      <c r="L1272" s="248"/>
      <c r="M1272" s="248"/>
      <c r="N1272" s="248"/>
      <c r="O1272" s="248"/>
    </row>
    <row r="1273">
      <c r="A1273" s="199"/>
      <c r="B1273" s="199"/>
      <c r="C1273" s="199"/>
      <c r="D1273" s="248"/>
      <c r="E1273" s="248"/>
      <c r="F1273" s="248"/>
      <c r="G1273" s="248"/>
      <c r="H1273" s="283"/>
      <c r="I1273" s="199"/>
      <c r="J1273" s="199"/>
      <c r="K1273" s="199"/>
      <c r="L1273" s="248"/>
      <c r="M1273" s="248"/>
      <c r="N1273" s="248"/>
      <c r="O1273" s="248"/>
    </row>
    <row r="1274">
      <c r="A1274" s="199"/>
      <c r="B1274" s="199"/>
      <c r="C1274" s="199"/>
      <c r="D1274" s="248"/>
      <c r="E1274" s="248"/>
      <c r="F1274" s="248"/>
      <c r="G1274" s="248"/>
      <c r="H1274" s="283"/>
      <c r="I1274" s="199"/>
      <c r="J1274" s="199"/>
      <c r="K1274" s="199"/>
      <c r="L1274" s="248"/>
      <c r="M1274" s="248"/>
      <c r="N1274" s="248"/>
      <c r="O1274" s="248"/>
    </row>
    <row r="1275">
      <c r="A1275" s="199"/>
      <c r="B1275" s="199"/>
      <c r="C1275" s="199"/>
      <c r="D1275" s="248"/>
      <c r="E1275" s="248"/>
      <c r="F1275" s="248"/>
      <c r="G1275" s="248"/>
      <c r="H1275" s="283"/>
      <c r="I1275" s="199"/>
      <c r="J1275" s="199"/>
      <c r="K1275" s="199"/>
      <c r="L1275" s="248"/>
      <c r="M1275" s="248"/>
      <c r="N1275" s="248"/>
      <c r="O1275" s="248"/>
    </row>
    <row r="1276">
      <c r="A1276" s="199"/>
      <c r="B1276" s="199"/>
      <c r="C1276" s="199"/>
      <c r="D1276" s="248"/>
      <c r="E1276" s="248"/>
      <c r="F1276" s="248"/>
      <c r="G1276" s="248"/>
      <c r="H1276" s="283"/>
      <c r="I1276" s="199"/>
      <c r="J1276" s="199"/>
      <c r="K1276" s="199"/>
      <c r="L1276" s="248"/>
      <c r="M1276" s="248"/>
      <c r="N1276" s="248"/>
      <c r="O1276" s="248"/>
    </row>
    <row r="1277">
      <c r="A1277" s="199"/>
      <c r="B1277" s="199"/>
      <c r="C1277" s="199"/>
      <c r="D1277" s="248"/>
      <c r="E1277" s="248"/>
      <c r="F1277" s="248"/>
      <c r="G1277" s="248"/>
      <c r="H1277" s="283"/>
      <c r="I1277" s="199"/>
      <c r="J1277" s="199"/>
      <c r="K1277" s="199"/>
      <c r="L1277" s="248"/>
      <c r="M1277" s="248"/>
      <c r="N1277" s="248"/>
      <c r="O1277" s="248"/>
    </row>
    <row r="1278">
      <c r="A1278" s="199"/>
      <c r="B1278" s="199"/>
      <c r="C1278" s="199"/>
      <c r="D1278" s="248"/>
      <c r="E1278" s="248"/>
      <c r="F1278" s="248"/>
      <c r="G1278" s="248"/>
      <c r="H1278" s="283"/>
      <c r="I1278" s="199"/>
      <c r="J1278" s="199"/>
      <c r="K1278" s="199"/>
      <c r="L1278" s="248"/>
      <c r="M1278" s="248"/>
      <c r="N1278" s="248"/>
      <c r="O1278" s="248"/>
    </row>
    <row r="1279">
      <c r="A1279" s="199"/>
      <c r="B1279" s="199"/>
      <c r="C1279" s="199"/>
      <c r="D1279" s="248"/>
      <c r="E1279" s="248"/>
      <c r="F1279" s="248"/>
      <c r="G1279" s="248"/>
      <c r="H1279" s="283"/>
      <c r="I1279" s="199"/>
      <c r="J1279" s="199"/>
      <c r="K1279" s="199"/>
      <c r="L1279" s="248"/>
      <c r="M1279" s="248"/>
      <c r="N1279" s="248"/>
      <c r="O1279" s="248"/>
    </row>
    <row r="1280">
      <c r="A1280" s="199"/>
      <c r="B1280" s="199"/>
      <c r="C1280" s="199"/>
      <c r="D1280" s="248"/>
      <c r="E1280" s="248"/>
      <c r="F1280" s="248"/>
      <c r="G1280" s="248"/>
      <c r="H1280" s="283"/>
      <c r="I1280" s="199"/>
      <c r="J1280" s="199"/>
      <c r="K1280" s="199"/>
      <c r="L1280" s="248"/>
      <c r="M1280" s="248"/>
      <c r="N1280" s="248"/>
      <c r="O1280" s="248"/>
    </row>
    <row r="1281">
      <c r="A1281" s="199"/>
      <c r="B1281" s="199"/>
      <c r="C1281" s="199"/>
      <c r="D1281" s="248"/>
      <c r="E1281" s="248"/>
      <c r="F1281" s="248"/>
      <c r="G1281" s="248"/>
      <c r="H1281" s="283"/>
      <c r="I1281" s="199"/>
      <c r="J1281" s="199"/>
      <c r="K1281" s="199"/>
      <c r="L1281" s="248"/>
      <c r="M1281" s="248"/>
      <c r="N1281" s="248"/>
      <c r="O1281" s="248"/>
    </row>
    <row r="1282">
      <c r="A1282" s="199"/>
      <c r="B1282" s="199"/>
      <c r="C1282" s="199"/>
      <c r="D1282" s="248"/>
      <c r="E1282" s="248"/>
      <c r="F1282" s="248"/>
      <c r="G1282" s="248"/>
      <c r="H1282" s="283"/>
      <c r="I1282" s="199"/>
      <c r="J1282" s="199"/>
      <c r="K1282" s="199"/>
      <c r="L1282" s="248"/>
      <c r="M1282" s="248"/>
      <c r="N1282" s="248"/>
      <c r="O1282" s="248"/>
    </row>
    <row r="1283">
      <c r="A1283" s="199"/>
      <c r="B1283" s="199"/>
      <c r="C1283" s="199"/>
      <c r="D1283" s="248"/>
      <c r="E1283" s="248"/>
      <c r="F1283" s="248"/>
      <c r="G1283" s="248"/>
      <c r="H1283" s="283"/>
      <c r="I1283" s="199"/>
      <c r="J1283" s="199"/>
      <c r="K1283" s="199"/>
      <c r="L1283" s="248"/>
      <c r="M1283" s="248"/>
      <c r="N1283" s="248"/>
      <c r="O1283" s="248"/>
    </row>
    <row r="1284">
      <c r="A1284" s="199"/>
      <c r="B1284" s="199"/>
      <c r="C1284" s="199"/>
      <c r="D1284" s="248"/>
      <c r="E1284" s="248"/>
      <c r="F1284" s="248"/>
      <c r="G1284" s="248"/>
      <c r="H1284" s="283"/>
      <c r="I1284" s="199"/>
      <c r="J1284" s="199"/>
      <c r="K1284" s="199"/>
      <c r="L1284" s="248"/>
      <c r="M1284" s="248"/>
      <c r="N1284" s="248"/>
      <c r="O1284" s="248"/>
    </row>
    <row r="1285">
      <c r="A1285" s="199"/>
      <c r="B1285" s="199"/>
      <c r="C1285" s="199"/>
      <c r="D1285" s="248"/>
      <c r="E1285" s="248"/>
      <c r="F1285" s="248"/>
      <c r="G1285" s="248"/>
      <c r="H1285" s="283"/>
      <c r="I1285" s="199"/>
      <c r="J1285" s="199"/>
      <c r="K1285" s="199"/>
      <c r="L1285" s="248"/>
      <c r="M1285" s="248"/>
      <c r="N1285" s="248"/>
      <c r="O1285" s="248"/>
    </row>
    <row r="1286">
      <c r="A1286" s="199"/>
      <c r="B1286" s="199"/>
      <c r="C1286" s="199"/>
      <c r="D1286" s="248"/>
      <c r="E1286" s="248"/>
      <c r="F1286" s="248"/>
      <c r="G1286" s="248"/>
      <c r="H1286" s="283"/>
      <c r="I1286" s="199"/>
      <c r="J1286" s="199"/>
      <c r="K1286" s="199"/>
      <c r="L1286" s="248"/>
      <c r="M1286" s="248"/>
      <c r="N1286" s="248"/>
      <c r="O1286" s="248"/>
    </row>
    <row r="1287">
      <c r="A1287" s="199"/>
      <c r="B1287" s="199"/>
      <c r="C1287" s="199"/>
      <c r="D1287" s="248"/>
      <c r="E1287" s="248"/>
      <c r="F1287" s="248"/>
      <c r="G1287" s="248"/>
      <c r="H1287" s="283"/>
      <c r="I1287" s="199"/>
      <c r="J1287" s="199"/>
      <c r="K1287" s="199"/>
      <c r="L1287" s="248"/>
      <c r="M1287" s="248"/>
      <c r="N1287" s="248"/>
      <c r="O1287" s="248"/>
    </row>
    <row r="1288">
      <c r="A1288" s="199"/>
      <c r="B1288" s="199"/>
      <c r="C1288" s="199"/>
      <c r="D1288" s="248"/>
      <c r="E1288" s="248"/>
      <c r="F1288" s="248"/>
      <c r="G1288" s="248"/>
      <c r="H1288" s="283"/>
      <c r="I1288" s="199"/>
      <c r="J1288" s="199"/>
      <c r="K1288" s="199"/>
      <c r="L1288" s="248"/>
      <c r="M1288" s="248"/>
      <c r="N1288" s="248"/>
      <c r="O1288" s="248"/>
    </row>
    <row r="1289">
      <c r="A1289" s="199"/>
      <c r="B1289" s="199"/>
      <c r="C1289" s="199"/>
      <c r="D1289" s="248"/>
      <c r="E1289" s="248"/>
      <c r="F1289" s="248"/>
      <c r="G1289" s="248"/>
      <c r="H1289" s="283"/>
      <c r="I1289" s="199"/>
      <c r="J1289" s="199"/>
      <c r="K1289" s="199"/>
      <c r="L1289" s="248"/>
      <c r="M1289" s="248"/>
      <c r="N1289" s="248"/>
      <c r="O1289" s="248"/>
    </row>
    <row r="1290">
      <c r="A1290" s="199"/>
      <c r="B1290" s="199"/>
      <c r="C1290" s="199"/>
      <c r="D1290" s="248"/>
      <c r="E1290" s="248"/>
      <c r="F1290" s="248"/>
      <c r="G1290" s="248"/>
      <c r="H1290" s="283"/>
      <c r="I1290" s="199"/>
      <c r="J1290" s="199"/>
      <c r="K1290" s="199"/>
      <c r="L1290" s="248"/>
      <c r="M1290" s="248"/>
      <c r="N1290" s="248"/>
      <c r="O1290" s="248"/>
    </row>
    <row r="1291">
      <c r="A1291" s="199"/>
      <c r="B1291" s="199"/>
      <c r="C1291" s="199"/>
      <c r="D1291" s="248"/>
      <c r="E1291" s="248"/>
      <c r="F1291" s="248"/>
      <c r="G1291" s="248"/>
      <c r="H1291" s="283"/>
      <c r="I1291" s="199"/>
      <c r="J1291" s="199"/>
      <c r="K1291" s="199"/>
      <c r="L1291" s="248"/>
      <c r="M1291" s="248"/>
      <c r="N1291" s="248"/>
      <c r="O1291" s="248"/>
    </row>
    <row r="1292">
      <c r="A1292" s="199"/>
      <c r="B1292" s="199"/>
      <c r="C1292" s="199"/>
      <c r="D1292" s="248"/>
      <c r="E1292" s="248"/>
      <c r="F1292" s="248"/>
      <c r="G1292" s="248"/>
      <c r="H1292" s="283"/>
      <c r="I1292" s="199"/>
      <c r="J1292" s="199"/>
      <c r="K1292" s="199"/>
      <c r="L1292" s="248"/>
      <c r="M1292" s="248"/>
      <c r="N1292" s="248"/>
      <c r="O1292" s="248"/>
    </row>
    <row r="1293">
      <c r="A1293" s="199"/>
      <c r="B1293" s="199"/>
      <c r="C1293" s="199"/>
      <c r="D1293" s="248"/>
      <c r="E1293" s="248"/>
      <c r="F1293" s="248"/>
      <c r="G1293" s="248"/>
      <c r="H1293" s="283"/>
      <c r="I1293" s="199"/>
      <c r="J1293" s="199"/>
      <c r="K1293" s="199"/>
      <c r="L1293" s="248"/>
      <c r="M1293" s="248"/>
      <c r="N1293" s="248"/>
      <c r="O1293" s="248"/>
    </row>
    <row r="1294">
      <c r="A1294" s="199"/>
      <c r="B1294" s="199"/>
      <c r="C1294" s="199"/>
      <c r="D1294" s="248"/>
      <c r="E1294" s="248"/>
      <c r="F1294" s="248"/>
      <c r="G1294" s="248"/>
      <c r="H1294" s="283"/>
      <c r="I1294" s="199"/>
      <c r="J1294" s="199"/>
      <c r="K1294" s="199"/>
      <c r="L1294" s="248"/>
      <c r="M1294" s="248"/>
      <c r="N1294" s="248"/>
      <c r="O1294" s="248"/>
    </row>
    <row r="1295">
      <c r="A1295" s="199"/>
      <c r="B1295" s="199"/>
      <c r="C1295" s="199"/>
      <c r="D1295" s="248"/>
      <c r="E1295" s="248"/>
      <c r="F1295" s="248"/>
      <c r="G1295" s="248"/>
      <c r="H1295" s="283"/>
      <c r="I1295" s="199"/>
      <c r="J1295" s="199"/>
      <c r="K1295" s="199"/>
      <c r="L1295" s="248"/>
      <c r="M1295" s="248"/>
      <c r="N1295" s="248"/>
      <c r="O1295" s="248"/>
    </row>
    <row r="1296">
      <c r="A1296" s="199"/>
      <c r="B1296" s="199"/>
      <c r="C1296" s="199"/>
      <c r="D1296" s="248"/>
      <c r="E1296" s="248"/>
      <c r="F1296" s="248"/>
      <c r="G1296" s="248"/>
      <c r="H1296" s="283"/>
      <c r="I1296" s="199"/>
      <c r="J1296" s="199"/>
      <c r="K1296" s="199"/>
      <c r="L1296" s="248"/>
      <c r="M1296" s="248"/>
      <c r="N1296" s="248"/>
      <c r="O1296" s="248"/>
    </row>
    <row r="1297">
      <c r="A1297" s="199"/>
      <c r="B1297" s="199"/>
      <c r="C1297" s="199"/>
      <c r="D1297" s="248"/>
      <c r="E1297" s="248"/>
      <c r="F1297" s="248"/>
      <c r="G1297" s="248"/>
      <c r="H1297" s="283"/>
      <c r="I1297" s="199"/>
      <c r="J1297" s="199"/>
      <c r="K1297" s="199"/>
      <c r="L1297" s="248"/>
      <c r="M1297" s="248"/>
      <c r="N1297" s="248"/>
      <c r="O1297" s="248"/>
    </row>
    <row r="1298">
      <c r="A1298" s="199"/>
      <c r="B1298" s="199"/>
      <c r="C1298" s="199"/>
      <c r="D1298" s="248"/>
      <c r="E1298" s="248"/>
      <c r="F1298" s="248"/>
      <c r="G1298" s="248"/>
      <c r="H1298" s="283"/>
      <c r="I1298" s="199"/>
      <c r="J1298" s="199"/>
      <c r="K1298" s="199"/>
      <c r="L1298" s="248"/>
      <c r="M1298" s="248"/>
      <c r="N1298" s="248"/>
      <c r="O1298" s="248"/>
    </row>
    <row r="1299">
      <c r="A1299" s="199"/>
      <c r="B1299" s="199"/>
      <c r="C1299" s="199"/>
      <c r="D1299" s="248"/>
      <c r="E1299" s="248"/>
      <c r="F1299" s="248"/>
      <c r="G1299" s="248"/>
      <c r="H1299" s="283"/>
      <c r="I1299" s="199"/>
      <c r="J1299" s="199"/>
      <c r="K1299" s="199"/>
      <c r="L1299" s="248"/>
      <c r="M1299" s="248"/>
      <c r="N1299" s="248"/>
      <c r="O1299" s="248"/>
    </row>
    <row r="1300">
      <c r="A1300" s="199"/>
      <c r="B1300" s="199"/>
      <c r="C1300" s="199"/>
      <c r="D1300" s="248"/>
      <c r="E1300" s="248"/>
      <c r="F1300" s="248"/>
      <c r="G1300" s="248"/>
      <c r="H1300" s="283"/>
      <c r="I1300" s="199"/>
      <c r="J1300" s="199"/>
      <c r="K1300" s="199"/>
      <c r="L1300" s="248"/>
      <c r="M1300" s="248"/>
      <c r="N1300" s="248"/>
      <c r="O1300" s="248"/>
    </row>
    <row r="1301">
      <c r="A1301" s="199"/>
      <c r="B1301" s="199"/>
      <c r="C1301" s="199"/>
      <c r="D1301" s="248"/>
      <c r="E1301" s="248"/>
      <c r="F1301" s="248"/>
      <c r="G1301" s="248"/>
      <c r="H1301" s="283"/>
      <c r="I1301" s="199"/>
      <c r="J1301" s="199"/>
      <c r="K1301" s="199"/>
      <c r="L1301" s="248"/>
      <c r="M1301" s="248"/>
      <c r="N1301" s="248"/>
      <c r="O1301" s="248"/>
    </row>
    <row r="1302">
      <c r="A1302" s="199"/>
      <c r="B1302" s="199"/>
      <c r="C1302" s="199"/>
      <c r="D1302" s="248"/>
      <c r="E1302" s="248"/>
      <c r="F1302" s="248"/>
      <c r="G1302" s="248"/>
      <c r="H1302" s="283"/>
      <c r="I1302" s="199"/>
      <c r="J1302" s="199"/>
      <c r="K1302" s="199"/>
      <c r="L1302" s="248"/>
      <c r="M1302" s="248"/>
      <c r="N1302" s="248"/>
      <c r="O1302" s="248"/>
    </row>
    <row r="1303">
      <c r="A1303" s="199"/>
      <c r="B1303" s="199"/>
      <c r="C1303" s="199"/>
      <c r="D1303" s="248"/>
      <c r="E1303" s="248"/>
      <c r="F1303" s="248"/>
      <c r="G1303" s="248"/>
      <c r="H1303" s="283"/>
      <c r="I1303" s="199"/>
      <c r="J1303" s="199"/>
      <c r="K1303" s="199"/>
      <c r="L1303" s="248"/>
      <c r="M1303" s="248"/>
      <c r="N1303" s="248"/>
      <c r="O1303" s="248"/>
    </row>
    <row r="1304">
      <c r="A1304" s="199"/>
      <c r="B1304" s="199"/>
      <c r="C1304" s="199"/>
      <c r="D1304" s="248"/>
      <c r="E1304" s="248"/>
      <c r="F1304" s="248"/>
      <c r="G1304" s="248"/>
      <c r="H1304" s="283"/>
      <c r="I1304" s="199"/>
      <c r="J1304" s="199"/>
      <c r="K1304" s="199"/>
      <c r="L1304" s="248"/>
      <c r="M1304" s="248"/>
      <c r="N1304" s="248"/>
      <c r="O1304" s="248"/>
    </row>
    <row r="1305">
      <c r="A1305" s="199"/>
      <c r="B1305" s="199"/>
      <c r="C1305" s="199"/>
      <c r="D1305" s="248"/>
      <c r="E1305" s="248"/>
      <c r="F1305" s="248"/>
      <c r="G1305" s="248"/>
      <c r="H1305" s="283"/>
      <c r="I1305" s="199"/>
      <c r="J1305" s="199"/>
      <c r="K1305" s="199"/>
      <c r="L1305" s="248"/>
      <c r="M1305" s="248"/>
      <c r="N1305" s="248"/>
      <c r="O1305" s="248"/>
    </row>
    <row r="1306">
      <c r="A1306" s="199"/>
      <c r="B1306" s="199"/>
      <c r="C1306" s="199"/>
      <c r="D1306" s="248"/>
      <c r="E1306" s="248"/>
      <c r="F1306" s="248"/>
      <c r="G1306" s="248"/>
      <c r="H1306" s="283"/>
      <c r="I1306" s="199"/>
      <c r="J1306" s="199"/>
      <c r="K1306" s="199"/>
      <c r="L1306" s="248"/>
      <c r="M1306" s="248"/>
      <c r="N1306" s="248"/>
      <c r="O1306" s="248"/>
    </row>
    <row r="1307">
      <c r="A1307" s="199"/>
      <c r="B1307" s="199"/>
      <c r="C1307" s="199"/>
      <c r="D1307" s="248"/>
      <c r="E1307" s="248"/>
      <c r="F1307" s="248"/>
      <c r="G1307" s="248"/>
      <c r="H1307" s="283"/>
      <c r="I1307" s="199"/>
      <c r="J1307" s="199"/>
      <c r="K1307" s="199"/>
      <c r="L1307" s="248"/>
      <c r="M1307" s="248"/>
      <c r="N1307" s="248"/>
      <c r="O1307" s="248"/>
    </row>
    <row r="1308">
      <c r="A1308" s="199"/>
      <c r="B1308" s="199"/>
      <c r="C1308" s="199"/>
      <c r="D1308" s="248"/>
      <c r="E1308" s="248"/>
      <c r="F1308" s="248"/>
      <c r="G1308" s="248"/>
      <c r="H1308" s="283"/>
      <c r="I1308" s="199"/>
      <c r="J1308" s="199"/>
      <c r="K1308" s="199"/>
      <c r="L1308" s="248"/>
      <c r="M1308" s="248"/>
      <c r="N1308" s="248"/>
      <c r="O1308" s="248"/>
    </row>
    <row r="1309">
      <c r="A1309" s="199"/>
      <c r="B1309" s="199"/>
      <c r="C1309" s="199"/>
      <c r="D1309" s="248"/>
      <c r="E1309" s="248"/>
      <c r="F1309" s="248"/>
      <c r="G1309" s="248"/>
      <c r="H1309" s="283"/>
      <c r="I1309" s="199"/>
      <c r="J1309" s="199"/>
      <c r="K1309" s="199"/>
      <c r="L1309" s="248"/>
      <c r="M1309" s="248"/>
      <c r="N1309" s="248"/>
      <c r="O1309" s="248"/>
    </row>
    <row r="1310">
      <c r="A1310" s="199"/>
      <c r="B1310" s="199"/>
      <c r="C1310" s="199"/>
      <c r="D1310" s="248"/>
      <c r="E1310" s="248"/>
      <c r="F1310" s="248"/>
      <c r="G1310" s="248"/>
      <c r="H1310" s="283"/>
      <c r="I1310" s="199"/>
      <c r="J1310" s="199"/>
      <c r="K1310" s="199"/>
      <c r="L1310" s="248"/>
      <c r="M1310" s="248"/>
      <c r="N1310" s="248"/>
      <c r="O1310" s="248"/>
    </row>
    <row r="1311">
      <c r="A1311" s="199"/>
      <c r="B1311" s="199"/>
      <c r="C1311" s="199"/>
      <c r="D1311" s="248"/>
      <c r="E1311" s="248"/>
      <c r="F1311" s="248"/>
      <c r="G1311" s="248"/>
      <c r="H1311" s="283"/>
      <c r="I1311" s="199"/>
      <c r="J1311" s="199"/>
      <c r="K1311" s="199"/>
      <c r="L1311" s="248"/>
      <c r="M1311" s="248"/>
      <c r="N1311" s="248"/>
      <c r="O1311" s="248"/>
    </row>
    <row r="1312">
      <c r="A1312" s="199"/>
      <c r="B1312" s="199"/>
      <c r="C1312" s="199"/>
      <c r="D1312" s="248"/>
      <c r="E1312" s="248"/>
      <c r="F1312" s="248"/>
      <c r="G1312" s="248"/>
      <c r="H1312" s="283"/>
      <c r="I1312" s="199"/>
      <c r="J1312" s="199"/>
      <c r="K1312" s="199"/>
      <c r="L1312" s="248"/>
      <c r="M1312" s="248"/>
      <c r="N1312" s="248"/>
      <c r="O1312" s="248"/>
    </row>
    <row r="1313">
      <c r="A1313" s="199"/>
      <c r="B1313" s="199"/>
      <c r="C1313" s="199"/>
      <c r="D1313" s="248"/>
      <c r="E1313" s="248"/>
      <c r="F1313" s="248"/>
      <c r="G1313" s="248"/>
      <c r="H1313" s="283"/>
      <c r="I1313" s="199"/>
      <c r="J1313" s="199"/>
      <c r="K1313" s="199"/>
      <c r="L1313" s="248"/>
      <c r="M1313" s="248"/>
      <c r="N1313" s="248"/>
      <c r="O1313" s="248"/>
    </row>
    <row r="1314">
      <c r="A1314" s="199"/>
      <c r="B1314" s="199"/>
      <c r="C1314" s="199"/>
      <c r="D1314" s="248"/>
      <c r="E1314" s="248"/>
      <c r="F1314" s="248"/>
      <c r="G1314" s="248"/>
      <c r="H1314" s="283"/>
      <c r="I1314" s="199"/>
      <c r="J1314" s="199"/>
      <c r="K1314" s="199"/>
      <c r="L1314" s="248"/>
      <c r="M1314" s="248"/>
      <c r="N1314" s="248"/>
      <c r="O1314" s="248"/>
    </row>
    <row r="1315">
      <c r="A1315" s="199"/>
      <c r="B1315" s="199"/>
      <c r="C1315" s="199"/>
      <c r="D1315" s="248"/>
      <c r="E1315" s="248"/>
      <c r="F1315" s="248"/>
      <c r="G1315" s="248"/>
      <c r="H1315" s="283"/>
      <c r="I1315" s="199"/>
      <c r="J1315" s="199"/>
      <c r="K1315" s="199"/>
      <c r="L1315" s="248"/>
      <c r="M1315" s="248"/>
      <c r="N1315" s="248"/>
      <c r="O1315" s="248"/>
    </row>
    <row r="1316">
      <c r="A1316" s="199"/>
      <c r="B1316" s="199"/>
      <c r="C1316" s="199"/>
      <c r="D1316" s="248"/>
      <c r="E1316" s="248"/>
      <c r="F1316" s="248"/>
      <c r="G1316" s="248"/>
      <c r="H1316" s="283"/>
      <c r="I1316" s="199"/>
      <c r="J1316" s="199"/>
      <c r="K1316" s="199"/>
      <c r="L1316" s="248"/>
      <c r="M1316" s="248"/>
      <c r="N1316" s="248"/>
      <c r="O1316" s="248"/>
    </row>
    <row r="1317">
      <c r="A1317" s="199"/>
      <c r="B1317" s="199"/>
      <c r="C1317" s="199"/>
      <c r="D1317" s="248"/>
      <c r="E1317" s="248"/>
      <c r="F1317" s="248"/>
      <c r="G1317" s="248"/>
      <c r="H1317" s="283"/>
      <c r="I1317" s="199"/>
      <c r="J1317" s="199"/>
      <c r="K1317" s="199"/>
      <c r="L1317" s="248"/>
      <c r="M1317" s="248"/>
      <c r="N1317" s="248"/>
      <c r="O1317" s="248"/>
    </row>
    <row r="1318">
      <c r="A1318" s="199"/>
      <c r="B1318" s="199"/>
      <c r="C1318" s="199"/>
      <c r="D1318" s="248"/>
      <c r="E1318" s="248"/>
      <c r="F1318" s="248"/>
      <c r="G1318" s="248"/>
      <c r="H1318" s="283"/>
      <c r="I1318" s="199"/>
      <c r="J1318" s="199"/>
      <c r="K1318" s="199"/>
      <c r="L1318" s="248"/>
      <c r="M1318" s="248"/>
      <c r="N1318" s="248"/>
      <c r="O1318" s="248"/>
    </row>
    <row r="1319">
      <c r="A1319" s="199"/>
      <c r="B1319" s="199"/>
      <c r="C1319" s="199"/>
      <c r="D1319" s="248"/>
      <c r="E1319" s="248"/>
      <c r="F1319" s="248"/>
      <c r="G1319" s="248"/>
      <c r="H1319" s="283"/>
      <c r="I1319" s="199"/>
      <c r="J1319" s="199"/>
      <c r="K1319" s="199"/>
      <c r="L1319" s="248"/>
      <c r="M1319" s="248"/>
      <c r="N1319" s="248"/>
      <c r="O1319" s="248"/>
    </row>
    <row r="1320">
      <c r="A1320" s="199"/>
      <c r="B1320" s="199"/>
      <c r="C1320" s="199"/>
      <c r="D1320" s="248"/>
      <c r="E1320" s="248"/>
      <c r="F1320" s="248"/>
      <c r="G1320" s="248"/>
      <c r="H1320" s="283"/>
      <c r="I1320" s="199"/>
      <c r="J1320" s="199"/>
      <c r="K1320" s="199"/>
      <c r="L1320" s="248"/>
      <c r="M1320" s="248"/>
      <c r="N1320" s="248"/>
      <c r="O1320" s="248"/>
    </row>
    <row r="1321">
      <c r="A1321" s="199"/>
      <c r="B1321" s="199"/>
      <c r="C1321" s="199"/>
      <c r="D1321" s="248"/>
      <c r="E1321" s="248"/>
      <c r="F1321" s="248"/>
      <c r="G1321" s="248"/>
      <c r="H1321" s="283"/>
      <c r="I1321" s="199"/>
      <c r="J1321" s="199"/>
      <c r="K1321" s="199"/>
      <c r="L1321" s="248"/>
      <c r="M1321" s="248"/>
      <c r="N1321" s="248"/>
      <c r="O1321" s="248"/>
    </row>
    <row r="1322">
      <c r="A1322" s="199"/>
      <c r="B1322" s="199"/>
      <c r="C1322" s="199"/>
      <c r="D1322" s="248"/>
      <c r="E1322" s="248"/>
      <c r="F1322" s="248"/>
      <c r="G1322" s="248"/>
      <c r="H1322" s="283"/>
      <c r="I1322" s="199"/>
      <c r="J1322" s="199"/>
      <c r="K1322" s="199"/>
      <c r="L1322" s="248"/>
      <c r="M1322" s="248"/>
      <c r="N1322" s="248"/>
      <c r="O1322" s="248"/>
    </row>
    <row r="1323">
      <c r="A1323" s="199"/>
      <c r="B1323" s="199"/>
      <c r="C1323" s="199"/>
      <c r="D1323" s="248"/>
      <c r="E1323" s="248"/>
      <c r="F1323" s="248"/>
      <c r="G1323" s="248"/>
      <c r="H1323" s="283"/>
      <c r="I1323" s="199"/>
      <c r="J1323" s="199"/>
      <c r="K1323" s="199"/>
      <c r="L1323" s="248"/>
      <c r="M1323" s="248"/>
      <c r="N1323" s="248"/>
      <c r="O1323" s="248"/>
    </row>
    <row r="1324">
      <c r="A1324" s="199"/>
      <c r="B1324" s="199"/>
      <c r="C1324" s="199"/>
      <c r="D1324" s="248"/>
      <c r="E1324" s="248"/>
      <c r="F1324" s="248"/>
      <c r="G1324" s="248"/>
      <c r="H1324" s="283"/>
      <c r="I1324" s="199"/>
      <c r="J1324" s="199"/>
      <c r="K1324" s="199"/>
      <c r="L1324" s="248"/>
      <c r="M1324" s="248"/>
      <c r="N1324" s="248"/>
      <c r="O1324" s="248"/>
    </row>
    <row r="1325">
      <c r="A1325" s="199"/>
      <c r="B1325" s="199"/>
      <c r="C1325" s="199"/>
      <c r="D1325" s="248"/>
      <c r="E1325" s="248"/>
      <c r="F1325" s="248"/>
      <c r="G1325" s="248"/>
      <c r="H1325" s="283"/>
      <c r="I1325" s="199"/>
      <c r="J1325" s="199"/>
      <c r="K1325" s="199"/>
      <c r="L1325" s="248"/>
      <c r="M1325" s="248"/>
      <c r="N1325" s="248"/>
      <c r="O1325" s="248"/>
    </row>
    <row r="1326">
      <c r="A1326" s="199"/>
      <c r="B1326" s="199"/>
      <c r="C1326" s="199"/>
      <c r="D1326" s="248"/>
      <c r="E1326" s="248"/>
      <c r="F1326" s="248"/>
      <c r="G1326" s="248"/>
      <c r="H1326" s="283"/>
      <c r="I1326" s="199"/>
      <c r="J1326" s="199"/>
      <c r="K1326" s="199"/>
      <c r="L1326" s="248"/>
      <c r="M1326" s="248"/>
      <c r="N1326" s="248"/>
      <c r="O1326" s="248"/>
    </row>
    <row r="1327">
      <c r="A1327" s="199"/>
      <c r="B1327" s="199"/>
      <c r="C1327" s="199"/>
      <c r="D1327" s="248"/>
      <c r="E1327" s="248"/>
      <c r="F1327" s="248"/>
      <c r="G1327" s="248"/>
      <c r="H1327" s="283"/>
      <c r="I1327" s="199"/>
      <c r="J1327" s="199"/>
      <c r="K1327" s="199"/>
      <c r="L1327" s="248"/>
      <c r="M1327" s="248"/>
      <c r="N1327" s="248"/>
      <c r="O1327" s="248"/>
    </row>
    <row r="1328">
      <c r="A1328" s="199"/>
      <c r="B1328" s="199"/>
      <c r="C1328" s="199"/>
      <c r="D1328" s="248"/>
      <c r="E1328" s="248"/>
      <c r="F1328" s="248"/>
      <c r="G1328" s="248"/>
      <c r="H1328" s="283"/>
      <c r="I1328" s="199"/>
      <c r="J1328" s="199"/>
      <c r="K1328" s="199"/>
      <c r="L1328" s="248"/>
      <c r="M1328" s="248"/>
      <c r="N1328" s="248"/>
      <c r="O1328" s="248"/>
    </row>
    <row r="1329">
      <c r="A1329" s="199"/>
      <c r="B1329" s="199"/>
      <c r="C1329" s="199"/>
      <c r="D1329" s="248"/>
      <c r="E1329" s="248"/>
      <c r="F1329" s="248"/>
      <c r="G1329" s="248"/>
      <c r="H1329" s="283"/>
      <c r="I1329" s="199"/>
      <c r="J1329" s="199"/>
      <c r="K1329" s="199"/>
      <c r="L1329" s="248"/>
      <c r="M1329" s="248"/>
      <c r="N1329" s="248"/>
      <c r="O1329" s="248"/>
    </row>
    <row r="1330">
      <c r="A1330" s="199"/>
      <c r="B1330" s="199"/>
      <c r="C1330" s="199"/>
      <c r="D1330" s="248"/>
      <c r="E1330" s="248"/>
      <c r="F1330" s="248"/>
      <c r="G1330" s="248"/>
      <c r="H1330" s="283"/>
      <c r="I1330" s="199"/>
      <c r="J1330" s="199"/>
      <c r="K1330" s="199"/>
      <c r="L1330" s="248"/>
      <c r="M1330" s="248"/>
      <c r="N1330" s="248"/>
      <c r="O1330" s="248"/>
    </row>
    <row r="1331">
      <c r="A1331" s="199"/>
      <c r="B1331" s="199"/>
      <c r="C1331" s="199"/>
      <c r="D1331" s="248"/>
      <c r="E1331" s="248"/>
      <c r="F1331" s="248"/>
      <c r="G1331" s="248"/>
      <c r="H1331" s="283"/>
      <c r="I1331" s="199"/>
      <c r="J1331" s="199"/>
      <c r="K1331" s="199"/>
      <c r="L1331" s="248"/>
      <c r="M1331" s="248"/>
      <c r="N1331" s="248"/>
      <c r="O1331" s="248"/>
    </row>
    <row r="1332">
      <c r="A1332" s="199"/>
      <c r="B1332" s="199"/>
      <c r="C1332" s="199"/>
      <c r="D1332" s="248"/>
      <c r="E1332" s="248"/>
      <c r="F1332" s="248"/>
      <c r="G1332" s="248"/>
      <c r="H1332" s="283"/>
      <c r="I1332" s="199"/>
      <c r="J1332" s="199"/>
      <c r="K1332" s="199"/>
      <c r="L1332" s="248"/>
      <c r="M1332" s="248"/>
      <c r="N1332" s="248"/>
      <c r="O1332" s="248"/>
    </row>
    <row r="1333">
      <c r="A1333" s="199"/>
      <c r="B1333" s="199"/>
      <c r="C1333" s="199"/>
      <c r="D1333" s="248"/>
      <c r="E1333" s="248"/>
      <c r="F1333" s="248"/>
      <c r="G1333" s="248"/>
      <c r="H1333" s="283"/>
      <c r="I1333" s="199"/>
      <c r="J1333" s="199"/>
      <c r="K1333" s="199"/>
      <c r="L1333" s="248"/>
      <c r="M1333" s="248"/>
      <c r="N1333" s="248"/>
      <c r="O1333" s="248"/>
    </row>
    <row r="1334">
      <c r="A1334" s="199"/>
      <c r="B1334" s="199"/>
      <c r="C1334" s="199"/>
      <c r="D1334" s="248"/>
      <c r="E1334" s="248"/>
      <c r="F1334" s="248"/>
      <c r="G1334" s="248"/>
      <c r="H1334" s="283"/>
      <c r="I1334" s="199"/>
      <c r="J1334" s="199"/>
      <c r="K1334" s="199"/>
      <c r="L1334" s="248"/>
      <c r="M1334" s="248"/>
      <c r="N1334" s="248"/>
      <c r="O1334" s="248"/>
    </row>
    <row r="1335">
      <c r="A1335" s="199"/>
      <c r="B1335" s="199"/>
      <c r="C1335" s="199"/>
      <c r="D1335" s="248"/>
      <c r="E1335" s="248"/>
      <c r="F1335" s="248"/>
      <c r="G1335" s="248"/>
      <c r="H1335" s="283"/>
      <c r="I1335" s="199"/>
      <c r="J1335" s="199"/>
      <c r="K1335" s="199"/>
      <c r="L1335" s="248"/>
      <c r="M1335" s="248"/>
      <c r="N1335" s="248"/>
      <c r="O1335" s="248"/>
    </row>
    <row r="1336">
      <c r="A1336" s="199"/>
      <c r="B1336" s="199"/>
      <c r="C1336" s="199"/>
      <c r="D1336" s="248"/>
      <c r="E1336" s="248"/>
      <c r="F1336" s="248"/>
      <c r="G1336" s="248"/>
      <c r="H1336" s="283"/>
      <c r="I1336" s="199"/>
      <c r="J1336" s="199"/>
      <c r="K1336" s="199"/>
      <c r="L1336" s="248"/>
      <c r="M1336" s="248"/>
      <c r="N1336" s="248"/>
      <c r="O1336" s="248"/>
    </row>
    <row r="1337">
      <c r="A1337" s="199"/>
      <c r="B1337" s="199"/>
      <c r="C1337" s="199"/>
      <c r="D1337" s="248"/>
      <c r="E1337" s="248"/>
      <c r="F1337" s="248"/>
      <c r="G1337" s="248"/>
      <c r="H1337" s="283"/>
      <c r="I1337" s="199"/>
      <c r="J1337" s="199"/>
      <c r="K1337" s="199"/>
      <c r="L1337" s="248"/>
      <c r="M1337" s="248"/>
      <c r="N1337" s="248"/>
      <c r="O1337" s="248"/>
    </row>
    <row r="1338">
      <c r="A1338" s="199"/>
      <c r="B1338" s="199"/>
      <c r="C1338" s="199"/>
      <c r="D1338" s="248"/>
      <c r="E1338" s="248"/>
      <c r="F1338" s="248"/>
      <c r="G1338" s="248"/>
      <c r="H1338" s="283"/>
      <c r="I1338" s="199"/>
      <c r="J1338" s="199"/>
      <c r="K1338" s="199"/>
      <c r="L1338" s="248"/>
      <c r="M1338" s="248"/>
      <c r="N1338" s="248"/>
      <c r="O1338" s="248"/>
    </row>
    <row r="1339">
      <c r="A1339" s="199"/>
      <c r="B1339" s="199"/>
      <c r="C1339" s="199"/>
      <c r="D1339" s="248"/>
      <c r="E1339" s="248"/>
      <c r="F1339" s="248"/>
      <c r="G1339" s="248"/>
      <c r="H1339" s="283"/>
      <c r="I1339" s="199"/>
      <c r="J1339" s="199"/>
      <c r="K1339" s="199"/>
      <c r="L1339" s="248"/>
      <c r="M1339" s="248"/>
      <c r="N1339" s="248"/>
      <c r="O1339" s="248"/>
    </row>
    <row r="1340">
      <c r="A1340" s="199"/>
      <c r="B1340" s="199"/>
      <c r="C1340" s="199"/>
      <c r="D1340" s="248"/>
      <c r="E1340" s="248"/>
      <c r="F1340" s="248"/>
      <c r="G1340" s="248"/>
      <c r="H1340" s="283"/>
      <c r="I1340" s="199"/>
      <c r="J1340" s="199"/>
      <c r="K1340" s="199"/>
      <c r="L1340" s="248"/>
      <c r="M1340" s="248"/>
      <c r="N1340" s="248"/>
      <c r="O1340" s="248"/>
    </row>
    <row r="1341">
      <c r="A1341" s="199"/>
      <c r="B1341" s="199"/>
      <c r="C1341" s="199"/>
      <c r="D1341" s="248"/>
      <c r="E1341" s="248"/>
      <c r="F1341" s="248"/>
      <c r="G1341" s="248"/>
      <c r="H1341" s="283"/>
      <c r="I1341" s="199"/>
      <c r="J1341" s="199"/>
      <c r="K1341" s="199"/>
      <c r="L1341" s="248"/>
      <c r="M1341" s="248"/>
      <c r="N1341" s="248"/>
      <c r="O1341" s="248"/>
    </row>
    <row r="1342">
      <c r="A1342" s="199"/>
      <c r="B1342" s="199"/>
      <c r="C1342" s="199"/>
      <c r="D1342" s="248"/>
      <c r="E1342" s="248"/>
      <c r="F1342" s="248"/>
      <c r="G1342" s="248"/>
      <c r="H1342" s="283"/>
      <c r="I1342" s="199"/>
      <c r="J1342" s="199"/>
      <c r="K1342" s="199"/>
      <c r="L1342" s="248"/>
      <c r="M1342" s="248"/>
      <c r="N1342" s="248"/>
      <c r="O1342" s="248"/>
    </row>
    <row r="1343">
      <c r="A1343" s="199"/>
      <c r="B1343" s="199"/>
      <c r="C1343" s="199"/>
      <c r="D1343" s="248"/>
      <c r="E1343" s="248"/>
      <c r="F1343" s="248"/>
      <c r="G1343" s="248"/>
      <c r="H1343" s="283"/>
      <c r="I1343" s="199"/>
      <c r="J1343" s="199"/>
      <c r="K1343" s="199"/>
      <c r="L1343" s="248"/>
      <c r="M1343" s="248"/>
      <c r="N1343" s="248"/>
      <c r="O1343" s="248"/>
    </row>
    <row r="1344">
      <c r="A1344" s="199"/>
      <c r="B1344" s="199"/>
      <c r="C1344" s="199"/>
      <c r="D1344" s="248"/>
      <c r="E1344" s="248"/>
      <c r="F1344" s="248"/>
      <c r="G1344" s="248"/>
      <c r="H1344" s="283"/>
      <c r="I1344" s="199"/>
      <c r="J1344" s="199"/>
      <c r="K1344" s="199"/>
      <c r="L1344" s="248"/>
      <c r="M1344" s="248"/>
      <c r="N1344" s="248"/>
      <c r="O1344" s="248"/>
    </row>
    <row r="1345">
      <c r="A1345" s="199"/>
      <c r="B1345" s="199"/>
      <c r="C1345" s="199"/>
      <c r="D1345" s="248"/>
      <c r="E1345" s="248"/>
      <c r="F1345" s="248"/>
      <c r="G1345" s="248"/>
      <c r="H1345" s="283"/>
      <c r="I1345" s="199"/>
      <c r="J1345" s="199"/>
      <c r="K1345" s="199"/>
      <c r="L1345" s="248"/>
      <c r="M1345" s="248"/>
      <c r="N1345" s="248"/>
      <c r="O1345" s="248"/>
    </row>
    <row r="1346">
      <c r="A1346" s="199"/>
      <c r="B1346" s="199"/>
      <c r="C1346" s="199"/>
      <c r="D1346" s="248"/>
      <c r="E1346" s="248"/>
      <c r="F1346" s="248"/>
      <c r="G1346" s="248"/>
      <c r="H1346" s="283"/>
      <c r="I1346" s="199"/>
      <c r="J1346" s="199"/>
      <c r="K1346" s="199"/>
      <c r="L1346" s="248"/>
      <c r="M1346" s="248"/>
      <c r="N1346" s="248"/>
      <c r="O1346" s="248"/>
    </row>
    <row r="1347">
      <c r="A1347" s="199"/>
      <c r="B1347" s="199"/>
      <c r="C1347" s="199"/>
      <c r="D1347" s="248"/>
      <c r="E1347" s="248"/>
      <c r="F1347" s="248"/>
      <c r="G1347" s="248"/>
      <c r="H1347" s="283"/>
      <c r="I1347" s="199"/>
      <c r="J1347" s="199"/>
      <c r="K1347" s="199"/>
      <c r="L1347" s="248"/>
      <c r="M1347" s="248"/>
      <c r="N1347" s="248"/>
      <c r="O1347" s="248"/>
    </row>
    <row r="1348">
      <c r="A1348" s="199"/>
      <c r="B1348" s="199"/>
      <c r="C1348" s="199"/>
      <c r="D1348" s="248"/>
      <c r="E1348" s="248"/>
      <c r="F1348" s="248"/>
      <c r="G1348" s="248"/>
      <c r="H1348" s="283"/>
      <c r="I1348" s="199"/>
      <c r="J1348" s="199"/>
      <c r="K1348" s="199"/>
      <c r="L1348" s="248"/>
      <c r="M1348" s="248"/>
      <c r="N1348" s="248"/>
      <c r="O1348" s="248"/>
    </row>
    <row r="1349">
      <c r="A1349" s="199"/>
      <c r="B1349" s="199"/>
      <c r="C1349" s="199"/>
      <c r="D1349" s="248"/>
      <c r="E1349" s="248"/>
      <c r="F1349" s="248"/>
      <c r="G1349" s="248"/>
      <c r="H1349" s="283"/>
      <c r="I1349" s="199"/>
      <c r="J1349" s="199"/>
      <c r="K1349" s="199"/>
      <c r="L1349" s="248"/>
      <c r="M1349" s="248"/>
      <c r="N1349" s="248"/>
      <c r="O1349" s="248"/>
    </row>
    <row r="1350">
      <c r="A1350" s="199"/>
      <c r="B1350" s="199"/>
      <c r="C1350" s="199"/>
      <c r="D1350" s="248"/>
      <c r="E1350" s="248"/>
      <c r="F1350" s="248"/>
      <c r="G1350" s="248"/>
      <c r="H1350" s="283"/>
      <c r="I1350" s="199"/>
      <c r="J1350" s="199"/>
      <c r="K1350" s="199"/>
      <c r="L1350" s="248"/>
      <c r="M1350" s="248"/>
      <c r="N1350" s="248"/>
      <c r="O1350" s="248"/>
    </row>
    <row r="1351">
      <c r="A1351" s="199"/>
      <c r="B1351" s="199"/>
      <c r="C1351" s="199"/>
      <c r="D1351" s="248"/>
      <c r="E1351" s="248"/>
      <c r="F1351" s="248"/>
      <c r="G1351" s="248"/>
      <c r="H1351" s="283"/>
      <c r="I1351" s="199"/>
      <c r="J1351" s="199"/>
      <c r="K1351" s="199"/>
      <c r="L1351" s="248"/>
      <c r="M1351" s="248"/>
      <c r="N1351" s="248"/>
      <c r="O1351" s="248"/>
    </row>
    <row r="1352">
      <c r="A1352" s="199"/>
      <c r="B1352" s="199"/>
      <c r="C1352" s="199"/>
      <c r="D1352" s="248"/>
      <c r="E1352" s="248"/>
      <c r="F1352" s="248"/>
      <c r="G1352" s="248"/>
      <c r="H1352" s="283"/>
      <c r="I1352" s="199"/>
      <c r="J1352" s="199"/>
      <c r="K1352" s="199"/>
      <c r="L1352" s="248"/>
      <c r="M1352" s="248"/>
      <c r="N1352" s="248"/>
      <c r="O1352" s="248"/>
    </row>
    <row r="1353">
      <c r="A1353" s="199"/>
      <c r="B1353" s="199"/>
      <c r="C1353" s="199"/>
      <c r="D1353" s="248"/>
      <c r="E1353" s="248"/>
      <c r="F1353" s="248"/>
      <c r="G1353" s="248"/>
      <c r="H1353" s="283"/>
      <c r="I1353" s="199"/>
      <c r="J1353" s="199"/>
      <c r="K1353" s="199"/>
      <c r="L1353" s="248"/>
      <c r="M1353" s="248"/>
      <c r="N1353" s="248"/>
      <c r="O1353" s="248"/>
    </row>
    <row r="1354">
      <c r="A1354" s="199"/>
      <c r="B1354" s="199"/>
      <c r="C1354" s="199"/>
      <c r="D1354" s="248"/>
      <c r="E1354" s="248"/>
      <c r="F1354" s="248"/>
      <c r="G1354" s="248"/>
      <c r="H1354" s="283"/>
      <c r="I1354" s="199"/>
      <c r="J1354" s="199"/>
      <c r="K1354" s="199"/>
      <c r="L1354" s="248"/>
      <c r="M1354" s="248"/>
      <c r="N1354" s="248"/>
      <c r="O1354" s="248"/>
    </row>
    <row r="1355">
      <c r="A1355" s="199"/>
      <c r="B1355" s="199"/>
      <c r="C1355" s="199"/>
      <c r="D1355" s="248"/>
      <c r="E1355" s="248"/>
      <c r="F1355" s="248"/>
      <c r="G1355" s="248"/>
      <c r="H1355" s="283"/>
      <c r="I1355" s="199"/>
      <c r="J1355" s="199"/>
      <c r="K1355" s="199"/>
      <c r="L1355" s="248"/>
      <c r="M1355" s="248"/>
      <c r="N1355" s="248"/>
      <c r="O1355" s="248"/>
    </row>
    <row r="1356">
      <c r="A1356" s="199"/>
      <c r="B1356" s="199"/>
      <c r="C1356" s="199"/>
      <c r="D1356" s="248"/>
      <c r="E1356" s="248"/>
      <c r="F1356" s="248"/>
      <c r="G1356" s="248"/>
      <c r="H1356" s="283"/>
      <c r="I1356" s="199"/>
      <c r="J1356" s="199"/>
      <c r="K1356" s="199"/>
      <c r="L1356" s="248"/>
      <c r="M1356" s="248"/>
      <c r="N1356" s="248"/>
      <c r="O1356" s="248"/>
    </row>
    <row r="1357">
      <c r="A1357" s="199"/>
      <c r="B1357" s="199"/>
      <c r="C1357" s="199"/>
      <c r="D1357" s="248"/>
      <c r="E1357" s="248"/>
      <c r="F1357" s="248"/>
      <c r="G1357" s="248"/>
      <c r="H1357" s="283"/>
      <c r="I1357" s="199"/>
      <c r="J1357" s="199"/>
      <c r="K1357" s="199"/>
      <c r="L1357" s="248"/>
      <c r="M1357" s="248"/>
      <c r="N1357" s="248"/>
      <c r="O1357" s="248"/>
    </row>
    <row r="1358">
      <c r="A1358" s="199"/>
      <c r="B1358" s="199"/>
      <c r="C1358" s="199"/>
      <c r="D1358" s="248"/>
      <c r="E1358" s="248"/>
      <c r="F1358" s="248"/>
      <c r="G1358" s="248"/>
      <c r="H1358" s="283"/>
      <c r="I1358" s="199"/>
      <c r="J1358" s="199"/>
      <c r="K1358" s="199"/>
      <c r="L1358" s="248"/>
      <c r="M1358" s="248"/>
      <c r="N1358" s="248"/>
      <c r="O1358" s="248"/>
    </row>
    <row r="1359">
      <c r="A1359" s="199"/>
      <c r="B1359" s="199"/>
      <c r="C1359" s="199"/>
      <c r="D1359" s="248"/>
      <c r="E1359" s="248"/>
      <c r="F1359" s="248"/>
      <c r="G1359" s="248"/>
      <c r="H1359" s="283"/>
      <c r="I1359" s="199"/>
      <c r="J1359" s="199"/>
      <c r="K1359" s="199"/>
      <c r="L1359" s="248"/>
      <c r="M1359" s="248"/>
      <c r="N1359" s="248"/>
      <c r="O1359" s="248"/>
    </row>
    <row r="1360">
      <c r="A1360" s="199"/>
      <c r="B1360" s="199"/>
      <c r="C1360" s="199"/>
      <c r="D1360" s="248"/>
      <c r="E1360" s="248"/>
      <c r="F1360" s="248"/>
      <c r="G1360" s="248"/>
      <c r="H1360" s="283"/>
      <c r="I1360" s="199"/>
      <c r="J1360" s="199"/>
      <c r="K1360" s="199"/>
      <c r="L1360" s="248"/>
      <c r="M1360" s="248"/>
      <c r="N1360" s="248"/>
      <c r="O1360" s="248"/>
    </row>
    <row r="1361">
      <c r="A1361" s="199"/>
      <c r="B1361" s="199"/>
      <c r="C1361" s="199"/>
      <c r="D1361" s="248"/>
      <c r="E1361" s="248"/>
      <c r="F1361" s="248"/>
      <c r="G1361" s="248"/>
      <c r="H1361" s="283"/>
      <c r="I1361" s="199"/>
      <c r="J1361" s="199"/>
      <c r="K1361" s="199"/>
      <c r="L1361" s="248"/>
      <c r="M1361" s="248"/>
      <c r="N1361" s="248"/>
      <c r="O1361" s="248"/>
    </row>
    <row r="1362">
      <c r="A1362" s="199"/>
      <c r="B1362" s="199"/>
      <c r="C1362" s="199"/>
      <c r="D1362" s="248"/>
      <c r="E1362" s="248"/>
      <c r="F1362" s="248"/>
      <c r="G1362" s="248"/>
      <c r="H1362" s="283"/>
      <c r="I1362" s="199"/>
      <c r="J1362" s="199"/>
      <c r="K1362" s="199"/>
      <c r="L1362" s="248"/>
      <c r="M1362" s="248"/>
      <c r="N1362" s="248"/>
      <c r="O1362" s="248"/>
    </row>
    <row r="1363">
      <c r="A1363" s="199"/>
      <c r="B1363" s="199"/>
      <c r="C1363" s="199"/>
      <c r="D1363" s="248"/>
      <c r="E1363" s="248"/>
      <c r="F1363" s="248"/>
      <c r="G1363" s="248"/>
      <c r="H1363" s="283"/>
      <c r="I1363" s="199"/>
      <c r="J1363" s="199"/>
      <c r="K1363" s="199"/>
      <c r="L1363" s="248"/>
      <c r="M1363" s="248"/>
      <c r="N1363" s="248"/>
      <c r="O1363" s="248"/>
    </row>
    <row r="1364">
      <c r="A1364" s="199"/>
      <c r="B1364" s="199"/>
      <c r="C1364" s="199"/>
      <c r="D1364" s="248"/>
      <c r="E1364" s="248"/>
      <c r="F1364" s="248"/>
      <c r="G1364" s="248"/>
      <c r="H1364" s="283"/>
      <c r="I1364" s="199"/>
      <c r="J1364" s="199"/>
      <c r="K1364" s="199"/>
      <c r="L1364" s="248"/>
      <c r="M1364" s="248"/>
      <c r="N1364" s="248"/>
      <c r="O1364" s="248"/>
    </row>
    <row r="1365">
      <c r="A1365" s="199"/>
      <c r="B1365" s="199"/>
      <c r="C1365" s="199"/>
      <c r="D1365" s="248"/>
      <c r="E1365" s="248"/>
      <c r="F1365" s="248"/>
      <c r="G1365" s="248"/>
      <c r="H1365" s="283"/>
      <c r="I1365" s="199"/>
      <c r="J1365" s="199"/>
      <c r="K1365" s="199"/>
      <c r="L1365" s="248"/>
      <c r="M1365" s="248"/>
      <c r="N1365" s="248"/>
      <c r="O1365" s="248"/>
    </row>
    <row r="1366">
      <c r="A1366" s="199"/>
      <c r="B1366" s="199"/>
      <c r="C1366" s="199"/>
      <c r="D1366" s="248"/>
      <c r="E1366" s="248"/>
      <c r="F1366" s="248"/>
      <c r="G1366" s="248"/>
      <c r="H1366" s="283"/>
      <c r="I1366" s="199"/>
      <c r="J1366" s="199"/>
      <c r="K1366" s="199"/>
      <c r="L1366" s="248"/>
      <c r="M1366" s="248"/>
      <c r="N1366" s="248"/>
      <c r="O1366" s="248"/>
    </row>
    <row r="1367">
      <c r="A1367" s="199"/>
      <c r="B1367" s="199"/>
      <c r="C1367" s="199"/>
      <c r="D1367" s="248"/>
      <c r="E1367" s="248"/>
      <c r="F1367" s="248"/>
      <c r="G1367" s="248"/>
      <c r="H1367" s="283"/>
      <c r="I1367" s="199"/>
      <c r="J1367" s="199"/>
      <c r="K1367" s="199"/>
      <c r="L1367" s="248"/>
      <c r="M1367" s="248"/>
      <c r="N1367" s="248"/>
      <c r="O1367" s="248"/>
    </row>
    <row r="1368">
      <c r="A1368" s="199"/>
      <c r="B1368" s="199"/>
      <c r="C1368" s="199"/>
      <c r="D1368" s="248"/>
      <c r="E1368" s="248"/>
      <c r="F1368" s="248"/>
      <c r="G1368" s="248"/>
      <c r="H1368" s="283"/>
      <c r="I1368" s="199"/>
      <c r="J1368" s="199"/>
      <c r="K1368" s="199"/>
      <c r="L1368" s="248"/>
      <c r="M1368" s="248"/>
      <c r="N1368" s="248"/>
      <c r="O1368" s="248"/>
    </row>
    <row r="1369">
      <c r="A1369" s="199"/>
      <c r="B1369" s="199"/>
      <c r="C1369" s="199"/>
      <c r="D1369" s="248"/>
      <c r="E1369" s="248"/>
      <c r="F1369" s="248"/>
      <c r="G1369" s="248"/>
      <c r="H1369" s="283"/>
      <c r="I1369" s="199"/>
      <c r="J1369" s="199"/>
      <c r="K1369" s="199"/>
      <c r="L1369" s="248"/>
      <c r="M1369" s="248"/>
      <c r="N1369" s="248"/>
      <c r="O1369" s="248"/>
    </row>
    <row r="1370">
      <c r="A1370" s="199"/>
      <c r="B1370" s="199"/>
      <c r="C1370" s="199"/>
      <c r="D1370" s="248"/>
      <c r="E1370" s="248"/>
      <c r="F1370" s="248"/>
      <c r="G1370" s="248"/>
      <c r="H1370" s="283"/>
      <c r="I1370" s="199"/>
      <c r="J1370" s="199"/>
      <c r="K1370" s="199"/>
      <c r="L1370" s="248"/>
      <c r="M1370" s="248"/>
      <c r="N1370" s="248"/>
      <c r="O1370" s="248"/>
    </row>
    <row r="1371">
      <c r="A1371" s="199"/>
      <c r="B1371" s="199"/>
      <c r="C1371" s="199"/>
      <c r="D1371" s="248"/>
      <c r="E1371" s="248"/>
      <c r="F1371" s="248"/>
      <c r="G1371" s="248"/>
      <c r="H1371" s="283"/>
      <c r="I1371" s="199"/>
      <c r="J1371" s="199"/>
      <c r="K1371" s="199"/>
      <c r="L1371" s="248"/>
      <c r="M1371" s="248"/>
      <c r="N1371" s="248"/>
      <c r="O1371" s="248"/>
    </row>
    <row r="1372">
      <c r="A1372" s="199"/>
      <c r="B1372" s="199"/>
      <c r="C1372" s="199"/>
      <c r="D1372" s="248"/>
      <c r="E1372" s="248"/>
      <c r="F1372" s="248"/>
      <c r="G1372" s="248"/>
      <c r="H1372" s="283"/>
      <c r="I1372" s="199"/>
      <c r="J1372" s="199"/>
      <c r="K1372" s="199"/>
      <c r="L1372" s="248"/>
      <c r="M1372" s="248"/>
      <c r="N1372" s="248"/>
      <c r="O1372" s="248"/>
    </row>
    <row r="1373">
      <c r="A1373" s="199"/>
      <c r="B1373" s="199"/>
      <c r="C1373" s="199"/>
      <c r="D1373" s="248"/>
      <c r="E1373" s="248"/>
      <c r="F1373" s="248"/>
      <c r="G1373" s="248"/>
      <c r="H1373" s="283"/>
      <c r="I1373" s="199"/>
      <c r="J1373" s="199"/>
      <c r="K1373" s="199"/>
      <c r="L1373" s="248"/>
      <c r="M1373" s="248"/>
      <c r="N1373" s="248"/>
      <c r="O1373" s="248"/>
    </row>
    <row r="1374">
      <c r="A1374" s="199"/>
      <c r="B1374" s="199"/>
      <c r="C1374" s="199"/>
      <c r="D1374" s="248"/>
      <c r="E1374" s="248"/>
      <c r="F1374" s="248"/>
      <c r="G1374" s="248"/>
      <c r="H1374" s="283"/>
      <c r="I1374" s="199"/>
      <c r="J1374" s="199"/>
      <c r="K1374" s="199"/>
      <c r="L1374" s="248"/>
      <c r="M1374" s="248"/>
      <c r="N1374" s="248"/>
      <c r="O1374" s="248"/>
    </row>
    <row r="1375">
      <c r="A1375" s="199"/>
      <c r="B1375" s="199"/>
      <c r="C1375" s="199"/>
      <c r="D1375" s="248"/>
      <c r="E1375" s="248"/>
      <c r="F1375" s="248"/>
      <c r="G1375" s="248"/>
      <c r="H1375" s="283"/>
      <c r="I1375" s="199"/>
      <c r="J1375" s="199"/>
      <c r="K1375" s="199"/>
      <c r="L1375" s="248"/>
      <c r="M1375" s="248"/>
      <c r="N1375" s="248"/>
      <c r="O1375" s="248"/>
    </row>
    <row r="1376">
      <c r="A1376" s="199"/>
      <c r="B1376" s="199"/>
      <c r="C1376" s="199"/>
      <c r="D1376" s="248"/>
      <c r="E1376" s="248"/>
      <c r="F1376" s="248"/>
      <c r="G1376" s="248"/>
      <c r="H1376" s="283"/>
      <c r="I1376" s="199"/>
      <c r="J1376" s="199"/>
      <c r="K1376" s="199"/>
      <c r="L1376" s="248"/>
      <c r="M1376" s="248"/>
      <c r="N1376" s="248"/>
      <c r="O1376" s="248"/>
    </row>
    <row r="1377">
      <c r="A1377" s="199"/>
      <c r="B1377" s="199"/>
      <c r="C1377" s="199"/>
      <c r="D1377" s="248"/>
      <c r="E1377" s="248"/>
      <c r="F1377" s="248"/>
      <c r="G1377" s="248"/>
      <c r="H1377" s="283"/>
      <c r="I1377" s="199"/>
      <c r="J1377" s="199"/>
      <c r="K1377" s="199"/>
      <c r="L1377" s="248"/>
      <c r="M1377" s="248"/>
      <c r="N1377" s="248"/>
      <c r="O1377" s="248"/>
    </row>
    <row r="1378">
      <c r="A1378" s="199"/>
      <c r="B1378" s="199"/>
      <c r="C1378" s="199"/>
      <c r="D1378" s="248"/>
      <c r="E1378" s="248"/>
      <c r="F1378" s="248"/>
      <c r="G1378" s="248"/>
      <c r="H1378" s="283"/>
      <c r="I1378" s="199"/>
      <c r="J1378" s="199"/>
      <c r="K1378" s="199"/>
      <c r="L1378" s="248"/>
      <c r="M1378" s="248"/>
      <c r="N1378" s="248"/>
      <c r="O1378" s="248"/>
    </row>
    <row r="1379">
      <c r="A1379" s="199"/>
      <c r="B1379" s="199"/>
      <c r="C1379" s="199"/>
      <c r="D1379" s="248"/>
      <c r="E1379" s="248"/>
      <c r="F1379" s="248"/>
      <c r="G1379" s="248"/>
      <c r="H1379" s="283"/>
      <c r="I1379" s="199"/>
      <c r="J1379" s="199"/>
      <c r="K1379" s="199"/>
      <c r="L1379" s="248"/>
      <c r="M1379" s="248"/>
      <c r="N1379" s="248"/>
      <c r="O1379" s="248"/>
    </row>
    <row r="1380">
      <c r="A1380" s="199"/>
      <c r="B1380" s="199"/>
      <c r="C1380" s="199"/>
      <c r="D1380" s="248"/>
      <c r="E1380" s="248"/>
      <c r="F1380" s="248"/>
      <c r="G1380" s="248"/>
      <c r="H1380" s="283"/>
      <c r="I1380" s="199"/>
      <c r="J1380" s="199"/>
      <c r="K1380" s="199"/>
      <c r="L1380" s="248"/>
      <c r="M1380" s="248"/>
      <c r="N1380" s="248"/>
      <c r="O1380" s="248"/>
    </row>
    <row r="1381">
      <c r="A1381" s="199"/>
      <c r="B1381" s="199"/>
      <c r="C1381" s="199"/>
      <c r="D1381" s="248"/>
      <c r="E1381" s="248"/>
      <c r="F1381" s="248"/>
      <c r="G1381" s="248"/>
      <c r="H1381" s="283"/>
      <c r="I1381" s="199"/>
      <c r="J1381" s="199"/>
      <c r="K1381" s="199"/>
      <c r="L1381" s="248"/>
      <c r="M1381" s="248"/>
      <c r="N1381" s="248"/>
      <c r="O1381" s="248"/>
    </row>
    <row r="1382">
      <c r="A1382" s="199"/>
      <c r="B1382" s="199"/>
      <c r="C1382" s="199"/>
      <c r="D1382" s="248"/>
      <c r="E1382" s="248"/>
      <c r="F1382" s="248"/>
      <c r="G1382" s="248"/>
      <c r="H1382" s="283"/>
      <c r="I1382" s="199"/>
      <c r="J1382" s="199"/>
      <c r="K1382" s="199"/>
      <c r="L1382" s="248"/>
      <c r="M1382" s="248"/>
      <c r="N1382" s="248"/>
      <c r="O1382" s="248"/>
    </row>
    <row r="1383">
      <c r="A1383" s="199"/>
      <c r="B1383" s="199"/>
      <c r="C1383" s="199"/>
      <c r="D1383" s="248"/>
      <c r="E1383" s="248"/>
      <c r="F1383" s="248"/>
      <c r="G1383" s="248"/>
      <c r="H1383" s="283"/>
      <c r="I1383" s="199"/>
      <c r="J1383" s="199"/>
      <c r="K1383" s="199"/>
      <c r="L1383" s="248"/>
      <c r="M1383" s="248"/>
      <c r="N1383" s="248"/>
      <c r="O1383" s="248"/>
    </row>
    <row r="1384">
      <c r="A1384" s="199"/>
      <c r="B1384" s="199"/>
      <c r="C1384" s="199"/>
      <c r="D1384" s="248"/>
      <c r="E1384" s="248"/>
      <c r="F1384" s="248"/>
      <c r="G1384" s="248"/>
      <c r="H1384" s="283"/>
      <c r="I1384" s="199"/>
      <c r="J1384" s="199"/>
      <c r="K1384" s="199"/>
      <c r="L1384" s="248"/>
      <c r="M1384" s="248"/>
      <c r="N1384" s="248"/>
      <c r="O1384" s="248"/>
    </row>
    <row r="1385">
      <c r="A1385" s="199"/>
      <c r="B1385" s="199"/>
      <c r="C1385" s="199"/>
      <c r="D1385" s="248"/>
      <c r="E1385" s="248"/>
      <c r="F1385" s="248"/>
      <c r="G1385" s="248"/>
      <c r="H1385" s="283"/>
      <c r="I1385" s="199"/>
      <c r="J1385" s="199"/>
      <c r="K1385" s="199"/>
      <c r="L1385" s="248"/>
      <c r="M1385" s="248"/>
      <c r="N1385" s="248"/>
      <c r="O1385" s="248"/>
    </row>
    <row r="1386">
      <c r="A1386" s="199"/>
      <c r="B1386" s="199"/>
      <c r="C1386" s="199"/>
      <c r="D1386" s="248"/>
      <c r="E1386" s="248"/>
      <c r="F1386" s="248"/>
      <c r="G1386" s="248"/>
      <c r="H1386" s="283"/>
      <c r="I1386" s="199"/>
      <c r="J1386" s="199"/>
      <c r="K1386" s="199"/>
      <c r="L1386" s="248"/>
      <c r="M1386" s="248"/>
      <c r="N1386" s="248"/>
      <c r="O1386" s="248"/>
    </row>
    <row r="1387">
      <c r="A1387" s="199"/>
      <c r="B1387" s="199"/>
      <c r="C1387" s="199"/>
      <c r="D1387" s="248"/>
      <c r="E1387" s="248"/>
      <c r="F1387" s="248"/>
      <c r="G1387" s="248"/>
      <c r="H1387" s="283"/>
      <c r="I1387" s="199"/>
      <c r="J1387" s="199"/>
      <c r="K1387" s="199"/>
      <c r="L1387" s="248"/>
      <c r="M1387" s="248"/>
      <c r="N1387" s="248"/>
      <c r="O1387" s="248"/>
    </row>
    <row r="1388">
      <c r="A1388" s="199"/>
      <c r="B1388" s="199"/>
      <c r="C1388" s="199"/>
      <c r="D1388" s="248"/>
      <c r="E1388" s="248"/>
      <c r="F1388" s="248"/>
      <c r="G1388" s="248"/>
      <c r="H1388" s="283"/>
      <c r="I1388" s="199"/>
      <c r="J1388" s="199"/>
      <c r="K1388" s="199"/>
      <c r="L1388" s="248"/>
      <c r="M1388" s="248"/>
      <c r="N1388" s="248"/>
      <c r="O1388" s="248"/>
    </row>
    <row r="1389">
      <c r="A1389" s="199"/>
      <c r="B1389" s="199"/>
      <c r="C1389" s="199"/>
      <c r="D1389" s="248"/>
      <c r="E1389" s="248"/>
      <c r="F1389" s="248"/>
      <c r="G1389" s="248"/>
      <c r="H1389" s="283"/>
      <c r="I1389" s="199"/>
      <c r="J1389" s="199"/>
      <c r="K1389" s="199"/>
      <c r="L1389" s="248"/>
      <c r="M1389" s="248"/>
      <c r="N1389" s="248"/>
      <c r="O1389" s="248"/>
    </row>
    <row r="1390">
      <c r="A1390" s="199"/>
      <c r="B1390" s="199"/>
      <c r="C1390" s="199"/>
      <c r="D1390" s="248"/>
      <c r="E1390" s="248"/>
      <c r="F1390" s="248"/>
      <c r="G1390" s="248"/>
      <c r="H1390" s="283"/>
      <c r="I1390" s="199"/>
      <c r="J1390" s="199"/>
      <c r="K1390" s="199"/>
      <c r="L1390" s="248"/>
      <c r="M1390" s="248"/>
      <c r="N1390" s="248"/>
      <c r="O1390" s="248"/>
    </row>
    <row r="1391">
      <c r="A1391" s="199"/>
      <c r="B1391" s="199"/>
      <c r="C1391" s="199"/>
      <c r="D1391" s="248"/>
      <c r="E1391" s="248"/>
      <c r="F1391" s="248"/>
      <c r="G1391" s="248"/>
      <c r="H1391" s="283"/>
      <c r="I1391" s="199"/>
      <c r="J1391" s="199"/>
      <c r="K1391" s="199"/>
      <c r="L1391" s="248"/>
      <c r="M1391" s="248"/>
      <c r="N1391" s="248"/>
      <c r="O1391" s="248"/>
    </row>
    <row r="1392">
      <c r="A1392" s="199"/>
      <c r="B1392" s="199"/>
      <c r="C1392" s="199"/>
      <c r="D1392" s="248"/>
      <c r="E1392" s="248"/>
      <c r="F1392" s="248"/>
      <c r="G1392" s="248"/>
      <c r="H1392" s="283"/>
      <c r="I1392" s="199"/>
      <c r="J1392" s="199"/>
      <c r="K1392" s="199"/>
      <c r="L1392" s="248"/>
      <c r="M1392" s="248"/>
      <c r="N1392" s="248"/>
      <c r="O1392" s="248"/>
    </row>
    <row r="1393">
      <c r="A1393" s="199"/>
      <c r="B1393" s="199"/>
      <c r="C1393" s="199"/>
      <c r="D1393" s="248"/>
      <c r="E1393" s="248"/>
      <c r="F1393" s="248"/>
      <c r="G1393" s="248"/>
      <c r="H1393" s="283"/>
      <c r="I1393" s="199"/>
      <c r="J1393" s="199"/>
      <c r="K1393" s="199"/>
      <c r="L1393" s="248"/>
      <c r="M1393" s="248"/>
      <c r="N1393" s="248"/>
      <c r="O1393" s="248"/>
    </row>
    <row r="1394">
      <c r="A1394" s="199"/>
      <c r="B1394" s="199"/>
      <c r="C1394" s="199"/>
      <c r="D1394" s="248"/>
      <c r="E1394" s="248"/>
      <c r="F1394" s="248"/>
      <c r="G1394" s="248"/>
      <c r="H1394" s="283"/>
      <c r="I1394" s="199"/>
      <c r="J1394" s="199"/>
      <c r="K1394" s="199"/>
      <c r="L1394" s="248"/>
      <c r="M1394" s="248"/>
      <c r="N1394" s="248"/>
      <c r="O1394" s="248"/>
    </row>
    <row r="1395">
      <c r="A1395" s="199"/>
      <c r="B1395" s="199"/>
      <c r="C1395" s="199"/>
      <c r="D1395" s="248"/>
      <c r="E1395" s="248"/>
      <c r="F1395" s="248"/>
      <c r="G1395" s="248"/>
      <c r="H1395" s="283"/>
      <c r="I1395" s="199"/>
      <c r="J1395" s="199"/>
      <c r="K1395" s="199"/>
      <c r="L1395" s="248"/>
      <c r="M1395" s="248"/>
      <c r="N1395" s="248"/>
      <c r="O1395" s="248"/>
    </row>
    <row r="1396">
      <c r="A1396" s="199"/>
      <c r="B1396" s="199"/>
      <c r="C1396" s="199"/>
      <c r="D1396" s="248"/>
      <c r="E1396" s="248"/>
      <c r="F1396" s="248"/>
      <c r="G1396" s="248"/>
      <c r="H1396" s="283"/>
      <c r="I1396" s="199"/>
      <c r="J1396" s="199"/>
      <c r="K1396" s="199"/>
      <c r="L1396" s="248"/>
      <c r="M1396" s="248"/>
      <c r="N1396" s="248"/>
      <c r="O1396" s="248"/>
    </row>
    <row r="1397">
      <c r="A1397" s="199"/>
      <c r="B1397" s="199"/>
      <c r="C1397" s="199"/>
      <c r="D1397" s="248"/>
      <c r="E1397" s="248"/>
      <c r="F1397" s="248"/>
      <c r="G1397" s="248"/>
      <c r="H1397" s="283"/>
      <c r="I1397" s="199"/>
      <c r="J1397" s="199"/>
      <c r="K1397" s="199"/>
      <c r="L1397" s="248"/>
      <c r="M1397" s="248"/>
      <c r="N1397" s="248"/>
      <c r="O1397" s="248"/>
    </row>
    <row r="1398">
      <c r="A1398" s="199"/>
      <c r="B1398" s="199"/>
      <c r="C1398" s="199"/>
      <c r="D1398" s="248"/>
      <c r="E1398" s="248"/>
      <c r="F1398" s="248"/>
      <c r="G1398" s="248"/>
      <c r="H1398" s="283"/>
      <c r="I1398" s="199"/>
      <c r="J1398" s="199"/>
      <c r="K1398" s="199"/>
      <c r="L1398" s="248"/>
      <c r="M1398" s="248"/>
      <c r="N1398" s="248"/>
      <c r="O1398" s="248"/>
    </row>
    <row r="1399">
      <c r="A1399" s="199"/>
      <c r="B1399" s="199"/>
      <c r="C1399" s="199"/>
      <c r="D1399" s="248"/>
      <c r="E1399" s="248"/>
      <c r="F1399" s="248"/>
      <c r="G1399" s="248"/>
      <c r="H1399" s="283"/>
      <c r="I1399" s="199"/>
      <c r="J1399" s="199"/>
      <c r="K1399" s="199"/>
      <c r="L1399" s="248"/>
      <c r="M1399" s="248"/>
      <c r="N1399" s="248"/>
      <c r="O1399" s="248"/>
    </row>
    <row r="1400">
      <c r="A1400" s="199"/>
      <c r="B1400" s="199"/>
      <c r="C1400" s="199"/>
      <c r="D1400" s="248"/>
      <c r="E1400" s="248"/>
      <c r="F1400" s="248"/>
      <c r="G1400" s="248"/>
      <c r="H1400" s="283"/>
      <c r="I1400" s="199"/>
      <c r="J1400" s="199"/>
      <c r="K1400" s="199"/>
      <c r="L1400" s="248"/>
      <c r="M1400" s="248"/>
      <c r="N1400" s="248"/>
      <c r="O1400" s="248"/>
    </row>
    <row r="1401">
      <c r="A1401" s="199"/>
      <c r="B1401" s="199"/>
      <c r="C1401" s="199"/>
      <c r="D1401" s="248"/>
      <c r="E1401" s="248"/>
      <c r="F1401" s="248"/>
      <c r="G1401" s="248"/>
      <c r="H1401" s="283"/>
      <c r="I1401" s="199"/>
      <c r="J1401" s="199"/>
      <c r="K1401" s="199"/>
      <c r="L1401" s="248"/>
      <c r="M1401" s="248"/>
      <c r="N1401" s="248"/>
      <c r="O1401" s="248"/>
    </row>
    <row r="1402">
      <c r="A1402" s="199"/>
      <c r="B1402" s="199"/>
      <c r="C1402" s="199"/>
      <c r="D1402" s="248"/>
      <c r="E1402" s="248"/>
      <c r="F1402" s="248"/>
      <c r="G1402" s="248"/>
      <c r="H1402" s="283"/>
      <c r="I1402" s="199"/>
      <c r="J1402" s="199"/>
      <c r="K1402" s="199"/>
      <c r="L1402" s="248"/>
      <c r="M1402" s="248"/>
      <c r="N1402" s="248"/>
      <c r="O1402" s="248"/>
    </row>
    <row r="1403">
      <c r="A1403" s="199"/>
      <c r="B1403" s="199"/>
      <c r="C1403" s="199"/>
      <c r="D1403" s="248"/>
      <c r="E1403" s="248"/>
      <c r="F1403" s="248"/>
      <c r="G1403" s="248"/>
      <c r="H1403" s="283"/>
      <c r="I1403" s="199"/>
      <c r="J1403" s="199"/>
      <c r="K1403" s="199"/>
      <c r="L1403" s="248"/>
      <c r="M1403" s="248"/>
      <c r="N1403" s="248"/>
      <c r="O1403" s="248"/>
    </row>
    <row r="1404">
      <c r="A1404" s="199"/>
      <c r="B1404" s="199"/>
      <c r="C1404" s="199"/>
      <c r="D1404" s="248"/>
      <c r="E1404" s="248"/>
      <c r="F1404" s="248"/>
      <c r="G1404" s="248"/>
      <c r="H1404" s="283"/>
      <c r="I1404" s="199"/>
      <c r="J1404" s="199"/>
      <c r="K1404" s="199"/>
      <c r="L1404" s="248"/>
      <c r="M1404" s="248"/>
      <c r="N1404" s="248"/>
      <c r="O1404" s="248"/>
    </row>
    <row r="1405">
      <c r="A1405" s="199"/>
      <c r="B1405" s="199"/>
      <c r="C1405" s="199"/>
      <c r="D1405" s="248"/>
      <c r="E1405" s="248"/>
      <c r="F1405" s="248"/>
      <c r="G1405" s="248"/>
      <c r="H1405" s="283"/>
      <c r="I1405" s="199"/>
      <c r="J1405" s="199"/>
      <c r="K1405" s="199"/>
      <c r="L1405" s="248"/>
      <c r="M1405" s="248"/>
      <c r="N1405" s="248"/>
      <c r="O1405" s="248"/>
    </row>
    <row r="1406">
      <c r="A1406" s="199"/>
      <c r="B1406" s="199"/>
      <c r="C1406" s="199"/>
      <c r="D1406" s="248"/>
      <c r="E1406" s="248"/>
      <c r="F1406" s="248"/>
      <c r="G1406" s="248"/>
      <c r="H1406" s="283"/>
      <c r="I1406" s="199"/>
      <c r="J1406" s="199"/>
      <c r="K1406" s="199"/>
      <c r="L1406" s="248"/>
      <c r="M1406" s="248"/>
      <c r="N1406" s="248"/>
      <c r="O1406" s="248"/>
    </row>
    <row r="1407">
      <c r="A1407" s="199"/>
      <c r="B1407" s="199"/>
      <c r="C1407" s="199"/>
      <c r="D1407" s="248"/>
      <c r="E1407" s="248"/>
      <c r="F1407" s="248"/>
      <c r="G1407" s="248"/>
      <c r="H1407" s="283"/>
      <c r="I1407" s="199"/>
      <c r="J1407" s="199"/>
      <c r="K1407" s="199"/>
      <c r="L1407" s="248"/>
      <c r="M1407" s="248"/>
      <c r="N1407" s="248"/>
      <c r="O1407" s="248"/>
    </row>
    <row r="1408">
      <c r="A1408" s="199"/>
      <c r="B1408" s="199"/>
      <c r="C1408" s="199"/>
      <c r="D1408" s="248"/>
      <c r="E1408" s="248"/>
      <c r="F1408" s="248"/>
      <c r="G1408" s="248"/>
      <c r="H1408" s="283"/>
      <c r="I1408" s="199"/>
      <c r="J1408" s="199"/>
      <c r="K1408" s="199"/>
      <c r="L1408" s="248"/>
      <c r="M1408" s="248"/>
      <c r="N1408" s="248"/>
      <c r="O1408" s="248"/>
    </row>
    <row r="1409">
      <c r="A1409" s="199"/>
      <c r="B1409" s="199"/>
      <c r="C1409" s="199"/>
      <c r="D1409" s="248"/>
      <c r="E1409" s="248"/>
      <c r="F1409" s="248"/>
      <c r="G1409" s="248"/>
      <c r="H1409" s="283"/>
      <c r="I1409" s="199"/>
      <c r="J1409" s="199"/>
      <c r="K1409" s="199"/>
      <c r="L1409" s="248"/>
      <c r="M1409" s="248"/>
      <c r="N1409" s="248"/>
      <c r="O1409" s="248"/>
    </row>
    <row r="1410">
      <c r="A1410" s="199"/>
      <c r="B1410" s="199"/>
      <c r="C1410" s="199"/>
      <c r="D1410" s="248"/>
      <c r="E1410" s="248"/>
      <c r="F1410" s="248"/>
      <c r="G1410" s="248"/>
      <c r="H1410" s="283"/>
      <c r="I1410" s="199"/>
      <c r="J1410" s="199"/>
      <c r="K1410" s="199"/>
      <c r="L1410" s="248"/>
      <c r="M1410" s="248"/>
      <c r="N1410" s="248"/>
      <c r="O1410" s="248"/>
    </row>
    <row r="1411">
      <c r="A1411" s="199"/>
      <c r="B1411" s="199"/>
      <c r="C1411" s="199"/>
      <c r="D1411" s="248"/>
      <c r="E1411" s="248"/>
      <c r="F1411" s="248"/>
      <c r="G1411" s="248"/>
      <c r="H1411" s="283"/>
      <c r="I1411" s="199"/>
      <c r="J1411" s="199"/>
      <c r="K1411" s="199"/>
      <c r="L1411" s="248"/>
      <c r="M1411" s="248"/>
      <c r="N1411" s="248"/>
      <c r="O1411" s="248"/>
    </row>
    <row r="1412">
      <c r="A1412" s="199"/>
      <c r="B1412" s="199"/>
      <c r="C1412" s="199"/>
      <c r="D1412" s="248"/>
      <c r="E1412" s="248"/>
      <c r="F1412" s="248"/>
      <c r="G1412" s="248"/>
      <c r="H1412" s="283"/>
      <c r="I1412" s="199"/>
      <c r="J1412" s="199"/>
      <c r="K1412" s="199"/>
      <c r="L1412" s="248"/>
      <c r="M1412" s="248"/>
      <c r="N1412" s="248"/>
      <c r="O1412" s="248"/>
    </row>
    <row r="1413">
      <c r="A1413" s="199"/>
      <c r="B1413" s="199"/>
      <c r="C1413" s="199"/>
      <c r="D1413" s="248"/>
      <c r="E1413" s="248"/>
      <c r="F1413" s="248"/>
      <c r="G1413" s="248"/>
      <c r="H1413" s="283"/>
      <c r="I1413" s="199"/>
      <c r="J1413" s="199"/>
      <c r="K1413" s="199"/>
      <c r="L1413" s="248"/>
      <c r="M1413" s="248"/>
      <c r="N1413" s="248"/>
      <c r="O1413" s="248"/>
    </row>
    <row r="1414">
      <c r="A1414" s="199"/>
      <c r="B1414" s="199"/>
      <c r="C1414" s="199"/>
      <c r="D1414" s="248"/>
      <c r="E1414" s="248"/>
      <c r="F1414" s="248"/>
      <c r="G1414" s="248"/>
      <c r="H1414" s="283"/>
      <c r="I1414" s="199"/>
      <c r="J1414" s="199"/>
      <c r="K1414" s="199"/>
      <c r="L1414" s="248"/>
      <c r="M1414" s="248"/>
      <c r="N1414" s="248"/>
      <c r="O1414" s="248"/>
    </row>
    <row r="1415">
      <c r="A1415" s="199"/>
      <c r="B1415" s="199"/>
      <c r="C1415" s="199"/>
      <c r="D1415" s="248"/>
      <c r="E1415" s="248"/>
      <c r="F1415" s="248"/>
      <c r="G1415" s="248"/>
      <c r="H1415" s="283"/>
      <c r="I1415" s="199"/>
      <c r="J1415" s="199"/>
      <c r="K1415" s="199"/>
      <c r="L1415" s="248"/>
      <c r="M1415" s="248"/>
      <c r="N1415" s="248"/>
      <c r="O1415" s="248"/>
    </row>
    <row r="1416">
      <c r="A1416" s="199"/>
      <c r="B1416" s="199"/>
      <c r="C1416" s="199"/>
      <c r="D1416" s="248"/>
      <c r="E1416" s="248"/>
      <c r="F1416" s="248"/>
      <c r="G1416" s="248"/>
      <c r="H1416" s="283"/>
      <c r="I1416" s="199"/>
      <c r="J1416" s="199"/>
      <c r="K1416" s="199"/>
      <c r="L1416" s="248"/>
      <c r="M1416" s="248"/>
      <c r="N1416" s="248"/>
      <c r="O1416" s="248"/>
    </row>
    <row r="1417">
      <c r="A1417" s="199"/>
      <c r="B1417" s="199"/>
      <c r="C1417" s="199"/>
      <c r="D1417" s="248"/>
      <c r="E1417" s="248"/>
      <c r="F1417" s="248"/>
      <c r="G1417" s="248"/>
      <c r="H1417" s="283"/>
      <c r="I1417" s="199"/>
      <c r="J1417" s="199"/>
      <c r="K1417" s="199"/>
      <c r="L1417" s="248"/>
      <c r="M1417" s="248"/>
      <c r="N1417" s="248"/>
      <c r="O1417" s="248"/>
    </row>
    <row r="1418">
      <c r="A1418" s="199"/>
      <c r="B1418" s="199"/>
      <c r="C1418" s="199"/>
      <c r="D1418" s="248"/>
      <c r="E1418" s="248"/>
      <c r="F1418" s="248"/>
      <c r="G1418" s="248"/>
      <c r="H1418" s="283"/>
      <c r="I1418" s="199"/>
      <c r="J1418" s="199"/>
      <c r="K1418" s="199"/>
      <c r="L1418" s="248"/>
      <c r="M1418" s="248"/>
      <c r="N1418" s="248"/>
      <c r="O1418" s="248"/>
    </row>
    <row r="1419">
      <c r="A1419" s="199"/>
      <c r="B1419" s="199"/>
      <c r="C1419" s="199"/>
      <c r="D1419" s="248"/>
      <c r="E1419" s="248"/>
      <c r="F1419" s="248"/>
      <c r="G1419" s="248"/>
      <c r="H1419" s="283"/>
      <c r="I1419" s="199"/>
      <c r="J1419" s="199"/>
      <c r="K1419" s="199"/>
      <c r="L1419" s="248"/>
      <c r="M1419" s="248"/>
      <c r="N1419" s="248"/>
      <c r="O1419" s="248"/>
    </row>
    <row r="1420">
      <c r="A1420" s="199"/>
      <c r="B1420" s="199"/>
      <c r="C1420" s="199"/>
      <c r="D1420" s="248"/>
      <c r="E1420" s="248"/>
      <c r="F1420" s="248"/>
      <c r="G1420" s="248"/>
      <c r="H1420" s="283"/>
      <c r="I1420" s="199"/>
      <c r="J1420" s="199"/>
      <c r="K1420" s="199"/>
      <c r="L1420" s="248"/>
      <c r="M1420" s="248"/>
      <c r="N1420" s="248"/>
      <c r="O1420" s="248"/>
    </row>
    <row r="1421">
      <c r="A1421" s="199"/>
      <c r="B1421" s="199"/>
      <c r="C1421" s="199"/>
      <c r="D1421" s="248"/>
      <c r="E1421" s="248"/>
      <c r="F1421" s="248"/>
      <c r="G1421" s="248"/>
      <c r="H1421" s="283"/>
      <c r="I1421" s="199"/>
      <c r="J1421" s="199"/>
      <c r="K1421" s="199"/>
      <c r="L1421" s="248"/>
      <c r="M1421" s="248"/>
      <c r="N1421" s="248"/>
      <c r="O1421" s="248"/>
    </row>
    <row r="1422">
      <c r="A1422" s="199"/>
      <c r="B1422" s="199"/>
      <c r="C1422" s="199"/>
      <c r="D1422" s="248"/>
      <c r="E1422" s="248"/>
      <c r="F1422" s="248"/>
      <c r="G1422" s="248"/>
      <c r="H1422" s="283"/>
      <c r="I1422" s="199"/>
      <c r="J1422" s="199"/>
      <c r="K1422" s="199"/>
      <c r="L1422" s="248"/>
      <c r="M1422" s="248"/>
      <c r="N1422" s="248"/>
      <c r="O1422" s="248"/>
    </row>
    <row r="1423">
      <c r="A1423" s="199"/>
      <c r="B1423" s="199"/>
      <c r="C1423" s="199"/>
      <c r="D1423" s="248"/>
      <c r="E1423" s="248"/>
      <c r="F1423" s="248"/>
      <c r="G1423" s="248"/>
      <c r="H1423" s="283"/>
      <c r="I1423" s="199"/>
      <c r="J1423" s="199"/>
      <c r="K1423" s="199"/>
      <c r="L1423" s="248"/>
      <c r="M1423" s="248"/>
      <c r="N1423" s="248"/>
      <c r="O1423" s="248"/>
    </row>
    <row r="1424">
      <c r="A1424" s="199"/>
      <c r="B1424" s="199"/>
      <c r="C1424" s="199"/>
      <c r="D1424" s="248"/>
      <c r="E1424" s="248"/>
      <c r="F1424" s="248"/>
      <c r="G1424" s="248"/>
      <c r="H1424" s="283"/>
      <c r="I1424" s="199"/>
      <c r="J1424" s="199"/>
      <c r="K1424" s="199"/>
      <c r="L1424" s="248"/>
      <c r="M1424" s="248"/>
      <c r="N1424" s="248"/>
      <c r="O1424" s="248"/>
    </row>
    <row r="1425">
      <c r="A1425" s="199"/>
      <c r="B1425" s="199"/>
      <c r="C1425" s="199"/>
      <c r="D1425" s="248"/>
      <c r="E1425" s="248"/>
      <c r="F1425" s="248"/>
      <c r="G1425" s="248"/>
      <c r="H1425" s="283"/>
      <c r="I1425" s="199"/>
      <c r="J1425" s="199"/>
      <c r="K1425" s="199"/>
      <c r="L1425" s="248"/>
      <c r="M1425" s="248"/>
      <c r="N1425" s="248"/>
      <c r="O1425" s="248"/>
    </row>
    <row r="1426">
      <c r="A1426" s="199"/>
      <c r="B1426" s="199"/>
      <c r="C1426" s="199"/>
      <c r="D1426" s="248"/>
      <c r="E1426" s="248"/>
      <c r="F1426" s="248"/>
      <c r="G1426" s="248"/>
      <c r="H1426" s="283"/>
      <c r="I1426" s="199"/>
      <c r="J1426" s="199"/>
      <c r="K1426" s="199"/>
      <c r="L1426" s="248"/>
      <c r="M1426" s="248"/>
      <c r="N1426" s="248"/>
      <c r="O1426" s="248"/>
    </row>
    <row r="1427">
      <c r="A1427" s="199"/>
      <c r="B1427" s="199"/>
      <c r="C1427" s="199"/>
      <c r="D1427" s="248"/>
      <c r="E1427" s="248"/>
      <c r="F1427" s="248"/>
      <c r="G1427" s="248"/>
      <c r="H1427" s="283"/>
      <c r="I1427" s="199"/>
      <c r="J1427" s="199"/>
      <c r="K1427" s="199"/>
      <c r="L1427" s="248"/>
      <c r="M1427" s="248"/>
      <c r="N1427" s="248"/>
      <c r="O1427" s="248"/>
    </row>
    <row r="1428">
      <c r="A1428" s="199"/>
      <c r="B1428" s="199"/>
      <c r="C1428" s="199"/>
      <c r="D1428" s="248"/>
      <c r="E1428" s="248"/>
      <c r="F1428" s="248"/>
      <c r="G1428" s="248"/>
      <c r="H1428" s="283"/>
      <c r="I1428" s="199"/>
      <c r="J1428" s="199"/>
      <c r="K1428" s="199"/>
      <c r="L1428" s="248"/>
      <c r="M1428" s="248"/>
      <c r="N1428" s="248"/>
      <c r="O1428" s="248"/>
    </row>
    <row r="1429">
      <c r="A1429" s="199"/>
      <c r="B1429" s="199"/>
      <c r="C1429" s="199"/>
      <c r="D1429" s="248"/>
      <c r="E1429" s="248"/>
      <c r="F1429" s="248"/>
      <c r="G1429" s="248"/>
      <c r="H1429" s="283"/>
      <c r="I1429" s="199"/>
      <c r="J1429" s="199"/>
      <c r="K1429" s="199"/>
      <c r="L1429" s="248"/>
      <c r="M1429" s="248"/>
      <c r="N1429" s="248"/>
      <c r="O1429" s="248"/>
    </row>
    <row r="1430">
      <c r="A1430" s="199"/>
      <c r="B1430" s="199"/>
      <c r="C1430" s="199"/>
      <c r="D1430" s="248"/>
      <c r="E1430" s="248"/>
      <c r="F1430" s="248"/>
      <c r="G1430" s="248"/>
      <c r="H1430" s="283"/>
      <c r="I1430" s="199"/>
      <c r="J1430" s="199"/>
      <c r="K1430" s="199"/>
      <c r="L1430" s="248"/>
      <c r="M1430" s="248"/>
      <c r="N1430" s="248"/>
      <c r="O1430" s="248"/>
    </row>
    <row r="1431">
      <c r="A1431" s="199"/>
      <c r="B1431" s="199"/>
      <c r="C1431" s="199"/>
      <c r="D1431" s="248"/>
      <c r="E1431" s="248"/>
      <c r="F1431" s="248"/>
      <c r="G1431" s="248"/>
      <c r="H1431" s="283"/>
      <c r="I1431" s="199"/>
      <c r="J1431" s="199"/>
      <c r="K1431" s="199"/>
      <c r="L1431" s="248"/>
      <c r="M1431" s="248"/>
      <c r="N1431" s="248"/>
      <c r="O1431" s="248"/>
    </row>
    <row r="1432">
      <c r="A1432" s="199"/>
      <c r="B1432" s="199"/>
      <c r="C1432" s="199"/>
      <c r="D1432" s="248"/>
      <c r="E1432" s="248"/>
      <c r="F1432" s="248"/>
      <c r="G1432" s="248"/>
      <c r="H1432" s="283"/>
      <c r="I1432" s="199"/>
      <c r="J1432" s="199"/>
      <c r="K1432" s="199"/>
      <c r="L1432" s="248"/>
      <c r="M1432" s="248"/>
      <c r="N1432" s="248"/>
      <c r="O1432" s="248"/>
    </row>
    <row r="1433">
      <c r="A1433" s="199"/>
      <c r="B1433" s="199"/>
      <c r="C1433" s="199"/>
      <c r="D1433" s="248"/>
      <c r="E1433" s="248"/>
      <c r="F1433" s="248"/>
      <c r="G1433" s="248"/>
      <c r="H1433" s="283"/>
      <c r="I1433" s="199"/>
      <c r="J1433" s="199"/>
      <c r="K1433" s="199"/>
      <c r="L1433" s="248"/>
      <c r="M1433" s="248"/>
      <c r="N1433" s="248"/>
      <c r="O1433" s="248"/>
    </row>
    <row r="1434">
      <c r="A1434" s="199"/>
      <c r="B1434" s="199"/>
      <c r="C1434" s="199"/>
      <c r="D1434" s="248"/>
      <c r="E1434" s="248"/>
      <c r="F1434" s="248"/>
      <c r="G1434" s="248"/>
      <c r="H1434" s="283"/>
      <c r="I1434" s="199"/>
      <c r="J1434" s="199"/>
      <c r="K1434" s="199"/>
      <c r="L1434" s="248"/>
      <c r="M1434" s="248"/>
      <c r="N1434" s="248"/>
      <c r="O1434" s="248"/>
    </row>
    <row r="1435">
      <c r="A1435" s="199"/>
      <c r="B1435" s="199"/>
      <c r="C1435" s="199"/>
      <c r="D1435" s="248"/>
      <c r="E1435" s="248"/>
      <c r="F1435" s="248"/>
      <c r="G1435" s="248"/>
      <c r="H1435" s="283"/>
      <c r="I1435" s="199"/>
      <c r="J1435" s="199"/>
      <c r="K1435" s="199"/>
      <c r="L1435" s="248"/>
      <c r="M1435" s="248"/>
      <c r="N1435" s="248"/>
      <c r="O1435" s="248"/>
    </row>
    <row r="1436">
      <c r="A1436" s="199"/>
      <c r="B1436" s="199"/>
      <c r="C1436" s="199"/>
      <c r="D1436" s="248"/>
      <c r="E1436" s="248"/>
      <c r="F1436" s="248"/>
      <c r="G1436" s="248"/>
      <c r="H1436" s="283"/>
      <c r="I1436" s="199"/>
      <c r="J1436" s="199"/>
      <c r="K1436" s="199"/>
      <c r="L1436" s="248"/>
      <c r="M1436" s="248"/>
      <c r="N1436" s="248"/>
      <c r="O1436" s="248"/>
    </row>
    <row r="1437">
      <c r="A1437" s="199"/>
      <c r="B1437" s="199"/>
      <c r="C1437" s="199"/>
      <c r="D1437" s="248"/>
      <c r="E1437" s="248"/>
      <c r="F1437" s="248"/>
      <c r="G1437" s="248"/>
      <c r="H1437" s="283"/>
      <c r="I1437" s="199"/>
      <c r="J1437" s="199"/>
      <c r="K1437" s="199"/>
      <c r="L1437" s="248"/>
      <c r="M1437" s="248"/>
      <c r="N1437" s="248"/>
      <c r="O1437" s="248"/>
    </row>
    <row r="1438">
      <c r="A1438" s="199"/>
      <c r="B1438" s="199"/>
      <c r="C1438" s="199"/>
      <c r="D1438" s="248"/>
      <c r="E1438" s="248"/>
      <c r="F1438" s="248"/>
      <c r="G1438" s="248"/>
      <c r="H1438" s="283"/>
      <c r="I1438" s="199"/>
      <c r="J1438" s="199"/>
      <c r="K1438" s="199"/>
      <c r="L1438" s="248"/>
      <c r="M1438" s="248"/>
      <c r="N1438" s="248"/>
      <c r="O1438" s="248"/>
    </row>
    <row r="1439">
      <c r="A1439" s="199"/>
      <c r="B1439" s="199"/>
      <c r="C1439" s="199"/>
      <c r="D1439" s="248"/>
      <c r="E1439" s="248"/>
      <c r="F1439" s="248"/>
      <c r="G1439" s="248"/>
      <c r="H1439" s="283"/>
      <c r="I1439" s="199"/>
      <c r="J1439" s="199"/>
      <c r="K1439" s="199"/>
      <c r="L1439" s="248"/>
      <c r="M1439" s="248"/>
      <c r="N1439" s="248"/>
      <c r="O1439" s="248"/>
    </row>
    <row r="1440">
      <c r="A1440" s="199"/>
      <c r="B1440" s="199"/>
      <c r="C1440" s="199"/>
      <c r="D1440" s="248"/>
      <c r="E1440" s="248"/>
      <c r="F1440" s="248"/>
      <c r="G1440" s="248"/>
      <c r="H1440" s="283"/>
      <c r="I1440" s="199"/>
      <c r="J1440" s="199"/>
      <c r="K1440" s="199"/>
      <c r="L1440" s="248"/>
      <c r="M1440" s="248"/>
      <c r="N1440" s="248"/>
      <c r="O1440" s="248"/>
    </row>
    <row r="1441">
      <c r="A1441" s="199"/>
      <c r="B1441" s="199"/>
      <c r="C1441" s="199"/>
      <c r="D1441" s="248"/>
      <c r="E1441" s="248"/>
      <c r="F1441" s="248"/>
      <c r="G1441" s="248"/>
      <c r="H1441" s="283"/>
      <c r="I1441" s="199"/>
      <c r="J1441" s="199"/>
      <c r="K1441" s="199"/>
      <c r="L1441" s="248"/>
      <c r="M1441" s="248"/>
      <c r="N1441" s="248"/>
      <c r="O1441" s="248"/>
    </row>
    <row r="1442">
      <c r="A1442" s="199"/>
      <c r="B1442" s="199"/>
      <c r="C1442" s="199"/>
      <c r="D1442" s="248"/>
      <c r="E1442" s="248"/>
      <c r="F1442" s="248"/>
      <c r="G1442" s="248"/>
      <c r="H1442" s="283"/>
      <c r="I1442" s="199"/>
      <c r="J1442" s="199"/>
      <c r="K1442" s="199"/>
      <c r="L1442" s="248"/>
      <c r="M1442" s="248"/>
      <c r="N1442" s="248"/>
      <c r="O1442" s="248"/>
    </row>
    <row r="1443">
      <c r="A1443" s="199"/>
      <c r="B1443" s="199"/>
      <c r="C1443" s="199"/>
      <c r="D1443" s="248"/>
      <c r="E1443" s="248"/>
      <c r="F1443" s="248"/>
      <c r="G1443" s="248"/>
      <c r="H1443" s="283"/>
      <c r="I1443" s="199"/>
      <c r="J1443" s="199"/>
      <c r="K1443" s="199"/>
      <c r="L1443" s="248"/>
      <c r="M1443" s="248"/>
      <c r="N1443" s="248"/>
      <c r="O1443" s="248"/>
    </row>
    <row r="1444">
      <c r="A1444" s="199"/>
      <c r="B1444" s="199"/>
      <c r="C1444" s="199"/>
      <c r="D1444" s="248"/>
      <c r="E1444" s="248"/>
      <c r="F1444" s="248"/>
      <c r="G1444" s="248"/>
      <c r="H1444" s="283"/>
      <c r="I1444" s="199"/>
      <c r="J1444" s="199"/>
      <c r="K1444" s="199"/>
      <c r="L1444" s="248"/>
      <c r="M1444" s="248"/>
      <c r="N1444" s="248"/>
      <c r="O1444" s="248"/>
    </row>
    <row r="1445">
      <c r="A1445" s="199"/>
      <c r="B1445" s="199"/>
      <c r="C1445" s="199"/>
      <c r="D1445" s="248"/>
      <c r="E1445" s="248"/>
      <c r="F1445" s="248"/>
      <c r="G1445" s="248"/>
      <c r="H1445" s="283"/>
      <c r="I1445" s="199"/>
      <c r="J1445" s="199"/>
      <c r="K1445" s="199"/>
      <c r="L1445" s="248"/>
      <c r="M1445" s="248"/>
      <c r="N1445" s="248"/>
      <c r="O1445" s="248"/>
    </row>
    <row r="1446">
      <c r="A1446" s="199"/>
      <c r="B1446" s="199"/>
      <c r="C1446" s="199"/>
      <c r="D1446" s="248"/>
      <c r="E1446" s="248"/>
      <c r="F1446" s="248"/>
      <c r="G1446" s="248"/>
      <c r="H1446" s="283"/>
      <c r="I1446" s="199"/>
      <c r="J1446" s="199"/>
      <c r="K1446" s="199"/>
      <c r="L1446" s="248"/>
      <c r="M1446" s="248"/>
      <c r="N1446" s="248"/>
      <c r="O1446" s="248"/>
    </row>
    <row r="1447">
      <c r="A1447" s="199"/>
      <c r="B1447" s="199"/>
      <c r="C1447" s="199"/>
      <c r="D1447" s="248"/>
      <c r="E1447" s="248"/>
      <c r="F1447" s="248"/>
      <c r="G1447" s="248"/>
      <c r="H1447" s="283"/>
      <c r="I1447" s="199"/>
      <c r="J1447" s="199"/>
      <c r="K1447" s="199"/>
      <c r="L1447" s="248"/>
      <c r="M1447" s="248"/>
      <c r="N1447" s="248"/>
      <c r="O1447" s="248"/>
    </row>
    <row r="1448">
      <c r="A1448" s="199"/>
      <c r="B1448" s="199"/>
      <c r="C1448" s="199"/>
      <c r="D1448" s="248"/>
      <c r="E1448" s="248"/>
      <c r="F1448" s="248"/>
      <c r="G1448" s="248"/>
      <c r="H1448" s="283"/>
      <c r="I1448" s="199"/>
      <c r="J1448" s="199"/>
      <c r="K1448" s="199"/>
      <c r="L1448" s="248"/>
      <c r="M1448" s="248"/>
      <c r="N1448" s="248"/>
      <c r="O1448" s="248"/>
    </row>
    <row r="1449">
      <c r="A1449" s="199"/>
      <c r="B1449" s="199"/>
      <c r="C1449" s="199"/>
      <c r="D1449" s="248"/>
      <c r="E1449" s="248"/>
      <c r="F1449" s="248"/>
      <c r="G1449" s="248"/>
      <c r="H1449" s="283"/>
      <c r="I1449" s="199"/>
      <c r="J1449" s="199"/>
      <c r="K1449" s="199"/>
      <c r="L1449" s="248"/>
      <c r="M1449" s="248"/>
      <c r="N1449" s="248"/>
      <c r="O1449" s="248"/>
    </row>
    <row r="1450">
      <c r="A1450" s="199"/>
      <c r="B1450" s="199"/>
      <c r="C1450" s="199"/>
      <c r="D1450" s="248"/>
      <c r="E1450" s="248"/>
      <c r="F1450" s="248"/>
      <c r="G1450" s="248"/>
      <c r="H1450" s="283"/>
      <c r="I1450" s="199"/>
      <c r="J1450" s="199"/>
      <c r="K1450" s="199"/>
      <c r="L1450" s="248"/>
      <c r="M1450" s="248"/>
      <c r="N1450" s="248"/>
      <c r="O1450" s="248"/>
    </row>
    <row r="1451">
      <c r="A1451" s="199"/>
      <c r="B1451" s="199"/>
      <c r="C1451" s="199"/>
      <c r="D1451" s="248"/>
      <c r="E1451" s="248"/>
      <c r="F1451" s="248"/>
      <c r="G1451" s="248"/>
      <c r="H1451" s="283"/>
      <c r="I1451" s="199"/>
      <c r="J1451" s="199"/>
      <c r="K1451" s="199"/>
      <c r="L1451" s="248"/>
      <c r="M1451" s="248"/>
      <c r="N1451" s="248"/>
      <c r="O1451" s="248"/>
    </row>
    <row r="1452">
      <c r="A1452" s="199"/>
      <c r="B1452" s="199"/>
      <c r="C1452" s="199"/>
      <c r="D1452" s="248"/>
      <c r="E1452" s="248"/>
      <c r="F1452" s="248"/>
      <c r="G1452" s="248"/>
      <c r="H1452" s="283"/>
      <c r="I1452" s="199"/>
      <c r="J1452" s="199"/>
      <c r="K1452" s="199"/>
      <c r="L1452" s="248"/>
      <c r="M1452" s="248"/>
      <c r="N1452" s="248"/>
      <c r="O1452" s="248"/>
    </row>
    <row r="1453">
      <c r="A1453" s="199"/>
      <c r="B1453" s="199"/>
      <c r="C1453" s="199"/>
      <c r="D1453" s="248"/>
      <c r="E1453" s="248"/>
      <c r="F1453" s="248"/>
      <c r="G1453" s="248"/>
      <c r="H1453" s="283"/>
      <c r="I1453" s="199"/>
      <c r="J1453" s="199"/>
      <c r="K1453" s="199"/>
      <c r="L1453" s="248"/>
      <c r="M1453" s="248"/>
      <c r="N1453" s="248"/>
      <c r="O1453" s="248"/>
    </row>
    <row r="1454">
      <c r="A1454" s="199"/>
      <c r="B1454" s="199"/>
      <c r="C1454" s="199"/>
      <c r="D1454" s="248"/>
      <c r="E1454" s="248"/>
      <c r="F1454" s="248"/>
      <c r="G1454" s="248"/>
      <c r="H1454" s="283"/>
      <c r="I1454" s="199"/>
      <c r="J1454" s="199"/>
      <c r="K1454" s="199"/>
      <c r="L1454" s="248"/>
      <c r="M1454" s="248"/>
      <c r="N1454" s="248"/>
      <c r="O1454" s="248"/>
    </row>
    <row r="1455">
      <c r="A1455" s="199"/>
      <c r="B1455" s="199"/>
      <c r="C1455" s="199"/>
      <c r="D1455" s="248"/>
      <c r="E1455" s="248"/>
      <c r="F1455" s="248"/>
      <c r="G1455" s="248"/>
      <c r="H1455" s="283"/>
      <c r="I1455" s="199"/>
      <c r="J1455" s="199"/>
      <c r="K1455" s="199"/>
      <c r="L1455" s="248"/>
      <c r="M1455" s="248"/>
      <c r="N1455" s="248"/>
      <c r="O1455" s="248"/>
    </row>
    <row r="1456">
      <c r="A1456" s="199"/>
      <c r="B1456" s="199"/>
      <c r="C1456" s="199"/>
      <c r="D1456" s="248"/>
      <c r="E1456" s="248"/>
      <c r="F1456" s="248"/>
      <c r="G1456" s="248"/>
      <c r="H1456" s="283"/>
      <c r="I1456" s="199"/>
      <c r="J1456" s="199"/>
      <c r="K1456" s="199"/>
      <c r="L1456" s="248"/>
      <c r="M1456" s="248"/>
      <c r="N1456" s="248"/>
      <c r="O1456" s="248"/>
    </row>
    <row r="1457">
      <c r="A1457" s="199"/>
      <c r="B1457" s="199"/>
      <c r="C1457" s="199"/>
      <c r="D1457" s="248"/>
      <c r="E1457" s="248"/>
      <c r="F1457" s="248"/>
      <c r="G1457" s="248"/>
      <c r="H1457" s="283"/>
      <c r="I1457" s="199"/>
      <c r="J1457" s="199"/>
      <c r="K1457" s="199"/>
      <c r="L1457" s="248"/>
      <c r="M1457" s="248"/>
      <c r="N1457" s="248"/>
      <c r="O1457" s="248"/>
    </row>
    <row r="1458">
      <c r="A1458" s="199"/>
      <c r="B1458" s="199"/>
      <c r="C1458" s="199"/>
      <c r="D1458" s="248"/>
      <c r="E1458" s="248"/>
      <c r="F1458" s="248"/>
      <c r="G1458" s="248"/>
      <c r="H1458" s="283"/>
      <c r="I1458" s="199"/>
      <c r="J1458" s="199"/>
      <c r="K1458" s="199"/>
      <c r="L1458" s="248"/>
      <c r="M1458" s="248"/>
      <c r="N1458" s="248"/>
      <c r="O1458" s="248"/>
    </row>
    <row r="1459">
      <c r="A1459" s="199"/>
      <c r="B1459" s="199"/>
      <c r="C1459" s="199"/>
      <c r="D1459" s="248"/>
      <c r="E1459" s="248"/>
      <c r="F1459" s="248"/>
      <c r="G1459" s="248"/>
      <c r="H1459" s="283"/>
      <c r="I1459" s="199"/>
      <c r="J1459" s="199"/>
      <c r="K1459" s="199"/>
      <c r="L1459" s="248"/>
      <c r="M1459" s="248"/>
      <c r="N1459" s="248"/>
      <c r="O1459" s="248"/>
    </row>
    <row r="1460">
      <c r="A1460" s="199"/>
      <c r="B1460" s="199"/>
      <c r="C1460" s="199"/>
      <c r="D1460" s="248"/>
      <c r="E1460" s="248"/>
      <c r="F1460" s="248"/>
      <c r="G1460" s="248"/>
      <c r="H1460" s="283"/>
      <c r="I1460" s="199"/>
      <c r="J1460" s="199"/>
      <c r="K1460" s="199"/>
      <c r="L1460" s="248"/>
      <c r="M1460" s="248"/>
      <c r="N1460" s="248"/>
      <c r="O1460" s="248"/>
    </row>
    <row r="1461">
      <c r="A1461" s="199"/>
      <c r="B1461" s="199"/>
      <c r="C1461" s="199"/>
      <c r="D1461" s="248"/>
      <c r="E1461" s="248"/>
      <c r="F1461" s="248"/>
      <c r="G1461" s="248"/>
      <c r="H1461" s="283"/>
      <c r="I1461" s="199"/>
      <c r="J1461" s="199"/>
      <c r="K1461" s="199"/>
      <c r="L1461" s="248"/>
      <c r="M1461" s="248"/>
      <c r="N1461" s="248"/>
      <c r="O1461" s="248"/>
    </row>
    <row r="1462">
      <c r="A1462" s="199"/>
      <c r="B1462" s="199"/>
      <c r="C1462" s="199"/>
      <c r="D1462" s="248"/>
      <c r="E1462" s="248"/>
      <c r="F1462" s="248"/>
      <c r="G1462" s="248"/>
      <c r="H1462" s="283"/>
      <c r="I1462" s="199"/>
      <c r="J1462" s="199"/>
      <c r="K1462" s="199"/>
      <c r="L1462" s="248"/>
      <c r="M1462" s="248"/>
      <c r="N1462" s="248"/>
      <c r="O1462" s="248"/>
    </row>
    <row r="1463">
      <c r="A1463" s="199"/>
      <c r="B1463" s="199"/>
      <c r="C1463" s="199"/>
      <c r="D1463" s="248"/>
      <c r="E1463" s="248"/>
      <c r="F1463" s="248"/>
      <c r="G1463" s="248"/>
      <c r="H1463" s="283"/>
      <c r="I1463" s="199"/>
      <c r="J1463" s="199"/>
      <c r="K1463" s="199"/>
      <c r="L1463" s="248"/>
      <c r="M1463" s="248"/>
      <c r="N1463" s="248"/>
      <c r="O1463" s="248"/>
    </row>
    <row r="1464">
      <c r="A1464" s="199"/>
      <c r="B1464" s="199"/>
      <c r="C1464" s="199"/>
      <c r="D1464" s="248"/>
      <c r="E1464" s="248"/>
      <c r="F1464" s="248"/>
      <c r="G1464" s="248"/>
      <c r="H1464" s="283"/>
      <c r="I1464" s="199"/>
      <c r="J1464" s="199"/>
      <c r="K1464" s="199"/>
      <c r="L1464" s="248"/>
      <c r="M1464" s="248"/>
      <c r="N1464" s="248"/>
      <c r="O1464" s="248"/>
    </row>
    <row r="1465">
      <c r="A1465" s="199"/>
      <c r="B1465" s="199"/>
      <c r="C1465" s="199"/>
      <c r="D1465" s="248"/>
      <c r="E1465" s="248"/>
      <c r="F1465" s="248"/>
      <c r="G1465" s="248"/>
      <c r="H1465" s="283"/>
      <c r="I1465" s="199"/>
      <c r="J1465" s="199"/>
      <c r="K1465" s="199"/>
      <c r="L1465" s="248"/>
      <c r="M1465" s="248"/>
      <c r="N1465" s="248"/>
      <c r="O1465" s="248"/>
    </row>
    <row r="1466">
      <c r="A1466" s="199"/>
      <c r="B1466" s="199"/>
      <c r="C1466" s="199"/>
      <c r="D1466" s="248"/>
      <c r="E1466" s="248"/>
      <c r="F1466" s="248"/>
      <c r="G1466" s="248"/>
      <c r="H1466" s="283"/>
      <c r="I1466" s="199"/>
      <c r="J1466" s="199"/>
      <c r="K1466" s="199"/>
      <c r="L1466" s="248"/>
      <c r="M1466" s="248"/>
      <c r="N1466" s="248"/>
      <c r="O1466" s="248"/>
    </row>
    <row r="1467">
      <c r="A1467" s="199"/>
      <c r="B1467" s="199"/>
      <c r="C1467" s="199"/>
      <c r="D1467" s="248"/>
      <c r="E1467" s="248"/>
      <c r="F1467" s="248"/>
      <c r="G1467" s="248"/>
      <c r="H1467" s="283"/>
      <c r="I1467" s="199"/>
      <c r="J1467" s="199"/>
      <c r="K1467" s="199"/>
      <c r="L1467" s="248"/>
      <c r="M1467" s="248"/>
      <c r="N1467" s="248"/>
      <c r="O1467" s="248"/>
    </row>
    <row r="1468">
      <c r="A1468" s="199"/>
      <c r="B1468" s="199"/>
      <c r="C1468" s="199"/>
      <c r="D1468" s="248"/>
      <c r="E1468" s="248"/>
      <c r="F1468" s="248"/>
      <c r="G1468" s="248"/>
      <c r="H1468" s="283"/>
      <c r="I1468" s="199"/>
      <c r="J1468" s="199"/>
      <c r="K1468" s="199"/>
      <c r="L1468" s="248"/>
      <c r="M1468" s="248"/>
      <c r="N1468" s="248"/>
      <c r="O1468" s="248"/>
    </row>
    <row r="1469">
      <c r="A1469" s="199"/>
      <c r="B1469" s="199"/>
      <c r="C1469" s="199"/>
      <c r="D1469" s="248"/>
      <c r="E1469" s="248"/>
      <c r="F1469" s="248"/>
      <c r="G1469" s="248"/>
      <c r="H1469" s="283"/>
      <c r="I1469" s="199"/>
      <c r="J1469" s="199"/>
      <c r="K1469" s="199"/>
      <c r="L1469" s="248"/>
      <c r="M1469" s="248"/>
      <c r="N1469" s="248"/>
      <c r="O1469" s="248"/>
    </row>
    <row r="1470">
      <c r="A1470" s="199"/>
      <c r="B1470" s="199"/>
      <c r="C1470" s="199"/>
      <c r="D1470" s="248"/>
      <c r="E1470" s="248"/>
      <c r="F1470" s="248"/>
      <c r="G1470" s="248"/>
      <c r="H1470" s="283"/>
      <c r="I1470" s="199"/>
      <c r="J1470" s="199"/>
      <c r="K1470" s="199"/>
      <c r="L1470" s="248"/>
      <c r="M1470" s="248"/>
      <c r="N1470" s="248"/>
      <c r="O1470" s="248"/>
    </row>
    <row r="1471">
      <c r="A1471" s="199"/>
      <c r="B1471" s="199"/>
      <c r="C1471" s="199"/>
      <c r="D1471" s="248"/>
      <c r="E1471" s="248"/>
      <c r="F1471" s="248"/>
      <c r="G1471" s="248"/>
      <c r="H1471" s="283"/>
      <c r="I1471" s="199"/>
      <c r="J1471" s="199"/>
      <c r="K1471" s="199"/>
      <c r="L1471" s="248"/>
      <c r="M1471" s="248"/>
      <c r="N1471" s="248"/>
      <c r="O1471" s="248"/>
    </row>
    <row r="1472">
      <c r="A1472" s="199"/>
      <c r="B1472" s="199"/>
      <c r="C1472" s="199"/>
      <c r="D1472" s="248"/>
      <c r="E1472" s="248"/>
      <c r="F1472" s="248"/>
      <c r="G1472" s="248"/>
      <c r="H1472" s="283"/>
      <c r="I1472" s="199"/>
      <c r="J1472" s="199"/>
      <c r="K1472" s="199"/>
      <c r="L1472" s="248"/>
      <c r="M1472" s="248"/>
      <c r="N1472" s="248"/>
      <c r="O1472" s="248"/>
    </row>
    <row r="1473">
      <c r="A1473" s="199"/>
      <c r="B1473" s="199"/>
      <c r="C1473" s="199"/>
      <c r="D1473" s="248"/>
      <c r="E1473" s="248"/>
      <c r="F1473" s="248"/>
      <c r="G1473" s="248"/>
      <c r="H1473" s="283"/>
      <c r="I1473" s="199"/>
      <c r="J1473" s="199"/>
      <c r="K1473" s="199"/>
      <c r="L1473" s="248"/>
      <c r="M1473" s="248"/>
      <c r="N1473" s="248"/>
      <c r="O1473" s="248"/>
    </row>
    <row r="1474">
      <c r="A1474" s="199"/>
      <c r="B1474" s="199"/>
      <c r="C1474" s="199"/>
      <c r="D1474" s="248"/>
      <c r="E1474" s="248"/>
      <c r="F1474" s="248"/>
      <c r="G1474" s="248"/>
      <c r="H1474" s="283"/>
      <c r="I1474" s="199"/>
      <c r="J1474" s="199"/>
      <c r="K1474" s="199"/>
      <c r="L1474" s="248"/>
      <c r="M1474" s="248"/>
      <c r="N1474" s="248"/>
      <c r="O1474" s="248"/>
    </row>
    <row r="1475">
      <c r="A1475" s="199"/>
      <c r="B1475" s="199"/>
      <c r="C1475" s="199"/>
      <c r="D1475" s="248"/>
      <c r="E1475" s="248"/>
      <c r="F1475" s="248"/>
      <c r="G1475" s="248"/>
      <c r="H1475" s="283"/>
      <c r="I1475" s="199"/>
      <c r="J1475" s="199"/>
      <c r="K1475" s="199"/>
      <c r="L1475" s="248"/>
      <c r="M1475" s="248"/>
      <c r="N1475" s="248"/>
      <c r="O1475" s="248"/>
    </row>
    <row r="1476">
      <c r="A1476" s="199"/>
      <c r="B1476" s="199"/>
      <c r="C1476" s="199"/>
      <c r="D1476" s="248"/>
      <c r="E1476" s="248"/>
      <c r="F1476" s="248"/>
      <c r="G1476" s="248"/>
      <c r="H1476" s="283"/>
      <c r="I1476" s="199"/>
      <c r="J1476" s="199"/>
      <c r="K1476" s="199"/>
      <c r="L1476" s="248"/>
      <c r="M1476" s="248"/>
      <c r="N1476" s="248"/>
      <c r="O1476" s="248"/>
    </row>
    <row r="1477">
      <c r="A1477" s="199"/>
      <c r="B1477" s="199"/>
      <c r="C1477" s="199"/>
      <c r="D1477" s="248"/>
      <c r="E1477" s="248"/>
      <c r="F1477" s="248"/>
      <c r="G1477" s="248"/>
      <c r="H1477" s="283"/>
      <c r="I1477" s="199"/>
      <c r="J1477" s="199"/>
      <c r="K1477" s="199"/>
      <c r="L1477" s="248"/>
      <c r="M1477" s="248"/>
      <c r="N1477" s="248"/>
      <c r="O1477" s="248"/>
    </row>
    <row r="1478">
      <c r="A1478" s="199"/>
      <c r="B1478" s="199"/>
      <c r="C1478" s="199"/>
      <c r="D1478" s="248"/>
      <c r="E1478" s="248"/>
      <c r="F1478" s="248"/>
      <c r="G1478" s="248"/>
      <c r="H1478" s="283"/>
      <c r="I1478" s="199"/>
      <c r="J1478" s="199"/>
      <c r="K1478" s="199"/>
      <c r="L1478" s="248"/>
      <c r="M1478" s="248"/>
      <c r="N1478" s="248"/>
      <c r="O1478" s="248"/>
    </row>
    <row r="1479">
      <c r="A1479" s="199"/>
      <c r="B1479" s="199"/>
      <c r="C1479" s="199"/>
      <c r="D1479" s="248"/>
      <c r="E1479" s="248"/>
      <c r="F1479" s="248"/>
      <c r="G1479" s="248"/>
      <c r="H1479" s="283"/>
      <c r="I1479" s="199"/>
      <c r="J1479" s="199"/>
      <c r="K1479" s="199"/>
      <c r="L1479" s="248"/>
      <c r="M1479" s="248"/>
      <c r="N1479" s="248"/>
      <c r="O1479" s="248"/>
    </row>
    <row r="1480">
      <c r="A1480" s="199"/>
      <c r="B1480" s="199"/>
      <c r="C1480" s="199"/>
      <c r="D1480" s="248"/>
      <c r="E1480" s="248"/>
      <c r="F1480" s="248"/>
      <c r="G1480" s="248"/>
      <c r="H1480" s="283"/>
      <c r="I1480" s="199"/>
      <c r="J1480" s="199"/>
      <c r="K1480" s="199"/>
      <c r="L1480" s="248"/>
      <c r="M1480" s="248"/>
      <c r="N1480" s="248"/>
      <c r="O1480" s="248"/>
    </row>
    <row r="1481">
      <c r="A1481" s="199"/>
      <c r="B1481" s="199"/>
      <c r="C1481" s="199"/>
      <c r="D1481" s="248"/>
      <c r="E1481" s="248"/>
      <c r="F1481" s="248"/>
      <c r="G1481" s="248"/>
      <c r="H1481" s="283"/>
      <c r="I1481" s="199"/>
      <c r="J1481" s="199"/>
      <c r="K1481" s="199"/>
      <c r="L1481" s="248"/>
      <c r="M1481" s="248"/>
      <c r="N1481" s="248"/>
      <c r="O1481" s="248"/>
    </row>
    <row r="1482">
      <c r="A1482" s="199"/>
      <c r="B1482" s="199"/>
      <c r="C1482" s="199"/>
      <c r="D1482" s="248"/>
      <c r="E1482" s="248"/>
      <c r="F1482" s="248"/>
      <c r="G1482" s="248"/>
      <c r="H1482" s="283"/>
      <c r="I1482" s="199"/>
      <c r="J1482" s="199"/>
      <c r="K1482" s="199"/>
      <c r="L1482" s="248"/>
      <c r="M1482" s="248"/>
      <c r="N1482" s="248"/>
      <c r="O1482" s="248"/>
    </row>
    <row r="1483">
      <c r="A1483" s="199"/>
      <c r="B1483" s="199"/>
      <c r="C1483" s="199"/>
      <c r="D1483" s="248"/>
      <c r="E1483" s="248"/>
      <c r="F1483" s="248"/>
      <c r="G1483" s="248"/>
      <c r="H1483" s="283"/>
      <c r="I1483" s="199"/>
      <c r="J1483" s="199"/>
      <c r="K1483" s="199"/>
      <c r="L1483" s="248"/>
      <c r="M1483" s="248"/>
      <c r="N1483" s="248"/>
      <c r="O1483" s="248"/>
    </row>
    <row r="1484">
      <c r="A1484" s="199"/>
      <c r="B1484" s="199"/>
      <c r="C1484" s="199"/>
      <c r="D1484" s="248"/>
      <c r="E1484" s="248"/>
      <c r="F1484" s="248"/>
      <c r="G1484" s="248"/>
      <c r="H1484" s="283"/>
      <c r="I1484" s="199"/>
      <c r="J1484" s="199"/>
      <c r="K1484" s="199"/>
      <c r="L1484" s="248"/>
      <c r="M1484" s="248"/>
      <c r="N1484" s="248"/>
      <c r="O1484" s="248"/>
    </row>
    <row r="1485">
      <c r="A1485" s="199"/>
      <c r="B1485" s="199"/>
      <c r="C1485" s="199"/>
      <c r="D1485" s="248"/>
      <c r="E1485" s="248"/>
      <c r="F1485" s="248"/>
      <c r="G1485" s="248"/>
      <c r="H1485" s="283"/>
      <c r="I1485" s="199"/>
      <c r="J1485" s="199"/>
      <c r="K1485" s="199"/>
      <c r="L1485" s="248"/>
      <c r="M1485" s="248"/>
      <c r="N1485" s="248"/>
      <c r="O1485" s="248"/>
    </row>
    <row r="1486">
      <c r="A1486" s="199"/>
      <c r="B1486" s="199"/>
      <c r="C1486" s="199"/>
      <c r="D1486" s="248"/>
      <c r="E1486" s="248"/>
      <c r="F1486" s="248"/>
      <c r="G1486" s="248"/>
      <c r="H1486" s="283"/>
      <c r="I1486" s="199"/>
      <c r="J1486" s="199"/>
      <c r="K1486" s="199"/>
      <c r="L1486" s="248"/>
      <c r="M1486" s="248"/>
      <c r="N1486" s="248"/>
      <c r="O1486" s="248"/>
    </row>
    <row r="1487">
      <c r="A1487" s="199"/>
      <c r="B1487" s="199"/>
      <c r="C1487" s="199"/>
      <c r="D1487" s="248"/>
      <c r="E1487" s="248"/>
      <c r="F1487" s="248"/>
      <c r="G1487" s="248"/>
      <c r="H1487" s="283"/>
      <c r="I1487" s="199"/>
      <c r="J1487" s="199"/>
      <c r="K1487" s="199"/>
      <c r="L1487" s="248"/>
      <c r="M1487" s="248"/>
      <c r="N1487" s="248"/>
      <c r="O1487" s="248"/>
    </row>
    <row r="1488">
      <c r="A1488" s="199"/>
      <c r="B1488" s="199"/>
      <c r="C1488" s="199"/>
      <c r="D1488" s="248"/>
      <c r="E1488" s="248"/>
      <c r="F1488" s="248"/>
      <c r="G1488" s="248"/>
      <c r="H1488" s="283"/>
      <c r="I1488" s="199"/>
      <c r="J1488" s="199"/>
      <c r="K1488" s="199"/>
      <c r="L1488" s="248"/>
      <c r="M1488" s="248"/>
      <c r="N1488" s="248"/>
      <c r="O1488" s="248"/>
    </row>
    <row r="1489">
      <c r="A1489" s="199"/>
      <c r="B1489" s="199"/>
      <c r="C1489" s="199"/>
      <c r="D1489" s="248"/>
      <c r="E1489" s="248"/>
      <c r="F1489" s="248"/>
      <c r="G1489" s="248"/>
      <c r="H1489" s="283"/>
      <c r="I1489" s="199"/>
      <c r="J1489" s="199"/>
      <c r="K1489" s="199"/>
      <c r="L1489" s="248"/>
      <c r="M1489" s="248"/>
      <c r="N1489" s="248"/>
      <c r="O1489" s="248"/>
    </row>
    <row r="1490">
      <c r="A1490" s="199"/>
      <c r="B1490" s="199"/>
      <c r="C1490" s="199"/>
      <c r="D1490" s="248"/>
      <c r="E1490" s="248"/>
      <c r="F1490" s="248"/>
      <c r="G1490" s="248"/>
      <c r="H1490" s="283"/>
      <c r="I1490" s="199"/>
      <c r="J1490" s="199"/>
      <c r="K1490" s="199"/>
      <c r="L1490" s="248"/>
      <c r="M1490" s="248"/>
      <c r="N1490" s="248"/>
      <c r="O1490" s="248"/>
    </row>
    <row r="1491">
      <c r="A1491" s="199"/>
      <c r="B1491" s="199"/>
      <c r="C1491" s="199"/>
      <c r="D1491" s="248"/>
      <c r="E1491" s="248"/>
      <c r="F1491" s="248"/>
      <c r="G1491" s="248"/>
      <c r="H1491" s="283"/>
      <c r="I1491" s="199"/>
      <c r="J1491" s="199"/>
      <c r="K1491" s="199"/>
      <c r="L1491" s="248"/>
      <c r="M1491" s="248"/>
      <c r="N1491" s="248"/>
      <c r="O1491" s="248"/>
    </row>
    <row r="1492">
      <c r="A1492" s="199"/>
      <c r="B1492" s="199"/>
      <c r="C1492" s="199"/>
      <c r="D1492" s="248"/>
      <c r="E1492" s="248"/>
      <c r="F1492" s="248"/>
      <c r="G1492" s="248"/>
      <c r="H1492" s="283"/>
      <c r="I1492" s="199"/>
      <c r="J1492" s="199"/>
      <c r="K1492" s="199"/>
      <c r="L1492" s="248"/>
      <c r="M1492" s="248"/>
      <c r="N1492" s="248"/>
      <c r="O1492" s="248"/>
    </row>
    <row r="1493">
      <c r="A1493" s="199"/>
      <c r="B1493" s="199"/>
      <c r="C1493" s="199"/>
      <c r="D1493" s="248"/>
      <c r="E1493" s="248"/>
      <c r="F1493" s="248"/>
      <c r="G1493" s="248"/>
      <c r="H1493" s="283"/>
      <c r="I1493" s="199"/>
      <c r="J1493" s="199"/>
      <c r="K1493" s="199"/>
      <c r="L1493" s="248"/>
      <c r="M1493" s="248"/>
      <c r="N1493" s="248"/>
      <c r="O1493" s="248"/>
    </row>
    <row r="1494">
      <c r="A1494" s="199"/>
      <c r="B1494" s="199"/>
      <c r="C1494" s="199"/>
      <c r="D1494" s="248"/>
      <c r="E1494" s="248"/>
      <c r="F1494" s="248"/>
      <c r="G1494" s="248"/>
      <c r="H1494" s="283"/>
      <c r="I1494" s="199"/>
      <c r="J1494" s="199"/>
      <c r="K1494" s="199"/>
      <c r="L1494" s="248"/>
      <c r="M1494" s="248"/>
      <c r="N1494" s="248"/>
      <c r="O1494" s="248"/>
    </row>
    <row r="1495">
      <c r="A1495" s="199"/>
      <c r="B1495" s="199"/>
      <c r="C1495" s="199"/>
      <c r="D1495" s="248"/>
      <c r="E1495" s="248"/>
      <c r="F1495" s="248"/>
      <c r="G1495" s="248"/>
      <c r="H1495" s="283"/>
      <c r="I1495" s="199"/>
      <c r="J1495" s="199"/>
      <c r="K1495" s="199"/>
      <c r="L1495" s="248"/>
      <c r="M1495" s="248"/>
      <c r="N1495" s="248"/>
      <c r="O1495" s="248"/>
    </row>
    <row r="1496">
      <c r="A1496" s="199"/>
      <c r="B1496" s="199"/>
      <c r="C1496" s="199"/>
      <c r="D1496" s="248"/>
      <c r="E1496" s="248"/>
      <c r="F1496" s="248"/>
      <c r="G1496" s="248"/>
      <c r="H1496" s="283"/>
      <c r="I1496" s="199"/>
      <c r="J1496" s="199"/>
      <c r="K1496" s="199"/>
      <c r="L1496" s="248"/>
      <c r="M1496" s="248"/>
      <c r="N1496" s="248"/>
      <c r="O1496" s="248"/>
    </row>
    <row r="1497">
      <c r="A1497" s="199"/>
      <c r="B1497" s="199"/>
      <c r="C1497" s="199"/>
      <c r="D1497" s="248"/>
      <c r="E1497" s="248"/>
      <c r="F1497" s="248"/>
      <c r="G1497" s="248"/>
      <c r="H1497" s="283"/>
      <c r="I1497" s="199"/>
      <c r="J1497" s="199"/>
      <c r="K1497" s="199"/>
      <c r="L1497" s="248"/>
      <c r="M1497" s="248"/>
      <c r="N1497" s="248"/>
      <c r="O1497" s="248"/>
    </row>
    <row r="1498">
      <c r="A1498" s="199"/>
      <c r="B1498" s="199"/>
      <c r="C1498" s="199"/>
      <c r="D1498" s="248"/>
      <c r="E1498" s="248"/>
      <c r="F1498" s="248"/>
      <c r="G1498" s="248"/>
      <c r="H1498" s="283"/>
      <c r="I1498" s="199"/>
      <c r="J1498" s="199"/>
      <c r="K1498" s="199"/>
      <c r="L1498" s="248"/>
      <c r="M1498" s="248"/>
      <c r="N1498" s="248"/>
      <c r="O1498" s="248"/>
    </row>
    <row r="1499">
      <c r="A1499" s="199"/>
      <c r="B1499" s="199"/>
      <c r="C1499" s="199"/>
      <c r="D1499" s="248"/>
      <c r="E1499" s="248"/>
      <c r="F1499" s="248"/>
      <c r="G1499" s="248"/>
      <c r="H1499" s="283"/>
      <c r="I1499" s="199"/>
      <c r="J1499" s="199"/>
      <c r="K1499" s="199"/>
      <c r="L1499" s="248"/>
      <c r="M1499" s="248"/>
      <c r="N1499" s="248"/>
      <c r="O1499" s="248"/>
    </row>
    <row r="1500">
      <c r="A1500" s="199"/>
      <c r="B1500" s="199"/>
      <c r="C1500" s="199"/>
      <c r="D1500" s="248"/>
      <c r="E1500" s="248"/>
      <c r="F1500" s="248"/>
      <c r="G1500" s="248"/>
      <c r="H1500" s="283"/>
      <c r="I1500" s="199"/>
      <c r="J1500" s="199"/>
      <c r="K1500" s="199"/>
      <c r="L1500" s="248"/>
      <c r="M1500" s="248"/>
      <c r="N1500" s="248"/>
      <c r="O1500" s="248"/>
    </row>
    <row r="1501">
      <c r="A1501" s="199"/>
      <c r="B1501" s="199"/>
      <c r="C1501" s="199"/>
      <c r="D1501" s="248"/>
      <c r="E1501" s="248"/>
      <c r="F1501" s="248"/>
      <c r="G1501" s="248"/>
      <c r="H1501" s="283"/>
      <c r="I1501" s="199"/>
      <c r="J1501" s="199"/>
      <c r="K1501" s="199"/>
      <c r="L1501" s="248"/>
      <c r="M1501" s="248"/>
      <c r="N1501" s="248"/>
      <c r="O1501" s="248"/>
    </row>
    <row r="1502">
      <c r="A1502" s="199"/>
      <c r="B1502" s="199"/>
      <c r="C1502" s="199"/>
      <c r="D1502" s="248"/>
      <c r="E1502" s="248"/>
      <c r="F1502" s="248"/>
      <c r="G1502" s="248"/>
      <c r="H1502" s="283"/>
      <c r="I1502" s="199"/>
      <c r="J1502" s="199"/>
      <c r="K1502" s="199"/>
      <c r="L1502" s="248"/>
      <c r="M1502" s="248"/>
      <c r="N1502" s="248"/>
      <c r="O1502" s="248"/>
    </row>
    <row r="1503">
      <c r="A1503" s="199"/>
      <c r="B1503" s="199"/>
      <c r="C1503" s="199"/>
      <c r="D1503" s="248"/>
      <c r="E1503" s="248"/>
      <c r="F1503" s="248"/>
      <c r="G1503" s="248"/>
      <c r="H1503" s="283"/>
      <c r="I1503" s="199"/>
      <c r="J1503" s="199"/>
      <c r="K1503" s="199"/>
      <c r="L1503" s="248"/>
      <c r="M1503" s="248"/>
      <c r="N1503" s="248"/>
      <c r="O1503" s="248"/>
    </row>
    <row r="1504">
      <c r="A1504" s="199"/>
      <c r="B1504" s="199"/>
      <c r="C1504" s="199"/>
      <c r="D1504" s="248"/>
      <c r="E1504" s="248"/>
      <c r="F1504" s="248"/>
      <c r="G1504" s="248"/>
      <c r="H1504" s="283"/>
      <c r="I1504" s="199"/>
      <c r="J1504" s="199"/>
      <c r="K1504" s="199"/>
      <c r="L1504" s="248"/>
      <c r="M1504" s="248"/>
      <c r="N1504" s="248"/>
      <c r="O1504" s="248"/>
    </row>
    <row r="1505">
      <c r="A1505" s="199"/>
      <c r="B1505" s="199"/>
      <c r="C1505" s="199"/>
      <c r="D1505" s="248"/>
      <c r="E1505" s="248"/>
      <c r="F1505" s="248"/>
      <c r="G1505" s="248"/>
      <c r="H1505" s="283"/>
      <c r="I1505" s="199"/>
      <c r="J1505" s="199"/>
      <c r="K1505" s="199"/>
      <c r="L1505" s="248"/>
      <c r="M1505" s="248"/>
      <c r="N1505" s="248"/>
      <c r="O1505" s="248"/>
    </row>
    <row r="1506">
      <c r="A1506" s="199"/>
      <c r="B1506" s="199"/>
      <c r="C1506" s="199"/>
      <c r="D1506" s="248"/>
      <c r="E1506" s="248"/>
      <c r="F1506" s="248"/>
      <c r="G1506" s="248"/>
      <c r="H1506" s="283"/>
      <c r="I1506" s="199"/>
      <c r="J1506" s="199"/>
      <c r="K1506" s="199"/>
      <c r="L1506" s="248"/>
      <c r="M1506" s="248"/>
      <c r="N1506" s="248"/>
      <c r="O1506" s="248"/>
    </row>
    <row r="1507">
      <c r="A1507" s="199"/>
      <c r="B1507" s="199"/>
      <c r="C1507" s="199"/>
      <c r="D1507" s="248"/>
      <c r="E1507" s="248"/>
      <c r="F1507" s="248"/>
      <c r="G1507" s="248"/>
      <c r="H1507" s="283"/>
      <c r="I1507" s="199"/>
      <c r="J1507" s="199"/>
      <c r="K1507" s="199"/>
      <c r="L1507" s="248"/>
      <c r="M1507" s="248"/>
      <c r="N1507" s="248"/>
      <c r="O1507" s="248"/>
    </row>
    <row r="1508">
      <c r="A1508" s="199"/>
      <c r="B1508" s="199"/>
      <c r="C1508" s="199"/>
      <c r="D1508" s="248"/>
      <c r="E1508" s="248"/>
      <c r="F1508" s="248"/>
      <c r="G1508" s="248"/>
      <c r="H1508" s="283"/>
      <c r="I1508" s="199"/>
      <c r="J1508" s="199"/>
      <c r="K1508" s="199"/>
      <c r="L1508" s="248"/>
      <c r="M1508" s="248"/>
      <c r="N1508" s="248"/>
      <c r="O1508" s="248"/>
    </row>
    <row r="1509">
      <c r="A1509" s="199"/>
      <c r="B1509" s="199"/>
      <c r="C1509" s="199"/>
      <c r="D1509" s="248"/>
      <c r="E1509" s="248"/>
      <c r="F1509" s="248"/>
      <c r="G1509" s="248"/>
      <c r="H1509" s="283"/>
      <c r="I1509" s="199"/>
      <c r="J1509" s="199"/>
      <c r="K1509" s="199"/>
      <c r="L1509" s="248"/>
      <c r="M1509" s="248"/>
      <c r="N1509" s="248"/>
      <c r="O1509" s="248"/>
    </row>
    <row r="1510">
      <c r="A1510" s="199"/>
      <c r="B1510" s="199"/>
      <c r="C1510" s="199"/>
      <c r="D1510" s="248"/>
      <c r="E1510" s="248"/>
      <c r="F1510" s="248"/>
      <c r="G1510" s="248"/>
      <c r="H1510" s="283"/>
      <c r="I1510" s="199"/>
      <c r="J1510" s="199"/>
      <c r="K1510" s="199"/>
      <c r="L1510" s="248"/>
      <c r="M1510" s="248"/>
      <c r="N1510" s="248"/>
      <c r="O1510" s="248"/>
    </row>
    <row r="1511">
      <c r="A1511" s="199"/>
      <c r="B1511" s="199"/>
      <c r="C1511" s="199"/>
      <c r="D1511" s="248"/>
      <c r="E1511" s="248"/>
      <c r="F1511" s="248"/>
      <c r="G1511" s="248"/>
      <c r="H1511" s="283"/>
      <c r="I1511" s="199"/>
      <c r="J1511" s="199"/>
      <c r="K1511" s="199"/>
      <c r="L1511" s="248"/>
      <c r="M1511" s="248"/>
      <c r="N1511" s="248"/>
      <c r="O1511" s="248"/>
    </row>
    <row r="1512">
      <c r="A1512" s="199"/>
      <c r="B1512" s="199"/>
      <c r="C1512" s="199"/>
      <c r="D1512" s="248"/>
      <c r="E1512" s="248"/>
      <c r="F1512" s="248"/>
      <c r="G1512" s="248"/>
      <c r="H1512" s="283"/>
      <c r="I1512" s="199"/>
      <c r="J1512" s="199"/>
      <c r="K1512" s="199"/>
      <c r="L1512" s="248"/>
      <c r="M1512" s="248"/>
      <c r="N1512" s="248"/>
      <c r="O1512" s="248"/>
    </row>
    <row r="1513">
      <c r="A1513" s="199"/>
      <c r="B1513" s="199"/>
      <c r="C1513" s="199"/>
      <c r="D1513" s="248"/>
      <c r="E1513" s="248"/>
      <c r="F1513" s="248"/>
      <c r="G1513" s="248"/>
      <c r="H1513" s="283"/>
      <c r="I1513" s="199"/>
      <c r="J1513" s="199"/>
      <c r="K1513" s="199"/>
      <c r="L1513" s="248"/>
      <c r="M1513" s="248"/>
      <c r="N1513" s="248"/>
      <c r="O1513" s="248"/>
    </row>
    <row r="1514">
      <c r="A1514" s="199"/>
      <c r="B1514" s="199"/>
      <c r="C1514" s="199"/>
      <c r="D1514" s="248"/>
      <c r="E1514" s="248"/>
      <c r="F1514" s="248"/>
      <c r="G1514" s="248"/>
      <c r="H1514" s="283"/>
      <c r="I1514" s="199"/>
      <c r="J1514" s="199"/>
      <c r="K1514" s="199"/>
      <c r="L1514" s="248"/>
      <c r="M1514" s="248"/>
      <c r="N1514" s="248"/>
      <c r="O1514" s="248"/>
    </row>
    <row r="1515">
      <c r="A1515" s="199"/>
      <c r="B1515" s="199"/>
      <c r="C1515" s="199"/>
      <c r="D1515" s="248"/>
      <c r="E1515" s="248"/>
      <c r="F1515" s="248"/>
      <c r="G1515" s="248"/>
      <c r="H1515" s="283"/>
      <c r="I1515" s="199"/>
      <c r="J1515" s="199"/>
      <c r="K1515" s="199"/>
      <c r="L1515" s="248"/>
      <c r="M1515" s="248"/>
      <c r="N1515" s="248"/>
      <c r="O1515" s="248"/>
    </row>
    <row r="1516">
      <c r="A1516" s="199"/>
      <c r="B1516" s="199"/>
      <c r="C1516" s="199"/>
      <c r="D1516" s="248"/>
      <c r="E1516" s="248"/>
      <c r="F1516" s="248"/>
      <c r="G1516" s="248"/>
      <c r="H1516" s="283"/>
      <c r="I1516" s="199"/>
      <c r="J1516" s="199"/>
      <c r="K1516" s="199"/>
      <c r="L1516" s="248"/>
      <c r="M1516" s="248"/>
      <c r="N1516" s="248"/>
      <c r="O1516" s="248"/>
    </row>
    <row r="1517">
      <c r="A1517" s="199"/>
      <c r="B1517" s="199"/>
      <c r="C1517" s="199"/>
      <c r="D1517" s="248"/>
      <c r="E1517" s="248"/>
      <c r="F1517" s="248"/>
      <c r="G1517" s="248"/>
      <c r="H1517" s="283"/>
      <c r="I1517" s="199"/>
      <c r="J1517" s="199"/>
      <c r="K1517" s="199"/>
      <c r="L1517" s="248"/>
      <c r="M1517" s="248"/>
      <c r="N1517" s="248"/>
      <c r="O1517" s="248"/>
    </row>
    <row r="1518">
      <c r="A1518" s="199"/>
      <c r="B1518" s="199"/>
      <c r="C1518" s="199"/>
      <c r="D1518" s="248"/>
      <c r="E1518" s="248"/>
      <c r="F1518" s="248"/>
      <c r="G1518" s="248"/>
      <c r="H1518" s="283"/>
      <c r="I1518" s="199"/>
      <c r="J1518" s="199"/>
      <c r="K1518" s="199"/>
      <c r="L1518" s="248"/>
      <c r="M1518" s="248"/>
      <c r="N1518" s="248"/>
      <c r="O1518" s="248"/>
    </row>
    <row r="1519">
      <c r="A1519" s="199"/>
      <c r="B1519" s="199"/>
      <c r="C1519" s="199"/>
      <c r="D1519" s="248"/>
      <c r="E1519" s="248"/>
      <c r="F1519" s="248"/>
      <c r="G1519" s="248"/>
      <c r="H1519" s="283"/>
      <c r="I1519" s="199"/>
      <c r="J1519" s="199"/>
      <c r="K1519" s="199"/>
      <c r="L1519" s="248"/>
      <c r="M1519" s="248"/>
      <c r="N1519" s="248"/>
      <c r="O1519" s="248"/>
    </row>
    <row r="1520">
      <c r="A1520" s="199"/>
      <c r="B1520" s="199"/>
      <c r="C1520" s="199"/>
      <c r="D1520" s="248"/>
      <c r="E1520" s="248"/>
      <c r="F1520" s="248"/>
      <c r="G1520" s="248"/>
      <c r="H1520" s="283"/>
      <c r="I1520" s="199"/>
      <c r="J1520" s="199"/>
      <c r="K1520" s="199"/>
      <c r="L1520" s="248"/>
      <c r="M1520" s="248"/>
      <c r="N1520" s="248"/>
      <c r="O1520" s="248"/>
    </row>
    <row r="1521">
      <c r="A1521" s="199"/>
      <c r="B1521" s="199"/>
      <c r="C1521" s="199"/>
      <c r="D1521" s="248"/>
      <c r="E1521" s="248"/>
      <c r="F1521" s="248"/>
      <c r="G1521" s="248"/>
      <c r="H1521" s="283"/>
      <c r="I1521" s="199"/>
      <c r="J1521" s="199"/>
      <c r="K1521" s="199"/>
      <c r="L1521" s="248"/>
      <c r="M1521" s="248"/>
      <c r="N1521" s="248"/>
      <c r="O1521" s="248"/>
    </row>
    <row r="1522">
      <c r="A1522" s="199"/>
      <c r="B1522" s="199"/>
      <c r="C1522" s="199"/>
      <c r="D1522" s="248"/>
      <c r="E1522" s="248"/>
      <c r="F1522" s="248"/>
      <c r="G1522" s="248"/>
      <c r="H1522" s="283"/>
      <c r="I1522" s="199"/>
      <c r="J1522" s="199"/>
      <c r="K1522" s="199"/>
      <c r="L1522" s="248"/>
      <c r="M1522" s="248"/>
      <c r="N1522" s="248"/>
      <c r="O1522" s="248"/>
    </row>
    <row r="1523">
      <c r="A1523" s="199"/>
      <c r="B1523" s="199"/>
      <c r="C1523" s="199"/>
      <c r="D1523" s="248"/>
      <c r="E1523" s="248"/>
      <c r="F1523" s="248"/>
      <c r="G1523" s="248"/>
      <c r="H1523" s="283"/>
      <c r="I1523" s="199"/>
      <c r="J1523" s="199"/>
      <c r="K1523" s="199"/>
      <c r="L1523" s="248"/>
      <c r="M1523" s="248"/>
      <c r="N1523" s="248"/>
      <c r="O1523" s="248"/>
    </row>
    <row r="1524">
      <c r="A1524" s="199"/>
      <c r="B1524" s="199"/>
      <c r="C1524" s="199"/>
      <c r="D1524" s="248"/>
      <c r="E1524" s="248"/>
      <c r="F1524" s="248"/>
      <c r="G1524" s="248"/>
      <c r="H1524" s="283"/>
      <c r="I1524" s="199"/>
      <c r="J1524" s="199"/>
      <c r="K1524" s="199"/>
      <c r="L1524" s="248"/>
      <c r="M1524" s="248"/>
      <c r="N1524" s="248"/>
      <c r="O1524" s="248"/>
    </row>
    <row r="1525">
      <c r="A1525" s="199"/>
      <c r="B1525" s="199"/>
      <c r="C1525" s="199"/>
      <c r="D1525" s="248"/>
      <c r="E1525" s="248"/>
      <c r="F1525" s="248"/>
      <c r="G1525" s="248"/>
      <c r="H1525" s="283"/>
      <c r="I1525" s="199"/>
      <c r="J1525" s="199"/>
      <c r="K1525" s="199"/>
      <c r="L1525" s="248"/>
      <c r="M1525" s="248"/>
      <c r="N1525" s="248"/>
      <c r="O1525" s="248"/>
    </row>
    <row r="1526">
      <c r="A1526" s="199"/>
      <c r="B1526" s="199"/>
      <c r="C1526" s="199"/>
      <c r="D1526" s="248"/>
      <c r="E1526" s="248"/>
      <c r="F1526" s="248"/>
      <c r="G1526" s="248"/>
      <c r="H1526" s="283"/>
      <c r="I1526" s="199"/>
      <c r="J1526" s="199"/>
      <c r="K1526" s="199"/>
      <c r="L1526" s="248"/>
      <c r="M1526" s="248"/>
      <c r="N1526" s="248"/>
      <c r="O1526" s="248"/>
    </row>
    <row r="1527">
      <c r="A1527" s="199"/>
      <c r="B1527" s="199"/>
      <c r="C1527" s="199"/>
      <c r="D1527" s="248"/>
      <c r="E1527" s="248"/>
      <c r="F1527" s="248"/>
      <c r="G1527" s="248"/>
      <c r="H1527" s="283"/>
      <c r="I1527" s="199"/>
      <c r="J1527" s="199"/>
      <c r="K1527" s="199"/>
      <c r="L1527" s="248"/>
      <c r="M1527" s="248"/>
      <c r="N1527" s="248"/>
      <c r="O1527" s="248"/>
    </row>
    <row r="1528">
      <c r="A1528" s="199"/>
      <c r="B1528" s="199"/>
      <c r="C1528" s="199"/>
      <c r="D1528" s="248"/>
      <c r="E1528" s="248"/>
      <c r="F1528" s="248"/>
      <c r="G1528" s="248"/>
      <c r="H1528" s="283"/>
      <c r="I1528" s="199"/>
      <c r="J1528" s="199"/>
      <c r="K1528" s="199"/>
      <c r="L1528" s="248"/>
      <c r="M1528" s="248"/>
      <c r="N1528" s="248"/>
      <c r="O1528" s="248"/>
    </row>
    <row r="1529">
      <c r="A1529" s="199"/>
      <c r="B1529" s="199"/>
      <c r="C1529" s="199"/>
      <c r="D1529" s="248"/>
      <c r="E1529" s="248"/>
      <c r="F1529" s="248"/>
      <c r="G1529" s="248"/>
      <c r="H1529" s="283"/>
      <c r="I1529" s="199"/>
      <c r="J1529" s="199"/>
      <c r="K1529" s="199"/>
      <c r="L1529" s="248"/>
      <c r="M1529" s="248"/>
      <c r="N1529" s="248"/>
      <c r="O1529" s="248"/>
    </row>
    <row r="1530">
      <c r="A1530" s="199"/>
      <c r="B1530" s="199"/>
      <c r="C1530" s="199"/>
      <c r="D1530" s="248"/>
      <c r="E1530" s="248"/>
      <c r="F1530" s="248"/>
      <c r="G1530" s="248"/>
      <c r="H1530" s="283"/>
      <c r="I1530" s="199"/>
      <c r="J1530" s="199"/>
      <c r="K1530" s="199"/>
      <c r="L1530" s="248"/>
      <c r="M1530" s="248"/>
      <c r="N1530" s="248"/>
      <c r="O1530" s="248"/>
    </row>
    <row r="1531">
      <c r="A1531" s="199"/>
      <c r="B1531" s="199"/>
      <c r="C1531" s="199"/>
      <c r="D1531" s="248"/>
      <c r="E1531" s="248"/>
      <c r="F1531" s="248"/>
      <c r="G1531" s="248"/>
      <c r="H1531" s="283"/>
      <c r="I1531" s="199"/>
      <c r="J1531" s="199"/>
      <c r="K1531" s="199"/>
      <c r="L1531" s="248"/>
      <c r="M1531" s="248"/>
      <c r="N1531" s="248"/>
      <c r="O1531" s="248"/>
    </row>
    <row r="1532">
      <c r="A1532" s="199"/>
      <c r="B1532" s="199"/>
      <c r="C1532" s="199"/>
      <c r="D1532" s="248"/>
      <c r="E1532" s="248"/>
      <c r="F1532" s="248"/>
      <c r="G1532" s="248"/>
      <c r="H1532" s="283"/>
      <c r="I1532" s="199"/>
      <c r="J1532" s="199"/>
      <c r="K1532" s="199"/>
      <c r="L1532" s="248"/>
      <c r="M1532" s="248"/>
      <c r="N1532" s="248"/>
      <c r="O1532" s="248"/>
    </row>
    <row r="1533">
      <c r="A1533" s="199"/>
      <c r="B1533" s="199"/>
      <c r="C1533" s="199"/>
      <c r="D1533" s="248"/>
      <c r="E1533" s="248"/>
      <c r="F1533" s="248"/>
      <c r="G1533" s="248"/>
      <c r="H1533" s="283"/>
      <c r="I1533" s="199"/>
      <c r="J1533" s="199"/>
      <c r="K1533" s="199"/>
      <c r="L1533" s="248"/>
      <c r="M1533" s="248"/>
      <c r="N1533" s="248"/>
      <c r="O1533" s="248"/>
    </row>
    <row r="1534">
      <c r="A1534" s="199"/>
      <c r="B1534" s="199"/>
      <c r="C1534" s="199"/>
      <c r="D1534" s="248"/>
      <c r="E1534" s="248"/>
      <c r="F1534" s="248"/>
      <c r="G1534" s="248"/>
      <c r="H1534" s="283"/>
      <c r="I1534" s="199"/>
      <c r="J1534" s="199"/>
      <c r="K1534" s="199"/>
      <c r="L1534" s="248"/>
      <c r="M1534" s="248"/>
      <c r="N1534" s="248"/>
      <c r="O1534" s="248"/>
    </row>
    <row r="1535">
      <c r="A1535" s="199"/>
      <c r="B1535" s="199"/>
      <c r="C1535" s="199"/>
      <c r="D1535" s="248"/>
      <c r="E1535" s="248"/>
      <c r="F1535" s="248"/>
      <c r="G1535" s="248"/>
      <c r="H1535" s="283"/>
      <c r="I1535" s="199"/>
      <c r="J1535" s="199"/>
      <c r="K1535" s="199"/>
      <c r="L1535" s="248"/>
      <c r="M1535" s="248"/>
      <c r="N1535" s="248"/>
      <c r="O1535" s="248"/>
    </row>
    <row r="1536">
      <c r="A1536" s="199"/>
      <c r="B1536" s="199"/>
      <c r="C1536" s="199"/>
      <c r="D1536" s="248"/>
      <c r="E1536" s="248"/>
      <c r="F1536" s="248"/>
      <c r="G1536" s="248"/>
      <c r="H1536" s="283"/>
      <c r="I1536" s="199"/>
      <c r="J1536" s="199"/>
      <c r="K1536" s="199"/>
      <c r="L1536" s="248"/>
      <c r="M1536" s="248"/>
      <c r="N1536" s="248"/>
      <c r="O1536" s="248"/>
    </row>
    <row r="1537">
      <c r="A1537" s="199"/>
      <c r="B1537" s="199"/>
      <c r="C1537" s="199"/>
      <c r="D1537" s="248"/>
      <c r="E1537" s="248"/>
      <c r="F1537" s="248"/>
      <c r="G1537" s="248"/>
      <c r="H1537" s="283"/>
      <c r="I1537" s="199"/>
      <c r="J1537" s="199"/>
      <c r="K1537" s="199"/>
      <c r="L1537" s="248"/>
      <c r="M1537" s="248"/>
      <c r="N1537" s="248"/>
      <c r="O1537" s="248"/>
    </row>
    <row r="1538">
      <c r="A1538" s="199"/>
      <c r="B1538" s="199"/>
      <c r="C1538" s="199"/>
      <c r="D1538" s="248"/>
      <c r="E1538" s="248"/>
      <c r="F1538" s="248"/>
      <c r="G1538" s="248"/>
      <c r="H1538" s="283"/>
      <c r="I1538" s="199"/>
      <c r="J1538" s="199"/>
      <c r="K1538" s="199"/>
      <c r="L1538" s="248"/>
      <c r="M1538" s="248"/>
      <c r="N1538" s="248"/>
      <c r="O1538" s="248"/>
    </row>
    <row r="1539">
      <c r="A1539" s="199"/>
      <c r="B1539" s="199"/>
      <c r="C1539" s="199"/>
      <c r="D1539" s="248"/>
      <c r="E1539" s="248"/>
      <c r="F1539" s="248"/>
      <c r="G1539" s="248"/>
      <c r="H1539" s="283"/>
      <c r="I1539" s="199"/>
      <c r="J1539" s="199"/>
      <c r="K1539" s="199"/>
      <c r="L1539" s="248"/>
      <c r="M1539" s="248"/>
      <c r="N1539" s="248"/>
      <c r="O1539" s="248"/>
    </row>
    <row r="1540">
      <c r="A1540" s="199"/>
      <c r="B1540" s="199"/>
      <c r="C1540" s="199"/>
      <c r="D1540" s="248"/>
      <c r="E1540" s="248"/>
      <c r="F1540" s="248"/>
      <c r="G1540" s="248"/>
      <c r="H1540" s="283"/>
      <c r="I1540" s="199"/>
      <c r="J1540" s="199"/>
      <c r="K1540" s="199"/>
      <c r="L1540" s="248"/>
      <c r="M1540" s="248"/>
      <c r="N1540" s="248"/>
      <c r="O1540" s="248"/>
    </row>
    <row r="1541">
      <c r="A1541" s="199"/>
      <c r="B1541" s="199"/>
      <c r="C1541" s="199"/>
      <c r="D1541" s="248"/>
      <c r="E1541" s="248"/>
      <c r="F1541" s="248"/>
      <c r="G1541" s="248"/>
      <c r="H1541" s="283"/>
      <c r="I1541" s="199"/>
      <c r="J1541" s="199"/>
      <c r="K1541" s="199"/>
      <c r="L1541" s="248"/>
      <c r="M1541" s="248"/>
      <c r="N1541" s="248"/>
      <c r="O1541" s="248"/>
    </row>
    <row r="1542">
      <c r="A1542" s="199"/>
      <c r="B1542" s="199"/>
      <c r="C1542" s="199"/>
      <c r="D1542" s="248"/>
      <c r="E1542" s="248"/>
      <c r="F1542" s="248"/>
      <c r="G1542" s="248"/>
      <c r="H1542" s="283"/>
      <c r="I1542" s="199"/>
      <c r="J1542" s="199"/>
      <c r="K1542" s="199"/>
      <c r="L1542" s="248"/>
      <c r="M1542" s="248"/>
      <c r="N1542" s="248"/>
      <c r="O1542" s="248"/>
    </row>
    <row r="1543">
      <c r="A1543" s="199"/>
      <c r="B1543" s="199"/>
      <c r="C1543" s="199"/>
      <c r="D1543" s="248"/>
      <c r="E1543" s="248"/>
      <c r="F1543" s="248"/>
      <c r="G1543" s="248"/>
      <c r="H1543" s="283"/>
      <c r="I1543" s="199"/>
      <c r="J1543" s="199"/>
      <c r="K1543" s="199"/>
      <c r="L1543" s="248"/>
      <c r="M1543" s="248"/>
      <c r="N1543" s="248"/>
      <c r="O1543" s="248"/>
    </row>
    <row r="1544">
      <c r="A1544" s="199"/>
      <c r="B1544" s="199"/>
      <c r="C1544" s="199"/>
      <c r="D1544" s="248"/>
      <c r="E1544" s="248"/>
      <c r="F1544" s="248"/>
      <c r="G1544" s="248"/>
      <c r="H1544" s="283"/>
      <c r="I1544" s="199"/>
      <c r="J1544" s="199"/>
      <c r="K1544" s="199"/>
      <c r="L1544" s="248"/>
      <c r="M1544" s="248"/>
      <c r="N1544" s="248"/>
      <c r="O1544" s="248"/>
    </row>
    <row r="1545">
      <c r="A1545" s="199"/>
      <c r="B1545" s="199"/>
      <c r="C1545" s="199"/>
      <c r="D1545" s="248"/>
      <c r="E1545" s="248"/>
      <c r="F1545" s="248"/>
      <c r="G1545" s="248"/>
      <c r="H1545" s="283"/>
      <c r="I1545" s="199"/>
      <c r="J1545" s="199"/>
      <c r="K1545" s="199"/>
      <c r="L1545" s="248"/>
      <c r="M1545" s="248"/>
      <c r="N1545" s="248"/>
      <c r="O1545" s="248"/>
    </row>
    <row r="1546">
      <c r="A1546" s="199"/>
      <c r="B1546" s="199"/>
      <c r="C1546" s="199"/>
      <c r="D1546" s="248"/>
      <c r="E1546" s="248"/>
      <c r="F1546" s="248"/>
      <c r="G1546" s="248"/>
      <c r="H1546" s="283"/>
      <c r="I1546" s="199"/>
      <c r="J1546" s="199"/>
      <c r="K1546" s="199"/>
      <c r="L1546" s="248"/>
      <c r="M1546" s="248"/>
      <c r="N1546" s="248"/>
      <c r="O1546" s="248"/>
    </row>
    <row r="1547">
      <c r="A1547" s="199"/>
      <c r="B1547" s="199"/>
      <c r="C1547" s="199"/>
      <c r="D1547" s="248"/>
      <c r="E1547" s="248"/>
      <c r="F1547" s="248"/>
      <c r="G1547" s="248"/>
      <c r="H1547" s="283"/>
      <c r="I1547" s="199"/>
      <c r="J1547" s="199"/>
      <c r="K1547" s="199"/>
      <c r="L1547" s="248"/>
      <c r="M1547" s="248"/>
      <c r="N1547" s="248"/>
      <c r="O1547" s="248"/>
    </row>
    <row r="1548">
      <c r="A1548" s="199"/>
      <c r="B1548" s="199"/>
      <c r="C1548" s="199"/>
      <c r="D1548" s="248"/>
      <c r="E1548" s="248"/>
      <c r="F1548" s="248"/>
      <c r="G1548" s="248"/>
      <c r="H1548" s="283"/>
      <c r="I1548" s="199"/>
      <c r="J1548" s="199"/>
      <c r="K1548" s="199"/>
      <c r="L1548" s="248"/>
      <c r="M1548" s="248"/>
      <c r="N1548" s="248"/>
      <c r="O1548" s="248"/>
    </row>
    <row r="1549">
      <c r="A1549" s="199"/>
      <c r="B1549" s="199"/>
      <c r="C1549" s="199"/>
      <c r="D1549" s="248"/>
      <c r="E1549" s="248"/>
      <c r="F1549" s="248"/>
      <c r="G1549" s="248"/>
      <c r="H1549" s="283"/>
      <c r="I1549" s="199"/>
      <c r="J1549" s="199"/>
      <c r="K1549" s="199"/>
      <c r="L1549" s="248"/>
      <c r="M1549" s="248"/>
      <c r="N1549" s="248"/>
      <c r="O1549" s="248"/>
    </row>
    <row r="1550">
      <c r="A1550" s="199"/>
      <c r="B1550" s="199"/>
      <c r="C1550" s="199"/>
      <c r="D1550" s="248"/>
      <c r="E1550" s="248"/>
      <c r="F1550" s="248"/>
      <c r="G1550" s="248"/>
      <c r="H1550" s="283"/>
      <c r="I1550" s="199"/>
      <c r="J1550" s="199"/>
      <c r="K1550" s="199"/>
      <c r="L1550" s="248"/>
      <c r="M1550" s="248"/>
      <c r="N1550" s="248"/>
      <c r="O1550" s="248"/>
    </row>
    <row r="1551">
      <c r="A1551" s="199"/>
      <c r="B1551" s="199"/>
      <c r="C1551" s="199"/>
      <c r="D1551" s="248"/>
      <c r="E1551" s="248"/>
      <c r="F1551" s="248"/>
      <c r="G1551" s="248"/>
      <c r="H1551" s="283"/>
      <c r="I1551" s="199"/>
      <c r="J1551" s="199"/>
      <c r="K1551" s="199"/>
      <c r="L1551" s="248"/>
      <c r="M1551" s="248"/>
      <c r="N1551" s="248"/>
      <c r="O1551" s="248"/>
    </row>
    <row r="1552">
      <c r="A1552" s="199"/>
      <c r="B1552" s="199"/>
      <c r="C1552" s="199"/>
      <c r="D1552" s="248"/>
      <c r="E1552" s="248"/>
      <c r="F1552" s="248"/>
      <c r="G1552" s="248"/>
      <c r="H1552" s="283"/>
      <c r="I1552" s="199"/>
      <c r="J1552" s="199"/>
      <c r="K1552" s="199"/>
      <c r="L1552" s="248"/>
      <c r="M1552" s="248"/>
      <c r="N1552" s="248"/>
      <c r="O1552" s="248"/>
    </row>
    <row r="1553">
      <c r="A1553" s="199"/>
      <c r="B1553" s="199"/>
      <c r="C1553" s="199"/>
      <c r="D1553" s="248"/>
      <c r="E1553" s="248"/>
      <c r="F1553" s="248"/>
      <c r="G1553" s="248"/>
      <c r="H1553" s="283"/>
      <c r="I1553" s="199"/>
      <c r="J1553" s="199"/>
      <c r="K1553" s="199"/>
      <c r="L1553" s="248"/>
      <c r="M1553" s="248"/>
      <c r="N1553" s="248"/>
      <c r="O1553" s="248"/>
    </row>
    <row r="1554">
      <c r="A1554" s="199"/>
      <c r="B1554" s="199"/>
      <c r="C1554" s="199"/>
      <c r="D1554" s="248"/>
      <c r="E1554" s="248"/>
      <c r="F1554" s="248"/>
      <c r="G1554" s="248"/>
      <c r="H1554" s="283"/>
      <c r="I1554" s="199"/>
      <c r="J1554" s="199"/>
      <c r="K1554" s="199"/>
      <c r="L1554" s="248"/>
      <c r="M1554" s="248"/>
      <c r="N1554" s="248"/>
      <c r="O1554" s="248"/>
    </row>
    <row r="1555">
      <c r="A1555" s="199"/>
      <c r="B1555" s="199"/>
      <c r="C1555" s="199"/>
      <c r="D1555" s="248"/>
      <c r="E1555" s="248"/>
      <c r="F1555" s="248"/>
      <c r="G1555" s="248"/>
      <c r="H1555" s="283"/>
      <c r="I1555" s="199"/>
      <c r="J1555" s="199"/>
      <c r="K1555" s="199"/>
      <c r="L1555" s="248"/>
      <c r="M1555" s="248"/>
      <c r="N1555" s="248"/>
      <c r="O1555" s="248"/>
    </row>
    <row r="1556">
      <c r="A1556" s="199"/>
      <c r="B1556" s="199"/>
      <c r="C1556" s="199"/>
      <c r="D1556" s="248"/>
      <c r="E1556" s="248"/>
      <c r="F1556" s="248"/>
      <c r="G1556" s="248"/>
      <c r="H1556" s="283"/>
      <c r="I1556" s="199"/>
      <c r="J1556" s="199"/>
      <c r="K1556" s="199"/>
      <c r="L1556" s="248"/>
      <c r="M1556" s="248"/>
      <c r="N1556" s="248"/>
      <c r="O1556" s="248"/>
    </row>
    <row r="1557">
      <c r="A1557" s="199"/>
      <c r="B1557" s="199"/>
      <c r="C1557" s="199"/>
      <c r="D1557" s="248"/>
      <c r="E1557" s="248"/>
      <c r="F1557" s="248"/>
      <c r="G1557" s="248"/>
      <c r="H1557" s="283"/>
      <c r="I1557" s="199"/>
      <c r="J1557" s="199"/>
      <c r="K1557" s="199"/>
      <c r="L1557" s="248"/>
      <c r="M1557" s="248"/>
      <c r="N1557" s="248"/>
      <c r="O1557" s="248"/>
    </row>
    <row r="1558">
      <c r="A1558" s="199"/>
      <c r="B1558" s="199"/>
      <c r="C1558" s="199"/>
      <c r="D1558" s="248"/>
      <c r="E1558" s="248"/>
      <c r="F1558" s="248"/>
      <c r="G1558" s="248"/>
      <c r="H1558" s="283"/>
      <c r="I1558" s="199"/>
      <c r="J1558" s="199"/>
      <c r="K1558" s="199"/>
      <c r="L1558" s="248"/>
      <c r="M1558" s="248"/>
      <c r="N1558" s="248"/>
      <c r="O1558" s="248"/>
    </row>
    <row r="1559">
      <c r="A1559" s="199"/>
      <c r="B1559" s="199"/>
      <c r="C1559" s="199"/>
      <c r="D1559" s="248"/>
      <c r="E1559" s="248"/>
      <c r="F1559" s="248"/>
      <c r="G1559" s="248"/>
      <c r="H1559" s="283"/>
      <c r="I1559" s="199"/>
      <c r="J1559" s="199"/>
      <c r="K1559" s="199"/>
      <c r="L1559" s="248"/>
      <c r="M1559" s="248"/>
      <c r="N1559" s="248"/>
      <c r="O1559" s="248"/>
    </row>
    <row r="1560">
      <c r="A1560" s="199"/>
      <c r="B1560" s="199"/>
      <c r="C1560" s="199"/>
      <c r="D1560" s="248"/>
      <c r="E1560" s="248"/>
      <c r="F1560" s="248"/>
      <c r="G1560" s="248"/>
      <c r="H1560" s="283"/>
      <c r="I1560" s="199"/>
      <c r="J1560" s="199"/>
      <c r="K1560" s="199"/>
      <c r="L1560" s="248"/>
      <c r="M1560" s="248"/>
      <c r="N1560" s="248"/>
      <c r="O1560" s="248"/>
    </row>
    <row r="1561">
      <c r="A1561" s="199"/>
      <c r="B1561" s="199"/>
      <c r="C1561" s="199"/>
      <c r="D1561" s="248"/>
      <c r="E1561" s="248"/>
      <c r="F1561" s="248"/>
      <c r="G1561" s="248"/>
      <c r="H1561" s="283"/>
      <c r="I1561" s="199"/>
      <c r="J1561" s="199"/>
      <c r="K1561" s="199"/>
      <c r="L1561" s="248"/>
      <c r="M1561" s="248"/>
      <c r="N1561" s="248"/>
      <c r="O1561" s="248"/>
    </row>
    <row r="1562">
      <c r="A1562" s="199"/>
      <c r="B1562" s="199"/>
      <c r="C1562" s="199"/>
      <c r="D1562" s="248"/>
      <c r="E1562" s="248"/>
      <c r="F1562" s="248"/>
      <c r="G1562" s="248"/>
      <c r="H1562" s="283"/>
      <c r="I1562" s="199"/>
      <c r="J1562" s="199"/>
      <c r="K1562" s="199"/>
      <c r="L1562" s="248"/>
      <c r="M1562" s="248"/>
      <c r="N1562" s="248"/>
      <c r="O1562" s="248"/>
    </row>
    <row r="1563">
      <c r="A1563" s="199"/>
      <c r="B1563" s="199"/>
      <c r="C1563" s="199"/>
      <c r="D1563" s="248"/>
      <c r="E1563" s="248"/>
      <c r="F1563" s="248"/>
      <c r="G1563" s="248"/>
      <c r="H1563" s="283"/>
      <c r="I1563" s="199"/>
      <c r="J1563" s="199"/>
      <c r="K1563" s="199"/>
      <c r="L1563" s="248"/>
      <c r="M1563" s="248"/>
      <c r="N1563" s="248"/>
      <c r="O1563" s="248"/>
    </row>
    <row r="1564">
      <c r="A1564" s="199"/>
      <c r="B1564" s="199"/>
      <c r="C1564" s="199"/>
      <c r="D1564" s="248"/>
      <c r="E1564" s="248"/>
      <c r="F1564" s="248"/>
      <c r="G1564" s="248"/>
      <c r="H1564" s="283"/>
      <c r="I1564" s="199"/>
      <c r="J1564" s="199"/>
      <c r="K1564" s="199"/>
      <c r="L1564" s="248"/>
      <c r="M1564" s="248"/>
      <c r="N1564" s="248"/>
      <c r="O1564" s="248"/>
    </row>
    <row r="1565">
      <c r="A1565" s="199"/>
      <c r="B1565" s="199"/>
      <c r="C1565" s="199"/>
      <c r="D1565" s="248"/>
      <c r="E1565" s="248"/>
      <c r="F1565" s="248"/>
      <c r="G1565" s="248"/>
      <c r="H1565" s="283"/>
      <c r="I1565" s="199"/>
      <c r="J1565" s="199"/>
      <c r="K1565" s="199"/>
      <c r="L1565" s="248"/>
      <c r="M1565" s="248"/>
      <c r="N1565" s="248"/>
      <c r="O1565" s="248"/>
    </row>
    <row r="1566">
      <c r="A1566" s="199"/>
      <c r="B1566" s="199"/>
      <c r="C1566" s="199"/>
      <c r="D1566" s="248"/>
      <c r="E1566" s="248"/>
      <c r="F1566" s="248"/>
      <c r="G1566" s="248"/>
      <c r="H1566" s="283"/>
      <c r="I1566" s="199"/>
      <c r="J1566" s="199"/>
      <c r="K1566" s="199"/>
      <c r="L1566" s="248"/>
      <c r="M1566" s="248"/>
      <c r="N1566" s="248"/>
      <c r="O1566" s="248"/>
    </row>
    <row r="1567">
      <c r="A1567" s="199"/>
      <c r="B1567" s="199"/>
      <c r="C1567" s="199"/>
      <c r="D1567" s="248"/>
      <c r="E1567" s="248"/>
      <c r="F1567" s="248"/>
      <c r="G1567" s="248"/>
      <c r="H1567" s="283"/>
      <c r="I1567" s="199"/>
      <c r="J1567" s="199"/>
      <c r="K1567" s="199"/>
      <c r="L1567" s="248"/>
      <c r="M1567" s="248"/>
      <c r="N1567" s="248"/>
      <c r="O1567" s="248"/>
    </row>
    <row r="1568">
      <c r="A1568" s="199"/>
      <c r="B1568" s="199"/>
      <c r="C1568" s="199"/>
      <c r="D1568" s="248"/>
      <c r="E1568" s="248"/>
      <c r="F1568" s="248"/>
      <c r="G1568" s="248"/>
      <c r="H1568" s="283"/>
      <c r="I1568" s="199"/>
      <c r="J1568" s="199"/>
      <c r="K1568" s="199"/>
      <c r="L1568" s="248"/>
      <c r="M1568" s="248"/>
      <c r="N1568" s="248"/>
      <c r="O1568" s="248"/>
    </row>
    <row r="1569">
      <c r="A1569" s="199"/>
      <c r="B1569" s="199"/>
      <c r="C1569" s="199"/>
      <c r="D1569" s="248"/>
      <c r="E1569" s="248"/>
      <c r="F1569" s="248"/>
      <c r="G1569" s="248"/>
      <c r="H1569" s="283"/>
      <c r="I1569" s="199"/>
      <c r="J1569" s="199"/>
      <c r="K1569" s="199"/>
      <c r="L1569" s="248"/>
      <c r="M1569" s="248"/>
      <c r="N1569" s="248"/>
      <c r="O1569" s="248"/>
    </row>
    <row r="1570">
      <c r="A1570" s="199"/>
      <c r="B1570" s="199"/>
      <c r="C1570" s="199"/>
      <c r="D1570" s="248"/>
      <c r="E1570" s="248"/>
      <c r="F1570" s="248"/>
      <c r="G1570" s="248"/>
      <c r="H1570" s="283"/>
      <c r="I1570" s="199"/>
      <c r="J1570" s="199"/>
      <c r="K1570" s="199"/>
      <c r="L1570" s="248"/>
      <c r="M1570" s="248"/>
      <c r="N1570" s="248"/>
      <c r="O1570" s="248"/>
    </row>
    <row r="1571">
      <c r="A1571" s="199"/>
      <c r="B1571" s="199"/>
      <c r="C1571" s="199"/>
      <c r="D1571" s="248"/>
      <c r="E1571" s="248"/>
      <c r="F1571" s="248"/>
      <c r="G1571" s="248"/>
      <c r="H1571" s="283"/>
      <c r="I1571" s="199"/>
      <c r="J1571" s="199"/>
      <c r="K1571" s="199"/>
      <c r="L1571" s="248"/>
      <c r="M1571" s="248"/>
      <c r="N1571" s="248"/>
      <c r="O1571" s="248"/>
    </row>
    <row r="1572">
      <c r="A1572" s="199"/>
      <c r="B1572" s="199"/>
      <c r="C1572" s="199"/>
      <c r="D1572" s="248"/>
      <c r="E1572" s="248"/>
      <c r="F1572" s="248"/>
      <c r="G1572" s="248"/>
      <c r="H1572" s="283"/>
      <c r="I1572" s="199"/>
      <c r="J1572" s="199"/>
      <c r="K1572" s="199"/>
      <c r="L1572" s="248"/>
      <c r="M1572" s="248"/>
      <c r="N1572" s="248"/>
      <c r="O1572" s="248"/>
    </row>
    <row r="1573">
      <c r="A1573" s="199"/>
      <c r="B1573" s="199"/>
      <c r="C1573" s="199"/>
      <c r="D1573" s="248"/>
      <c r="E1573" s="248"/>
      <c r="F1573" s="248"/>
      <c r="G1573" s="248"/>
      <c r="H1573" s="283"/>
      <c r="I1573" s="199"/>
      <c r="J1573" s="199"/>
      <c r="K1573" s="199"/>
      <c r="L1573" s="248"/>
      <c r="M1573" s="248"/>
      <c r="N1573" s="248"/>
      <c r="O1573" s="248"/>
    </row>
    <row r="1574">
      <c r="A1574" s="199"/>
      <c r="B1574" s="199"/>
      <c r="C1574" s="199"/>
      <c r="D1574" s="248"/>
      <c r="E1574" s="248"/>
      <c r="F1574" s="248"/>
      <c r="G1574" s="248"/>
      <c r="H1574" s="283"/>
      <c r="I1574" s="199"/>
      <c r="J1574" s="199"/>
      <c r="K1574" s="199"/>
      <c r="L1574" s="248"/>
      <c r="M1574" s="248"/>
      <c r="N1574" s="248"/>
      <c r="O1574" s="248"/>
    </row>
    <row r="1575">
      <c r="A1575" s="199"/>
      <c r="B1575" s="199"/>
      <c r="C1575" s="199"/>
      <c r="D1575" s="248"/>
      <c r="E1575" s="248"/>
      <c r="F1575" s="248"/>
      <c r="G1575" s="248"/>
      <c r="H1575" s="283"/>
      <c r="I1575" s="199"/>
      <c r="J1575" s="199"/>
      <c r="K1575" s="199"/>
      <c r="L1575" s="248"/>
      <c r="M1575" s="248"/>
      <c r="N1575" s="248"/>
      <c r="O1575" s="248"/>
    </row>
    <row r="1576">
      <c r="A1576" s="199"/>
      <c r="B1576" s="199"/>
      <c r="C1576" s="199"/>
      <c r="D1576" s="248"/>
      <c r="E1576" s="248"/>
      <c r="F1576" s="248"/>
      <c r="G1576" s="248"/>
      <c r="H1576" s="283"/>
      <c r="I1576" s="199"/>
      <c r="J1576" s="199"/>
      <c r="K1576" s="199"/>
      <c r="L1576" s="248"/>
      <c r="M1576" s="248"/>
      <c r="N1576" s="248"/>
      <c r="O1576" s="248"/>
    </row>
    <row r="1577">
      <c r="A1577" s="199"/>
      <c r="B1577" s="199"/>
      <c r="C1577" s="199"/>
      <c r="D1577" s="248"/>
      <c r="E1577" s="248"/>
      <c r="F1577" s="248"/>
      <c r="G1577" s="248"/>
      <c r="H1577" s="283"/>
      <c r="I1577" s="199"/>
      <c r="J1577" s="199"/>
      <c r="K1577" s="199"/>
      <c r="L1577" s="248"/>
      <c r="M1577" s="248"/>
      <c r="N1577" s="248"/>
      <c r="O1577" s="248"/>
    </row>
    <row r="1578">
      <c r="A1578" s="199"/>
      <c r="B1578" s="199"/>
      <c r="C1578" s="199"/>
      <c r="D1578" s="248"/>
      <c r="E1578" s="248"/>
      <c r="F1578" s="248"/>
      <c r="G1578" s="248"/>
      <c r="H1578" s="283"/>
      <c r="I1578" s="199"/>
      <c r="J1578" s="199"/>
      <c r="K1578" s="199"/>
      <c r="L1578" s="248"/>
      <c r="M1578" s="248"/>
      <c r="N1578" s="248"/>
      <c r="O1578" s="248"/>
    </row>
    <row r="1579">
      <c r="A1579" s="199"/>
      <c r="B1579" s="199"/>
      <c r="C1579" s="199"/>
      <c r="D1579" s="248"/>
      <c r="E1579" s="248"/>
      <c r="F1579" s="248"/>
      <c r="G1579" s="248"/>
      <c r="H1579" s="283"/>
      <c r="I1579" s="199"/>
      <c r="J1579" s="199"/>
      <c r="K1579" s="199"/>
      <c r="L1579" s="248"/>
      <c r="M1579" s="248"/>
      <c r="N1579" s="248"/>
      <c r="O1579" s="248"/>
    </row>
    <row r="1580">
      <c r="A1580" s="199"/>
      <c r="B1580" s="199"/>
      <c r="C1580" s="199"/>
      <c r="D1580" s="248"/>
      <c r="E1580" s="248"/>
      <c r="F1580" s="248"/>
      <c r="G1580" s="248"/>
      <c r="H1580" s="283"/>
      <c r="I1580" s="199"/>
      <c r="J1580" s="199"/>
      <c r="K1580" s="199"/>
      <c r="L1580" s="248"/>
      <c r="M1580" s="248"/>
      <c r="N1580" s="248"/>
      <c r="O1580" s="248"/>
    </row>
    <row r="1581">
      <c r="A1581" s="199"/>
      <c r="B1581" s="199"/>
      <c r="C1581" s="199"/>
      <c r="D1581" s="248"/>
      <c r="E1581" s="248"/>
      <c r="F1581" s="248"/>
      <c r="G1581" s="248"/>
      <c r="H1581" s="283"/>
      <c r="I1581" s="199"/>
      <c r="J1581" s="199"/>
      <c r="K1581" s="199"/>
      <c r="L1581" s="248"/>
      <c r="M1581" s="248"/>
      <c r="N1581" s="248"/>
      <c r="O1581" s="248"/>
    </row>
    <row r="1582">
      <c r="A1582" s="199"/>
      <c r="B1582" s="199"/>
      <c r="C1582" s="199"/>
      <c r="D1582" s="248"/>
      <c r="E1582" s="248"/>
      <c r="F1582" s="248"/>
      <c r="G1582" s="248"/>
      <c r="H1582" s="283"/>
      <c r="I1582" s="199"/>
      <c r="J1582" s="199"/>
      <c r="K1582" s="199"/>
      <c r="L1582" s="248"/>
      <c r="M1582" s="248"/>
      <c r="N1582" s="248"/>
      <c r="O1582" s="248"/>
    </row>
    <row r="1583">
      <c r="A1583" s="199"/>
      <c r="B1583" s="199"/>
      <c r="C1583" s="199"/>
      <c r="D1583" s="248"/>
      <c r="E1583" s="248"/>
      <c r="F1583" s="248"/>
      <c r="G1583" s="248"/>
      <c r="H1583" s="283"/>
      <c r="I1583" s="199"/>
      <c r="J1583" s="199"/>
      <c r="K1583" s="199"/>
      <c r="L1583" s="248"/>
      <c r="M1583" s="248"/>
      <c r="N1583" s="248"/>
      <c r="O1583" s="248"/>
    </row>
    <row r="1584">
      <c r="A1584" s="199"/>
      <c r="B1584" s="199"/>
      <c r="C1584" s="199"/>
      <c r="D1584" s="248"/>
      <c r="E1584" s="248"/>
      <c r="F1584" s="248"/>
      <c r="G1584" s="248"/>
      <c r="H1584" s="283"/>
      <c r="I1584" s="199"/>
      <c r="J1584" s="199"/>
      <c r="K1584" s="199"/>
      <c r="L1584" s="248"/>
      <c r="M1584" s="248"/>
      <c r="N1584" s="248"/>
      <c r="O1584" s="248"/>
    </row>
    <row r="1585">
      <c r="A1585" s="199"/>
      <c r="B1585" s="199"/>
      <c r="C1585" s="199"/>
      <c r="D1585" s="248"/>
      <c r="E1585" s="248"/>
      <c r="F1585" s="248"/>
      <c r="G1585" s="248"/>
      <c r="H1585" s="283"/>
      <c r="I1585" s="199"/>
      <c r="J1585" s="199"/>
      <c r="K1585" s="199"/>
      <c r="L1585" s="248"/>
      <c r="M1585" s="248"/>
      <c r="N1585" s="248"/>
      <c r="O1585" s="248"/>
    </row>
    <row r="1586">
      <c r="A1586" s="199"/>
      <c r="B1586" s="199"/>
      <c r="C1586" s="199"/>
      <c r="D1586" s="248"/>
      <c r="E1586" s="248"/>
      <c r="F1586" s="248"/>
      <c r="G1586" s="248"/>
      <c r="H1586" s="283"/>
      <c r="I1586" s="199"/>
      <c r="J1586" s="199"/>
      <c r="K1586" s="199"/>
      <c r="L1586" s="248"/>
      <c r="M1586" s="248"/>
      <c r="N1586" s="248"/>
      <c r="O1586" s="248"/>
    </row>
    <row r="1587">
      <c r="A1587" s="199"/>
      <c r="B1587" s="199"/>
      <c r="C1587" s="199"/>
      <c r="D1587" s="248"/>
      <c r="E1587" s="248"/>
      <c r="F1587" s="248"/>
      <c r="G1587" s="248"/>
      <c r="H1587" s="283"/>
      <c r="I1587" s="199"/>
      <c r="J1587" s="199"/>
      <c r="K1587" s="199"/>
      <c r="L1587" s="248"/>
      <c r="M1587" s="248"/>
      <c r="N1587" s="248"/>
      <c r="O1587" s="248"/>
    </row>
    <row r="1588">
      <c r="A1588" s="199"/>
      <c r="B1588" s="199"/>
      <c r="C1588" s="199"/>
      <c r="D1588" s="248"/>
      <c r="E1588" s="248"/>
      <c r="F1588" s="248"/>
      <c r="G1588" s="248"/>
      <c r="H1588" s="283"/>
      <c r="I1588" s="199"/>
      <c r="J1588" s="199"/>
      <c r="K1588" s="199"/>
      <c r="L1588" s="248"/>
      <c r="M1588" s="248"/>
      <c r="N1588" s="248"/>
      <c r="O1588" s="248"/>
    </row>
    <row r="1589">
      <c r="A1589" s="199"/>
      <c r="B1589" s="199"/>
      <c r="C1589" s="199"/>
      <c r="D1589" s="248"/>
      <c r="E1589" s="248"/>
      <c r="F1589" s="248"/>
      <c r="G1589" s="248"/>
      <c r="H1589" s="283"/>
      <c r="I1589" s="199"/>
      <c r="J1589" s="199"/>
      <c r="K1589" s="199"/>
      <c r="L1589" s="248"/>
      <c r="M1589" s="248"/>
      <c r="N1589" s="248"/>
      <c r="O1589" s="248"/>
    </row>
    <row r="1590">
      <c r="A1590" s="199"/>
      <c r="B1590" s="199"/>
      <c r="C1590" s="199"/>
      <c r="D1590" s="248"/>
      <c r="E1590" s="248"/>
      <c r="F1590" s="248"/>
      <c r="G1590" s="248"/>
      <c r="H1590" s="283"/>
      <c r="I1590" s="199"/>
      <c r="J1590" s="199"/>
      <c r="K1590" s="199"/>
      <c r="L1590" s="248"/>
      <c r="M1590" s="248"/>
      <c r="N1590" s="248"/>
      <c r="O1590" s="248"/>
    </row>
    <row r="1591">
      <c r="A1591" s="199"/>
      <c r="B1591" s="199"/>
      <c r="C1591" s="199"/>
      <c r="D1591" s="248"/>
      <c r="E1591" s="248"/>
      <c r="F1591" s="248"/>
      <c r="G1591" s="248"/>
      <c r="H1591" s="283"/>
      <c r="I1591" s="199"/>
      <c r="J1591" s="199"/>
      <c r="K1591" s="199"/>
      <c r="L1591" s="248"/>
      <c r="M1591" s="248"/>
      <c r="N1591" s="248"/>
      <c r="O1591" s="248"/>
    </row>
    <row r="1592">
      <c r="A1592" s="199"/>
      <c r="B1592" s="199"/>
      <c r="C1592" s="199"/>
      <c r="D1592" s="248"/>
      <c r="E1592" s="248"/>
      <c r="F1592" s="248"/>
      <c r="G1592" s="248"/>
      <c r="H1592" s="283"/>
      <c r="I1592" s="199"/>
      <c r="J1592" s="199"/>
      <c r="K1592" s="199"/>
      <c r="L1592" s="248"/>
      <c r="M1592" s="248"/>
      <c r="N1592" s="248"/>
      <c r="O1592" s="248"/>
    </row>
    <row r="1593">
      <c r="A1593" s="199"/>
      <c r="B1593" s="199"/>
      <c r="C1593" s="199"/>
      <c r="D1593" s="248"/>
      <c r="E1593" s="248"/>
      <c r="F1593" s="248"/>
      <c r="G1593" s="248"/>
      <c r="H1593" s="283"/>
      <c r="I1593" s="199"/>
      <c r="J1593" s="199"/>
      <c r="K1593" s="199"/>
      <c r="L1593" s="248"/>
      <c r="M1593" s="248"/>
      <c r="N1593" s="248"/>
      <c r="O1593" s="248"/>
    </row>
    <row r="1594">
      <c r="A1594" s="199"/>
      <c r="B1594" s="199"/>
      <c r="C1594" s="199"/>
      <c r="D1594" s="248"/>
      <c r="E1594" s="248"/>
      <c r="F1594" s="248"/>
      <c r="G1594" s="248"/>
      <c r="H1594" s="283"/>
      <c r="I1594" s="199"/>
      <c r="J1594" s="199"/>
      <c r="K1594" s="199"/>
      <c r="L1594" s="248"/>
      <c r="M1594" s="248"/>
      <c r="N1594" s="248"/>
      <c r="O1594" s="248"/>
    </row>
    <row r="1595">
      <c r="A1595" s="199"/>
      <c r="B1595" s="199"/>
      <c r="C1595" s="199"/>
      <c r="D1595" s="248"/>
      <c r="E1595" s="248"/>
      <c r="F1595" s="248"/>
      <c r="G1595" s="248"/>
      <c r="H1595" s="283"/>
      <c r="I1595" s="199"/>
      <c r="J1595" s="199"/>
      <c r="K1595" s="199"/>
      <c r="L1595" s="248"/>
      <c r="M1595" s="248"/>
      <c r="N1595" s="248"/>
      <c r="O1595" s="248"/>
    </row>
    <row r="1596">
      <c r="A1596" s="199"/>
      <c r="B1596" s="199"/>
      <c r="C1596" s="199"/>
      <c r="D1596" s="248"/>
      <c r="E1596" s="248"/>
      <c r="F1596" s="248"/>
      <c r="G1596" s="248"/>
      <c r="H1596" s="283"/>
      <c r="I1596" s="199"/>
      <c r="J1596" s="199"/>
      <c r="K1596" s="199"/>
      <c r="L1596" s="248"/>
      <c r="M1596" s="248"/>
      <c r="N1596" s="248"/>
      <c r="O1596" s="248"/>
    </row>
    <row r="1597">
      <c r="A1597" s="199"/>
      <c r="B1597" s="199"/>
      <c r="C1597" s="199"/>
      <c r="D1597" s="248"/>
      <c r="E1597" s="248"/>
      <c r="F1597" s="248"/>
      <c r="G1597" s="248"/>
      <c r="H1597" s="283"/>
      <c r="I1597" s="199"/>
      <c r="J1597" s="199"/>
      <c r="K1597" s="199"/>
      <c r="L1597" s="248"/>
      <c r="M1597" s="248"/>
      <c r="N1597" s="248"/>
      <c r="O1597" s="248"/>
    </row>
    <row r="1598">
      <c r="A1598" s="199"/>
      <c r="B1598" s="199"/>
      <c r="C1598" s="199"/>
      <c r="D1598" s="248"/>
      <c r="E1598" s="248"/>
      <c r="F1598" s="248"/>
      <c r="G1598" s="248"/>
      <c r="H1598" s="283"/>
      <c r="I1598" s="199"/>
      <c r="J1598" s="199"/>
      <c r="K1598" s="199"/>
      <c r="L1598" s="248"/>
      <c r="M1598" s="248"/>
      <c r="N1598" s="248"/>
      <c r="O1598" s="248"/>
    </row>
    <row r="1599">
      <c r="A1599" s="199"/>
      <c r="B1599" s="199"/>
      <c r="C1599" s="199"/>
      <c r="D1599" s="248"/>
      <c r="E1599" s="248"/>
      <c r="F1599" s="248"/>
      <c r="G1599" s="248"/>
      <c r="H1599" s="283"/>
      <c r="I1599" s="199"/>
      <c r="J1599" s="199"/>
      <c r="K1599" s="199"/>
      <c r="L1599" s="248"/>
      <c r="M1599" s="248"/>
      <c r="N1599" s="248"/>
      <c r="O1599" s="248"/>
    </row>
    <row r="1600">
      <c r="A1600" s="199"/>
      <c r="B1600" s="199"/>
      <c r="C1600" s="199"/>
      <c r="D1600" s="248"/>
      <c r="E1600" s="248"/>
      <c r="F1600" s="248"/>
      <c r="G1600" s="248"/>
      <c r="H1600" s="283"/>
      <c r="I1600" s="199"/>
      <c r="J1600" s="199"/>
      <c r="K1600" s="199"/>
      <c r="L1600" s="248"/>
      <c r="M1600" s="248"/>
      <c r="N1600" s="248"/>
      <c r="O1600" s="248"/>
    </row>
    <row r="1601">
      <c r="A1601" s="199"/>
      <c r="B1601" s="199"/>
      <c r="C1601" s="199"/>
      <c r="D1601" s="248"/>
      <c r="E1601" s="248"/>
      <c r="F1601" s="248"/>
      <c r="G1601" s="248"/>
      <c r="H1601" s="283"/>
      <c r="I1601" s="199"/>
      <c r="J1601" s="199"/>
      <c r="K1601" s="199"/>
      <c r="L1601" s="248"/>
      <c r="M1601" s="248"/>
      <c r="N1601" s="248"/>
      <c r="O1601" s="248"/>
    </row>
    <row r="1602">
      <c r="A1602" s="199"/>
      <c r="B1602" s="199"/>
      <c r="C1602" s="199"/>
      <c r="D1602" s="248"/>
      <c r="E1602" s="248"/>
      <c r="F1602" s="248"/>
      <c r="G1602" s="248"/>
      <c r="H1602" s="283"/>
      <c r="I1602" s="199"/>
      <c r="J1602" s="199"/>
      <c r="K1602" s="199"/>
      <c r="L1602" s="248"/>
      <c r="M1602" s="248"/>
      <c r="N1602" s="248"/>
      <c r="O1602" s="248"/>
    </row>
    <row r="1603">
      <c r="A1603" s="199"/>
      <c r="B1603" s="199"/>
      <c r="C1603" s="199"/>
      <c r="D1603" s="248"/>
      <c r="E1603" s="248"/>
      <c r="F1603" s="248"/>
      <c r="G1603" s="248"/>
      <c r="H1603" s="283"/>
      <c r="I1603" s="199"/>
      <c r="J1603" s="199"/>
      <c r="K1603" s="199"/>
      <c r="L1603" s="248"/>
      <c r="M1603" s="248"/>
      <c r="N1603" s="248"/>
      <c r="O1603" s="248"/>
    </row>
    <row r="1604">
      <c r="A1604" s="199"/>
      <c r="B1604" s="199"/>
      <c r="C1604" s="199"/>
      <c r="D1604" s="248"/>
      <c r="E1604" s="248"/>
      <c r="F1604" s="248"/>
      <c r="G1604" s="248"/>
      <c r="H1604" s="283"/>
      <c r="I1604" s="199"/>
      <c r="J1604" s="199"/>
      <c r="K1604" s="199"/>
      <c r="L1604" s="248"/>
      <c r="M1604" s="248"/>
      <c r="N1604" s="248"/>
      <c r="O1604" s="248"/>
    </row>
    <row r="1605">
      <c r="A1605" s="199"/>
      <c r="B1605" s="199"/>
      <c r="C1605" s="199"/>
      <c r="D1605" s="248"/>
      <c r="E1605" s="248"/>
      <c r="F1605" s="248"/>
      <c r="G1605" s="248"/>
      <c r="H1605" s="283"/>
      <c r="I1605" s="199"/>
      <c r="J1605" s="199"/>
      <c r="K1605" s="199"/>
      <c r="L1605" s="248"/>
      <c r="M1605" s="248"/>
      <c r="N1605" s="248"/>
      <c r="O1605" s="248"/>
    </row>
    <row r="1606">
      <c r="A1606" s="199"/>
      <c r="B1606" s="199"/>
      <c r="C1606" s="199"/>
      <c r="D1606" s="248"/>
      <c r="E1606" s="248"/>
      <c r="F1606" s="248"/>
      <c r="G1606" s="248"/>
      <c r="H1606" s="283"/>
      <c r="I1606" s="199"/>
      <c r="J1606" s="199"/>
      <c r="K1606" s="199"/>
      <c r="L1606" s="248"/>
      <c r="M1606" s="248"/>
      <c r="N1606" s="248"/>
      <c r="O1606" s="248"/>
    </row>
    <row r="1607">
      <c r="A1607" s="199"/>
      <c r="B1607" s="199"/>
      <c r="C1607" s="199"/>
      <c r="D1607" s="248"/>
      <c r="E1607" s="248"/>
      <c r="F1607" s="248"/>
      <c r="G1607" s="248"/>
      <c r="H1607" s="283"/>
      <c r="I1607" s="199"/>
      <c r="J1607" s="199"/>
      <c r="K1607" s="199"/>
      <c r="L1607" s="248"/>
      <c r="M1607" s="248"/>
      <c r="N1607" s="248"/>
      <c r="O1607" s="248"/>
    </row>
    <row r="1608">
      <c r="A1608" s="199"/>
      <c r="B1608" s="199"/>
      <c r="C1608" s="199"/>
      <c r="D1608" s="248"/>
      <c r="E1608" s="248"/>
      <c r="F1608" s="248"/>
      <c r="G1608" s="248"/>
      <c r="H1608" s="283"/>
      <c r="I1608" s="199"/>
      <c r="J1608" s="199"/>
      <c r="K1608" s="199"/>
      <c r="L1608" s="248"/>
      <c r="M1608" s="248"/>
      <c r="N1608" s="248"/>
      <c r="O1608" s="248"/>
    </row>
    <row r="1609">
      <c r="A1609" s="199"/>
      <c r="B1609" s="199"/>
      <c r="C1609" s="199"/>
      <c r="D1609" s="248"/>
      <c r="E1609" s="248"/>
      <c r="F1609" s="248"/>
      <c r="G1609" s="248"/>
      <c r="H1609" s="283"/>
      <c r="I1609" s="199"/>
      <c r="J1609" s="199"/>
      <c r="K1609" s="199"/>
      <c r="L1609" s="248"/>
      <c r="M1609" s="248"/>
      <c r="N1609" s="248"/>
      <c r="O1609" s="248"/>
    </row>
    <row r="1610">
      <c r="A1610" s="199"/>
      <c r="B1610" s="199"/>
      <c r="C1610" s="199"/>
      <c r="D1610" s="248"/>
      <c r="E1610" s="248"/>
      <c r="F1610" s="248"/>
      <c r="G1610" s="248"/>
      <c r="H1610" s="283"/>
      <c r="I1610" s="199"/>
      <c r="J1610" s="199"/>
      <c r="K1610" s="199"/>
      <c r="L1610" s="248"/>
      <c r="M1610" s="248"/>
      <c r="N1610" s="248"/>
      <c r="O1610" s="248"/>
    </row>
    <row r="1611">
      <c r="A1611" s="199"/>
      <c r="B1611" s="199"/>
      <c r="C1611" s="199"/>
      <c r="D1611" s="248"/>
      <c r="E1611" s="248"/>
      <c r="F1611" s="248"/>
      <c r="G1611" s="248"/>
      <c r="H1611" s="283"/>
      <c r="I1611" s="199"/>
      <c r="J1611" s="199"/>
      <c r="K1611" s="199"/>
      <c r="L1611" s="248"/>
      <c r="M1611" s="248"/>
      <c r="N1611" s="248"/>
      <c r="O1611" s="248"/>
    </row>
    <row r="1612">
      <c r="A1612" s="199"/>
      <c r="B1612" s="199"/>
      <c r="C1612" s="199"/>
      <c r="D1612" s="248"/>
      <c r="E1612" s="248"/>
      <c r="F1612" s="248"/>
      <c r="G1612" s="248"/>
      <c r="H1612" s="283"/>
      <c r="I1612" s="199"/>
      <c r="J1612" s="199"/>
      <c r="K1612" s="199"/>
      <c r="L1612" s="248"/>
      <c r="M1612" s="248"/>
      <c r="N1612" s="248"/>
      <c r="O1612" s="248"/>
    </row>
    <row r="1613">
      <c r="A1613" s="199"/>
      <c r="B1613" s="199"/>
      <c r="C1613" s="199"/>
      <c r="D1613" s="248"/>
      <c r="E1613" s="248"/>
      <c r="F1613" s="248"/>
      <c r="G1613" s="248"/>
      <c r="H1613" s="283"/>
      <c r="I1613" s="199"/>
      <c r="J1613" s="199"/>
      <c r="K1613" s="199"/>
      <c r="L1613" s="248"/>
      <c r="M1613" s="248"/>
      <c r="N1613" s="248"/>
      <c r="O1613" s="248"/>
    </row>
    <row r="1614">
      <c r="A1614" s="199"/>
      <c r="B1614" s="199"/>
      <c r="C1614" s="199"/>
      <c r="D1614" s="248"/>
      <c r="E1614" s="248"/>
      <c r="F1614" s="248"/>
      <c r="G1614" s="248"/>
      <c r="H1614" s="283"/>
      <c r="I1614" s="199"/>
      <c r="J1614" s="199"/>
      <c r="K1614" s="199"/>
      <c r="L1614" s="248"/>
      <c r="M1614" s="248"/>
      <c r="N1614" s="248"/>
      <c r="O1614" s="248"/>
    </row>
    <row r="1615">
      <c r="A1615" s="199"/>
      <c r="B1615" s="199"/>
      <c r="C1615" s="199"/>
      <c r="D1615" s="248"/>
      <c r="E1615" s="248"/>
      <c r="F1615" s="248"/>
      <c r="G1615" s="248"/>
      <c r="H1615" s="283"/>
      <c r="I1615" s="199"/>
      <c r="J1615" s="199"/>
      <c r="K1615" s="199"/>
      <c r="L1615" s="248"/>
      <c r="M1615" s="248"/>
      <c r="N1615" s="248"/>
      <c r="O1615" s="248"/>
    </row>
    <row r="1616">
      <c r="A1616" s="199"/>
      <c r="B1616" s="199"/>
      <c r="C1616" s="199"/>
      <c r="D1616" s="248"/>
      <c r="E1616" s="248"/>
      <c r="F1616" s="248"/>
      <c r="G1616" s="248"/>
      <c r="H1616" s="283"/>
      <c r="I1616" s="199"/>
      <c r="J1616" s="199"/>
      <c r="K1616" s="199"/>
      <c r="L1616" s="248"/>
      <c r="M1616" s="248"/>
      <c r="N1616" s="248"/>
      <c r="O1616" s="248"/>
    </row>
    <row r="1617">
      <c r="A1617" s="199"/>
      <c r="B1617" s="199"/>
      <c r="C1617" s="199"/>
      <c r="D1617" s="248"/>
      <c r="E1617" s="248"/>
      <c r="F1617" s="248"/>
      <c r="G1617" s="248"/>
      <c r="H1617" s="283"/>
      <c r="I1617" s="199"/>
      <c r="J1617" s="199"/>
      <c r="K1617" s="199"/>
      <c r="L1617" s="248"/>
      <c r="M1617" s="248"/>
      <c r="N1617" s="248"/>
      <c r="O1617" s="248"/>
    </row>
    <row r="1618">
      <c r="A1618" s="199"/>
      <c r="B1618" s="199"/>
      <c r="C1618" s="199"/>
      <c r="D1618" s="248"/>
      <c r="E1618" s="248"/>
      <c r="F1618" s="248"/>
      <c r="G1618" s="248"/>
      <c r="H1618" s="283"/>
      <c r="I1618" s="199"/>
      <c r="J1618" s="199"/>
      <c r="K1618" s="199"/>
      <c r="L1618" s="248"/>
      <c r="M1618" s="248"/>
      <c r="N1618" s="248"/>
      <c r="O1618" s="248"/>
    </row>
    <row r="1619">
      <c r="A1619" s="199"/>
      <c r="B1619" s="199"/>
      <c r="C1619" s="199"/>
      <c r="D1619" s="248"/>
      <c r="E1619" s="248"/>
      <c r="F1619" s="248"/>
      <c r="G1619" s="248"/>
      <c r="H1619" s="283"/>
      <c r="I1619" s="199"/>
      <c r="J1619" s="199"/>
      <c r="K1619" s="199"/>
      <c r="L1619" s="248"/>
      <c r="M1619" s="248"/>
      <c r="N1619" s="248"/>
      <c r="O1619" s="248"/>
    </row>
    <row r="1620">
      <c r="A1620" s="199"/>
      <c r="B1620" s="199"/>
      <c r="C1620" s="199"/>
      <c r="D1620" s="248"/>
      <c r="E1620" s="248"/>
      <c r="F1620" s="248"/>
      <c r="G1620" s="248"/>
      <c r="H1620" s="283"/>
      <c r="I1620" s="199"/>
      <c r="J1620" s="199"/>
      <c r="K1620" s="199"/>
      <c r="L1620" s="248"/>
      <c r="M1620" s="248"/>
      <c r="N1620" s="248"/>
      <c r="O1620" s="248"/>
    </row>
    <row r="1621">
      <c r="A1621" s="199"/>
      <c r="B1621" s="199"/>
      <c r="C1621" s="199"/>
      <c r="D1621" s="248"/>
      <c r="E1621" s="248"/>
      <c r="F1621" s="248"/>
      <c r="G1621" s="248"/>
      <c r="H1621" s="283"/>
      <c r="I1621" s="199"/>
      <c r="J1621" s="199"/>
      <c r="K1621" s="199"/>
      <c r="L1621" s="248"/>
      <c r="M1621" s="248"/>
      <c r="N1621" s="248"/>
      <c r="O1621" s="248"/>
    </row>
    <row r="1622">
      <c r="A1622" s="199"/>
      <c r="B1622" s="199"/>
      <c r="C1622" s="199"/>
      <c r="D1622" s="248"/>
      <c r="E1622" s="248"/>
      <c r="F1622" s="248"/>
      <c r="G1622" s="248"/>
      <c r="H1622" s="283"/>
      <c r="I1622" s="199"/>
      <c r="J1622" s="199"/>
      <c r="K1622" s="199"/>
      <c r="L1622" s="248"/>
      <c r="M1622" s="248"/>
      <c r="N1622" s="248"/>
      <c r="O1622" s="248"/>
    </row>
    <row r="1623">
      <c r="A1623" s="199"/>
      <c r="B1623" s="199"/>
      <c r="C1623" s="199"/>
      <c r="D1623" s="248"/>
      <c r="E1623" s="248"/>
      <c r="F1623" s="248"/>
      <c r="G1623" s="248"/>
      <c r="H1623" s="283"/>
      <c r="I1623" s="199"/>
      <c r="J1623" s="199"/>
      <c r="K1623" s="199"/>
      <c r="L1623" s="248"/>
      <c r="M1623" s="248"/>
      <c r="N1623" s="248"/>
      <c r="O1623" s="248"/>
    </row>
    <row r="1624">
      <c r="A1624" s="199"/>
      <c r="B1624" s="199"/>
      <c r="C1624" s="199"/>
      <c r="D1624" s="248"/>
      <c r="E1624" s="248"/>
      <c r="F1624" s="248"/>
      <c r="G1624" s="248"/>
      <c r="H1624" s="283"/>
      <c r="I1624" s="199"/>
      <c r="J1624" s="199"/>
      <c r="K1624" s="199"/>
      <c r="L1624" s="248"/>
      <c r="M1624" s="248"/>
      <c r="N1624" s="248"/>
      <c r="O1624" s="248"/>
    </row>
    <row r="1625">
      <c r="A1625" s="199"/>
      <c r="B1625" s="199"/>
      <c r="C1625" s="199"/>
      <c r="D1625" s="248"/>
      <c r="E1625" s="248"/>
      <c r="F1625" s="248"/>
      <c r="G1625" s="248"/>
      <c r="H1625" s="283"/>
      <c r="I1625" s="199"/>
      <c r="J1625" s="199"/>
      <c r="K1625" s="199"/>
      <c r="L1625" s="248"/>
      <c r="M1625" s="248"/>
      <c r="N1625" s="248"/>
      <c r="O1625" s="248"/>
    </row>
    <row r="1626">
      <c r="A1626" s="199"/>
      <c r="B1626" s="199"/>
      <c r="C1626" s="199"/>
      <c r="D1626" s="248"/>
      <c r="E1626" s="248"/>
      <c r="F1626" s="248"/>
      <c r="G1626" s="248"/>
      <c r="H1626" s="283"/>
      <c r="I1626" s="199"/>
      <c r="J1626" s="199"/>
      <c r="K1626" s="199"/>
      <c r="L1626" s="248"/>
      <c r="M1626" s="248"/>
      <c r="N1626" s="248"/>
      <c r="O1626" s="248"/>
    </row>
    <row r="1627">
      <c r="A1627" s="199"/>
      <c r="B1627" s="199"/>
      <c r="C1627" s="199"/>
      <c r="D1627" s="248"/>
      <c r="E1627" s="248"/>
      <c r="F1627" s="248"/>
      <c r="G1627" s="248"/>
      <c r="H1627" s="283"/>
      <c r="I1627" s="199"/>
      <c r="J1627" s="199"/>
      <c r="K1627" s="199"/>
      <c r="L1627" s="248"/>
      <c r="M1627" s="248"/>
      <c r="N1627" s="248"/>
      <c r="O1627" s="248"/>
    </row>
    <row r="1628">
      <c r="A1628" s="199"/>
      <c r="B1628" s="199"/>
      <c r="C1628" s="199"/>
      <c r="D1628" s="248"/>
      <c r="E1628" s="248"/>
      <c r="F1628" s="248"/>
      <c r="G1628" s="248"/>
      <c r="H1628" s="283"/>
      <c r="I1628" s="199"/>
      <c r="J1628" s="199"/>
      <c r="K1628" s="199"/>
      <c r="L1628" s="248"/>
      <c r="M1628" s="248"/>
      <c r="N1628" s="248"/>
      <c r="O1628" s="248"/>
    </row>
    <row r="1629">
      <c r="A1629" s="199"/>
      <c r="B1629" s="199"/>
      <c r="C1629" s="199"/>
      <c r="D1629" s="248"/>
      <c r="E1629" s="248"/>
      <c r="F1629" s="248"/>
      <c r="G1629" s="248"/>
      <c r="H1629" s="283"/>
      <c r="I1629" s="199"/>
      <c r="J1629" s="199"/>
      <c r="K1629" s="199"/>
      <c r="L1629" s="248"/>
      <c r="M1629" s="248"/>
      <c r="N1629" s="248"/>
      <c r="O1629" s="248"/>
    </row>
    <row r="1630">
      <c r="A1630" s="199"/>
      <c r="B1630" s="199"/>
      <c r="C1630" s="199"/>
      <c r="D1630" s="248"/>
      <c r="E1630" s="248"/>
      <c r="F1630" s="248"/>
      <c r="G1630" s="248"/>
      <c r="H1630" s="283"/>
      <c r="I1630" s="199"/>
      <c r="J1630" s="199"/>
      <c r="K1630" s="199"/>
      <c r="L1630" s="248"/>
      <c r="M1630" s="248"/>
      <c r="N1630" s="248"/>
      <c r="O1630" s="248"/>
    </row>
    <row r="1631">
      <c r="A1631" s="199"/>
      <c r="B1631" s="199"/>
      <c r="C1631" s="199"/>
      <c r="D1631" s="248"/>
      <c r="E1631" s="248"/>
      <c r="F1631" s="248"/>
      <c r="G1631" s="248"/>
      <c r="H1631" s="283"/>
      <c r="I1631" s="199"/>
      <c r="J1631" s="199"/>
      <c r="K1631" s="199"/>
      <c r="L1631" s="248"/>
      <c r="M1631" s="248"/>
      <c r="N1631" s="248"/>
      <c r="O1631" s="248"/>
    </row>
    <row r="1632">
      <c r="A1632" s="199"/>
      <c r="B1632" s="199"/>
      <c r="C1632" s="199"/>
      <c r="D1632" s="248"/>
      <c r="E1632" s="248"/>
      <c r="F1632" s="248"/>
      <c r="G1632" s="248"/>
      <c r="H1632" s="283"/>
      <c r="I1632" s="199"/>
      <c r="J1632" s="199"/>
      <c r="K1632" s="199"/>
      <c r="L1632" s="248"/>
      <c r="M1632" s="248"/>
      <c r="N1632" s="248"/>
      <c r="O1632" s="248"/>
    </row>
    <row r="1633">
      <c r="A1633" s="199"/>
      <c r="B1633" s="199"/>
      <c r="C1633" s="199"/>
      <c r="D1633" s="248"/>
      <c r="E1633" s="248"/>
      <c r="F1633" s="248"/>
      <c r="G1633" s="248"/>
      <c r="H1633" s="283"/>
      <c r="I1633" s="199"/>
      <c r="J1633" s="199"/>
      <c r="K1633" s="199"/>
      <c r="L1633" s="248"/>
      <c r="M1633" s="248"/>
      <c r="N1633" s="248"/>
      <c r="O1633" s="248"/>
    </row>
    <row r="1634">
      <c r="A1634" s="199"/>
      <c r="B1634" s="199"/>
      <c r="C1634" s="199"/>
      <c r="D1634" s="248"/>
      <c r="E1634" s="248"/>
      <c r="F1634" s="248"/>
      <c r="G1634" s="248"/>
      <c r="H1634" s="283"/>
      <c r="I1634" s="199"/>
      <c r="J1634" s="199"/>
      <c r="K1634" s="199"/>
      <c r="L1634" s="248"/>
      <c r="M1634" s="248"/>
      <c r="N1634" s="248"/>
      <c r="O1634" s="248"/>
    </row>
    <row r="1635">
      <c r="A1635" s="199"/>
      <c r="B1635" s="199"/>
      <c r="C1635" s="199"/>
      <c r="D1635" s="248"/>
      <c r="E1635" s="248"/>
      <c r="F1635" s="248"/>
      <c r="G1635" s="248"/>
      <c r="H1635" s="283"/>
      <c r="I1635" s="199"/>
      <c r="J1635" s="199"/>
      <c r="K1635" s="199"/>
      <c r="L1635" s="248"/>
      <c r="M1635" s="248"/>
      <c r="N1635" s="248"/>
      <c r="O1635" s="248"/>
    </row>
    <row r="1636">
      <c r="A1636" s="199"/>
      <c r="B1636" s="199"/>
      <c r="C1636" s="199"/>
      <c r="D1636" s="248"/>
      <c r="E1636" s="248"/>
      <c r="F1636" s="248"/>
      <c r="G1636" s="248"/>
      <c r="H1636" s="283"/>
      <c r="I1636" s="199"/>
      <c r="J1636" s="199"/>
      <c r="K1636" s="199"/>
      <c r="L1636" s="248"/>
      <c r="M1636" s="248"/>
      <c r="N1636" s="248"/>
      <c r="O1636" s="248"/>
    </row>
    <row r="1637">
      <c r="A1637" s="199"/>
      <c r="B1637" s="199"/>
      <c r="C1637" s="199"/>
      <c r="D1637" s="248"/>
      <c r="E1637" s="248"/>
      <c r="F1637" s="248"/>
      <c r="G1637" s="248"/>
      <c r="H1637" s="283"/>
      <c r="I1637" s="199"/>
      <c r="J1637" s="199"/>
      <c r="K1637" s="199"/>
      <c r="L1637" s="248"/>
      <c r="M1637" s="248"/>
      <c r="N1637" s="248"/>
      <c r="O1637" s="248"/>
    </row>
    <row r="1638">
      <c r="A1638" s="199"/>
      <c r="B1638" s="199"/>
      <c r="C1638" s="199"/>
      <c r="D1638" s="248"/>
      <c r="E1638" s="248"/>
      <c r="F1638" s="248"/>
      <c r="G1638" s="248"/>
      <c r="H1638" s="283"/>
      <c r="I1638" s="199"/>
      <c r="J1638" s="199"/>
      <c r="K1638" s="199"/>
      <c r="L1638" s="248"/>
      <c r="M1638" s="248"/>
      <c r="N1638" s="248"/>
      <c r="O1638" s="248"/>
    </row>
    <row r="1639">
      <c r="A1639" s="199"/>
      <c r="B1639" s="199"/>
      <c r="C1639" s="199"/>
      <c r="D1639" s="248"/>
      <c r="E1639" s="248"/>
      <c r="F1639" s="248"/>
      <c r="G1639" s="248"/>
      <c r="H1639" s="283"/>
      <c r="I1639" s="199"/>
      <c r="J1639" s="199"/>
      <c r="K1639" s="199"/>
      <c r="L1639" s="248"/>
      <c r="M1639" s="248"/>
      <c r="N1639" s="248"/>
      <c r="O1639" s="248"/>
    </row>
    <row r="1640">
      <c r="A1640" s="199"/>
      <c r="B1640" s="199"/>
      <c r="C1640" s="199"/>
      <c r="D1640" s="248"/>
      <c r="E1640" s="248"/>
      <c r="F1640" s="248"/>
      <c r="G1640" s="248"/>
      <c r="H1640" s="283"/>
      <c r="I1640" s="199"/>
      <c r="J1640" s="199"/>
      <c r="K1640" s="199"/>
      <c r="L1640" s="248"/>
      <c r="M1640" s="248"/>
      <c r="N1640" s="248"/>
      <c r="O1640" s="248"/>
    </row>
    <row r="1641">
      <c r="A1641" s="199"/>
      <c r="B1641" s="199"/>
      <c r="C1641" s="199"/>
      <c r="D1641" s="248"/>
      <c r="E1641" s="248"/>
      <c r="F1641" s="248"/>
      <c r="G1641" s="248"/>
      <c r="H1641" s="283"/>
      <c r="I1641" s="199"/>
      <c r="J1641" s="199"/>
      <c r="K1641" s="199"/>
      <c r="L1641" s="248"/>
      <c r="M1641" s="248"/>
      <c r="N1641" s="248"/>
      <c r="O1641" s="248"/>
    </row>
    <row r="1642">
      <c r="A1642" s="199"/>
      <c r="B1642" s="199"/>
      <c r="C1642" s="199"/>
      <c r="D1642" s="248"/>
      <c r="E1642" s="248"/>
      <c r="F1642" s="248"/>
      <c r="G1642" s="248"/>
      <c r="H1642" s="283"/>
      <c r="I1642" s="199"/>
      <c r="J1642" s="199"/>
      <c r="K1642" s="199"/>
      <c r="L1642" s="248"/>
      <c r="M1642" s="248"/>
      <c r="N1642" s="248"/>
      <c r="O1642" s="248"/>
    </row>
    <row r="1643">
      <c r="A1643" s="199"/>
      <c r="B1643" s="199"/>
      <c r="C1643" s="199"/>
      <c r="D1643" s="248"/>
      <c r="E1643" s="248"/>
      <c r="F1643" s="248"/>
      <c r="G1643" s="248"/>
      <c r="H1643" s="283"/>
      <c r="I1643" s="199"/>
      <c r="J1643" s="199"/>
      <c r="K1643" s="199"/>
      <c r="L1643" s="248"/>
      <c r="M1643" s="248"/>
      <c r="N1643" s="248"/>
      <c r="O1643" s="248"/>
    </row>
    <row r="1644">
      <c r="A1644" s="199"/>
      <c r="B1644" s="199"/>
      <c r="C1644" s="199"/>
      <c r="D1644" s="248"/>
      <c r="E1644" s="248"/>
      <c r="F1644" s="248"/>
      <c r="G1644" s="248"/>
      <c r="H1644" s="283"/>
      <c r="I1644" s="199"/>
      <c r="J1644" s="199"/>
      <c r="K1644" s="199"/>
      <c r="L1644" s="248"/>
      <c r="M1644" s="248"/>
      <c r="N1644" s="248"/>
      <c r="O1644" s="248"/>
    </row>
    <row r="1645">
      <c r="A1645" s="199"/>
      <c r="B1645" s="199"/>
      <c r="C1645" s="199"/>
      <c r="D1645" s="248"/>
      <c r="E1645" s="248"/>
      <c r="F1645" s="248"/>
      <c r="G1645" s="248"/>
      <c r="H1645" s="283"/>
      <c r="I1645" s="199"/>
      <c r="J1645" s="199"/>
      <c r="K1645" s="199"/>
      <c r="L1645" s="248"/>
      <c r="M1645" s="248"/>
      <c r="N1645" s="248"/>
      <c r="O1645" s="248"/>
    </row>
    <row r="1646">
      <c r="A1646" s="199"/>
      <c r="B1646" s="199"/>
      <c r="C1646" s="199"/>
      <c r="D1646" s="248"/>
      <c r="E1646" s="248"/>
      <c r="F1646" s="248"/>
      <c r="G1646" s="248"/>
      <c r="H1646" s="283"/>
      <c r="I1646" s="199"/>
      <c r="J1646" s="199"/>
      <c r="K1646" s="199"/>
      <c r="L1646" s="248"/>
      <c r="M1646" s="248"/>
      <c r="N1646" s="248"/>
      <c r="O1646" s="248"/>
    </row>
    <row r="1647">
      <c r="A1647" s="199"/>
      <c r="B1647" s="199"/>
      <c r="C1647" s="199"/>
      <c r="D1647" s="248"/>
      <c r="E1647" s="248"/>
      <c r="F1647" s="248"/>
      <c r="G1647" s="248"/>
      <c r="H1647" s="283"/>
      <c r="I1647" s="199"/>
      <c r="J1647" s="199"/>
      <c r="K1647" s="199"/>
      <c r="L1647" s="248"/>
      <c r="M1647" s="248"/>
      <c r="N1647" s="248"/>
      <c r="O1647" s="248"/>
    </row>
    <row r="1648">
      <c r="A1648" s="199"/>
      <c r="B1648" s="199"/>
      <c r="C1648" s="199"/>
      <c r="D1648" s="248"/>
      <c r="E1648" s="248"/>
      <c r="F1648" s="248"/>
      <c r="G1648" s="248"/>
      <c r="H1648" s="283"/>
      <c r="I1648" s="199"/>
      <c r="J1648" s="199"/>
      <c r="K1648" s="199"/>
      <c r="L1648" s="248"/>
      <c r="M1648" s="248"/>
      <c r="N1648" s="248"/>
      <c r="O1648" s="248"/>
    </row>
    <row r="1649">
      <c r="A1649" s="199"/>
      <c r="B1649" s="199"/>
      <c r="C1649" s="199"/>
      <c r="D1649" s="248"/>
      <c r="E1649" s="248"/>
      <c r="F1649" s="248"/>
      <c r="G1649" s="248"/>
      <c r="H1649" s="283"/>
      <c r="I1649" s="199"/>
      <c r="J1649" s="199"/>
      <c r="K1649" s="199"/>
      <c r="L1649" s="248"/>
      <c r="M1649" s="248"/>
      <c r="N1649" s="248"/>
      <c r="O1649" s="248"/>
    </row>
    <row r="1650">
      <c r="A1650" s="199"/>
      <c r="B1650" s="199"/>
      <c r="C1650" s="199"/>
      <c r="D1650" s="248"/>
      <c r="E1650" s="248"/>
      <c r="F1650" s="248"/>
      <c r="G1650" s="248"/>
      <c r="H1650" s="283"/>
      <c r="I1650" s="199"/>
      <c r="J1650" s="199"/>
      <c r="K1650" s="199"/>
      <c r="L1650" s="248"/>
      <c r="M1650" s="248"/>
      <c r="N1650" s="248"/>
      <c r="O1650" s="248"/>
    </row>
    <row r="1651">
      <c r="A1651" s="199"/>
      <c r="B1651" s="199"/>
      <c r="C1651" s="199"/>
      <c r="D1651" s="248"/>
      <c r="E1651" s="248"/>
      <c r="F1651" s="248"/>
      <c r="G1651" s="248"/>
      <c r="H1651" s="283"/>
      <c r="I1651" s="199"/>
      <c r="J1651" s="199"/>
      <c r="K1651" s="199"/>
      <c r="L1651" s="248"/>
      <c r="M1651" s="248"/>
      <c r="N1651" s="248"/>
      <c r="O1651" s="248"/>
    </row>
    <row r="1652">
      <c r="A1652" s="199"/>
      <c r="B1652" s="199"/>
      <c r="C1652" s="199"/>
      <c r="D1652" s="248"/>
      <c r="E1652" s="248"/>
      <c r="F1652" s="248"/>
      <c r="G1652" s="248"/>
      <c r="H1652" s="283"/>
      <c r="I1652" s="199"/>
      <c r="J1652" s="199"/>
      <c r="K1652" s="199"/>
      <c r="L1652" s="248"/>
      <c r="M1652" s="248"/>
      <c r="N1652" s="248"/>
      <c r="O1652" s="248"/>
    </row>
    <row r="1653">
      <c r="A1653" s="199"/>
      <c r="B1653" s="199"/>
      <c r="C1653" s="199"/>
      <c r="D1653" s="248"/>
      <c r="E1653" s="248"/>
      <c r="F1653" s="248"/>
      <c r="G1653" s="248"/>
      <c r="H1653" s="283"/>
      <c r="I1653" s="199"/>
      <c r="J1653" s="199"/>
      <c r="K1653" s="199"/>
      <c r="L1653" s="248"/>
      <c r="M1653" s="248"/>
      <c r="N1653" s="248"/>
      <c r="O1653" s="248"/>
    </row>
    <row r="1654">
      <c r="A1654" s="199"/>
      <c r="B1654" s="199"/>
      <c r="C1654" s="199"/>
      <c r="D1654" s="248"/>
      <c r="E1654" s="248"/>
      <c r="F1654" s="248"/>
      <c r="G1654" s="248"/>
      <c r="H1654" s="283"/>
      <c r="I1654" s="199"/>
      <c r="J1654" s="199"/>
      <c r="K1654" s="199"/>
      <c r="L1654" s="248"/>
      <c r="M1654" s="248"/>
      <c r="N1654" s="248"/>
      <c r="O1654" s="248"/>
    </row>
    <row r="1655">
      <c r="A1655" s="199"/>
      <c r="B1655" s="199"/>
      <c r="C1655" s="199"/>
      <c r="D1655" s="248"/>
      <c r="E1655" s="248"/>
      <c r="F1655" s="248"/>
      <c r="G1655" s="248"/>
      <c r="H1655" s="283"/>
      <c r="I1655" s="199"/>
      <c r="J1655" s="199"/>
      <c r="K1655" s="199"/>
      <c r="L1655" s="248"/>
      <c r="M1655" s="248"/>
      <c r="N1655" s="248"/>
      <c r="O1655" s="248"/>
    </row>
    <row r="1656">
      <c r="A1656" s="199"/>
      <c r="B1656" s="199"/>
      <c r="C1656" s="199"/>
      <c r="D1656" s="248"/>
      <c r="E1656" s="248"/>
      <c r="F1656" s="248"/>
      <c r="G1656" s="248"/>
      <c r="H1656" s="283"/>
      <c r="I1656" s="199"/>
      <c r="J1656" s="199"/>
      <c r="K1656" s="199"/>
      <c r="L1656" s="248"/>
      <c r="M1656" s="248"/>
      <c r="N1656" s="248"/>
      <c r="O1656" s="248"/>
    </row>
    <row r="1657">
      <c r="A1657" s="199"/>
      <c r="B1657" s="199"/>
      <c r="C1657" s="199"/>
      <c r="D1657" s="248"/>
      <c r="E1657" s="248"/>
      <c r="F1657" s="248"/>
      <c r="G1657" s="248"/>
      <c r="H1657" s="283"/>
      <c r="I1657" s="199"/>
      <c r="J1657" s="199"/>
      <c r="K1657" s="199"/>
      <c r="L1657" s="248"/>
      <c r="M1657" s="248"/>
      <c r="N1657" s="248"/>
      <c r="O1657" s="248"/>
    </row>
    <row r="1658">
      <c r="A1658" s="199"/>
      <c r="B1658" s="199"/>
      <c r="C1658" s="199"/>
      <c r="D1658" s="248"/>
      <c r="E1658" s="248"/>
      <c r="F1658" s="248"/>
      <c r="G1658" s="248"/>
      <c r="H1658" s="283"/>
      <c r="I1658" s="199"/>
      <c r="J1658" s="199"/>
      <c r="K1658" s="199"/>
      <c r="L1658" s="248"/>
      <c r="M1658" s="248"/>
      <c r="N1658" s="248"/>
      <c r="O1658" s="248"/>
    </row>
    <row r="1659">
      <c r="A1659" s="199"/>
      <c r="B1659" s="199"/>
      <c r="C1659" s="199"/>
      <c r="D1659" s="248"/>
      <c r="E1659" s="248"/>
      <c r="F1659" s="248"/>
      <c r="G1659" s="248"/>
      <c r="H1659" s="283"/>
      <c r="I1659" s="199"/>
      <c r="J1659" s="199"/>
      <c r="K1659" s="199"/>
      <c r="L1659" s="248"/>
      <c r="M1659" s="248"/>
      <c r="N1659" s="248"/>
      <c r="O1659" s="248"/>
    </row>
    <row r="1660">
      <c r="A1660" s="199"/>
      <c r="B1660" s="199"/>
      <c r="C1660" s="199"/>
      <c r="D1660" s="248"/>
      <c r="E1660" s="248"/>
      <c r="F1660" s="248"/>
      <c r="G1660" s="248"/>
      <c r="H1660" s="283"/>
      <c r="I1660" s="199"/>
      <c r="J1660" s="199"/>
      <c r="K1660" s="199"/>
      <c r="L1660" s="248"/>
      <c r="M1660" s="248"/>
      <c r="N1660" s="248"/>
      <c r="O1660" s="248"/>
    </row>
    <row r="1661">
      <c r="A1661" s="199"/>
      <c r="B1661" s="199"/>
      <c r="C1661" s="199"/>
      <c r="D1661" s="248"/>
      <c r="E1661" s="248"/>
      <c r="F1661" s="248"/>
      <c r="G1661" s="248"/>
      <c r="H1661" s="283"/>
      <c r="I1661" s="199"/>
      <c r="J1661" s="199"/>
      <c r="K1661" s="199"/>
      <c r="L1661" s="248"/>
      <c r="M1661" s="248"/>
      <c r="N1661" s="248"/>
      <c r="O1661" s="248"/>
    </row>
    <row r="1662">
      <c r="A1662" s="199"/>
      <c r="B1662" s="199"/>
      <c r="C1662" s="199"/>
      <c r="D1662" s="248"/>
      <c r="E1662" s="248"/>
      <c r="F1662" s="248"/>
      <c r="G1662" s="248"/>
      <c r="H1662" s="283"/>
      <c r="I1662" s="199"/>
      <c r="J1662" s="199"/>
      <c r="K1662" s="199"/>
      <c r="L1662" s="248"/>
      <c r="M1662" s="248"/>
      <c r="N1662" s="248"/>
      <c r="O1662" s="248"/>
    </row>
    <row r="1663">
      <c r="A1663" s="199"/>
      <c r="B1663" s="199"/>
      <c r="C1663" s="199"/>
      <c r="D1663" s="248"/>
      <c r="E1663" s="248"/>
      <c r="F1663" s="248"/>
      <c r="G1663" s="248"/>
      <c r="H1663" s="283"/>
      <c r="I1663" s="199"/>
      <c r="J1663" s="199"/>
      <c r="K1663" s="199"/>
      <c r="L1663" s="248"/>
      <c r="M1663" s="248"/>
      <c r="N1663" s="248"/>
      <c r="O1663" s="248"/>
    </row>
    <row r="1664">
      <c r="A1664" s="199"/>
      <c r="B1664" s="199"/>
      <c r="C1664" s="199"/>
      <c r="D1664" s="248"/>
      <c r="E1664" s="248"/>
      <c r="F1664" s="248"/>
      <c r="G1664" s="248"/>
      <c r="H1664" s="283"/>
      <c r="I1664" s="199"/>
      <c r="J1664" s="199"/>
      <c r="K1664" s="199"/>
      <c r="L1664" s="248"/>
      <c r="M1664" s="248"/>
      <c r="N1664" s="248"/>
      <c r="O1664" s="248"/>
    </row>
    <row r="1665">
      <c r="A1665" s="199"/>
      <c r="B1665" s="199"/>
      <c r="C1665" s="199"/>
      <c r="D1665" s="248"/>
      <c r="E1665" s="248"/>
      <c r="F1665" s="248"/>
      <c r="G1665" s="248"/>
      <c r="H1665" s="283"/>
      <c r="I1665" s="199"/>
      <c r="J1665" s="199"/>
      <c r="K1665" s="199"/>
      <c r="L1665" s="248"/>
      <c r="M1665" s="248"/>
      <c r="N1665" s="248"/>
      <c r="O1665" s="248"/>
    </row>
    <row r="1666">
      <c r="A1666" s="199"/>
      <c r="B1666" s="199"/>
      <c r="C1666" s="199"/>
      <c r="D1666" s="248"/>
      <c r="E1666" s="248"/>
      <c r="F1666" s="248"/>
      <c r="G1666" s="248"/>
      <c r="H1666" s="283"/>
      <c r="I1666" s="199"/>
      <c r="J1666" s="199"/>
      <c r="K1666" s="199"/>
      <c r="L1666" s="248"/>
      <c r="M1666" s="248"/>
      <c r="N1666" s="248"/>
      <c r="O1666" s="248"/>
    </row>
    <row r="1667">
      <c r="A1667" s="199"/>
      <c r="B1667" s="199"/>
      <c r="C1667" s="199"/>
      <c r="D1667" s="248"/>
      <c r="E1667" s="248"/>
      <c r="F1667" s="248"/>
      <c r="G1667" s="248"/>
      <c r="H1667" s="283"/>
      <c r="I1667" s="199"/>
      <c r="J1667" s="199"/>
      <c r="K1667" s="199"/>
      <c r="L1667" s="248"/>
      <c r="M1667" s="248"/>
      <c r="N1667" s="248"/>
      <c r="O1667" s="248"/>
    </row>
    <row r="1668">
      <c r="A1668" s="199"/>
      <c r="B1668" s="199"/>
      <c r="C1668" s="199"/>
      <c r="D1668" s="248"/>
      <c r="E1668" s="248"/>
      <c r="F1668" s="248"/>
      <c r="G1668" s="248"/>
      <c r="H1668" s="283"/>
      <c r="I1668" s="199"/>
      <c r="J1668" s="199"/>
      <c r="K1668" s="199"/>
      <c r="L1668" s="248"/>
      <c r="M1668" s="248"/>
      <c r="N1668" s="248"/>
      <c r="O1668" s="248"/>
    </row>
    <row r="1669">
      <c r="A1669" s="199"/>
      <c r="B1669" s="199"/>
      <c r="C1669" s="199"/>
      <c r="D1669" s="248"/>
      <c r="E1669" s="248"/>
      <c r="F1669" s="248"/>
      <c r="G1669" s="248"/>
      <c r="H1669" s="283"/>
      <c r="I1669" s="199"/>
      <c r="J1669" s="199"/>
      <c r="K1669" s="199"/>
      <c r="L1669" s="248"/>
      <c r="M1669" s="248"/>
      <c r="N1669" s="248"/>
      <c r="O1669" s="248"/>
    </row>
    <row r="1670">
      <c r="A1670" s="199"/>
      <c r="B1670" s="199"/>
      <c r="C1670" s="199"/>
      <c r="D1670" s="248"/>
      <c r="E1670" s="248"/>
      <c r="F1670" s="248"/>
      <c r="G1670" s="248"/>
      <c r="H1670" s="283"/>
      <c r="I1670" s="199"/>
      <c r="J1670" s="199"/>
      <c r="K1670" s="199"/>
      <c r="L1670" s="248"/>
      <c r="M1670" s="248"/>
      <c r="N1670" s="248"/>
      <c r="O1670" s="248"/>
    </row>
    <row r="1671">
      <c r="A1671" s="199"/>
      <c r="B1671" s="199"/>
      <c r="C1671" s="199"/>
      <c r="D1671" s="248"/>
      <c r="E1671" s="248"/>
      <c r="F1671" s="248"/>
      <c r="G1671" s="248"/>
      <c r="H1671" s="283"/>
      <c r="I1671" s="199"/>
      <c r="J1671" s="199"/>
      <c r="K1671" s="199"/>
      <c r="L1671" s="248"/>
      <c r="M1671" s="248"/>
      <c r="N1671" s="248"/>
      <c r="O1671" s="248"/>
    </row>
    <row r="1672">
      <c r="A1672" s="199"/>
      <c r="B1672" s="199"/>
      <c r="C1672" s="199"/>
      <c r="D1672" s="248"/>
      <c r="E1672" s="248"/>
      <c r="F1672" s="248"/>
      <c r="G1672" s="248"/>
      <c r="H1672" s="283"/>
      <c r="I1672" s="199"/>
      <c r="J1672" s="199"/>
      <c r="K1672" s="199"/>
      <c r="L1672" s="248"/>
      <c r="M1672" s="248"/>
      <c r="N1672" s="248"/>
      <c r="O1672" s="248"/>
    </row>
    <row r="1673">
      <c r="A1673" s="199"/>
      <c r="B1673" s="199"/>
      <c r="C1673" s="199"/>
      <c r="D1673" s="248"/>
      <c r="E1673" s="248"/>
      <c r="F1673" s="248"/>
      <c r="G1673" s="248"/>
      <c r="H1673" s="283"/>
      <c r="I1673" s="199"/>
      <c r="J1673" s="199"/>
      <c r="K1673" s="199"/>
      <c r="L1673" s="248"/>
      <c r="M1673" s="248"/>
      <c r="N1673" s="248"/>
      <c r="O1673" s="248"/>
    </row>
    <row r="1674">
      <c r="A1674" s="199"/>
      <c r="B1674" s="199"/>
      <c r="C1674" s="199"/>
      <c r="D1674" s="248"/>
      <c r="E1674" s="248"/>
      <c r="F1674" s="248"/>
      <c r="G1674" s="248"/>
      <c r="H1674" s="283"/>
      <c r="I1674" s="199"/>
      <c r="J1674" s="199"/>
      <c r="K1674" s="199"/>
      <c r="L1674" s="248"/>
      <c r="M1674" s="248"/>
      <c r="N1674" s="248"/>
      <c r="O1674" s="248"/>
    </row>
    <row r="1675">
      <c r="A1675" s="199"/>
      <c r="B1675" s="199"/>
      <c r="C1675" s="199"/>
      <c r="D1675" s="248"/>
      <c r="E1675" s="248"/>
      <c r="F1675" s="248"/>
      <c r="G1675" s="248"/>
      <c r="H1675" s="283"/>
      <c r="I1675" s="199"/>
      <c r="J1675" s="199"/>
      <c r="K1675" s="199"/>
      <c r="L1675" s="248"/>
      <c r="M1675" s="248"/>
      <c r="N1675" s="248"/>
      <c r="O1675" s="248"/>
    </row>
    <row r="1676">
      <c r="A1676" s="199"/>
      <c r="B1676" s="199"/>
      <c r="C1676" s="199"/>
      <c r="D1676" s="248"/>
      <c r="E1676" s="248"/>
      <c r="F1676" s="248"/>
      <c r="G1676" s="248"/>
      <c r="H1676" s="283"/>
      <c r="I1676" s="199"/>
      <c r="J1676" s="199"/>
      <c r="K1676" s="199"/>
      <c r="L1676" s="248"/>
      <c r="M1676" s="248"/>
      <c r="N1676" s="248"/>
      <c r="O1676" s="248"/>
    </row>
    <row r="1677">
      <c r="A1677" s="199"/>
      <c r="B1677" s="199"/>
      <c r="C1677" s="199"/>
      <c r="D1677" s="248"/>
      <c r="E1677" s="248"/>
      <c r="F1677" s="248"/>
      <c r="G1677" s="248"/>
      <c r="H1677" s="283"/>
      <c r="I1677" s="199"/>
      <c r="J1677" s="199"/>
      <c r="K1677" s="199"/>
      <c r="L1677" s="248"/>
      <c r="M1677" s="248"/>
      <c r="N1677" s="248"/>
      <c r="O1677" s="248"/>
    </row>
    <row r="1678">
      <c r="A1678" s="199"/>
      <c r="B1678" s="199"/>
      <c r="C1678" s="199"/>
      <c r="D1678" s="248"/>
      <c r="E1678" s="248"/>
      <c r="F1678" s="248"/>
      <c r="G1678" s="248"/>
      <c r="H1678" s="283"/>
      <c r="I1678" s="199"/>
      <c r="J1678" s="199"/>
      <c r="K1678" s="199"/>
      <c r="L1678" s="248"/>
      <c r="M1678" s="248"/>
      <c r="N1678" s="248"/>
      <c r="O1678" s="248"/>
    </row>
    <row r="1679">
      <c r="A1679" s="199"/>
      <c r="B1679" s="199"/>
      <c r="C1679" s="199"/>
      <c r="D1679" s="248"/>
      <c r="E1679" s="248"/>
      <c r="F1679" s="248"/>
      <c r="G1679" s="248"/>
      <c r="H1679" s="283"/>
      <c r="I1679" s="199"/>
      <c r="J1679" s="199"/>
      <c r="K1679" s="199"/>
      <c r="L1679" s="248"/>
      <c r="M1679" s="248"/>
      <c r="N1679" s="248"/>
      <c r="O1679" s="248"/>
    </row>
    <row r="1680">
      <c r="A1680" s="199"/>
      <c r="B1680" s="199"/>
      <c r="C1680" s="199"/>
      <c r="D1680" s="248"/>
      <c r="E1680" s="248"/>
      <c r="F1680" s="248"/>
      <c r="G1680" s="248"/>
      <c r="H1680" s="283"/>
      <c r="I1680" s="199"/>
      <c r="J1680" s="199"/>
      <c r="K1680" s="199"/>
      <c r="L1680" s="248"/>
      <c r="M1680" s="248"/>
      <c r="N1680" s="248"/>
      <c r="O1680" s="248"/>
    </row>
    <row r="1681">
      <c r="A1681" s="199"/>
      <c r="B1681" s="199"/>
      <c r="C1681" s="199"/>
      <c r="D1681" s="248"/>
      <c r="E1681" s="248"/>
      <c r="F1681" s="248"/>
      <c r="G1681" s="248"/>
      <c r="H1681" s="283"/>
      <c r="I1681" s="199"/>
      <c r="J1681" s="199"/>
      <c r="K1681" s="199"/>
      <c r="L1681" s="248"/>
      <c r="M1681" s="248"/>
      <c r="N1681" s="248"/>
      <c r="O1681" s="248"/>
    </row>
    <row r="1682">
      <c r="A1682" s="199"/>
      <c r="B1682" s="199"/>
      <c r="C1682" s="199"/>
      <c r="D1682" s="248"/>
      <c r="E1682" s="248"/>
      <c r="F1682" s="248"/>
      <c r="G1682" s="248"/>
      <c r="H1682" s="283"/>
      <c r="I1682" s="199"/>
      <c r="J1682" s="199"/>
      <c r="K1682" s="199"/>
      <c r="L1682" s="248"/>
      <c r="M1682" s="248"/>
      <c r="N1682" s="248"/>
      <c r="O1682" s="248"/>
    </row>
    <row r="1683">
      <c r="A1683" s="199"/>
      <c r="B1683" s="199"/>
      <c r="C1683" s="199"/>
      <c r="D1683" s="248"/>
      <c r="E1683" s="248"/>
      <c r="F1683" s="248"/>
      <c r="G1683" s="248"/>
      <c r="H1683" s="283"/>
      <c r="I1683" s="199"/>
      <c r="J1683" s="199"/>
      <c r="K1683" s="199"/>
      <c r="L1683" s="248"/>
      <c r="M1683" s="248"/>
      <c r="N1683" s="248"/>
      <c r="O1683" s="248"/>
    </row>
    <row r="1684">
      <c r="A1684" s="199"/>
      <c r="B1684" s="199"/>
      <c r="C1684" s="199"/>
      <c r="D1684" s="248"/>
      <c r="E1684" s="248"/>
      <c r="F1684" s="248"/>
      <c r="G1684" s="248"/>
      <c r="H1684" s="283"/>
      <c r="I1684" s="199"/>
      <c r="J1684" s="199"/>
      <c r="K1684" s="199"/>
      <c r="L1684" s="248"/>
      <c r="M1684" s="248"/>
      <c r="N1684" s="248"/>
      <c r="O1684" s="248"/>
    </row>
    <row r="1685">
      <c r="A1685" s="199"/>
      <c r="B1685" s="199"/>
      <c r="C1685" s="199"/>
      <c r="D1685" s="248"/>
      <c r="E1685" s="248"/>
      <c r="F1685" s="248"/>
      <c r="G1685" s="248"/>
      <c r="H1685" s="283"/>
      <c r="I1685" s="199"/>
      <c r="J1685" s="199"/>
      <c r="K1685" s="199"/>
      <c r="L1685" s="248"/>
      <c r="M1685" s="248"/>
      <c r="N1685" s="248"/>
      <c r="O1685" s="248"/>
    </row>
    <row r="1686">
      <c r="A1686" s="199"/>
      <c r="B1686" s="199"/>
      <c r="C1686" s="199"/>
      <c r="D1686" s="248"/>
      <c r="E1686" s="248"/>
      <c r="F1686" s="248"/>
      <c r="G1686" s="248"/>
      <c r="H1686" s="283"/>
      <c r="I1686" s="199"/>
      <c r="J1686" s="199"/>
      <c r="K1686" s="199"/>
      <c r="L1686" s="248"/>
      <c r="M1686" s="248"/>
      <c r="N1686" s="248"/>
      <c r="O1686" s="248"/>
    </row>
    <row r="1687">
      <c r="A1687" s="199"/>
      <c r="B1687" s="199"/>
      <c r="C1687" s="199"/>
      <c r="D1687" s="248"/>
      <c r="E1687" s="248"/>
      <c r="F1687" s="248"/>
      <c r="G1687" s="248"/>
      <c r="H1687" s="283"/>
      <c r="I1687" s="199"/>
      <c r="J1687" s="199"/>
      <c r="K1687" s="199"/>
      <c r="L1687" s="248"/>
      <c r="M1687" s="248"/>
      <c r="N1687" s="248"/>
      <c r="O1687" s="248"/>
    </row>
    <row r="1688">
      <c r="A1688" s="199"/>
      <c r="B1688" s="199"/>
      <c r="C1688" s="199"/>
      <c r="D1688" s="248"/>
      <c r="E1688" s="248"/>
      <c r="F1688" s="248"/>
      <c r="G1688" s="248"/>
      <c r="H1688" s="283"/>
      <c r="I1688" s="199"/>
      <c r="J1688" s="199"/>
      <c r="K1688" s="199"/>
      <c r="L1688" s="248"/>
      <c r="M1688" s="248"/>
      <c r="N1688" s="248"/>
      <c r="O1688" s="248"/>
    </row>
    <row r="1689">
      <c r="A1689" s="199"/>
      <c r="B1689" s="199"/>
      <c r="C1689" s="199"/>
      <c r="D1689" s="248"/>
      <c r="E1689" s="248"/>
      <c r="F1689" s="248"/>
      <c r="G1689" s="248"/>
      <c r="H1689" s="283"/>
      <c r="I1689" s="199"/>
      <c r="J1689" s="199"/>
      <c r="K1689" s="199"/>
      <c r="L1689" s="248"/>
      <c r="M1689" s="248"/>
      <c r="N1689" s="248"/>
      <c r="O1689" s="248"/>
    </row>
    <row r="1690">
      <c r="A1690" s="199"/>
      <c r="B1690" s="199"/>
      <c r="C1690" s="199"/>
      <c r="D1690" s="248"/>
      <c r="E1690" s="248"/>
      <c r="F1690" s="248"/>
      <c r="G1690" s="248"/>
      <c r="H1690" s="283"/>
      <c r="I1690" s="199"/>
      <c r="J1690" s="199"/>
      <c r="K1690" s="199"/>
      <c r="L1690" s="248"/>
      <c r="M1690" s="248"/>
      <c r="N1690" s="248"/>
      <c r="O1690" s="248"/>
    </row>
    <row r="1691">
      <c r="A1691" s="199"/>
      <c r="B1691" s="199"/>
      <c r="C1691" s="199"/>
      <c r="D1691" s="248"/>
      <c r="E1691" s="248"/>
      <c r="F1691" s="248"/>
      <c r="G1691" s="248"/>
      <c r="H1691" s="283"/>
      <c r="I1691" s="199"/>
      <c r="J1691" s="199"/>
      <c r="K1691" s="199"/>
      <c r="L1691" s="248"/>
      <c r="M1691" s="248"/>
      <c r="N1691" s="248"/>
      <c r="O1691" s="248"/>
    </row>
    <row r="1692">
      <c r="A1692" s="199"/>
      <c r="B1692" s="199"/>
      <c r="C1692" s="199"/>
      <c r="D1692" s="248"/>
      <c r="E1692" s="248"/>
      <c r="F1692" s="248"/>
      <c r="G1692" s="248"/>
      <c r="H1692" s="283"/>
      <c r="I1692" s="199"/>
      <c r="J1692" s="199"/>
      <c r="K1692" s="199"/>
      <c r="L1692" s="248"/>
      <c r="M1692" s="248"/>
      <c r="N1692" s="248"/>
      <c r="O1692" s="248"/>
    </row>
    <row r="1693">
      <c r="A1693" s="199"/>
      <c r="B1693" s="199"/>
      <c r="C1693" s="199"/>
      <c r="D1693" s="248"/>
      <c r="E1693" s="248"/>
      <c r="F1693" s="248"/>
      <c r="G1693" s="248"/>
      <c r="H1693" s="283"/>
      <c r="I1693" s="199"/>
      <c r="J1693" s="199"/>
      <c r="K1693" s="199"/>
      <c r="L1693" s="248"/>
      <c r="M1693" s="248"/>
      <c r="N1693" s="248"/>
      <c r="O1693" s="248"/>
    </row>
    <row r="1694">
      <c r="A1694" s="199"/>
      <c r="B1694" s="199"/>
      <c r="C1694" s="199"/>
      <c r="D1694" s="248"/>
      <c r="E1694" s="248"/>
      <c r="F1694" s="248"/>
      <c r="G1694" s="248"/>
      <c r="H1694" s="283"/>
      <c r="I1694" s="199"/>
      <c r="J1694" s="199"/>
      <c r="K1694" s="199"/>
      <c r="L1694" s="248"/>
      <c r="M1694" s="248"/>
      <c r="N1694" s="248"/>
      <c r="O1694" s="248"/>
    </row>
    <row r="1695">
      <c r="A1695" s="199"/>
      <c r="B1695" s="199"/>
      <c r="C1695" s="199"/>
      <c r="D1695" s="248"/>
      <c r="E1695" s="248"/>
      <c r="F1695" s="248"/>
      <c r="G1695" s="248"/>
      <c r="H1695" s="283"/>
      <c r="I1695" s="199"/>
      <c r="J1695" s="199"/>
      <c r="K1695" s="199"/>
      <c r="L1695" s="248"/>
      <c r="M1695" s="248"/>
      <c r="N1695" s="248"/>
      <c r="O1695" s="248"/>
    </row>
    <row r="1696">
      <c r="A1696" s="199"/>
      <c r="B1696" s="199"/>
      <c r="C1696" s="199"/>
      <c r="D1696" s="248"/>
      <c r="E1696" s="248"/>
      <c r="F1696" s="248"/>
      <c r="G1696" s="248"/>
      <c r="H1696" s="283"/>
      <c r="I1696" s="199"/>
      <c r="J1696" s="199"/>
      <c r="K1696" s="199"/>
      <c r="L1696" s="248"/>
      <c r="M1696" s="248"/>
      <c r="N1696" s="248"/>
      <c r="O1696" s="248"/>
    </row>
    <row r="1697">
      <c r="A1697" s="199"/>
      <c r="B1697" s="199"/>
      <c r="C1697" s="199"/>
      <c r="D1697" s="248"/>
      <c r="E1697" s="248"/>
      <c r="F1697" s="248"/>
      <c r="G1697" s="248"/>
      <c r="H1697" s="283"/>
      <c r="I1697" s="199"/>
      <c r="J1697" s="199"/>
      <c r="K1697" s="199"/>
      <c r="L1697" s="248"/>
      <c r="M1697" s="248"/>
      <c r="N1697" s="248"/>
      <c r="O1697" s="248"/>
    </row>
    <row r="1698">
      <c r="A1698" s="199"/>
      <c r="B1698" s="199"/>
      <c r="C1698" s="199"/>
      <c r="D1698" s="248"/>
      <c r="E1698" s="248"/>
      <c r="F1698" s="248"/>
      <c r="G1698" s="248"/>
      <c r="H1698" s="283"/>
      <c r="I1698" s="199"/>
      <c r="J1698" s="199"/>
      <c r="K1698" s="199"/>
      <c r="L1698" s="248"/>
      <c r="M1698" s="248"/>
      <c r="N1698" s="248"/>
      <c r="O1698" s="248"/>
    </row>
    <row r="1699">
      <c r="A1699" s="199"/>
      <c r="B1699" s="199"/>
      <c r="C1699" s="199"/>
      <c r="D1699" s="248"/>
      <c r="E1699" s="248"/>
      <c r="F1699" s="248"/>
      <c r="G1699" s="248"/>
      <c r="H1699" s="283"/>
      <c r="I1699" s="199"/>
      <c r="J1699" s="199"/>
      <c r="K1699" s="199"/>
      <c r="L1699" s="248"/>
      <c r="M1699" s="248"/>
      <c r="N1699" s="248"/>
      <c r="O1699" s="248"/>
    </row>
    <row r="1700">
      <c r="A1700" s="199"/>
      <c r="B1700" s="199"/>
      <c r="C1700" s="199"/>
      <c r="D1700" s="248"/>
      <c r="E1700" s="248"/>
      <c r="F1700" s="248"/>
      <c r="G1700" s="248"/>
      <c r="H1700" s="283"/>
      <c r="I1700" s="199"/>
      <c r="J1700" s="199"/>
      <c r="K1700" s="199"/>
      <c r="L1700" s="248"/>
      <c r="M1700" s="248"/>
      <c r="N1700" s="248"/>
      <c r="O1700" s="248"/>
    </row>
    <row r="1701">
      <c r="A1701" s="199"/>
      <c r="B1701" s="199"/>
      <c r="C1701" s="199"/>
      <c r="D1701" s="248"/>
      <c r="E1701" s="248"/>
      <c r="F1701" s="248"/>
      <c r="G1701" s="248"/>
      <c r="H1701" s="283"/>
      <c r="I1701" s="199"/>
      <c r="J1701" s="199"/>
      <c r="K1701" s="199"/>
      <c r="L1701" s="248"/>
      <c r="M1701" s="248"/>
      <c r="N1701" s="248"/>
      <c r="O1701" s="248"/>
    </row>
    <row r="1702">
      <c r="A1702" s="199"/>
      <c r="B1702" s="199"/>
      <c r="C1702" s="199"/>
      <c r="D1702" s="248"/>
      <c r="E1702" s="248"/>
      <c r="F1702" s="248"/>
      <c r="G1702" s="248"/>
      <c r="H1702" s="283"/>
      <c r="I1702" s="199"/>
      <c r="J1702" s="199"/>
      <c r="K1702" s="199"/>
      <c r="L1702" s="248"/>
      <c r="M1702" s="248"/>
      <c r="N1702" s="248"/>
      <c r="O1702" s="248"/>
    </row>
    <row r="1703">
      <c r="A1703" s="199"/>
      <c r="B1703" s="199"/>
      <c r="C1703" s="199"/>
      <c r="D1703" s="248"/>
      <c r="E1703" s="248"/>
      <c r="F1703" s="248"/>
      <c r="G1703" s="248"/>
      <c r="H1703" s="283"/>
      <c r="I1703" s="199"/>
      <c r="J1703" s="199"/>
      <c r="K1703" s="199"/>
      <c r="L1703" s="248"/>
      <c r="M1703" s="248"/>
      <c r="N1703" s="248"/>
      <c r="O1703" s="248"/>
    </row>
    <row r="1704">
      <c r="A1704" s="199"/>
      <c r="B1704" s="199"/>
      <c r="C1704" s="199"/>
      <c r="D1704" s="248"/>
      <c r="E1704" s="248"/>
      <c r="F1704" s="248"/>
      <c r="G1704" s="248"/>
      <c r="H1704" s="283"/>
      <c r="I1704" s="199"/>
      <c r="J1704" s="199"/>
      <c r="K1704" s="199"/>
      <c r="L1704" s="248"/>
      <c r="M1704" s="248"/>
      <c r="N1704" s="248"/>
      <c r="O1704" s="248"/>
    </row>
    <row r="1705">
      <c r="A1705" s="199"/>
      <c r="B1705" s="199"/>
      <c r="C1705" s="199"/>
      <c r="D1705" s="248"/>
      <c r="E1705" s="248"/>
      <c r="F1705" s="248"/>
      <c r="G1705" s="248"/>
      <c r="H1705" s="283"/>
      <c r="I1705" s="199"/>
      <c r="J1705" s="199"/>
      <c r="K1705" s="199"/>
      <c r="L1705" s="248"/>
      <c r="M1705" s="248"/>
      <c r="N1705" s="248"/>
      <c r="O1705" s="248"/>
    </row>
    <row r="1706">
      <c r="A1706" s="199"/>
      <c r="B1706" s="199"/>
      <c r="C1706" s="199"/>
      <c r="D1706" s="248"/>
      <c r="E1706" s="248"/>
      <c r="F1706" s="248"/>
      <c r="G1706" s="248"/>
      <c r="H1706" s="283"/>
      <c r="I1706" s="199"/>
      <c r="J1706" s="199"/>
      <c r="K1706" s="199"/>
      <c r="L1706" s="248"/>
      <c r="M1706" s="248"/>
      <c r="N1706" s="248"/>
      <c r="O1706" s="248"/>
    </row>
    <row r="1707">
      <c r="A1707" s="199"/>
      <c r="B1707" s="199"/>
      <c r="C1707" s="199"/>
      <c r="D1707" s="248"/>
      <c r="E1707" s="248"/>
      <c r="F1707" s="248"/>
      <c r="G1707" s="248"/>
      <c r="H1707" s="283"/>
      <c r="I1707" s="199"/>
      <c r="J1707" s="199"/>
      <c r="K1707" s="199"/>
      <c r="L1707" s="248"/>
      <c r="M1707" s="248"/>
      <c r="N1707" s="248"/>
      <c r="O1707" s="248"/>
    </row>
    <row r="1708">
      <c r="A1708" s="199"/>
      <c r="B1708" s="199"/>
      <c r="C1708" s="199"/>
      <c r="D1708" s="248"/>
      <c r="E1708" s="248"/>
      <c r="F1708" s="248"/>
      <c r="G1708" s="248"/>
      <c r="H1708" s="283"/>
      <c r="I1708" s="199"/>
      <c r="J1708" s="199"/>
      <c r="K1708" s="199"/>
      <c r="L1708" s="248"/>
      <c r="M1708" s="248"/>
      <c r="N1708" s="248"/>
      <c r="O1708" s="248"/>
    </row>
    <row r="1709">
      <c r="A1709" s="199"/>
      <c r="B1709" s="199"/>
      <c r="C1709" s="199"/>
      <c r="D1709" s="248"/>
      <c r="E1709" s="248"/>
      <c r="F1709" s="248"/>
      <c r="G1709" s="248"/>
      <c r="H1709" s="283"/>
      <c r="I1709" s="199"/>
      <c r="J1709" s="199"/>
      <c r="K1709" s="199"/>
      <c r="L1709" s="248"/>
      <c r="M1709" s="248"/>
      <c r="N1709" s="248"/>
      <c r="O1709" s="248"/>
    </row>
    <row r="1710">
      <c r="A1710" s="199"/>
      <c r="B1710" s="199"/>
      <c r="C1710" s="199"/>
      <c r="D1710" s="248"/>
      <c r="E1710" s="248"/>
      <c r="F1710" s="248"/>
      <c r="G1710" s="248"/>
      <c r="H1710" s="283"/>
      <c r="I1710" s="199"/>
      <c r="J1710" s="199"/>
      <c r="K1710" s="199"/>
      <c r="L1710" s="248"/>
      <c r="M1710" s="248"/>
      <c r="N1710" s="248"/>
      <c r="O1710" s="248"/>
    </row>
    <row r="1711">
      <c r="A1711" s="199"/>
      <c r="B1711" s="199"/>
      <c r="C1711" s="199"/>
      <c r="D1711" s="248"/>
      <c r="E1711" s="248"/>
      <c r="F1711" s="248"/>
      <c r="G1711" s="248"/>
      <c r="H1711" s="283"/>
      <c r="I1711" s="199"/>
      <c r="J1711" s="199"/>
      <c r="K1711" s="199"/>
      <c r="L1711" s="248"/>
      <c r="M1711" s="248"/>
      <c r="N1711" s="248"/>
      <c r="O1711" s="248"/>
    </row>
    <row r="1712">
      <c r="A1712" s="199"/>
      <c r="B1712" s="199"/>
      <c r="C1712" s="199"/>
      <c r="D1712" s="248"/>
      <c r="E1712" s="248"/>
      <c r="F1712" s="248"/>
      <c r="G1712" s="248"/>
      <c r="H1712" s="283"/>
      <c r="I1712" s="199"/>
      <c r="J1712" s="199"/>
      <c r="K1712" s="199"/>
      <c r="L1712" s="248"/>
      <c r="M1712" s="248"/>
      <c r="N1712" s="248"/>
      <c r="O1712" s="248"/>
    </row>
    <row r="1713">
      <c r="A1713" s="199"/>
      <c r="B1713" s="199"/>
      <c r="C1713" s="199"/>
      <c r="D1713" s="248"/>
      <c r="E1713" s="248"/>
      <c r="F1713" s="248"/>
      <c r="G1713" s="248"/>
      <c r="H1713" s="283"/>
      <c r="I1713" s="199"/>
      <c r="J1713" s="199"/>
      <c r="K1713" s="199"/>
      <c r="L1713" s="248"/>
      <c r="M1713" s="248"/>
      <c r="N1713" s="248"/>
      <c r="O1713" s="248"/>
    </row>
    <row r="1714">
      <c r="A1714" s="199"/>
      <c r="B1714" s="199"/>
      <c r="C1714" s="199"/>
      <c r="D1714" s="248"/>
      <c r="E1714" s="248"/>
      <c r="F1714" s="248"/>
      <c r="G1714" s="248"/>
      <c r="H1714" s="283"/>
      <c r="I1714" s="199"/>
      <c r="J1714" s="199"/>
      <c r="K1714" s="199"/>
      <c r="L1714" s="248"/>
      <c r="M1714" s="248"/>
      <c r="N1714" s="248"/>
      <c r="O1714" s="248"/>
    </row>
    <row r="1715">
      <c r="A1715" s="199"/>
      <c r="B1715" s="199"/>
      <c r="C1715" s="199"/>
      <c r="D1715" s="248"/>
      <c r="E1715" s="248"/>
      <c r="F1715" s="248"/>
      <c r="G1715" s="248"/>
      <c r="H1715" s="283"/>
      <c r="I1715" s="199"/>
      <c r="J1715" s="199"/>
      <c r="K1715" s="199"/>
      <c r="L1715" s="248"/>
      <c r="M1715" s="248"/>
      <c r="N1715" s="248"/>
      <c r="O1715" s="248"/>
    </row>
    <row r="1716">
      <c r="A1716" s="199"/>
      <c r="B1716" s="199"/>
      <c r="C1716" s="199"/>
      <c r="D1716" s="248"/>
      <c r="E1716" s="248"/>
      <c r="F1716" s="248"/>
      <c r="G1716" s="248"/>
      <c r="H1716" s="283"/>
      <c r="I1716" s="199"/>
      <c r="J1716" s="199"/>
      <c r="K1716" s="199"/>
      <c r="L1716" s="248"/>
      <c r="M1716" s="248"/>
      <c r="N1716" s="248"/>
      <c r="O1716" s="248"/>
    </row>
    <row r="1717">
      <c r="A1717" s="199"/>
      <c r="B1717" s="199"/>
      <c r="C1717" s="199"/>
      <c r="D1717" s="248"/>
      <c r="E1717" s="248"/>
      <c r="F1717" s="248"/>
      <c r="G1717" s="248"/>
      <c r="H1717" s="283"/>
      <c r="I1717" s="199"/>
      <c r="J1717" s="199"/>
      <c r="K1717" s="199"/>
      <c r="L1717" s="248"/>
      <c r="M1717" s="248"/>
      <c r="N1717" s="248"/>
      <c r="O1717" s="248"/>
    </row>
    <row r="1718">
      <c r="A1718" s="199"/>
      <c r="B1718" s="199"/>
      <c r="C1718" s="199"/>
      <c r="D1718" s="248"/>
      <c r="E1718" s="248"/>
      <c r="F1718" s="248"/>
      <c r="G1718" s="248"/>
      <c r="H1718" s="283"/>
      <c r="I1718" s="199"/>
      <c r="J1718" s="199"/>
      <c r="K1718" s="199"/>
      <c r="L1718" s="248"/>
      <c r="M1718" s="248"/>
      <c r="N1718" s="248"/>
      <c r="O1718" s="248"/>
    </row>
    <row r="1719">
      <c r="A1719" s="199"/>
      <c r="B1719" s="199"/>
      <c r="C1719" s="199"/>
      <c r="D1719" s="248"/>
      <c r="E1719" s="248"/>
      <c r="F1719" s="248"/>
      <c r="G1719" s="248"/>
      <c r="H1719" s="283"/>
      <c r="I1719" s="199"/>
      <c r="J1719" s="199"/>
      <c r="K1719" s="199"/>
      <c r="L1719" s="248"/>
      <c r="M1719" s="248"/>
      <c r="N1719" s="248"/>
      <c r="O1719" s="248"/>
    </row>
    <row r="1720">
      <c r="A1720" s="199"/>
      <c r="B1720" s="199"/>
      <c r="C1720" s="199"/>
      <c r="D1720" s="248"/>
      <c r="E1720" s="248"/>
      <c r="F1720" s="248"/>
      <c r="G1720" s="248"/>
      <c r="H1720" s="283"/>
      <c r="I1720" s="199"/>
      <c r="J1720" s="199"/>
      <c r="K1720" s="199"/>
      <c r="L1720" s="248"/>
      <c r="M1720" s="248"/>
      <c r="N1720" s="248"/>
      <c r="O1720" s="248"/>
    </row>
    <row r="1721">
      <c r="A1721" s="199"/>
      <c r="B1721" s="199"/>
      <c r="C1721" s="199"/>
      <c r="D1721" s="248"/>
      <c r="E1721" s="248"/>
      <c r="F1721" s="248"/>
      <c r="G1721" s="248"/>
      <c r="H1721" s="283"/>
      <c r="I1721" s="199"/>
      <c r="J1721" s="199"/>
      <c r="K1721" s="199"/>
      <c r="L1721" s="248"/>
      <c r="M1721" s="248"/>
      <c r="N1721" s="248"/>
      <c r="O1721" s="248"/>
    </row>
    <row r="1722">
      <c r="A1722" s="199"/>
      <c r="B1722" s="199"/>
      <c r="C1722" s="199"/>
      <c r="D1722" s="248"/>
      <c r="E1722" s="248"/>
      <c r="F1722" s="248"/>
      <c r="G1722" s="248"/>
      <c r="H1722" s="283"/>
      <c r="I1722" s="199"/>
      <c r="J1722" s="199"/>
      <c r="K1722" s="199"/>
      <c r="L1722" s="248"/>
      <c r="M1722" s="248"/>
      <c r="N1722" s="248"/>
      <c r="O1722" s="248"/>
    </row>
    <row r="1723">
      <c r="A1723" s="199"/>
      <c r="B1723" s="199"/>
      <c r="C1723" s="199"/>
      <c r="D1723" s="248"/>
      <c r="E1723" s="248"/>
      <c r="F1723" s="248"/>
      <c r="G1723" s="248"/>
      <c r="H1723" s="283"/>
      <c r="I1723" s="199"/>
      <c r="J1723" s="199"/>
      <c r="K1723" s="199"/>
      <c r="L1723" s="248"/>
      <c r="M1723" s="248"/>
      <c r="N1723" s="248"/>
      <c r="O1723" s="248"/>
    </row>
    <row r="1724">
      <c r="A1724" s="199"/>
      <c r="B1724" s="199"/>
      <c r="C1724" s="199"/>
      <c r="D1724" s="248"/>
      <c r="E1724" s="248"/>
      <c r="F1724" s="248"/>
      <c r="G1724" s="248"/>
      <c r="H1724" s="283"/>
      <c r="I1724" s="199"/>
      <c r="J1724" s="199"/>
      <c r="K1724" s="199"/>
      <c r="L1724" s="248"/>
      <c r="M1724" s="248"/>
      <c r="N1724" s="248"/>
      <c r="O1724" s="248"/>
    </row>
    <row r="1725">
      <c r="A1725" s="199"/>
      <c r="B1725" s="199"/>
      <c r="C1725" s="199"/>
      <c r="D1725" s="248"/>
      <c r="E1725" s="248"/>
      <c r="F1725" s="248"/>
      <c r="G1725" s="248"/>
      <c r="H1725" s="283"/>
      <c r="I1725" s="199"/>
      <c r="J1725" s="199"/>
      <c r="K1725" s="199"/>
      <c r="L1725" s="248"/>
      <c r="M1725" s="248"/>
      <c r="N1725" s="248"/>
      <c r="O1725" s="248"/>
    </row>
    <row r="1726">
      <c r="A1726" s="199"/>
      <c r="B1726" s="199"/>
      <c r="C1726" s="199"/>
      <c r="D1726" s="248"/>
      <c r="E1726" s="248"/>
      <c r="F1726" s="248"/>
      <c r="G1726" s="248"/>
      <c r="H1726" s="283"/>
      <c r="I1726" s="199"/>
      <c r="J1726" s="199"/>
      <c r="K1726" s="199"/>
      <c r="L1726" s="248"/>
      <c r="M1726" s="248"/>
      <c r="N1726" s="248"/>
      <c r="O1726" s="248"/>
    </row>
    <row r="1727">
      <c r="A1727" s="199"/>
      <c r="B1727" s="199"/>
      <c r="C1727" s="199"/>
      <c r="D1727" s="248"/>
      <c r="E1727" s="248"/>
      <c r="F1727" s="248"/>
      <c r="G1727" s="248"/>
      <c r="H1727" s="283"/>
      <c r="I1727" s="199"/>
      <c r="J1727" s="199"/>
      <c r="K1727" s="199"/>
      <c r="L1727" s="248"/>
      <c r="M1727" s="248"/>
      <c r="N1727" s="248"/>
      <c r="O1727" s="248"/>
    </row>
    <row r="1728">
      <c r="A1728" s="199"/>
      <c r="B1728" s="199"/>
      <c r="C1728" s="199"/>
      <c r="D1728" s="248"/>
      <c r="E1728" s="248"/>
      <c r="F1728" s="248"/>
      <c r="G1728" s="248"/>
      <c r="H1728" s="283"/>
      <c r="I1728" s="199"/>
      <c r="J1728" s="199"/>
      <c r="K1728" s="199"/>
      <c r="L1728" s="248"/>
      <c r="M1728" s="248"/>
      <c r="N1728" s="248"/>
      <c r="O1728" s="248"/>
    </row>
    <row r="1729">
      <c r="A1729" s="199"/>
      <c r="B1729" s="199"/>
      <c r="C1729" s="199"/>
      <c r="D1729" s="248"/>
      <c r="E1729" s="248"/>
      <c r="F1729" s="248"/>
      <c r="G1729" s="248"/>
      <c r="H1729" s="283"/>
      <c r="I1729" s="199"/>
      <c r="J1729" s="199"/>
      <c r="K1729" s="199"/>
      <c r="L1729" s="248"/>
      <c r="M1729" s="248"/>
      <c r="N1729" s="248"/>
      <c r="O1729" s="248"/>
    </row>
    <row r="1730">
      <c r="A1730" s="199"/>
      <c r="B1730" s="199"/>
      <c r="C1730" s="199"/>
      <c r="D1730" s="248"/>
      <c r="E1730" s="248"/>
      <c r="F1730" s="248"/>
      <c r="G1730" s="248"/>
      <c r="H1730" s="283"/>
      <c r="I1730" s="199"/>
      <c r="J1730" s="199"/>
      <c r="K1730" s="199"/>
      <c r="L1730" s="248"/>
      <c r="M1730" s="248"/>
      <c r="N1730" s="248"/>
      <c r="O1730" s="248"/>
    </row>
    <row r="1731">
      <c r="A1731" s="199"/>
      <c r="B1731" s="199"/>
      <c r="C1731" s="199"/>
      <c r="D1731" s="248"/>
      <c r="E1731" s="248"/>
      <c r="F1731" s="248"/>
      <c r="G1731" s="248"/>
      <c r="H1731" s="283"/>
      <c r="I1731" s="199"/>
      <c r="J1731" s="199"/>
      <c r="K1731" s="199"/>
      <c r="L1731" s="248"/>
      <c r="M1731" s="248"/>
      <c r="N1731" s="248"/>
      <c r="O1731" s="248"/>
    </row>
    <row r="1732">
      <c r="A1732" s="199"/>
      <c r="B1732" s="199"/>
      <c r="C1732" s="199"/>
      <c r="D1732" s="248"/>
      <c r="E1732" s="248"/>
      <c r="F1732" s="248"/>
      <c r="G1732" s="248"/>
      <c r="H1732" s="283"/>
      <c r="I1732" s="199"/>
      <c r="J1732" s="199"/>
      <c r="K1732" s="199"/>
      <c r="L1732" s="248"/>
      <c r="M1732" s="248"/>
      <c r="N1732" s="248"/>
      <c r="O1732" s="248"/>
    </row>
    <row r="1733">
      <c r="A1733" s="199"/>
      <c r="B1733" s="199"/>
      <c r="C1733" s="199"/>
      <c r="D1733" s="248"/>
      <c r="E1733" s="248"/>
      <c r="F1733" s="248"/>
      <c r="G1733" s="248"/>
      <c r="H1733" s="283"/>
      <c r="I1733" s="199"/>
      <c r="J1733" s="199"/>
      <c r="K1733" s="199"/>
      <c r="L1733" s="248"/>
      <c r="M1733" s="248"/>
      <c r="N1733" s="248"/>
      <c r="O1733" s="248"/>
    </row>
    <row r="1734">
      <c r="A1734" s="199"/>
      <c r="B1734" s="199"/>
      <c r="C1734" s="199"/>
      <c r="D1734" s="248"/>
      <c r="E1734" s="248"/>
      <c r="F1734" s="248"/>
      <c r="G1734" s="248"/>
      <c r="H1734" s="283"/>
      <c r="I1734" s="199"/>
      <c r="J1734" s="199"/>
      <c r="K1734" s="199"/>
      <c r="L1734" s="248"/>
      <c r="M1734" s="248"/>
      <c r="N1734" s="248"/>
      <c r="O1734" s="248"/>
    </row>
    <row r="1735">
      <c r="A1735" s="199"/>
      <c r="B1735" s="199"/>
      <c r="C1735" s="199"/>
      <c r="D1735" s="248"/>
      <c r="E1735" s="248"/>
      <c r="F1735" s="248"/>
      <c r="G1735" s="248"/>
      <c r="H1735" s="283"/>
      <c r="I1735" s="199"/>
      <c r="J1735" s="199"/>
      <c r="K1735" s="199"/>
      <c r="L1735" s="248"/>
      <c r="M1735" s="248"/>
      <c r="N1735" s="248"/>
      <c r="O1735" s="248"/>
    </row>
    <row r="1736">
      <c r="A1736" s="199"/>
      <c r="B1736" s="199"/>
      <c r="C1736" s="199"/>
      <c r="D1736" s="248"/>
      <c r="E1736" s="248"/>
      <c r="F1736" s="248"/>
      <c r="G1736" s="248"/>
      <c r="H1736" s="283"/>
      <c r="I1736" s="199"/>
      <c r="J1736" s="199"/>
      <c r="K1736" s="199"/>
      <c r="L1736" s="248"/>
      <c r="M1736" s="248"/>
      <c r="N1736" s="248"/>
      <c r="O1736" s="248"/>
    </row>
    <row r="1737">
      <c r="A1737" s="199"/>
      <c r="B1737" s="199"/>
      <c r="C1737" s="199"/>
      <c r="D1737" s="248"/>
      <c r="E1737" s="248"/>
      <c r="F1737" s="248"/>
      <c r="G1737" s="248"/>
      <c r="H1737" s="283"/>
      <c r="I1737" s="199"/>
      <c r="J1737" s="199"/>
      <c r="K1737" s="199"/>
      <c r="L1737" s="248"/>
      <c r="M1737" s="248"/>
      <c r="N1737" s="248"/>
      <c r="O1737" s="248"/>
    </row>
    <row r="1738">
      <c r="A1738" s="199"/>
      <c r="B1738" s="199"/>
      <c r="C1738" s="199"/>
      <c r="D1738" s="248"/>
      <c r="E1738" s="248"/>
      <c r="F1738" s="248"/>
      <c r="G1738" s="248"/>
      <c r="H1738" s="283"/>
      <c r="I1738" s="199"/>
      <c r="J1738" s="199"/>
      <c r="K1738" s="199"/>
      <c r="L1738" s="248"/>
      <c r="M1738" s="248"/>
      <c r="N1738" s="248"/>
      <c r="O1738" s="248"/>
    </row>
    <row r="1739">
      <c r="A1739" s="199"/>
      <c r="B1739" s="199"/>
      <c r="C1739" s="199"/>
      <c r="D1739" s="248"/>
      <c r="E1739" s="248"/>
      <c r="F1739" s="248"/>
      <c r="G1739" s="248"/>
      <c r="H1739" s="283"/>
      <c r="I1739" s="199"/>
      <c r="J1739" s="199"/>
      <c r="K1739" s="199"/>
      <c r="L1739" s="248"/>
      <c r="M1739" s="248"/>
      <c r="N1739" s="248"/>
      <c r="O1739" s="248"/>
    </row>
    <row r="1740">
      <c r="A1740" s="199"/>
      <c r="B1740" s="199"/>
      <c r="C1740" s="199"/>
      <c r="D1740" s="248"/>
      <c r="E1740" s="248"/>
      <c r="F1740" s="248"/>
      <c r="G1740" s="248"/>
      <c r="H1740" s="283"/>
      <c r="I1740" s="199"/>
      <c r="J1740" s="199"/>
      <c r="K1740" s="199"/>
      <c r="L1740" s="248"/>
      <c r="M1740" s="248"/>
      <c r="N1740" s="248"/>
      <c r="O1740" s="248"/>
    </row>
    <row r="1741">
      <c r="A1741" s="199"/>
      <c r="B1741" s="199"/>
      <c r="C1741" s="199"/>
      <c r="D1741" s="248"/>
      <c r="E1741" s="248"/>
      <c r="F1741" s="248"/>
      <c r="G1741" s="248"/>
      <c r="H1741" s="283"/>
      <c r="I1741" s="199"/>
      <c r="J1741" s="199"/>
      <c r="K1741" s="199"/>
      <c r="L1741" s="248"/>
      <c r="M1741" s="248"/>
      <c r="N1741" s="248"/>
      <c r="O1741" s="248"/>
    </row>
    <row r="1742">
      <c r="A1742" s="199"/>
      <c r="B1742" s="199"/>
      <c r="C1742" s="199"/>
      <c r="D1742" s="248"/>
      <c r="E1742" s="248"/>
      <c r="F1742" s="248"/>
      <c r="G1742" s="248"/>
      <c r="H1742" s="283"/>
      <c r="I1742" s="199"/>
      <c r="J1742" s="199"/>
      <c r="K1742" s="199"/>
      <c r="L1742" s="248"/>
      <c r="M1742" s="248"/>
      <c r="N1742" s="248"/>
      <c r="O1742" s="248"/>
    </row>
    <row r="1743">
      <c r="A1743" s="199"/>
      <c r="B1743" s="199"/>
      <c r="C1743" s="199"/>
      <c r="D1743" s="248"/>
      <c r="E1743" s="248"/>
      <c r="F1743" s="248"/>
      <c r="G1743" s="248"/>
      <c r="H1743" s="283"/>
      <c r="I1743" s="199"/>
      <c r="J1743" s="199"/>
      <c r="K1743" s="199"/>
      <c r="L1743" s="248"/>
      <c r="M1743" s="248"/>
      <c r="N1743" s="248"/>
      <c r="O1743" s="248"/>
    </row>
    <row r="1744">
      <c r="A1744" s="199"/>
      <c r="B1744" s="199"/>
      <c r="C1744" s="199"/>
      <c r="D1744" s="248"/>
      <c r="E1744" s="248"/>
      <c r="F1744" s="248"/>
      <c r="G1744" s="248"/>
      <c r="H1744" s="283"/>
      <c r="I1744" s="199"/>
      <c r="J1744" s="199"/>
      <c r="K1744" s="199"/>
      <c r="L1744" s="248"/>
      <c r="M1744" s="248"/>
      <c r="N1744" s="248"/>
      <c r="O1744" s="248"/>
    </row>
    <row r="1745">
      <c r="A1745" s="199"/>
      <c r="B1745" s="199"/>
      <c r="C1745" s="199"/>
      <c r="D1745" s="248"/>
      <c r="E1745" s="248"/>
      <c r="F1745" s="248"/>
      <c r="G1745" s="248"/>
      <c r="H1745" s="283"/>
      <c r="I1745" s="199"/>
      <c r="J1745" s="199"/>
      <c r="K1745" s="199"/>
      <c r="L1745" s="248"/>
      <c r="M1745" s="248"/>
      <c r="N1745" s="248"/>
      <c r="O1745" s="248"/>
    </row>
    <row r="1746">
      <c r="A1746" s="199"/>
      <c r="B1746" s="199"/>
      <c r="C1746" s="199"/>
      <c r="D1746" s="248"/>
      <c r="E1746" s="248"/>
      <c r="F1746" s="248"/>
      <c r="G1746" s="248"/>
      <c r="H1746" s="283"/>
      <c r="I1746" s="199"/>
      <c r="J1746" s="199"/>
      <c r="K1746" s="199"/>
      <c r="L1746" s="248"/>
      <c r="M1746" s="248"/>
      <c r="N1746" s="248"/>
      <c r="O1746" s="248"/>
    </row>
  </sheetData>
  <mergeCells count="1545">
    <mergeCell ref="I215:J215"/>
    <mergeCell ref="I216:K216"/>
    <mergeCell ref="I209:J209"/>
    <mergeCell ref="I210:J210"/>
    <mergeCell ref="L210:L216"/>
    <mergeCell ref="I211:J211"/>
    <mergeCell ref="I212:J212"/>
    <mergeCell ref="I213:J213"/>
    <mergeCell ref="I214:J214"/>
    <mergeCell ref="Q179:R179"/>
    <mergeCell ref="Q180:R180"/>
    <mergeCell ref="Q178:R178"/>
    <mergeCell ref="Q181:R181"/>
    <mergeCell ref="Q182:R182"/>
    <mergeCell ref="Q183:R183"/>
    <mergeCell ref="Q184:R184"/>
    <mergeCell ref="I178:J178"/>
    <mergeCell ref="I179:J179"/>
    <mergeCell ref="L179:L185"/>
    <mergeCell ref="O179:O181"/>
    <mergeCell ref="I180:J180"/>
    <mergeCell ref="I181:J181"/>
    <mergeCell ref="I182:J182"/>
    <mergeCell ref="I185:K185"/>
    <mergeCell ref="I183:J183"/>
    <mergeCell ref="I184:J184"/>
    <mergeCell ref="I188:K190"/>
    <mergeCell ref="I198:L198"/>
    <mergeCell ref="I199:K199"/>
    <mergeCell ref="I200:K200"/>
    <mergeCell ref="I201:J201"/>
    <mergeCell ref="I202:J202"/>
    <mergeCell ref="I203:J203"/>
    <mergeCell ref="I204:J204"/>
    <mergeCell ref="I205:J205"/>
    <mergeCell ref="I206:J206"/>
    <mergeCell ref="I207:K207"/>
    <mergeCell ref="I208:K208"/>
    <mergeCell ref="M210:N212"/>
    <mergeCell ref="M213:O216"/>
    <mergeCell ref="M179:N181"/>
    <mergeCell ref="M182:O185"/>
    <mergeCell ref="M188:O188"/>
    <mergeCell ref="M189:O189"/>
    <mergeCell ref="M190:O190"/>
    <mergeCell ref="L199:O209"/>
    <mergeCell ref="O210:O212"/>
    <mergeCell ref="E148:F150"/>
    <mergeCell ref="E151:G154"/>
    <mergeCell ref="E157:G157"/>
    <mergeCell ref="E158:G158"/>
    <mergeCell ref="E159:G159"/>
    <mergeCell ref="I151:J151"/>
    <mergeCell ref="I152:J152"/>
    <mergeCell ref="I157:K159"/>
    <mergeCell ref="A153:B153"/>
    <mergeCell ref="I153:J153"/>
    <mergeCell ref="A154:C154"/>
    <mergeCell ref="I154:K154"/>
    <mergeCell ref="D148:D154"/>
    <mergeCell ref="G148:G150"/>
    <mergeCell ref="I148:J148"/>
    <mergeCell ref="L148:L154"/>
    <mergeCell ref="O148:O150"/>
    <mergeCell ref="A151:B151"/>
    <mergeCell ref="A152:B152"/>
    <mergeCell ref="U158:W158"/>
    <mergeCell ref="U159:W159"/>
    <mergeCell ref="M148:N150"/>
    <mergeCell ref="M151:O154"/>
    <mergeCell ref="M157:O157"/>
    <mergeCell ref="Q157:S159"/>
    <mergeCell ref="U157:W157"/>
    <mergeCell ref="M158:O158"/>
    <mergeCell ref="M159:O159"/>
    <mergeCell ref="A1:C1"/>
    <mergeCell ref="D1:L1"/>
    <mergeCell ref="N2:O2"/>
    <mergeCell ref="N3:O3"/>
    <mergeCell ref="N4:O4"/>
    <mergeCell ref="N5:O5"/>
    <mergeCell ref="N6:O6"/>
    <mergeCell ref="N7:O7"/>
    <mergeCell ref="N8:O8"/>
    <mergeCell ref="N9:O9"/>
    <mergeCell ref="N10:O10"/>
    <mergeCell ref="N11:O11"/>
    <mergeCell ref="N12:O12"/>
    <mergeCell ref="N13:O13"/>
    <mergeCell ref="N21:O21"/>
    <mergeCell ref="N22:O22"/>
    <mergeCell ref="S22:U22"/>
    <mergeCell ref="N14:O14"/>
    <mergeCell ref="N15:O15"/>
    <mergeCell ref="N16:O16"/>
    <mergeCell ref="N17:O17"/>
    <mergeCell ref="N18:O18"/>
    <mergeCell ref="N19:O19"/>
    <mergeCell ref="N20:O20"/>
    <mergeCell ref="E126:G126"/>
    <mergeCell ref="I126:K128"/>
    <mergeCell ref="M126:O126"/>
    <mergeCell ref="E127:G127"/>
    <mergeCell ref="M127:O127"/>
    <mergeCell ref="E128:G128"/>
    <mergeCell ref="M128:O128"/>
    <mergeCell ref="A126:C128"/>
    <mergeCell ref="A136:D136"/>
    <mergeCell ref="A137:C137"/>
    <mergeCell ref="A138:C138"/>
    <mergeCell ref="A139:B139"/>
    <mergeCell ref="A140:B140"/>
    <mergeCell ref="A141:B141"/>
    <mergeCell ref="I149:J149"/>
    <mergeCell ref="I150:J150"/>
    <mergeCell ref="I142:J142"/>
    <mergeCell ref="I143:J143"/>
    <mergeCell ref="I144:J144"/>
    <mergeCell ref="I145:K145"/>
    <mergeCell ref="I136:L136"/>
    <mergeCell ref="I137:K137"/>
    <mergeCell ref="L137:O147"/>
    <mergeCell ref="I138:K138"/>
    <mergeCell ref="I139:J139"/>
    <mergeCell ref="I140:J140"/>
    <mergeCell ref="I141:J141"/>
    <mergeCell ref="I168:K168"/>
    <mergeCell ref="I169:K169"/>
    <mergeCell ref="I167:L167"/>
    <mergeCell ref="I170:J170"/>
    <mergeCell ref="I172:J172"/>
    <mergeCell ref="Q172:R172"/>
    <mergeCell ref="I173:J173"/>
    <mergeCell ref="Q173:R173"/>
    <mergeCell ref="Q170:R170"/>
    <mergeCell ref="I171:J171"/>
    <mergeCell ref="Q171:R171"/>
    <mergeCell ref="I174:J174"/>
    <mergeCell ref="Q174:R174"/>
    <mergeCell ref="I175:J175"/>
    <mergeCell ref="Q175:R175"/>
    <mergeCell ref="I176:K176"/>
    <mergeCell ref="Q176:S176"/>
    <mergeCell ref="I177:K177"/>
    <mergeCell ref="Q177:S177"/>
    <mergeCell ref="I146:K146"/>
    <mergeCell ref="I147:J147"/>
    <mergeCell ref="Q167:T167"/>
    <mergeCell ref="L168:O178"/>
    <mergeCell ref="Q168:S168"/>
    <mergeCell ref="T168:W178"/>
    <mergeCell ref="Q169:S169"/>
    <mergeCell ref="T179:T185"/>
    <mergeCell ref="U179:V181"/>
    <mergeCell ref="W179:W181"/>
    <mergeCell ref="U182:W185"/>
    <mergeCell ref="Q185:S185"/>
    <mergeCell ref="A142:B142"/>
    <mergeCell ref="A143:B143"/>
    <mergeCell ref="A144:B144"/>
    <mergeCell ref="A145:C145"/>
    <mergeCell ref="A146:C146"/>
    <mergeCell ref="A147:B147"/>
    <mergeCell ref="A148:B148"/>
    <mergeCell ref="A170:B170"/>
    <mergeCell ref="A171:B171"/>
    <mergeCell ref="A172:B172"/>
    <mergeCell ref="A173:B173"/>
    <mergeCell ref="A174:B174"/>
    <mergeCell ref="A175:B175"/>
    <mergeCell ref="A181:B181"/>
    <mergeCell ref="A182:B182"/>
    <mergeCell ref="A180:B180"/>
    <mergeCell ref="A183:B183"/>
    <mergeCell ref="A184:B184"/>
    <mergeCell ref="A185:C185"/>
    <mergeCell ref="A188:C190"/>
    <mergeCell ref="A149:B149"/>
    <mergeCell ref="A150:B150"/>
    <mergeCell ref="A157:C159"/>
    <mergeCell ref="A167:D167"/>
    <mergeCell ref="A168:C168"/>
    <mergeCell ref="D168:G178"/>
    <mergeCell ref="A169:C169"/>
    <mergeCell ref="A178:B178"/>
    <mergeCell ref="A176:C176"/>
    <mergeCell ref="A177:C177"/>
    <mergeCell ref="A179:B179"/>
    <mergeCell ref="D179:D185"/>
    <mergeCell ref="E179:F181"/>
    <mergeCell ref="G179:G181"/>
    <mergeCell ref="E182:G185"/>
    <mergeCell ref="A201:B201"/>
    <mergeCell ref="A202:B202"/>
    <mergeCell ref="A203:B203"/>
    <mergeCell ref="A204:B204"/>
    <mergeCell ref="A205:B205"/>
    <mergeCell ref="A206:B206"/>
    <mergeCell ref="A212:B212"/>
    <mergeCell ref="A213:B213"/>
    <mergeCell ref="A211:B211"/>
    <mergeCell ref="A214:B214"/>
    <mergeCell ref="A229:D229"/>
    <mergeCell ref="A230:C230"/>
    <mergeCell ref="A243:B243"/>
    <mergeCell ref="A244:B244"/>
    <mergeCell ref="A237:B237"/>
    <mergeCell ref="A238:C238"/>
    <mergeCell ref="A239:C239"/>
    <mergeCell ref="A240:B240"/>
    <mergeCell ref="D241:D247"/>
    <mergeCell ref="E241:F243"/>
    <mergeCell ref="G241:G243"/>
    <mergeCell ref="I292:K292"/>
    <mergeCell ref="A293:C293"/>
    <mergeCell ref="I293:K293"/>
    <mergeCell ref="A294:B294"/>
    <mergeCell ref="A295:B295"/>
    <mergeCell ref="A296:B296"/>
    <mergeCell ref="A297:B297"/>
    <mergeCell ref="A298:B298"/>
    <mergeCell ref="I298:J298"/>
    <mergeCell ref="A299:B299"/>
    <mergeCell ref="I299:J299"/>
    <mergeCell ref="A300:C300"/>
    <mergeCell ref="I300:K300"/>
    <mergeCell ref="I301:K301"/>
    <mergeCell ref="A277:B277"/>
    <mergeCell ref="I277:J277"/>
    <mergeCell ref="L272:L278"/>
    <mergeCell ref="O272:O274"/>
    <mergeCell ref="A273:B273"/>
    <mergeCell ref="A274:B274"/>
    <mergeCell ref="A275:B275"/>
    <mergeCell ref="E275:G278"/>
    <mergeCell ref="A276:B276"/>
    <mergeCell ref="A278:C278"/>
    <mergeCell ref="I278:K278"/>
    <mergeCell ref="E281:G281"/>
    <mergeCell ref="I281:K283"/>
    <mergeCell ref="E282:G282"/>
    <mergeCell ref="E283:G283"/>
    <mergeCell ref="I291:L291"/>
    <mergeCell ref="A301:C301"/>
    <mergeCell ref="A302:B302"/>
    <mergeCell ref="A303:B303"/>
    <mergeCell ref="E303:F305"/>
    <mergeCell ref="G303:G305"/>
    <mergeCell ref="E306:G309"/>
    <mergeCell ref="A309:C309"/>
    <mergeCell ref="M303:N305"/>
    <mergeCell ref="O303:O305"/>
    <mergeCell ref="M272:N274"/>
    <mergeCell ref="M275:O278"/>
    <mergeCell ref="M281:O281"/>
    <mergeCell ref="M282:O282"/>
    <mergeCell ref="M283:O283"/>
    <mergeCell ref="L292:O302"/>
    <mergeCell ref="L303:L309"/>
    <mergeCell ref="M306:O309"/>
    <mergeCell ref="I307:J307"/>
    <mergeCell ref="I308:J308"/>
    <mergeCell ref="I309:K309"/>
    <mergeCell ref="A250:C252"/>
    <mergeCell ref="A260:D260"/>
    <mergeCell ref="A261:C261"/>
    <mergeCell ref="A262:C262"/>
    <mergeCell ref="A263:B263"/>
    <mergeCell ref="A264:B264"/>
    <mergeCell ref="A265:B265"/>
    <mergeCell ref="A266:B266"/>
    <mergeCell ref="A267:B267"/>
    <mergeCell ref="A268:B268"/>
    <mergeCell ref="A269:C269"/>
    <mergeCell ref="A270:C270"/>
    <mergeCell ref="A271:B271"/>
    <mergeCell ref="A272:B272"/>
    <mergeCell ref="A307:B307"/>
    <mergeCell ref="A308:B308"/>
    <mergeCell ref="A281:C283"/>
    <mergeCell ref="A291:D291"/>
    <mergeCell ref="A292:C292"/>
    <mergeCell ref="D303:D309"/>
    <mergeCell ref="A304:B304"/>
    <mergeCell ref="A305:B305"/>
    <mergeCell ref="A306:B306"/>
    <mergeCell ref="A312:C314"/>
    <mergeCell ref="A322:D322"/>
    <mergeCell ref="A323:C323"/>
    <mergeCell ref="A324:C324"/>
    <mergeCell ref="A325:B325"/>
    <mergeCell ref="A326:B326"/>
    <mergeCell ref="A327:B327"/>
    <mergeCell ref="A334:B334"/>
    <mergeCell ref="A335:B335"/>
    <mergeCell ref="A336:B336"/>
    <mergeCell ref="A337:B337"/>
    <mergeCell ref="A338:B338"/>
    <mergeCell ref="A339:B339"/>
    <mergeCell ref="A328:B328"/>
    <mergeCell ref="A329:B329"/>
    <mergeCell ref="A330:B330"/>
    <mergeCell ref="A331:C331"/>
    <mergeCell ref="A332:C332"/>
    <mergeCell ref="A333:B333"/>
    <mergeCell ref="D334:D340"/>
    <mergeCell ref="A368:B368"/>
    <mergeCell ref="A369:B369"/>
    <mergeCell ref="A340:C340"/>
    <mergeCell ref="A343:C345"/>
    <mergeCell ref="A353:D353"/>
    <mergeCell ref="A354:C354"/>
    <mergeCell ref="D365:D371"/>
    <mergeCell ref="A366:B366"/>
    <mergeCell ref="A367:B367"/>
    <mergeCell ref="A398:B398"/>
    <mergeCell ref="A399:B399"/>
    <mergeCell ref="A400:B400"/>
    <mergeCell ref="A401:B401"/>
    <mergeCell ref="A370:B370"/>
    <mergeCell ref="A371:C371"/>
    <mergeCell ref="A374:C376"/>
    <mergeCell ref="A384:D384"/>
    <mergeCell ref="A385:C385"/>
    <mergeCell ref="D396:D402"/>
    <mergeCell ref="A397:B397"/>
    <mergeCell ref="A464:C464"/>
    <mergeCell ref="A467:C469"/>
    <mergeCell ref="A477:D477"/>
    <mergeCell ref="A478:C478"/>
    <mergeCell ref="D489:D495"/>
    <mergeCell ref="A490:B490"/>
    <mergeCell ref="A491:B491"/>
    <mergeCell ref="A524:B524"/>
    <mergeCell ref="A525:B525"/>
    <mergeCell ref="A526:C526"/>
    <mergeCell ref="A529:C531"/>
    <mergeCell ref="A539:D539"/>
    <mergeCell ref="A540:C540"/>
    <mergeCell ref="A494:B494"/>
    <mergeCell ref="A495:C495"/>
    <mergeCell ref="A498:C500"/>
    <mergeCell ref="A508:D508"/>
    <mergeCell ref="A509:C509"/>
    <mergeCell ref="D520:D526"/>
    <mergeCell ref="A521:B521"/>
    <mergeCell ref="A430:B430"/>
    <mergeCell ref="A431:B431"/>
    <mergeCell ref="A402:C402"/>
    <mergeCell ref="A405:C407"/>
    <mergeCell ref="A415:D415"/>
    <mergeCell ref="A416:C416"/>
    <mergeCell ref="D427:D433"/>
    <mergeCell ref="A428:B428"/>
    <mergeCell ref="A429:B429"/>
    <mergeCell ref="A460:B460"/>
    <mergeCell ref="A461:B461"/>
    <mergeCell ref="A462:B462"/>
    <mergeCell ref="A463:B463"/>
    <mergeCell ref="A432:B432"/>
    <mergeCell ref="A433:C433"/>
    <mergeCell ref="A436:C438"/>
    <mergeCell ref="A446:D446"/>
    <mergeCell ref="A447:C447"/>
    <mergeCell ref="D458:D464"/>
    <mergeCell ref="A459:B459"/>
    <mergeCell ref="A492:B492"/>
    <mergeCell ref="A493:B493"/>
    <mergeCell ref="A522:B522"/>
    <mergeCell ref="A523:B523"/>
    <mergeCell ref="I237:J237"/>
    <mergeCell ref="I238:K238"/>
    <mergeCell ref="I239:K239"/>
    <mergeCell ref="I240:J240"/>
    <mergeCell ref="M220:O220"/>
    <mergeCell ref="M221:O221"/>
    <mergeCell ref="I229:L229"/>
    <mergeCell ref="I230:K230"/>
    <mergeCell ref="L230:O240"/>
    <mergeCell ref="I231:K231"/>
    <mergeCell ref="I232:J232"/>
    <mergeCell ref="I242:J242"/>
    <mergeCell ref="I245:J245"/>
    <mergeCell ref="I246:J246"/>
    <mergeCell ref="I247:K247"/>
    <mergeCell ref="I235:J235"/>
    <mergeCell ref="I236:J236"/>
    <mergeCell ref="I241:J241"/>
    <mergeCell ref="L241:L247"/>
    <mergeCell ref="M241:N243"/>
    <mergeCell ref="O241:O243"/>
    <mergeCell ref="M244:O247"/>
    <mergeCell ref="E250:G250"/>
    <mergeCell ref="E251:G251"/>
    <mergeCell ref="A241:B241"/>
    <mergeCell ref="A242:B242"/>
    <mergeCell ref="E244:G247"/>
    <mergeCell ref="A245:B245"/>
    <mergeCell ref="A246:B246"/>
    <mergeCell ref="A247:C247"/>
    <mergeCell ref="E252:G252"/>
    <mergeCell ref="I261:K261"/>
    <mergeCell ref="I262:K262"/>
    <mergeCell ref="I263:J263"/>
    <mergeCell ref="I264:J264"/>
    <mergeCell ref="I265:J265"/>
    <mergeCell ref="I266:J266"/>
    <mergeCell ref="I267:J267"/>
    <mergeCell ref="I273:J273"/>
    <mergeCell ref="I274:J274"/>
    <mergeCell ref="I268:J268"/>
    <mergeCell ref="I269:K269"/>
    <mergeCell ref="I270:K270"/>
    <mergeCell ref="I271:J271"/>
    <mergeCell ref="E272:F274"/>
    <mergeCell ref="G272:G274"/>
    <mergeCell ref="I272:J272"/>
    <mergeCell ref="E188:G188"/>
    <mergeCell ref="E189:G189"/>
    <mergeCell ref="E190:G190"/>
    <mergeCell ref="A198:D198"/>
    <mergeCell ref="A199:C199"/>
    <mergeCell ref="D199:G209"/>
    <mergeCell ref="A200:C200"/>
    <mergeCell ref="A209:B209"/>
    <mergeCell ref="A215:B215"/>
    <mergeCell ref="A216:C216"/>
    <mergeCell ref="A219:C221"/>
    <mergeCell ref="I219:K221"/>
    <mergeCell ref="M219:O219"/>
    <mergeCell ref="E220:G220"/>
    <mergeCell ref="E221:G221"/>
    <mergeCell ref="A207:C207"/>
    <mergeCell ref="A208:C208"/>
    <mergeCell ref="D210:D216"/>
    <mergeCell ref="E210:F212"/>
    <mergeCell ref="G210:G212"/>
    <mergeCell ref="E213:G216"/>
    <mergeCell ref="E219:G219"/>
    <mergeCell ref="I233:J233"/>
    <mergeCell ref="I234:J234"/>
    <mergeCell ref="A210:B210"/>
    <mergeCell ref="A231:C231"/>
    <mergeCell ref="A232:B232"/>
    <mergeCell ref="A233:B233"/>
    <mergeCell ref="A234:B234"/>
    <mergeCell ref="A235:B235"/>
    <mergeCell ref="A236:B236"/>
    <mergeCell ref="I243:J243"/>
    <mergeCell ref="I244:J244"/>
    <mergeCell ref="I250:K252"/>
    <mergeCell ref="M250:O250"/>
    <mergeCell ref="M251:O251"/>
    <mergeCell ref="M252:O252"/>
    <mergeCell ref="I260:L260"/>
    <mergeCell ref="I275:J275"/>
    <mergeCell ref="I276:J276"/>
    <mergeCell ref="I295:J295"/>
    <mergeCell ref="I296:J296"/>
    <mergeCell ref="I294:J294"/>
    <mergeCell ref="I297:J297"/>
    <mergeCell ref="I302:J302"/>
    <mergeCell ref="I303:J303"/>
    <mergeCell ref="I304:J304"/>
    <mergeCell ref="I305:J305"/>
    <mergeCell ref="I306:J306"/>
    <mergeCell ref="E312:G312"/>
    <mergeCell ref="I312:K314"/>
    <mergeCell ref="M312:O312"/>
    <mergeCell ref="E313:G313"/>
    <mergeCell ref="M313:O313"/>
    <mergeCell ref="E314:G314"/>
    <mergeCell ref="M314:O314"/>
    <mergeCell ref="I328:J328"/>
    <mergeCell ref="I329:J329"/>
    <mergeCell ref="I322:L322"/>
    <mergeCell ref="I323:K323"/>
    <mergeCell ref="L323:O333"/>
    <mergeCell ref="I324:K324"/>
    <mergeCell ref="I325:J325"/>
    <mergeCell ref="I326:J326"/>
    <mergeCell ref="I327:J327"/>
    <mergeCell ref="E334:F336"/>
    <mergeCell ref="E337:G340"/>
    <mergeCell ref="E343:G343"/>
    <mergeCell ref="E344:G344"/>
    <mergeCell ref="E345:G345"/>
    <mergeCell ref="I354:K354"/>
    <mergeCell ref="L354:O364"/>
    <mergeCell ref="I330:J330"/>
    <mergeCell ref="I331:K331"/>
    <mergeCell ref="I343:K345"/>
    <mergeCell ref="M343:O343"/>
    <mergeCell ref="M344:O344"/>
    <mergeCell ref="M345:O345"/>
    <mergeCell ref="I353:L353"/>
    <mergeCell ref="I334:J334"/>
    <mergeCell ref="I335:J335"/>
    <mergeCell ref="M334:N336"/>
    <mergeCell ref="M337:O340"/>
    <mergeCell ref="I332:K332"/>
    <mergeCell ref="I333:J333"/>
    <mergeCell ref="G334:G336"/>
    <mergeCell ref="L334:L340"/>
    <mergeCell ref="O334:O336"/>
    <mergeCell ref="I336:J336"/>
    <mergeCell ref="I337:J337"/>
    <mergeCell ref="I340:K340"/>
    <mergeCell ref="I338:J338"/>
    <mergeCell ref="I339:J339"/>
    <mergeCell ref="A355:C355"/>
    <mergeCell ref="I355:K355"/>
    <mergeCell ref="A356:B356"/>
    <mergeCell ref="I356:J356"/>
    <mergeCell ref="I357:J357"/>
    <mergeCell ref="A364:B364"/>
    <mergeCell ref="A365:B365"/>
    <mergeCell ref="E365:F367"/>
    <mergeCell ref="G365:G367"/>
    <mergeCell ref="A357:B357"/>
    <mergeCell ref="A358:B358"/>
    <mergeCell ref="A359:B359"/>
    <mergeCell ref="A360:B360"/>
    <mergeCell ref="A361:B361"/>
    <mergeCell ref="A362:C362"/>
    <mergeCell ref="A363:C363"/>
    <mergeCell ref="I358:J358"/>
    <mergeCell ref="I359:J359"/>
    <mergeCell ref="I360:J360"/>
    <mergeCell ref="I361:J361"/>
    <mergeCell ref="I362:K362"/>
    <mergeCell ref="I363:K363"/>
    <mergeCell ref="I364:J364"/>
    <mergeCell ref="I512:J512"/>
    <mergeCell ref="I513:J513"/>
    <mergeCell ref="I514:J514"/>
    <mergeCell ref="I515:J515"/>
    <mergeCell ref="I516:J516"/>
    <mergeCell ref="I517:K517"/>
    <mergeCell ref="I518:K518"/>
    <mergeCell ref="I525:J525"/>
    <mergeCell ref="I526:K526"/>
    <mergeCell ref="I519:J519"/>
    <mergeCell ref="I520:J520"/>
    <mergeCell ref="L520:L526"/>
    <mergeCell ref="I521:J521"/>
    <mergeCell ref="I522:J522"/>
    <mergeCell ref="I523:J523"/>
    <mergeCell ref="I524:J524"/>
    <mergeCell ref="I539:L539"/>
    <mergeCell ref="I484:J484"/>
    <mergeCell ref="I485:J485"/>
    <mergeCell ref="I478:K478"/>
    <mergeCell ref="L478:O488"/>
    <mergeCell ref="I479:K479"/>
    <mergeCell ref="I480:J480"/>
    <mergeCell ref="I481:J481"/>
    <mergeCell ref="I482:J482"/>
    <mergeCell ref="I483:J483"/>
    <mergeCell ref="I488:J488"/>
    <mergeCell ref="I491:J491"/>
    <mergeCell ref="I492:J492"/>
    <mergeCell ref="I490:J490"/>
    <mergeCell ref="I493:J493"/>
    <mergeCell ref="M498:O498"/>
    <mergeCell ref="M499:O499"/>
    <mergeCell ref="M500:O500"/>
    <mergeCell ref="L509:O519"/>
    <mergeCell ref="M520:N522"/>
    <mergeCell ref="O520:O522"/>
    <mergeCell ref="M523:O526"/>
    <mergeCell ref="I486:K486"/>
    <mergeCell ref="I487:K487"/>
    <mergeCell ref="I489:J489"/>
    <mergeCell ref="L489:L495"/>
    <mergeCell ref="M489:N491"/>
    <mergeCell ref="O489:O491"/>
    <mergeCell ref="M492:O495"/>
    <mergeCell ref="I494:J494"/>
    <mergeCell ref="I495:K495"/>
    <mergeCell ref="I498:K500"/>
    <mergeCell ref="I508:L508"/>
    <mergeCell ref="I509:K509"/>
    <mergeCell ref="I510:K510"/>
    <mergeCell ref="I511:J511"/>
    <mergeCell ref="A579:C579"/>
    <mergeCell ref="A580:C580"/>
    <mergeCell ref="A581:B581"/>
    <mergeCell ref="A582:B582"/>
    <mergeCell ref="D582:D588"/>
    <mergeCell ref="A583:B583"/>
    <mergeCell ref="A584:B584"/>
    <mergeCell ref="A587:B587"/>
    <mergeCell ref="A588:C588"/>
    <mergeCell ref="A591:C593"/>
    <mergeCell ref="A601:D601"/>
    <mergeCell ref="A602:C602"/>
    <mergeCell ref="A603:C603"/>
    <mergeCell ref="A604:B604"/>
    <mergeCell ref="A513:B513"/>
    <mergeCell ref="A514:B514"/>
    <mergeCell ref="A515:B515"/>
    <mergeCell ref="A516:B516"/>
    <mergeCell ref="A517:C517"/>
    <mergeCell ref="A518:C518"/>
    <mergeCell ref="A519:B519"/>
    <mergeCell ref="A520:B520"/>
    <mergeCell ref="A541:C541"/>
    <mergeCell ref="A542:B542"/>
    <mergeCell ref="A543:B543"/>
    <mergeCell ref="A544:B544"/>
    <mergeCell ref="A545:B545"/>
    <mergeCell ref="A546:B546"/>
    <mergeCell ref="A547:B547"/>
    <mergeCell ref="A548:C548"/>
    <mergeCell ref="A549:C549"/>
    <mergeCell ref="A550:B550"/>
    <mergeCell ref="A551:B551"/>
    <mergeCell ref="A552:B552"/>
    <mergeCell ref="A553:B553"/>
    <mergeCell ref="A554:B554"/>
    <mergeCell ref="A555:B555"/>
    <mergeCell ref="A556:B556"/>
    <mergeCell ref="A557:C557"/>
    <mergeCell ref="A560:C562"/>
    <mergeCell ref="A570:D570"/>
    <mergeCell ref="A571:C571"/>
    <mergeCell ref="A572:C572"/>
    <mergeCell ref="A573:B573"/>
    <mergeCell ref="A574:B574"/>
    <mergeCell ref="A575:B575"/>
    <mergeCell ref="A576:B576"/>
    <mergeCell ref="A577:B577"/>
    <mergeCell ref="A578:B578"/>
    <mergeCell ref="A585:B585"/>
    <mergeCell ref="A586:B586"/>
    <mergeCell ref="A605:B605"/>
    <mergeCell ref="A606:B606"/>
    <mergeCell ref="I709:J709"/>
    <mergeCell ref="I710:J710"/>
    <mergeCell ref="I725:L725"/>
    <mergeCell ref="I726:K726"/>
    <mergeCell ref="L726:O736"/>
    <mergeCell ref="I727:K727"/>
    <mergeCell ref="I728:J728"/>
    <mergeCell ref="I735:K735"/>
    <mergeCell ref="I736:J736"/>
    <mergeCell ref="I737:J737"/>
    <mergeCell ref="L737:L743"/>
    <mergeCell ref="M737:N739"/>
    <mergeCell ref="O737:O739"/>
    <mergeCell ref="M740:O743"/>
    <mergeCell ref="I729:J729"/>
    <mergeCell ref="I730:J730"/>
    <mergeCell ref="I731:J731"/>
    <mergeCell ref="I732:J732"/>
    <mergeCell ref="I733:J733"/>
    <mergeCell ref="I734:K734"/>
    <mergeCell ref="I739:J739"/>
    <mergeCell ref="I740:J740"/>
    <mergeCell ref="I738:J738"/>
    <mergeCell ref="I741:J741"/>
    <mergeCell ref="I742:J742"/>
    <mergeCell ref="I743:K743"/>
    <mergeCell ref="I746:K748"/>
    <mergeCell ref="I756:L756"/>
    <mergeCell ref="I757:K757"/>
    <mergeCell ref="I758:K758"/>
    <mergeCell ref="I759:J759"/>
    <mergeCell ref="M746:O746"/>
    <mergeCell ref="M747:O747"/>
    <mergeCell ref="M748:O748"/>
    <mergeCell ref="L757:O767"/>
    <mergeCell ref="M768:N770"/>
    <mergeCell ref="O768:O770"/>
    <mergeCell ref="M771:O774"/>
    <mergeCell ref="M706:N708"/>
    <mergeCell ref="M709:O712"/>
    <mergeCell ref="M715:O715"/>
    <mergeCell ref="M716:O716"/>
    <mergeCell ref="M717:O717"/>
    <mergeCell ref="A697:B697"/>
    <mergeCell ref="A698:B698"/>
    <mergeCell ref="A699:B699"/>
    <mergeCell ref="I706:J706"/>
    <mergeCell ref="L706:L712"/>
    <mergeCell ref="O706:O708"/>
    <mergeCell ref="A710:B710"/>
    <mergeCell ref="A694:D694"/>
    <mergeCell ref="I694:L694"/>
    <mergeCell ref="A695:C695"/>
    <mergeCell ref="I695:K695"/>
    <mergeCell ref="A696:C696"/>
    <mergeCell ref="I696:K696"/>
    <mergeCell ref="I697:J697"/>
    <mergeCell ref="I707:J707"/>
    <mergeCell ref="A708:B708"/>
    <mergeCell ref="I708:J708"/>
    <mergeCell ref="A711:B711"/>
    <mergeCell ref="I711:J711"/>
    <mergeCell ref="A712:C712"/>
    <mergeCell ref="I712:K712"/>
    <mergeCell ref="E715:G715"/>
    <mergeCell ref="I715:K717"/>
    <mergeCell ref="E716:G716"/>
    <mergeCell ref="E717:G717"/>
    <mergeCell ref="A728:B728"/>
    <mergeCell ref="A729:B729"/>
    <mergeCell ref="A730:B730"/>
    <mergeCell ref="A731:B731"/>
    <mergeCell ref="A732:B732"/>
    <mergeCell ref="A733:B733"/>
    <mergeCell ref="I760:J760"/>
    <mergeCell ref="I761:J761"/>
    <mergeCell ref="I762:J762"/>
    <mergeCell ref="I763:J763"/>
    <mergeCell ref="I764:J764"/>
    <mergeCell ref="I765:K765"/>
    <mergeCell ref="I766:K766"/>
    <mergeCell ref="I773:J773"/>
    <mergeCell ref="I774:K774"/>
    <mergeCell ref="I777:K779"/>
    <mergeCell ref="I787:L787"/>
    <mergeCell ref="I788:K788"/>
    <mergeCell ref="I767:J767"/>
    <mergeCell ref="I768:J768"/>
    <mergeCell ref="L768:L774"/>
    <mergeCell ref="I769:J769"/>
    <mergeCell ref="I770:J770"/>
    <mergeCell ref="I771:J771"/>
    <mergeCell ref="I772:J772"/>
    <mergeCell ref="E746:G746"/>
    <mergeCell ref="E747:G747"/>
    <mergeCell ref="E748:G748"/>
    <mergeCell ref="D757:G767"/>
    <mergeCell ref="E768:F770"/>
    <mergeCell ref="G768:G770"/>
    <mergeCell ref="E771:G774"/>
    <mergeCell ref="E777:G777"/>
    <mergeCell ref="E778:G778"/>
    <mergeCell ref="E779:G779"/>
    <mergeCell ref="D788:G798"/>
    <mergeCell ref="E799:F801"/>
    <mergeCell ref="G799:G801"/>
    <mergeCell ref="E802:G805"/>
    <mergeCell ref="E808:G808"/>
    <mergeCell ref="E809:G809"/>
    <mergeCell ref="E810:G810"/>
    <mergeCell ref="D819:G829"/>
    <mergeCell ref="E830:F832"/>
    <mergeCell ref="G830:G832"/>
    <mergeCell ref="E833:G836"/>
    <mergeCell ref="E870:G870"/>
    <mergeCell ref="E871:G871"/>
    <mergeCell ref="E872:G872"/>
    <mergeCell ref="D881:G891"/>
    <mergeCell ref="E839:G839"/>
    <mergeCell ref="E840:G840"/>
    <mergeCell ref="E841:G841"/>
    <mergeCell ref="D850:G860"/>
    <mergeCell ref="E861:F863"/>
    <mergeCell ref="G861:G863"/>
    <mergeCell ref="E864:G867"/>
    <mergeCell ref="A709:B709"/>
    <mergeCell ref="D709:G709"/>
    <mergeCell ref="A706:B706"/>
    <mergeCell ref="A707:B707"/>
    <mergeCell ref="A715:C717"/>
    <mergeCell ref="A725:D725"/>
    <mergeCell ref="A726:C726"/>
    <mergeCell ref="D726:G736"/>
    <mergeCell ref="A727:C727"/>
    <mergeCell ref="A736:B736"/>
    <mergeCell ref="A739:B739"/>
    <mergeCell ref="A740:B740"/>
    <mergeCell ref="A738:B738"/>
    <mergeCell ref="A741:B741"/>
    <mergeCell ref="A734:C734"/>
    <mergeCell ref="A735:C735"/>
    <mergeCell ref="A737:B737"/>
    <mergeCell ref="D737:D743"/>
    <mergeCell ref="E737:F739"/>
    <mergeCell ref="G737:G739"/>
    <mergeCell ref="E740:G743"/>
    <mergeCell ref="A769:B769"/>
    <mergeCell ref="A770:B770"/>
    <mergeCell ref="A771:B771"/>
    <mergeCell ref="A772:B772"/>
    <mergeCell ref="A773:B773"/>
    <mergeCell ref="A774:C774"/>
    <mergeCell ref="A742:B742"/>
    <mergeCell ref="A743:C743"/>
    <mergeCell ref="A746:C748"/>
    <mergeCell ref="A756:D756"/>
    <mergeCell ref="A757:C757"/>
    <mergeCell ref="A758:C758"/>
    <mergeCell ref="A759:B759"/>
    <mergeCell ref="A760:B760"/>
    <mergeCell ref="A761:B761"/>
    <mergeCell ref="A762:B762"/>
    <mergeCell ref="A763:B763"/>
    <mergeCell ref="A764:B764"/>
    <mergeCell ref="A765:C765"/>
    <mergeCell ref="A766:C766"/>
    <mergeCell ref="A767:B767"/>
    <mergeCell ref="A768:B768"/>
    <mergeCell ref="A777:C779"/>
    <mergeCell ref="A787:D787"/>
    <mergeCell ref="A788:C788"/>
    <mergeCell ref="A789:C789"/>
    <mergeCell ref="A790:B790"/>
    <mergeCell ref="A791:B791"/>
    <mergeCell ref="A792:B792"/>
    <mergeCell ref="A793:B793"/>
    <mergeCell ref="A794:B794"/>
    <mergeCell ref="A795:B795"/>
    <mergeCell ref="A796:C796"/>
    <mergeCell ref="A797:C797"/>
    <mergeCell ref="A798:B798"/>
    <mergeCell ref="A799:B799"/>
    <mergeCell ref="A800:B800"/>
    <mergeCell ref="A801:B801"/>
    <mergeCell ref="A802:B802"/>
    <mergeCell ref="A803:B803"/>
    <mergeCell ref="A804:B804"/>
    <mergeCell ref="A805:C805"/>
    <mergeCell ref="A808:C810"/>
    <mergeCell ref="A818:D818"/>
    <mergeCell ref="A819:C819"/>
    <mergeCell ref="A820:C820"/>
    <mergeCell ref="A821:B821"/>
    <mergeCell ref="A822:B822"/>
    <mergeCell ref="A823:B823"/>
    <mergeCell ref="A824:B824"/>
    <mergeCell ref="A825:B825"/>
    <mergeCell ref="A826:B826"/>
    <mergeCell ref="A827:C827"/>
    <mergeCell ref="A828:C828"/>
    <mergeCell ref="A829:B829"/>
    <mergeCell ref="A830:B830"/>
    <mergeCell ref="A831:B831"/>
    <mergeCell ref="A832:B832"/>
    <mergeCell ref="A833:B833"/>
    <mergeCell ref="A834:B834"/>
    <mergeCell ref="A835:B835"/>
    <mergeCell ref="A836:C836"/>
    <mergeCell ref="I888:J888"/>
    <mergeCell ref="I889:K889"/>
    <mergeCell ref="I890:K890"/>
    <mergeCell ref="I891:J891"/>
    <mergeCell ref="A885:B885"/>
    <mergeCell ref="A886:B886"/>
    <mergeCell ref="I886:J886"/>
    <mergeCell ref="A887:B887"/>
    <mergeCell ref="I887:J887"/>
    <mergeCell ref="A888:B888"/>
    <mergeCell ref="A889:C889"/>
    <mergeCell ref="A839:C841"/>
    <mergeCell ref="A849:D849"/>
    <mergeCell ref="A850:C850"/>
    <mergeCell ref="A851:C851"/>
    <mergeCell ref="A852:B852"/>
    <mergeCell ref="A853:B853"/>
    <mergeCell ref="A854:B854"/>
    <mergeCell ref="A861:B861"/>
    <mergeCell ref="A862:B862"/>
    <mergeCell ref="A863:B863"/>
    <mergeCell ref="A864:B864"/>
    <mergeCell ref="A865:B865"/>
    <mergeCell ref="A866:B866"/>
    <mergeCell ref="A855:B855"/>
    <mergeCell ref="A856:B856"/>
    <mergeCell ref="A857:B857"/>
    <mergeCell ref="A858:C858"/>
    <mergeCell ref="A859:C859"/>
    <mergeCell ref="A860:B860"/>
    <mergeCell ref="D861:D867"/>
    <mergeCell ref="A867:C867"/>
    <mergeCell ref="A870:C872"/>
    <mergeCell ref="A880:D880"/>
    <mergeCell ref="A881:C881"/>
    <mergeCell ref="A882:C882"/>
    <mergeCell ref="A883:B883"/>
    <mergeCell ref="A884:B884"/>
    <mergeCell ref="A890:C890"/>
    <mergeCell ref="A891:B891"/>
    <mergeCell ref="I392:J392"/>
    <mergeCell ref="I393:K393"/>
    <mergeCell ref="I405:K407"/>
    <mergeCell ref="M405:O405"/>
    <mergeCell ref="M406:O406"/>
    <mergeCell ref="M407:O407"/>
    <mergeCell ref="L416:O426"/>
    <mergeCell ref="I426:J426"/>
    <mergeCell ref="I424:K424"/>
    <mergeCell ref="I425:K425"/>
    <mergeCell ref="I427:J427"/>
    <mergeCell ref="L427:L433"/>
    <mergeCell ref="M427:N429"/>
    <mergeCell ref="O427:O429"/>
    <mergeCell ref="M430:O433"/>
    <mergeCell ref="I451:J451"/>
    <mergeCell ref="I452:J452"/>
    <mergeCell ref="I453:J453"/>
    <mergeCell ref="I454:J454"/>
    <mergeCell ref="I460:J460"/>
    <mergeCell ref="I461:J461"/>
    <mergeCell ref="I459:J459"/>
    <mergeCell ref="I462:J462"/>
    <mergeCell ref="I463:J463"/>
    <mergeCell ref="I464:K464"/>
    <mergeCell ref="I467:K469"/>
    <mergeCell ref="M467:O467"/>
    <mergeCell ref="M468:O468"/>
    <mergeCell ref="M469:O469"/>
    <mergeCell ref="I477:L477"/>
    <mergeCell ref="I416:K416"/>
    <mergeCell ref="I417:K417"/>
    <mergeCell ref="I418:J418"/>
    <mergeCell ref="I419:J419"/>
    <mergeCell ref="I420:J420"/>
    <mergeCell ref="I421:J421"/>
    <mergeCell ref="I422:J422"/>
    <mergeCell ref="I423:J423"/>
    <mergeCell ref="I429:J429"/>
    <mergeCell ref="I430:J430"/>
    <mergeCell ref="I432:J432"/>
    <mergeCell ref="I433:K433"/>
    <mergeCell ref="I436:K438"/>
    <mergeCell ref="I446:L446"/>
    <mergeCell ref="I447:K447"/>
    <mergeCell ref="I428:J428"/>
    <mergeCell ref="I431:J431"/>
    <mergeCell ref="I529:K531"/>
    <mergeCell ref="M529:O529"/>
    <mergeCell ref="M530:O530"/>
    <mergeCell ref="M531:O531"/>
    <mergeCell ref="I540:K540"/>
    <mergeCell ref="M591:O591"/>
    <mergeCell ref="M592:O592"/>
    <mergeCell ref="M593:O593"/>
    <mergeCell ref="I603:K603"/>
    <mergeCell ref="I604:J604"/>
    <mergeCell ref="I605:J605"/>
    <mergeCell ref="I606:J606"/>
    <mergeCell ref="M624:O624"/>
    <mergeCell ref="L633:O643"/>
    <mergeCell ref="I638:J638"/>
    <mergeCell ref="I639:J639"/>
    <mergeCell ref="I640:J640"/>
    <mergeCell ref="I641:K641"/>
    <mergeCell ref="I642:K642"/>
    <mergeCell ref="I643:J643"/>
    <mergeCell ref="L602:O612"/>
    <mergeCell ref="L613:L619"/>
    <mergeCell ref="M613:N615"/>
    <mergeCell ref="O613:O615"/>
    <mergeCell ref="M616:O619"/>
    <mergeCell ref="M622:O622"/>
    <mergeCell ref="M623:O623"/>
    <mergeCell ref="I581:J581"/>
    <mergeCell ref="I582:J582"/>
    <mergeCell ref="L582:L588"/>
    <mergeCell ref="I583:J583"/>
    <mergeCell ref="I584:J584"/>
    <mergeCell ref="I585:J585"/>
    <mergeCell ref="I586:J586"/>
    <mergeCell ref="I587:J587"/>
    <mergeCell ref="I588:K588"/>
    <mergeCell ref="I591:K593"/>
    <mergeCell ref="I601:L601"/>
    <mergeCell ref="I602:K602"/>
    <mergeCell ref="A607:B607"/>
    <mergeCell ref="A608:B608"/>
    <mergeCell ref="A609:B609"/>
    <mergeCell ref="I609:J609"/>
    <mergeCell ref="A610:C610"/>
    <mergeCell ref="I610:K610"/>
    <mergeCell ref="A611:C611"/>
    <mergeCell ref="I611:K611"/>
    <mergeCell ref="I612:J612"/>
    <mergeCell ref="I607:J607"/>
    <mergeCell ref="I608:J608"/>
    <mergeCell ref="I613:J613"/>
    <mergeCell ref="I614:J614"/>
    <mergeCell ref="I615:J615"/>
    <mergeCell ref="I616:J616"/>
    <mergeCell ref="I617:J617"/>
    <mergeCell ref="A612:B612"/>
    <mergeCell ref="A613:B613"/>
    <mergeCell ref="A614:B614"/>
    <mergeCell ref="A615:B615"/>
    <mergeCell ref="A616:B616"/>
    <mergeCell ref="A617:B617"/>
    <mergeCell ref="A618:B618"/>
    <mergeCell ref="A619:C619"/>
    <mergeCell ref="A622:C624"/>
    <mergeCell ref="E622:G622"/>
    <mergeCell ref="E623:G623"/>
    <mergeCell ref="E624:G624"/>
    <mergeCell ref="A632:D632"/>
    <mergeCell ref="A633:C633"/>
    <mergeCell ref="A641:C641"/>
    <mergeCell ref="A642:C642"/>
    <mergeCell ref="A643:B643"/>
    <mergeCell ref="A634:C634"/>
    <mergeCell ref="A635:B635"/>
    <mergeCell ref="A636:B636"/>
    <mergeCell ref="A637:B637"/>
    <mergeCell ref="A638:B638"/>
    <mergeCell ref="A639:B639"/>
    <mergeCell ref="A640:B640"/>
    <mergeCell ref="A676:B676"/>
    <mergeCell ref="A677:B677"/>
    <mergeCell ref="I677:J677"/>
    <mergeCell ref="A670:B670"/>
    <mergeCell ref="A671:B671"/>
    <mergeCell ref="A672:C672"/>
    <mergeCell ref="A673:C673"/>
    <mergeCell ref="A674:B674"/>
    <mergeCell ref="A675:B675"/>
    <mergeCell ref="I675:J675"/>
    <mergeCell ref="I636:J636"/>
    <mergeCell ref="I637:J637"/>
    <mergeCell ref="A644:B644"/>
    <mergeCell ref="I644:J644"/>
    <mergeCell ref="M644:N646"/>
    <mergeCell ref="O644:O646"/>
    <mergeCell ref="I645:J645"/>
    <mergeCell ref="I618:J618"/>
    <mergeCell ref="I619:K619"/>
    <mergeCell ref="I622:K624"/>
    <mergeCell ref="I632:L632"/>
    <mergeCell ref="I633:K633"/>
    <mergeCell ref="I634:K634"/>
    <mergeCell ref="I635:J635"/>
    <mergeCell ref="E647:G650"/>
    <mergeCell ref="E653:G653"/>
    <mergeCell ref="E654:G654"/>
    <mergeCell ref="E655:G655"/>
    <mergeCell ref="M647:O650"/>
    <mergeCell ref="M653:O653"/>
    <mergeCell ref="M654:O654"/>
    <mergeCell ref="M655:O655"/>
    <mergeCell ref="A645:B645"/>
    <mergeCell ref="A646:B646"/>
    <mergeCell ref="A647:B647"/>
    <mergeCell ref="A648:B648"/>
    <mergeCell ref="A649:B649"/>
    <mergeCell ref="A650:C650"/>
    <mergeCell ref="A653:C655"/>
    <mergeCell ref="L644:L650"/>
    <mergeCell ref="I646:J646"/>
    <mergeCell ref="I647:J647"/>
    <mergeCell ref="I648:J648"/>
    <mergeCell ref="I649:J649"/>
    <mergeCell ref="I650:K650"/>
    <mergeCell ref="I653:K655"/>
    <mergeCell ref="A663:D663"/>
    <mergeCell ref="A664:C664"/>
    <mergeCell ref="A665:C665"/>
    <mergeCell ref="A666:B666"/>
    <mergeCell ref="A667:B667"/>
    <mergeCell ref="A668:B668"/>
    <mergeCell ref="A669:B669"/>
    <mergeCell ref="A680:B680"/>
    <mergeCell ref="I680:J680"/>
    <mergeCell ref="A681:C681"/>
    <mergeCell ref="I681:K681"/>
    <mergeCell ref="A684:C686"/>
    <mergeCell ref="E684:G684"/>
    <mergeCell ref="I684:K686"/>
    <mergeCell ref="E685:G685"/>
    <mergeCell ref="E686:G686"/>
    <mergeCell ref="A702:B702"/>
    <mergeCell ref="A703:C703"/>
    <mergeCell ref="A704:C704"/>
    <mergeCell ref="I698:J698"/>
    <mergeCell ref="I699:J699"/>
    <mergeCell ref="A700:B700"/>
    <mergeCell ref="I700:J700"/>
    <mergeCell ref="A701:B701"/>
    <mergeCell ref="I701:J701"/>
    <mergeCell ref="I702:J702"/>
    <mergeCell ref="I669:J669"/>
    <mergeCell ref="I670:J670"/>
    <mergeCell ref="I671:J671"/>
    <mergeCell ref="I672:K672"/>
    <mergeCell ref="I663:L663"/>
    <mergeCell ref="I664:K664"/>
    <mergeCell ref="L664:O674"/>
    <mergeCell ref="I665:K665"/>
    <mergeCell ref="I666:J666"/>
    <mergeCell ref="I667:J667"/>
    <mergeCell ref="I668:J668"/>
    <mergeCell ref="M675:N677"/>
    <mergeCell ref="M678:O681"/>
    <mergeCell ref="M684:O684"/>
    <mergeCell ref="M685:O685"/>
    <mergeCell ref="M686:O686"/>
    <mergeCell ref="L695:O705"/>
    <mergeCell ref="I678:J678"/>
    <mergeCell ref="I679:J679"/>
    <mergeCell ref="I673:K673"/>
    <mergeCell ref="I674:J674"/>
    <mergeCell ref="L675:L681"/>
    <mergeCell ref="O675:O677"/>
    <mergeCell ref="I676:J676"/>
    <mergeCell ref="A678:B678"/>
    <mergeCell ref="A679:B679"/>
    <mergeCell ref="I703:K703"/>
    <mergeCell ref="I704:K704"/>
    <mergeCell ref="A705:B705"/>
    <mergeCell ref="I705:J705"/>
    <mergeCell ref="I384:L384"/>
    <mergeCell ref="I385:K385"/>
    <mergeCell ref="L385:O395"/>
    <mergeCell ref="I386:K386"/>
    <mergeCell ref="I387:J387"/>
    <mergeCell ref="I388:J388"/>
    <mergeCell ref="I389:J389"/>
    <mergeCell ref="M396:N398"/>
    <mergeCell ref="M399:O402"/>
    <mergeCell ref="I400:J400"/>
    <mergeCell ref="I401:J401"/>
    <mergeCell ref="I415:L415"/>
    <mergeCell ref="I394:K394"/>
    <mergeCell ref="I395:J395"/>
    <mergeCell ref="L396:L402"/>
    <mergeCell ref="O396:O398"/>
    <mergeCell ref="I397:J397"/>
    <mergeCell ref="I398:J398"/>
    <mergeCell ref="I399:J399"/>
    <mergeCell ref="I402:K402"/>
    <mergeCell ref="M365:N367"/>
    <mergeCell ref="M368:O371"/>
    <mergeCell ref="M374:O374"/>
    <mergeCell ref="M375:O375"/>
    <mergeCell ref="M376:O376"/>
    <mergeCell ref="I365:J365"/>
    <mergeCell ref="L365:L371"/>
    <mergeCell ref="O365:O367"/>
    <mergeCell ref="I366:J366"/>
    <mergeCell ref="I367:J367"/>
    <mergeCell ref="E368:G371"/>
    <mergeCell ref="I368:J368"/>
    <mergeCell ref="I371:K371"/>
    <mergeCell ref="I390:J390"/>
    <mergeCell ref="I391:J391"/>
    <mergeCell ref="I369:J369"/>
    <mergeCell ref="I370:J370"/>
    <mergeCell ref="E374:G374"/>
    <mergeCell ref="I374:K376"/>
    <mergeCell ref="E375:G375"/>
    <mergeCell ref="E376:G376"/>
    <mergeCell ref="D385:G395"/>
    <mergeCell ref="I396:J396"/>
    <mergeCell ref="A386:C386"/>
    <mergeCell ref="A387:B387"/>
    <mergeCell ref="A388:B388"/>
    <mergeCell ref="A389:B389"/>
    <mergeCell ref="A390:B390"/>
    <mergeCell ref="A391:B391"/>
    <mergeCell ref="A392:B392"/>
    <mergeCell ref="A393:C393"/>
    <mergeCell ref="A394:C394"/>
    <mergeCell ref="A395:B395"/>
    <mergeCell ref="A396:B396"/>
    <mergeCell ref="E396:F398"/>
    <mergeCell ref="G396:G398"/>
    <mergeCell ref="E399:G402"/>
    <mergeCell ref="A420:B420"/>
    <mergeCell ref="A421:B421"/>
    <mergeCell ref="M436:O436"/>
    <mergeCell ref="M437:O437"/>
    <mergeCell ref="M438:O438"/>
    <mergeCell ref="L447:O457"/>
    <mergeCell ref="I448:K448"/>
    <mergeCell ref="I449:J449"/>
    <mergeCell ref="I450:J450"/>
    <mergeCell ref="I457:J457"/>
    <mergeCell ref="I455:K455"/>
    <mergeCell ref="I456:K456"/>
    <mergeCell ref="I458:J458"/>
    <mergeCell ref="L458:L464"/>
    <mergeCell ref="M458:N460"/>
    <mergeCell ref="O458:O460"/>
    <mergeCell ref="M461:O464"/>
    <mergeCell ref="A422:B422"/>
    <mergeCell ref="A423:B423"/>
    <mergeCell ref="E405:G405"/>
    <mergeCell ref="E406:G406"/>
    <mergeCell ref="E407:G407"/>
    <mergeCell ref="A417:C417"/>
    <mergeCell ref="A418:B418"/>
    <mergeCell ref="A419:B419"/>
    <mergeCell ref="A426:B426"/>
    <mergeCell ref="A424:C424"/>
    <mergeCell ref="A425:C425"/>
    <mergeCell ref="A427:B427"/>
    <mergeCell ref="A448:C448"/>
    <mergeCell ref="A449:B449"/>
    <mergeCell ref="A450:B450"/>
    <mergeCell ref="A451:B451"/>
    <mergeCell ref="D416:G426"/>
    <mergeCell ref="E427:F429"/>
    <mergeCell ref="G427:G429"/>
    <mergeCell ref="E430:G433"/>
    <mergeCell ref="E436:G436"/>
    <mergeCell ref="E437:G437"/>
    <mergeCell ref="E438:G438"/>
    <mergeCell ref="A452:B452"/>
    <mergeCell ref="A453:B453"/>
    <mergeCell ref="A454:B454"/>
    <mergeCell ref="A455:C455"/>
    <mergeCell ref="A456:C456"/>
    <mergeCell ref="A457:B457"/>
    <mergeCell ref="A458:B458"/>
    <mergeCell ref="A479:C479"/>
    <mergeCell ref="A480:B480"/>
    <mergeCell ref="A481:B481"/>
    <mergeCell ref="A482:B482"/>
    <mergeCell ref="A483:B483"/>
    <mergeCell ref="A484:B484"/>
    <mergeCell ref="A485:B485"/>
    <mergeCell ref="A486:C486"/>
    <mergeCell ref="A487:C487"/>
    <mergeCell ref="A488:B488"/>
    <mergeCell ref="A489:B489"/>
    <mergeCell ref="A510:C510"/>
    <mergeCell ref="A511:B511"/>
    <mergeCell ref="A512:B512"/>
    <mergeCell ref="I541:K541"/>
    <mergeCell ref="I542:J542"/>
    <mergeCell ref="I543:J543"/>
    <mergeCell ref="I544:J544"/>
    <mergeCell ref="I545:J545"/>
    <mergeCell ref="I546:J546"/>
    <mergeCell ref="I547:J547"/>
    <mergeCell ref="I553:J553"/>
    <mergeCell ref="I554:J554"/>
    <mergeCell ref="I552:J552"/>
    <mergeCell ref="I555:J555"/>
    <mergeCell ref="I548:K548"/>
    <mergeCell ref="I549:K549"/>
    <mergeCell ref="I550:J550"/>
    <mergeCell ref="I551:J551"/>
    <mergeCell ref="M551:N553"/>
    <mergeCell ref="O551:O553"/>
    <mergeCell ref="M554:O557"/>
    <mergeCell ref="I556:J556"/>
    <mergeCell ref="I557:K557"/>
    <mergeCell ref="I560:K562"/>
    <mergeCell ref="I570:L570"/>
    <mergeCell ref="I571:K571"/>
    <mergeCell ref="I572:K572"/>
    <mergeCell ref="I573:J573"/>
    <mergeCell ref="I574:J574"/>
    <mergeCell ref="I575:J575"/>
    <mergeCell ref="I576:J576"/>
    <mergeCell ref="I577:J577"/>
    <mergeCell ref="I578:J578"/>
    <mergeCell ref="I579:K579"/>
    <mergeCell ref="I580:K580"/>
    <mergeCell ref="M560:O560"/>
    <mergeCell ref="M561:O561"/>
    <mergeCell ref="M562:O562"/>
    <mergeCell ref="L571:O581"/>
    <mergeCell ref="M582:N584"/>
    <mergeCell ref="O582:O584"/>
    <mergeCell ref="M585:O588"/>
    <mergeCell ref="E675:F677"/>
    <mergeCell ref="E678:G681"/>
    <mergeCell ref="E616:G619"/>
    <mergeCell ref="D633:G643"/>
    <mergeCell ref="E644:F646"/>
    <mergeCell ref="G644:G646"/>
    <mergeCell ref="D664:G674"/>
    <mergeCell ref="D675:D681"/>
    <mergeCell ref="G675:G677"/>
    <mergeCell ref="D447:G457"/>
    <mergeCell ref="E458:F460"/>
    <mergeCell ref="G458:G460"/>
    <mergeCell ref="E461:G464"/>
    <mergeCell ref="E467:G467"/>
    <mergeCell ref="E468:G468"/>
    <mergeCell ref="E469:G469"/>
    <mergeCell ref="D478:G488"/>
    <mergeCell ref="E489:F491"/>
    <mergeCell ref="G489:G491"/>
    <mergeCell ref="E492:G495"/>
    <mergeCell ref="E498:G498"/>
    <mergeCell ref="E499:G499"/>
    <mergeCell ref="E500:G500"/>
    <mergeCell ref="D509:G519"/>
    <mergeCell ref="E520:F522"/>
    <mergeCell ref="G520:G522"/>
    <mergeCell ref="E523:G526"/>
    <mergeCell ref="E529:G529"/>
    <mergeCell ref="E530:G530"/>
    <mergeCell ref="E531:G531"/>
    <mergeCell ref="D540:G550"/>
    <mergeCell ref="E551:F553"/>
    <mergeCell ref="G551:G553"/>
    <mergeCell ref="E554:G557"/>
    <mergeCell ref="E560:G560"/>
    <mergeCell ref="E561:G561"/>
    <mergeCell ref="E562:G562"/>
    <mergeCell ref="D602:G612"/>
    <mergeCell ref="E613:F615"/>
    <mergeCell ref="G613:G615"/>
    <mergeCell ref="E582:F584"/>
    <mergeCell ref="G582:G584"/>
    <mergeCell ref="E585:G588"/>
    <mergeCell ref="E591:G591"/>
    <mergeCell ref="E592:G592"/>
    <mergeCell ref="E593:G593"/>
    <mergeCell ref="D613:D619"/>
    <mergeCell ref="D695:G705"/>
    <mergeCell ref="E706:F708"/>
    <mergeCell ref="G706:G708"/>
    <mergeCell ref="I822:J822"/>
    <mergeCell ref="I823:J823"/>
    <mergeCell ref="I804:J804"/>
    <mergeCell ref="I805:K805"/>
    <mergeCell ref="I808:K810"/>
    <mergeCell ref="I818:L818"/>
    <mergeCell ref="I819:K819"/>
    <mergeCell ref="I820:K820"/>
    <mergeCell ref="I821:J821"/>
    <mergeCell ref="I792:J792"/>
    <mergeCell ref="I793:J793"/>
    <mergeCell ref="I794:J794"/>
    <mergeCell ref="I795:J795"/>
    <mergeCell ref="M777:O777"/>
    <mergeCell ref="M778:O778"/>
    <mergeCell ref="M779:O779"/>
    <mergeCell ref="L788:O798"/>
    <mergeCell ref="I789:K789"/>
    <mergeCell ref="I790:J790"/>
    <mergeCell ref="I791:J791"/>
    <mergeCell ref="I798:J798"/>
    <mergeCell ref="I801:J801"/>
    <mergeCell ref="I802:J802"/>
    <mergeCell ref="M808:O808"/>
    <mergeCell ref="M809:O809"/>
    <mergeCell ref="M810:O810"/>
    <mergeCell ref="L819:O829"/>
    <mergeCell ref="M830:N832"/>
    <mergeCell ref="O830:O832"/>
    <mergeCell ref="M833:O836"/>
    <mergeCell ref="I796:K796"/>
    <mergeCell ref="I797:K797"/>
    <mergeCell ref="I799:J799"/>
    <mergeCell ref="L799:L805"/>
    <mergeCell ref="M799:N801"/>
    <mergeCell ref="O799:O801"/>
    <mergeCell ref="M802:O805"/>
    <mergeCell ref="I800:J800"/>
    <mergeCell ref="I803:J803"/>
    <mergeCell ref="I824:J824"/>
    <mergeCell ref="I825:J825"/>
    <mergeCell ref="I826:J826"/>
    <mergeCell ref="I827:K827"/>
    <mergeCell ref="I828:K828"/>
    <mergeCell ref="I921:K921"/>
    <mergeCell ref="I922:J922"/>
    <mergeCell ref="I884:J884"/>
    <mergeCell ref="I885:J885"/>
    <mergeCell ref="I916:J916"/>
    <mergeCell ref="I917:J917"/>
    <mergeCell ref="I918:J918"/>
    <mergeCell ref="I919:J919"/>
    <mergeCell ref="I920:K920"/>
    <mergeCell ref="I893:J893"/>
    <mergeCell ref="I894:J894"/>
    <mergeCell ref="I901:K903"/>
    <mergeCell ref="I911:L911"/>
    <mergeCell ref="I912:K912"/>
    <mergeCell ref="I913:K913"/>
    <mergeCell ref="I914:J914"/>
    <mergeCell ref="I915:J915"/>
    <mergeCell ref="L923:L929"/>
    <mergeCell ref="I926:J926"/>
    <mergeCell ref="I932:K934"/>
    <mergeCell ref="I942:L942"/>
    <mergeCell ref="I943:K943"/>
    <mergeCell ref="I944:K944"/>
    <mergeCell ref="I945:J945"/>
    <mergeCell ref="I946:J946"/>
    <mergeCell ref="I947:J947"/>
    <mergeCell ref="I948:J948"/>
    <mergeCell ref="I949:J949"/>
    <mergeCell ref="I950:J950"/>
    <mergeCell ref="I951:K951"/>
    <mergeCell ref="I958:J958"/>
    <mergeCell ref="I959:J959"/>
    <mergeCell ref="I952:K952"/>
    <mergeCell ref="I953:J953"/>
    <mergeCell ref="I954:J954"/>
    <mergeCell ref="L954:L960"/>
    <mergeCell ref="I955:J955"/>
    <mergeCell ref="I956:J956"/>
    <mergeCell ref="I957:J957"/>
    <mergeCell ref="I960:K960"/>
    <mergeCell ref="I856:J856"/>
    <mergeCell ref="I857:J857"/>
    <mergeCell ref="I858:K858"/>
    <mergeCell ref="I859:K859"/>
    <mergeCell ref="I860:J860"/>
    <mergeCell ref="I861:J861"/>
    <mergeCell ref="L861:L867"/>
    <mergeCell ref="I866:J866"/>
    <mergeCell ref="I867:K867"/>
    <mergeCell ref="I870:K872"/>
    <mergeCell ref="I880:L880"/>
    <mergeCell ref="I881:K881"/>
    <mergeCell ref="I882:K882"/>
    <mergeCell ref="I883:J883"/>
    <mergeCell ref="A895:B895"/>
    <mergeCell ref="A896:B896"/>
    <mergeCell ref="A892:B892"/>
    <mergeCell ref="G892:G894"/>
    <mergeCell ref="I892:J892"/>
    <mergeCell ref="L892:L898"/>
    <mergeCell ref="I895:J895"/>
    <mergeCell ref="I896:J896"/>
    <mergeCell ref="I897:J897"/>
    <mergeCell ref="I898:K898"/>
    <mergeCell ref="A922:B922"/>
    <mergeCell ref="A923:B923"/>
    <mergeCell ref="I923:J923"/>
    <mergeCell ref="A915:B915"/>
    <mergeCell ref="A916:B916"/>
    <mergeCell ref="A917:B917"/>
    <mergeCell ref="A918:B918"/>
    <mergeCell ref="A919:B919"/>
    <mergeCell ref="A920:C920"/>
    <mergeCell ref="A921:C921"/>
    <mergeCell ref="E923:F925"/>
    <mergeCell ref="E926:G929"/>
    <mergeCell ref="E932:G932"/>
    <mergeCell ref="E933:G933"/>
    <mergeCell ref="E934:G934"/>
    <mergeCell ref="E892:F894"/>
    <mergeCell ref="E895:G898"/>
    <mergeCell ref="E901:G901"/>
    <mergeCell ref="E902:G902"/>
    <mergeCell ref="E903:G903"/>
    <mergeCell ref="D912:G922"/>
    <mergeCell ref="G923:G925"/>
    <mergeCell ref="M861:N863"/>
    <mergeCell ref="O861:O863"/>
    <mergeCell ref="M864:O867"/>
    <mergeCell ref="M870:O870"/>
    <mergeCell ref="M871:O871"/>
    <mergeCell ref="M872:O872"/>
    <mergeCell ref="L881:O891"/>
    <mergeCell ref="L943:O953"/>
    <mergeCell ref="M954:N956"/>
    <mergeCell ref="O954:O956"/>
    <mergeCell ref="M957:O960"/>
    <mergeCell ref="M892:N894"/>
    <mergeCell ref="O892:O894"/>
    <mergeCell ref="M895:O898"/>
    <mergeCell ref="M901:O901"/>
    <mergeCell ref="M902:O902"/>
    <mergeCell ref="M903:O903"/>
    <mergeCell ref="L912:O922"/>
    <mergeCell ref="I835:J835"/>
    <mergeCell ref="I836:K836"/>
    <mergeCell ref="I839:K841"/>
    <mergeCell ref="M839:O839"/>
    <mergeCell ref="M840:O840"/>
    <mergeCell ref="M841:O841"/>
    <mergeCell ref="I829:J829"/>
    <mergeCell ref="I830:J830"/>
    <mergeCell ref="L830:L836"/>
    <mergeCell ref="I831:J831"/>
    <mergeCell ref="I832:J832"/>
    <mergeCell ref="I833:J833"/>
    <mergeCell ref="I834:J834"/>
    <mergeCell ref="I849:L849"/>
    <mergeCell ref="I850:K850"/>
    <mergeCell ref="I851:K851"/>
    <mergeCell ref="I852:J852"/>
    <mergeCell ref="I853:J853"/>
    <mergeCell ref="I854:J854"/>
    <mergeCell ref="I855:J855"/>
    <mergeCell ref="I862:J862"/>
    <mergeCell ref="I863:J863"/>
    <mergeCell ref="I864:J864"/>
    <mergeCell ref="I865:J865"/>
    <mergeCell ref="M923:N925"/>
    <mergeCell ref="O923:O925"/>
    <mergeCell ref="I924:J924"/>
    <mergeCell ref="I925:J925"/>
    <mergeCell ref="I927:J927"/>
    <mergeCell ref="I928:J928"/>
    <mergeCell ref="I929:K929"/>
    <mergeCell ref="M926:O929"/>
    <mergeCell ref="M932:O932"/>
    <mergeCell ref="M933:O933"/>
    <mergeCell ref="M934:O934"/>
    <mergeCell ref="A950:B950"/>
    <mergeCell ref="A951:C951"/>
    <mergeCell ref="A929:C929"/>
    <mergeCell ref="A932:C934"/>
    <mergeCell ref="A942:D942"/>
    <mergeCell ref="A943:C943"/>
    <mergeCell ref="D943:G953"/>
    <mergeCell ref="A944:C944"/>
    <mergeCell ref="A945:B945"/>
    <mergeCell ref="A956:B956"/>
    <mergeCell ref="A957:B957"/>
    <mergeCell ref="A955:B955"/>
    <mergeCell ref="A958:B958"/>
    <mergeCell ref="A959:B959"/>
    <mergeCell ref="A960:C960"/>
    <mergeCell ref="A952:C952"/>
    <mergeCell ref="A953:B953"/>
    <mergeCell ref="A954:B954"/>
    <mergeCell ref="D954:D960"/>
    <mergeCell ref="E954:F956"/>
    <mergeCell ref="G954:G956"/>
    <mergeCell ref="E957:G960"/>
    <mergeCell ref="A894:B894"/>
    <mergeCell ref="A897:B897"/>
    <mergeCell ref="A914:B914"/>
    <mergeCell ref="A924:B924"/>
    <mergeCell ref="A925:B925"/>
    <mergeCell ref="A926:B926"/>
    <mergeCell ref="A927:B927"/>
    <mergeCell ref="A928:B928"/>
    <mergeCell ref="A893:B893"/>
    <mergeCell ref="A898:C898"/>
    <mergeCell ref="A901:C903"/>
    <mergeCell ref="A911:D911"/>
    <mergeCell ref="A912:C912"/>
    <mergeCell ref="A913:C913"/>
    <mergeCell ref="D923:D929"/>
    <mergeCell ref="A946:B946"/>
    <mergeCell ref="A947:B947"/>
    <mergeCell ref="A948:B948"/>
    <mergeCell ref="A949:B949"/>
  </mergeCells>
  <drawing r:id="rId1"/>
  <tableParts count="65"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0.1" defaultRowHeight="15.0"/>
  <cols>
    <col customWidth="1" min="1" max="1" width="8.8"/>
    <col customWidth="1" min="3" max="3" width="23.2"/>
    <col customWidth="1" min="4" max="4" width="17.0"/>
    <col customWidth="1" min="5" max="5" width="8.3"/>
    <col customWidth="1" min="6" max="6" width="6.3"/>
    <col customWidth="1" min="7" max="7" width="12.8"/>
    <col customWidth="1" min="11" max="11" width="18.6"/>
    <col customWidth="1" min="12" max="12" width="24.9"/>
    <col customWidth="1" min="13" max="13" width="5.5"/>
    <col customWidth="1" min="14" max="14" width="7.0"/>
    <col customWidth="1" min="15" max="15" width="7.4"/>
    <col customWidth="1" min="19" max="19" width="18.3"/>
    <col customWidth="1" min="20" max="20" width="13.4"/>
  </cols>
  <sheetData>
    <row r="1">
      <c r="A1" s="685" t="s">
        <v>959</v>
      </c>
      <c r="B1" s="686"/>
      <c r="C1" s="687"/>
      <c r="D1" s="688" t="s">
        <v>960</v>
      </c>
      <c r="E1" s="686"/>
      <c r="F1" s="686"/>
      <c r="G1" s="686"/>
      <c r="H1" s="686"/>
      <c r="I1" s="686"/>
      <c r="J1" s="686"/>
      <c r="K1" s="686"/>
      <c r="L1" s="944"/>
      <c r="M1" s="690"/>
      <c r="N1" s="691"/>
      <c r="O1" s="692"/>
      <c r="P1" s="693" t="s">
        <v>961</v>
      </c>
      <c r="Q1" s="694" t="s">
        <v>962</v>
      </c>
    </row>
    <row r="2">
      <c r="A2" s="695"/>
      <c r="B2" s="696" t="s">
        <v>916</v>
      </c>
      <c r="C2" s="697" t="s">
        <v>711</v>
      </c>
      <c r="D2" s="698" t="s">
        <v>4</v>
      </c>
      <c r="E2" s="699" t="s">
        <v>5</v>
      </c>
      <c r="F2" s="699" t="s">
        <v>6</v>
      </c>
      <c r="G2" s="699" t="s">
        <v>7</v>
      </c>
      <c r="H2" s="700" t="s">
        <v>8</v>
      </c>
      <c r="I2" s="701" t="s">
        <v>9</v>
      </c>
      <c r="J2" s="699" t="s">
        <v>10</v>
      </c>
      <c r="K2" s="699" t="s">
        <v>11</v>
      </c>
      <c r="L2" s="702" t="s">
        <v>12</v>
      </c>
      <c r="M2" s="4"/>
      <c r="N2" s="703" t="s">
        <v>963</v>
      </c>
      <c r="P2" s="704">
        <f>SUM(H3:H61)</f>
        <v>132625</v>
      </c>
      <c r="Q2" s="705"/>
      <c r="R2" s="145"/>
      <c r="S2" s="145"/>
      <c r="T2" s="145"/>
      <c r="U2" s="145"/>
      <c r="V2" s="145"/>
      <c r="W2" s="145"/>
      <c r="X2" s="145"/>
      <c r="Y2" s="145"/>
    </row>
    <row r="3">
      <c r="A3" s="706"/>
      <c r="B3" s="707" t="s">
        <v>916</v>
      </c>
      <c r="C3" s="707" t="s">
        <v>964</v>
      </c>
      <c r="D3" s="11">
        <v>45992.0</v>
      </c>
      <c r="E3" s="10">
        <v>5.36090795E8</v>
      </c>
      <c r="F3" s="10" t="s">
        <v>1222</v>
      </c>
      <c r="G3" s="10" t="s">
        <v>1223</v>
      </c>
      <c r="H3" s="12">
        <v>2500.0</v>
      </c>
      <c r="I3" s="13">
        <v>1107.0</v>
      </c>
      <c r="J3" s="10" t="s">
        <v>1224</v>
      </c>
      <c r="K3" s="10" t="s">
        <v>215</v>
      </c>
      <c r="L3" s="714">
        <v>6813.0</v>
      </c>
      <c r="M3" s="10"/>
      <c r="N3" s="710" t="s">
        <v>968</v>
      </c>
      <c r="P3" s="711">
        <f>SUM(I3:I61)</f>
        <v>62706.17</v>
      </c>
      <c r="Q3" s="705"/>
      <c r="R3" s="145"/>
      <c r="S3" s="145"/>
      <c r="T3" s="145"/>
      <c r="U3" s="145"/>
      <c r="V3" s="145"/>
      <c r="W3" s="145"/>
      <c r="X3" s="145"/>
      <c r="Y3" s="145"/>
    </row>
    <row r="4">
      <c r="A4" s="706"/>
      <c r="B4" s="945" t="s">
        <v>431</v>
      </c>
      <c r="C4" s="918">
        <v>1698.09</v>
      </c>
      <c r="D4" s="11">
        <v>45992.0</v>
      </c>
      <c r="E4" s="10">
        <v>8949329.0</v>
      </c>
      <c r="F4" s="10" t="s">
        <v>1225</v>
      </c>
      <c r="G4" s="10" t="s">
        <v>1226</v>
      </c>
      <c r="H4" s="12">
        <v>3900.0</v>
      </c>
      <c r="I4" s="13">
        <v>1695.0</v>
      </c>
      <c r="J4" s="10" t="s">
        <v>1227</v>
      </c>
      <c r="K4" s="10" t="s">
        <v>19</v>
      </c>
      <c r="L4" s="728" t="s">
        <v>431</v>
      </c>
      <c r="M4" s="10"/>
      <c r="N4" s="703" t="s">
        <v>972</v>
      </c>
      <c r="P4" s="720">
        <f>SUM(C4:C30)</f>
        <v>51507.15</v>
      </c>
      <c r="Q4" s="715"/>
      <c r="R4" s="128"/>
      <c r="S4" s="128"/>
      <c r="T4" s="128"/>
      <c r="U4" s="128"/>
      <c r="V4" s="128"/>
      <c r="W4" s="128"/>
      <c r="X4" s="128"/>
      <c r="Y4" s="128"/>
    </row>
    <row r="5">
      <c r="A5" s="706"/>
      <c r="B5" s="945" t="s">
        <v>540</v>
      </c>
      <c r="C5" s="918">
        <v>208.88</v>
      </c>
      <c r="D5" s="11">
        <v>45992.0</v>
      </c>
      <c r="E5" s="10">
        <v>5.36051627E8</v>
      </c>
      <c r="F5" s="10" t="s">
        <v>1228</v>
      </c>
      <c r="G5" s="10" t="s">
        <v>1229</v>
      </c>
      <c r="H5" s="12">
        <v>1200.0</v>
      </c>
      <c r="I5" s="13">
        <v>792.0</v>
      </c>
      <c r="J5" s="10" t="s">
        <v>1230</v>
      </c>
      <c r="K5" s="10" t="s">
        <v>337</v>
      </c>
      <c r="L5" s="714">
        <v>9617.0</v>
      </c>
      <c r="M5" s="10"/>
      <c r="N5" s="710"/>
      <c r="P5" s="126"/>
      <c r="Q5" s="716">
        <v>45383.78</v>
      </c>
      <c r="R5" s="126"/>
      <c r="S5" s="126"/>
      <c r="T5" s="126"/>
      <c r="U5" s="717"/>
      <c r="V5" s="126"/>
      <c r="W5" s="145"/>
      <c r="X5" s="145"/>
      <c r="Y5" s="145"/>
    </row>
    <row r="6">
      <c r="A6" s="706"/>
      <c r="B6" s="945" t="s">
        <v>1221</v>
      </c>
      <c r="C6" s="918">
        <v>920.24</v>
      </c>
      <c r="D6" s="11">
        <v>45992.0</v>
      </c>
      <c r="E6" s="10">
        <v>6.5179348E7</v>
      </c>
      <c r="F6" s="10" t="s">
        <v>1231</v>
      </c>
      <c r="G6" s="10" t="s">
        <v>1232</v>
      </c>
      <c r="H6" s="12">
        <v>3300.0</v>
      </c>
      <c r="I6" s="13">
        <v>1742.0</v>
      </c>
      <c r="J6" s="10" t="s">
        <v>1233</v>
      </c>
      <c r="K6" s="10" t="s">
        <v>980</v>
      </c>
      <c r="L6" s="714">
        <v>6338.0</v>
      </c>
      <c r="M6" s="10"/>
      <c r="N6" s="703" t="s">
        <v>981</v>
      </c>
      <c r="P6" s="145"/>
      <c r="Q6" s="718">
        <f>sum(U24:U63)</f>
        <v>744.62</v>
      </c>
      <c r="R6" s="126"/>
      <c r="S6" s="145"/>
      <c r="T6" s="145"/>
      <c r="U6" s="145"/>
      <c r="V6" s="145"/>
      <c r="W6" s="145"/>
      <c r="X6" s="145"/>
      <c r="Y6" s="145"/>
    </row>
    <row r="7">
      <c r="A7" s="706"/>
      <c r="B7" s="945" t="s">
        <v>973</v>
      </c>
      <c r="C7" s="918">
        <v>2197.83</v>
      </c>
      <c r="D7" s="11">
        <v>45992.0</v>
      </c>
      <c r="E7" s="10">
        <v>2.0740576E7</v>
      </c>
      <c r="F7" s="10" t="s">
        <v>1223</v>
      </c>
      <c r="G7" s="10" t="s">
        <v>1234</v>
      </c>
      <c r="H7" s="12">
        <v>2100.0</v>
      </c>
      <c r="I7" s="13">
        <v>1310.17</v>
      </c>
      <c r="J7" s="10" t="s">
        <v>1235</v>
      </c>
      <c r="K7" s="10" t="s">
        <v>1236</v>
      </c>
      <c r="L7" s="714">
        <v>2932.0</v>
      </c>
      <c r="M7" s="10"/>
      <c r="N7" s="703" t="s">
        <v>987</v>
      </c>
      <c r="P7" s="145"/>
      <c r="Q7" s="705"/>
      <c r="R7" s="145"/>
      <c r="S7" s="145"/>
      <c r="T7" s="126"/>
      <c r="U7" s="717"/>
      <c r="V7" s="145"/>
      <c r="W7" s="145"/>
      <c r="X7" s="126"/>
      <c r="Y7" s="126"/>
    </row>
    <row r="8">
      <c r="A8" s="706"/>
      <c r="B8" s="667">
        <v>2316.0</v>
      </c>
      <c r="C8" s="918">
        <v>2705.16</v>
      </c>
      <c r="D8" s="11">
        <v>45992.0</v>
      </c>
      <c r="E8" s="10">
        <v>2.0740576E7</v>
      </c>
      <c r="F8" s="10" t="s">
        <v>1223</v>
      </c>
      <c r="G8" s="10" t="s">
        <v>1234</v>
      </c>
      <c r="H8" s="12">
        <v>0.0</v>
      </c>
      <c r="I8" s="13">
        <v>0.0</v>
      </c>
      <c r="J8" s="10" t="s">
        <v>1237</v>
      </c>
      <c r="K8" s="708"/>
      <c r="L8" s="709"/>
      <c r="M8" s="10"/>
      <c r="N8" s="703" t="s">
        <v>991</v>
      </c>
      <c r="P8" s="720">
        <f>400*33</f>
        <v>13200</v>
      </c>
      <c r="Q8" s="718">
        <f>SUM(S24:S63)</f>
        <v>8800</v>
      </c>
      <c r="R8" s="145"/>
      <c r="S8" s="145"/>
      <c r="T8" s="145"/>
      <c r="U8" s="145"/>
      <c r="V8" s="145"/>
      <c r="W8" s="145"/>
      <c r="X8" s="145"/>
      <c r="Y8" s="145"/>
    </row>
    <row r="9">
      <c r="A9" s="706"/>
      <c r="B9" s="667">
        <v>2653.0</v>
      </c>
      <c r="C9" s="918">
        <v>1992.5</v>
      </c>
      <c r="D9" s="11">
        <v>45992.0</v>
      </c>
      <c r="E9" s="10">
        <v>756363.0</v>
      </c>
      <c r="F9" s="10" t="s">
        <v>1238</v>
      </c>
      <c r="G9" s="10" t="s">
        <v>1239</v>
      </c>
      <c r="H9" s="12">
        <v>150.0</v>
      </c>
      <c r="I9" s="13">
        <v>0.0</v>
      </c>
      <c r="J9" s="10" t="s">
        <v>1240</v>
      </c>
      <c r="K9" s="10" t="s">
        <v>28</v>
      </c>
      <c r="L9" s="714">
        <v>2653.0</v>
      </c>
      <c r="M9" s="10"/>
      <c r="N9" s="710"/>
      <c r="P9" s="126"/>
      <c r="Q9" s="705"/>
      <c r="R9" s="126"/>
      <c r="S9" s="126"/>
      <c r="T9" s="126"/>
      <c r="U9" s="717"/>
      <c r="V9" s="126"/>
      <c r="W9" s="145"/>
      <c r="X9" s="126"/>
      <c r="Y9" s="126"/>
    </row>
    <row r="10">
      <c r="A10" s="706"/>
      <c r="B10" s="667">
        <v>2675.0</v>
      </c>
      <c r="C10" s="918">
        <v>607.22</v>
      </c>
      <c r="D10" s="11">
        <v>45992.0</v>
      </c>
      <c r="E10" s="10">
        <v>5.36174247E8</v>
      </c>
      <c r="F10" s="10" t="s">
        <v>1241</v>
      </c>
      <c r="G10" s="10" t="s">
        <v>1242</v>
      </c>
      <c r="H10" s="12">
        <v>2800.0</v>
      </c>
      <c r="I10" s="13">
        <v>1249.0</v>
      </c>
      <c r="J10" s="10" t="s">
        <v>1243</v>
      </c>
      <c r="K10" s="10" t="s">
        <v>1144</v>
      </c>
      <c r="L10" s="714">
        <v>2774.0</v>
      </c>
      <c r="M10" s="10"/>
      <c r="N10" s="710" t="s">
        <v>998</v>
      </c>
      <c r="P10" s="126"/>
      <c r="Q10" s="721">
        <f>SUM(T25:T63)</f>
        <v>3400</v>
      </c>
      <c r="R10" s="126"/>
      <c r="S10" s="145"/>
      <c r="T10" s="145"/>
      <c r="U10" s="145"/>
      <c r="V10" s="145"/>
      <c r="W10" s="145"/>
      <c r="X10" s="145"/>
      <c r="Y10" s="145"/>
    </row>
    <row r="11">
      <c r="A11" s="706"/>
      <c r="B11" s="667">
        <v>2693.0</v>
      </c>
      <c r="C11" s="918">
        <v>3028.15</v>
      </c>
      <c r="D11" s="11">
        <v>45992.0</v>
      </c>
      <c r="E11" s="10" t="s">
        <v>1244</v>
      </c>
      <c r="F11" s="10" t="s">
        <v>1245</v>
      </c>
      <c r="G11" s="10" t="s">
        <v>1246</v>
      </c>
      <c r="H11" s="12">
        <v>5800.0</v>
      </c>
      <c r="I11" s="13">
        <v>3060.0</v>
      </c>
      <c r="J11" s="10" t="s">
        <v>1247</v>
      </c>
      <c r="K11" s="10" t="s">
        <v>1002</v>
      </c>
      <c r="L11" s="714">
        <v>9334.0</v>
      </c>
      <c r="M11" s="708"/>
      <c r="N11" s="710"/>
      <c r="P11" s="145"/>
      <c r="Q11" s="705"/>
      <c r="R11" s="126"/>
      <c r="S11" s="145"/>
      <c r="T11" s="145"/>
      <c r="U11" s="145"/>
      <c r="V11" s="145"/>
      <c r="W11" s="145"/>
      <c r="X11" s="145"/>
      <c r="Y11" s="145"/>
    </row>
    <row r="12">
      <c r="A12" s="706"/>
      <c r="B12" s="667">
        <v>2774.0</v>
      </c>
      <c r="C12" s="918">
        <v>1008.13</v>
      </c>
      <c r="D12" s="11">
        <v>45992.0</v>
      </c>
      <c r="E12" s="10">
        <v>5.36133066E8</v>
      </c>
      <c r="F12" s="10" t="s">
        <v>1248</v>
      </c>
      <c r="G12" s="10" t="s">
        <v>1249</v>
      </c>
      <c r="H12" s="12">
        <v>1310.0</v>
      </c>
      <c r="I12" s="13">
        <v>1088.0</v>
      </c>
      <c r="J12" s="10" t="s">
        <v>1250</v>
      </c>
      <c r="K12" s="10" t="s">
        <v>320</v>
      </c>
      <c r="L12" s="714">
        <v>9348.0</v>
      </c>
      <c r="M12" s="10"/>
      <c r="N12" s="703" t="s">
        <v>1006</v>
      </c>
      <c r="P12" s="145" t="str">
        <f>W24+W25+W26+W27+W28+W29+W30+W32+W33+W34+W35+W36+W37+W38+W39+W41+W42+W43+W44+W45+W46+W48</f>
        <v>#N/A</v>
      </c>
      <c r="Q12" s="705"/>
      <c r="R12" s="145"/>
      <c r="S12" s="145"/>
      <c r="T12" s="126"/>
      <c r="U12" s="717"/>
      <c r="V12" s="145"/>
      <c r="W12" s="145"/>
      <c r="X12" s="145"/>
      <c r="Y12" s="145"/>
    </row>
    <row r="13">
      <c r="A13" s="706"/>
      <c r="B13" s="667">
        <v>2890.0</v>
      </c>
      <c r="C13" s="918">
        <v>2271.37</v>
      </c>
      <c r="D13" s="11">
        <v>45992.0</v>
      </c>
      <c r="E13" s="10">
        <v>5.35451199E8</v>
      </c>
      <c r="F13" s="10" t="s">
        <v>1251</v>
      </c>
      <c r="G13" s="10" t="s">
        <v>1238</v>
      </c>
      <c r="H13" s="12">
        <v>3025.0</v>
      </c>
      <c r="I13" s="13">
        <v>1034.0</v>
      </c>
      <c r="J13" s="10" t="s">
        <v>1252</v>
      </c>
      <c r="K13" s="10" t="s">
        <v>278</v>
      </c>
      <c r="L13" s="714">
        <v>3866.0</v>
      </c>
      <c r="M13" s="10"/>
      <c r="N13" s="710" t="s">
        <v>1010</v>
      </c>
      <c r="P13" s="145"/>
      <c r="Q13" s="723"/>
      <c r="R13" s="145"/>
      <c r="S13" s="145"/>
      <c r="T13" s="145"/>
      <c r="U13" s="145"/>
      <c r="V13" s="145"/>
      <c r="W13" s="145"/>
      <c r="X13" s="145"/>
      <c r="Y13" s="145"/>
    </row>
    <row r="14">
      <c r="A14" s="706"/>
      <c r="B14" s="667">
        <v>2932.0</v>
      </c>
      <c r="C14" s="918">
        <v>1099.53</v>
      </c>
      <c r="D14" s="11">
        <v>45992.0</v>
      </c>
      <c r="E14" s="10">
        <v>5.36115298E8</v>
      </c>
      <c r="F14" s="10" t="s">
        <v>1253</v>
      </c>
      <c r="G14" s="10" t="s">
        <v>1254</v>
      </c>
      <c r="H14" s="12">
        <v>1575.0</v>
      </c>
      <c r="I14" s="13">
        <v>587.0</v>
      </c>
      <c r="J14" s="10" t="s">
        <v>1255</v>
      </c>
      <c r="K14" s="10" t="s">
        <v>79</v>
      </c>
      <c r="L14" s="714">
        <v>2316.0</v>
      </c>
      <c r="M14" s="10"/>
      <c r="N14" s="724"/>
      <c r="P14" s="126"/>
      <c r="Q14" s="705"/>
      <c r="R14" s="126"/>
      <c r="S14" s="126"/>
      <c r="T14" s="126"/>
      <c r="U14" s="717"/>
      <c r="V14" s="126"/>
      <c r="W14" s="145"/>
      <c r="X14" s="145"/>
      <c r="Y14" s="145"/>
    </row>
    <row r="15">
      <c r="A15" s="706"/>
      <c r="B15" s="667">
        <v>3301.0</v>
      </c>
      <c r="C15" s="918">
        <v>3267.16</v>
      </c>
      <c r="D15" s="11">
        <v>45993.0</v>
      </c>
      <c r="E15" s="10">
        <v>2175513.0</v>
      </c>
      <c r="F15" s="10" t="s">
        <v>1256</v>
      </c>
      <c r="G15" s="10" t="s">
        <v>1257</v>
      </c>
      <c r="H15" s="12">
        <v>1250.0</v>
      </c>
      <c r="I15" s="13">
        <v>303.0</v>
      </c>
      <c r="J15" s="10" t="s">
        <v>1258</v>
      </c>
      <c r="K15" s="10" t="s">
        <v>197</v>
      </c>
      <c r="L15" s="714">
        <v>6643.0</v>
      </c>
      <c r="M15" s="10"/>
      <c r="N15" s="710" t="s">
        <v>1017</v>
      </c>
      <c r="P15" s="145"/>
      <c r="Q15" s="705">
        <f>SUM(Y24:Y63)</f>
        <v>0</v>
      </c>
      <c r="R15" s="126"/>
      <c r="S15" s="145"/>
      <c r="T15" s="145"/>
      <c r="U15" s="145"/>
      <c r="V15" s="145"/>
      <c r="W15" s="145"/>
      <c r="X15" s="145"/>
      <c r="Y15" s="145"/>
    </row>
    <row r="16">
      <c r="A16" s="706"/>
      <c r="B16" s="667">
        <v>3403.0</v>
      </c>
      <c r="C16" s="918">
        <v>1514.77</v>
      </c>
      <c r="D16" s="11">
        <v>45993.0</v>
      </c>
      <c r="E16" s="10" t="s">
        <v>1259</v>
      </c>
      <c r="F16" s="10" t="s">
        <v>1260</v>
      </c>
      <c r="G16" s="10" t="s">
        <v>1261</v>
      </c>
      <c r="H16" s="12">
        <v>1200.0</v>
      </c>
      <c r="I16" s="13">
        <v>760.0</v>
      </c>
      <c r="J16" s="10" t="s">
        <v>1262</v>
      </c>
      <c r="K16" s="10" t="s">
        <v>79</v>
      </c>
      <c r="L16" s="714">
        <v>2316.0</v>
      </c>
      <c r="M16" s="708"/>
      <c r="N16" s="710"/>
      <c r="P16" s="126"/>
      <c r="Q16" s="705"/>
      <c r="R16" s="126"/>
      <c r="S16" s="126"/>
      <c r="T16" s="126"/>
      <c r="U16" s="717"/>
      <c r="V16" s="126"/>
      <c r="W16" s="145"/>
      <c r="X16" s="145"/>
      <c r="Y16" s="145"/>
    </row>
    <row r="17">
      <c r="A17" s="706"/>
      <c r="B17" s="667">
        <v>3819.0</v>
      </c>
      <c r="C17" s="918">
        <v>3868.15</v>
      </c>
      <c r="D17" s="11">
        <v>45993.0</v>
      </c>
      <c r="E17" s="10">
        <v>5.36600378E8</v>
      </c>
      <c r="F17" s="10" t="s">
        <v>246</v>
      </c>
      <c r="G17" s="10" t="s">
        <v>1263</v>
      </c>
      <c r="H17" s="12">
        <v>1100.0</v>
      </c>
      <c r="I17" s="13">
        <v>561.0</v>
      </c>
      <c r="J17" s="10" t="s">
        <v>1264</v>
      </c>
      <c r="K17" s="10" t="s">
        <v>175</v>
      </c>
      <c r="L17" s="714">
        <v>3819.0</v>
      </c>
      <c r="M17" s="10"/>
      <c r="N17" s="725" t="s">
        <v>1024</v>
      </c>
      <c r="P17" s="145" t="str">
        <f t="shared" ref="P17:Q17" si="1">SUM(P4:P16)</f>
        <v>#N/A</v>
      </c>
      <c r="Q17" s="705">
        <f t="shared" si="1"/>
        <v>58328.4</v>
      </c>
      <c r="R17" s="126"/>
      <c r="S17" s="145"/>
      <c r="T17" s="145"/>
      <c r="U17" s="145"/>
      <c r="V17" s="145"/>
      <c r="W17" s="145"/>
      <c r="X17" s="145"/>
      <c r="Y17" s="145"/>
    </row>
    <row r="18">
      <c r="A18" s="706"/>
      <c r="B18" s="667">
        <v>3866.0</v>
      </c>
      <c r="C18" s="918">
        <v>754.35</v>
      </c>
      <c r="D18" s="11">
        <v>45993.0</v>
      </c>
      <c r="E18" s="10" t="s">
        <v>1265</v>
      </c>
      <c r="F18" s="10" t="s">
        <v>1266</v>
      </c>
      <c r="G18" s="10" t="s">
        <v>1267</v>
      </c>
      <c r="H18" s="12">
        <v>1850.0</v>
      </c>
      <c r="I18" s="13">
        <v>1459.0</v>
      </c>
      <c r="J18" s="10" t="s">
        <v>1268</v>
      </c>
      <c r="K18" s="10" t="s">
        <v>153</v>
      </c>
      <c r="L18" s="714">
        <v>3301.0</v>
      </c>
      <c r="M18" s="10"/>
      <c r="N18" s="726" t="s">
        <v>1029</v>
      </c>
      <c r="P18" s="704">
        <f>P2/P3</f>
        <v>2.115023131</v>
      </c>
      <c r="Q18" s="705"/>
      <c r="R18" s="145"/>
      <c r="S18" s="145"/>
      <c r="T18" s="126"/>
      <c r="U18" s="717"/>
      <c r="V18" s="145"/>
      <c r="W18" s="145"/>
      <c r="X18" s="126"/>
      <c r="Y18" s="126"/>
    </row>
    <row r="19">
      <c r="A19" s="706"/>
      <c r="B19" s="667">
        <v>3881.0</v>
      </c>
      <c r="C19" s="918">
        <v>991.48</v>
      </c>
      <c r="D19" s="11">
        <v>45993.0</v>
      </c>
      <c r="E19" s="10">
        <v>2182447.0</v>
      </c>
      <c r="F19" s="10" t="s">
        <v>1269</v>
      </c>
      <c r="G19" s="10" t="s">
        <v>1270</v>
      </c>
      <c r="H19" s="12">
        <v>150.0</v>
      </c>
      <c r="I19" s="13">
        <v>88.0</v>
      </c>
      <c r="J19" s="10" t="s">
        <v>1271</v>
      </c>
      <c r="K19" s="10" t="s">
        <v>197</v>
      </c>
      <c r="L19" s="714">
        <v>6643.0</v>
      </c>
      <c r="M19" s="10"/>
      <c r="N19" s="703" t="s">
        <v>1033</v>
      </c>
      <c r="P19" s="727" t="str">
        <f>(P4+P6+P7+P8+P10+P12+P13+P15)/P3</f>
        <v>#N/A</v>
      </c>
      <c r="Q19" s="705" t="str">
        <f>(P17-Q17)/P3</f>
        <v>#N/A</v>
      </c>
      <c r="R19" s="145"/>
      <c r="S19" s="145"/>
      <c r="T19" s="145"/>
      <c r="U19" s="145"/>
      <c r="V19" s="145"/>
      <c r="W19" s="145"/>
      <c r="X19" s="145"/>
      <c r="Y19" s="145"/>
    </row>
    <row r="20">
      <c r="A20" s="706"/>
      <c r="B20" s="667">
        <v>6338.0</v>
      </c>
      <c r="C20" s="918">
        <v>3346.01</v>
      </c>
      <c r="D20" s="11">
        <v>45993.0</v>
      </c>
      <c r="E20" s="10">
        <v>5.3664644E8</v>
      </c>
      <c r="F20" s="10" t="s">
        <v>1272</v>
      </c>
      <c r="G20" s="10" t="s">
        <v>1273</v>
      </c>
      <c r="H20" s="12">
        <v>3350.0</v>
      </c>
      <c r="I20" s="13">
        <v>1614.0</v>
      </c>
      <c r="J20" s="10" t="s">
        <v>1274</v>
      </c>
      <c r="K20" s="10" t="s">
        <v>274</v>
      </c>
      <c r="L20" s="714">
        <v>7352.0</v>
      </c>
      <c r="M20" s="10"/>
      <c r="N20" s="703" t="s">
        <v>1037</v>
      </c>
      <c r="P20" s="145" t="str">
        <f>P18-P19</f>
        <v>#N/A</v>
      </c>
      <c r="Q20" s="705" t="str">
        <f>P18-Q19</f>
        <v>#N/A</v>
      </c>
      <c r="R20" s="145"/>
      <c r="S20" s="145"/>
      <c r="T20" s="126"/>
      <c r="U20" s="717"/>
      <c r="V20" s="145"/>
      <c r="W20" s="145"/>
      <c r="X20" s="145"/>
      <c r="Y20" s="145"/>
    </row>
    <row r="21">
      <c r="A21" s="706"/>
      <c r="B21" s="667">
        <v>6339.0</v>
      </c>
      <c r="C21" s="918">
        <v>2400.99</v>
      </c>
      <c r="D21" s="11">
        <v>45993.0</v>
      </c>
      <c r="E21" s="10">
        <v>2177024.0</v>
      </c>
      <c r="F21" s="10" t="s">
        <v>345</v>
      </c>
      <c r="G21" s="10" t="s">
        <v>1275</v>
      </c>
      <c r="H21" s="12">
        <v>1200.0</v>
      </c>
      <c r="I21" s="13">
        <v>537.0</v>
      </c>
      <c r="J21" s="10" t="s">
        <v>1276</v>
      </c>
      <c r="K21" s="10" t="s">
        <v>1277</v>
      </c>
      <c r="L21" s="714">
        <v>8775.0</v>
      </c>
      <c r="M21" s="10"/>
      <c r="N21" s="703"/>
      <c r="P21" s="145"/>
      <c r="Q21" s="705"/>
      <c r="R21" s="145"/>
      <c r="S21" s="145"/>
      <c r="T21" s="145"/>
      <c r="U21" s="145"/>
      <c r="V21" s="145"/>
      <c r="W21" s="145"/>
      <c r="X21" s="145"/>
      <c r="Y21" s="145"/>
    </row>
    <row r="22">
      <c r="A22" s="706"/>
      <c r="B22" s="667">
        <v>6643.0</v>
      </c>
      <c r="C22" s="918">
        <v>1595.61</v>
      </c>
      <c r="D22" s="11">
        <v>45993.0</v>
      </c>
      <c r="E22" s="10">
        <v>5.35741795E8</v>
      </c>
      <c r="F22" s="10" t="s">
        <v>1278</v>
      </c>
      <c r="G22" s="10" t="s">
        <v>1279</v>
      </c>
      <c r="H22" s="12">
        <v>2670.0</v>
      </c>
      <c r="I22" s="13">
        <v>1130.0</v>
      </c>
      <c r="J22" s="10" t="s">
        <v>1280</v>
      </c>
      <c r="K22" s="10" t="s">
        <v>1028</v>
      </c>
      <c r="L22" s="714">
        <v>6339.0</v>
      </c>
      <c r="M22" s="10"/>
      <c r="N22" s="729" t="s">
        <v>1044</v>
      </c>
      <c r="O22" s="730"/>
      <c r="P22" s="753" t="str">
        <f>P2-(P4+P6+P7+P8+P10+P12+P13+P15)</f>
        <v>#N/A</v>
      </c>
      <c r="Q22" s="732"/>
      <c r="S22" s="733" t="s">
        <v>1045</v>
      </c>
      <c r="T22" s="734"/>
      <c r="U22" s="735"/>
      <c r="V22" s="145"/>
      <c r="W22" s="145"/>
      <c r="X22" s="126"/>
      <c r="Y22" s="126"/>
    </row>
    <row r="23">
      <c r="A23" s="706"/>
      <c r="B23" s="667">
        <v>6813.0</v>
      </c>
      <c r="C23" s="918">
        <v>1077.11</v>
      </c>
      <c r="D23" s="11">
        <v>45993.0</v>
      </c>
      <c r="E23" s="10">
        <v>1894900.0</v>
      </c>
      <c r="F23" s="10" t="s">
        <v>1281</v>
      </c>
      <c r="G23" s="22" t="s">
        <v>1282</v>
      </c>
      <c r="H23" s="12">
        <v>2400.0</v>
      </c>
      <c r="I23" s="13">
        <v>1448.0</v>
      </c>
      <c r="J23" s="10" t="s">
        <v>1283</v>
      </c>
      <c r="K23" s="10" t="s">
        <v>287</v>
      </c>
      <c r="L23" s="714">
        <v>7807.0</v>
      </c>
      <c r="M23" s="10"/>
      <c r="N23" s="736"/>
      <c r="O23" s="737"/>
      <c r="P23" s="738" t="s">
        <v>591</v>
      </c>
      <c r="Q23" s="738" t="s">
        <v>656</v>
      </c>
      <c r="R23" s="739" t="s">
        <v>1049</v>
      </c>
      <c r="S23" s="738" t="s">
        <v>991</v>
      </c>
      <c r="T23" s="738" t="s">
        <v>885</v>
      </c>
      <c r="U23" s="738" t="s">
        <v>1050</v>
      </c>
      <c r="V23" s="738" t="s">
        <v>1051</v>
      </c>
      <c r="W23" s="738" t="s">
        <v>1052</v>
      </c>
      <c r="X23" s="738" t="s">
        <v>1010</v>
      </c>
      <c r="Y23" s="740" t="s">
        <v>1053</v>
      </c>
    </row>
    <row r="24">
      <c r="A24" s="706"/>
      <c r="B24" s="667">
        <v>6960.0</v>
      </c>
      <c r="C24" s="918">
        <v>2063.2</v>
      </c>
      <c r="D24" s="11">
        <v>45993.0</v>
      </c>
      <c r="E24" s="10">
        <v>5.36231347E8</v>
      </c>
      <c r="F24" s="10" t="s">
        <v>313</v>
      </c>
      <c r="G24" s="10" t="s">
        <v>1284</v>
      </c>
      <c r="H24" s="12">
        <v>2475.0</v>
      </c>
      <c r="I24" s="13">
        <v>1480.0</v>
      </c>
      <c r="J24" s="10" t="s">
        <v>1285</v>
      </c>
      <c r="K24" s="10" t="s">
        <v>28</v>
      </c>
      <c r="L24" s="714">
        <v>2653.0</v>
      </c>
      <c r="M24" s="10"/>
      <c r="N24" s="741">
        <v>1.0</v>
      </c>
      <c r="O24" s="742" t="s">
        <v>431</v>
      </c>
      <c r="P24" s="727">
        <f>M129</f>
        <v>1695</v>
      </c>
      <c r="Q24" s="704">
        <f>C149</f>
        <v>1698.09</v>
      </c>
      <c r="R24" s="704" t="str">
        <f>C146</f>
        <v/>
      </c>
      <c r="S24" s="704" t="str">
        <f>C147</f>
        <v/>
      </c>
      <c r="T24" s="743" t="str">
        <f>C148</f>
        <v/>
      </c>
      <c r="U24" s="743" t="str">
        <f>C150</f>
        <v/>
      </c>
      <c r="V24" s="145"/>
      <c r="W24" s="704">
        <f>G147</f>
        <v>5165.91</v>
      </c>
      <c r="X24" s="145"/>
      <c r="Y24" s="705"/>
    </row>
    <row r="25">
      <c r="A25" s="706"/>
      <c r="B25" s="667">
        <v>7048.0</v>
      </c>
      <c r="C25" s="918">
        <v>3269.43</v>
      </c>
      <c r="D25" s="11">
        <v>45994.0</v>
      </c>
      <c r="E25" s="10">
        <v>5.36733975E8</v>
      </c>
      <c r="F25" s="10" t="s">
        <v>1286</v>
      </c>
      <c r="G25" s="10" t="s">
        <v>1287</v>
      </c>
      <c r="H25" s="12">
        <v>0.0</v>
      </c>
      <c r="I25" s="13">
        <v>0.0</v>
      </c>
      <c r="J25" s="10" t="s">
        <v>1288</v>
      </c>
      <c r="K25" s="10" t="s">
        <v>175</v>
      </c>
      <c r="L25" s="714">
        <v>3819.0</v>
      </c>
      <c r="M25" s="10"/>
      <c r="N25" s="741">
        <v>2.0</v>
      </c>
      <c r="O25" s="744">
        <v>6960.0</v>
      </c>
      <c r="P25" s="727">
        <f>M160</f>
        <v>693</v>
      </c>
      <c r="Q25" s="704">
        <f>C180</f>
        <v>2063.2</v>
      </c>
      <c r="R25" s="704">
        <f>C177</f>
        <v>150</v>
      </c>
      <c r="S25" s="704">
        <f>C178</f>
        <v>400</v>
      </c>
      <c r="T25" s="704">
        <f>C179</f>
        <v>200</v>
      </c>
      <c r="U25" s="145"/>
      <c r="V25" s="145"/>
      <c r="W25" s="704">
        <f>G178</f>
        <v>5546.8</v>
      </c>
      <c r="X25" s="145" t="str">
        <f t="shared" ref="X25:Y25" si="2">J180</f>
        <v/>
      </c>
      <c r="Y25" s="718" t="str">
        <f t="shared" si="2"/>
        <v/>
      </c>
    </row>
    <row r="26">
      <c r="A26" s="706"/>
      <c r="B26" s="667">
        <v>7265.0</v>
      </c>
      <c r="C26" s="918">
        <v>2305.29</v>
      </c>
      <c r="D26" s="11">
        <v>45994.0</v>
      </c>
      <c r="E26" s="10">
        <v>5.36450046E8</v>
      </c>
      <c r="F26" s="10" t="s">
        <v>1289</v>
      </c>
      <c r="G26" s="10" t="s">
        <v>1290</v>
      </c>
      <c r="H26" s="12">
        <v>1500.0</v>
      </c>
      <c r="I26" s="13">
        <v>607.0</v>
      </c>
      <c r="J26" s="10" t="s">
        <v>1291</v>
      </c>
      <c r="K26" s="10" t="s">
        <v>1277</v>
      </c>
      <c r="L26" s="714">
        <v>8775.0</v>
      </c>
      <c r="M26" s="10"/>
      <c r="N26" s="741">
        <v>3.0</v>
      </c>
      <c r="O26" s="744">
        <v>7048.0</v>
      </c>
      <c r="P26" s="727">
        <f>M191</f>
        <v>1490</v>
      </c>
      <c r="Q26" s="704">
        <f>C211</f>
        <v>3269.43</v>
      </c>
      <c r="R26" s="704">
        <f>C177</f>
        <v>150</v>
      </c>
      <c r="S26" s="704">
        <f>C209</f>
        <v>400</v>
      </c>
      <c r="T26" s="704">
        <f>C210</f>
        <v>200</v>
      </c>
      <c r="U26" s="704" t="str">
        <f>C212</f>
        <v/>
      </c>
      <c r="V26" s="145"/>
      <c r="W26" s="704">
        <f>G209</f>
        <v>2809.37</v>
      </c>
      <c r="X26" s="145" t="str">
        <f t="shared" ref="X26:Y26" si="3">J211</f>
        <v/>
      </c>
      <c r="Y26" s="718" t="str">
        <f t="shared" si="3"/>
        <v/>
      </c>
    </row>
    <row r="27">
      <c r="A27" s="706"/>
      <c r="B27" s="667">
        <v>7352.0</v>
      </c>
      <c r="C27" s="918">
        <v>2751.8</v>
      </c>
      <c r="D27" s="11">
        <v>45994.0</v>
      </c>
      <c r="E27" s="10">
        <v>1544311.0</v>
      </c>
      <c r="F27" s="10" t="s">
        <v>1292</v>
      </c>
      <c r="G27" s="10" t="s">
        <v>1293</v>
      </c>
      <c r="H27" s="12">
        <v>2570.0</v>
      </c>
      <c r="I27" s="13">
        <v>999.0</v>
      </c>
      <c r="J27" s="10" t="s">
        <v>1294</v>
      </c>
      <c r="K27" s="10" t="s">
        <v>320</v>
      </c>
      <c r="L27" s="714">
        <v>9348.0</v>
      </c>
      <c r="M27" s="10"/>
      <c r="N27" s="741">
        <v>4.0</v>
      </c>
      <c r="O27" s="744">
        <v>7265.0</v>
      </c>
      <c r="P27" s="727">
        <f>M222</f>
        <v>921</v>
      </c>
      <c r="Q27" s="704">
        <f>C242</f>
        <v>2305.29</v>
      </c>
      <c r="R27" s="704" t="str">
        <f>C239</f>
        <v/>
      </c>
      <c r="S27" s="704" t="str">
        <f>C240</f>
        <v/>
      </c>
      <c r="T27" s="704" t="str">
        <f>C241</f>
        <v/>
      </c>
      <c r="U27" s="745" t="str">
        <f>C243</f>
        <v/>
      </c>
      <c r="V27" s="145"/>
      <c r="W27" s="704">
        <f>G240</f>
        <v>4523.51</v>
      </c>
      <c r="X27" s="145"/>
      <c r="Y27" s="705"/>
    </row>
    <row r="28">
      <c r="A28" s="706"/>
      <c r="B28" s="667">
        <v>7807.0</v>
      </c>
      <c r="C28" s="918">
        <v>2234.34</v>
      </c>
      <c r="D28" s="11">
        <v>45994.0</v>
      </c>
      <c r="E28" s="10">
        <v>1768827.0</v>
      </c>
      <c r="F28" s="10" t="s">
        <v>1295</v>
      </c>
      <c r="G28" s="10" t="s">
        <v>1296</v>
      </c>
      <c r="H28" s="12">
        <v>2900.0</v>
      </c>
      <c r="I28" s="13">
        <v>1386.0</v>
      </c>
      <c r="J28" s="10" t="s">
        <v>1297</v>
      </c>
      <c r="K28" s="10" t="s">
        <v>220</v>
      </c>
      <c r="L28" s="714">
        <v>6960.0</v>
      </c>
      <c r="M28" s="10"/>
      <c r="N28" s="741">
        <v>5.0</v>
      </c>
      <c r="O28" s="744">
        <v>3819.0</v>
      </c>
      <c r="P28" s="727">
        <f>M259</f>
        <v>4153</v>
      </c>
      <c r="Q28" s="126">
        <f>C273</f>
        <v>3868.15</v>
      </c>
      <c r="R28" s="704">
        <f>C270</f>
        <v>150</v>
      </c>
      <c r="S28" s="704">
        <f>C271</f>
        <v>400</v>
      </c>
      <c r="T28" s="704">
        <f>C272</f>
        <v>200</v>
      </c>
      <c r="U28" s="126" t="str">
        <f>C274</f>
        <v/>
      </c>
      <c r="V28" s="145"/>
      <c r="W28" s="704">
        <f>G271</f>
        <v>4269.85</v>
      </c>
      <c r="X28" s="145"/>
      <c r="Y28" s="705"/>
    </row>
    <row r="29">
      <c r="A29" s="706"/>
      <c r="B29" s="667">
        <v>8775.0</v>
      </c>
      <c r="C29" s="918">
        <v>509.59</v>
      </c>
      <c r="D29" s="11">
        <v>45994.0</v>
      </c>
      <c r="E29" s="10">
        <v>5.36539674E8</v>
      </c>
      <c r="F29" s="10" t="s">
        <v>1257</v>
      </c>
      <c r="G29" s="10" t="s">
        <v>1298</v>
      </c>
      <c r="H29" s="12">
        <v>2300.0</v>
      </c>
      <c r="I29" s="13">
        <v>1490.0</v>
      </c>
      <c r="J29" s="10" t="s">
        <v>1299</v>
      </c>
      <c r="K29" s="10" t="s">
        <v>249</v>
      </c>
      <c r="L29" s="714">
        <v>7048.0</v>
      </c>
      <c r="M29" s="10"/>
      <c r="N29" s="741">
        <v>6.0</v>
      </c>
      <c r="O29" s="744">
        <v>9348.0</v>
      </c>
      <c r="P29" s="727">
        <f>M290</f>
        <v>3858</v>
      </c>
      <c r="Q29" s="704" t="str">
        <f>C304</f>
        <v>#N/A</v>
      </c>
      <c r="R29" s="704" t="str">
        <f>C301</f>
        <v/>
      </c>
      <c r="S29" s="704" t="str">
        <f>C302</f>
        <v/>
      </c>
      <c r="T29" s="704" t="str">
        <f>C303</f>
        <v/>
      </c>
      <c r="U29" s="704" t="str">
        <f>C305</f>
        <v/>
      </c>
      <c r="V29" s="145"/>
      <c r="W29" s="704" t="str">
        <f>G302</f>
        <v>#N/A</v>
      </c>
      <c r="X29" s="145"/>
      <c r="Y29" s="705"/>
    </row>
    <row r="30">
      <c r="A30" s="706"/>
      <c r="B30" s="667">
        <v>9334.0</v>
      </c>
      <c r="C30" s="918">
        <v>1820.77</v>
      </c>
      <c r="D30" s="11">
        <v>45994.0</v>
      </c>
      <c r="E30" s="10">
        <v>7295292.0</v>
      </c>
      <c r="F30" s="10" t="s">
        <v>1300</v>
      </c>
      <c r="G30" s="10" t="s">
        <v>1301</v>
      </c>
      <c r="H30" s="12">
        <v>2600.0</v>
      </c>
      <c r="I30" s="13">
        <v>1569.0</v>
      </c>
      <c r="J30" s="10" t="s">
        <v>1302</v>
      </c>
      <c r="K30" s="10" t="s">
        <v>132</v>
      </c>
      <c r="L30" s="714">
        <v>2890.0</v>
      </c>
      <c r="M30" s="10"/>
      <c r="N30" s="741">
        <v>7.0</v>
      </c>
      <c r="O30" s="744">
        <v>7807.0</v>
      </c>
      <c r="P30" s="727">
        <f>M321</f>
        <v>3234</v>
      </c>
      <c r="Q30" s="704">
        <f>C335</f>
        <v>2234.34</v>
      </c>
      <c r="R30" s="704" t="str">
        <f>C332</f>
        <v/>
      </c>
      <c r="S30" s="704" t="str">
        <f>C333</f>
        <v/>
      </c>
      <c r="T30" s="704" t="str">
        <f>C334</f>
        <v/>
      </c>
      <c r="U30" s="704" t="str">
        <f>C336</f>
        <v/>
      </c>
      <c r="V30" s="145"/>
      <c r="W30" s="704">
        <f>G333</f>
        <v>3415.26</v>
      </c>
      <c r="X30" s="145"/>
      <c r="Y30" s="705"/>
    </row>
    <row r="31">
      <c r="A31" s="706"/>
      <c r="B31" s="667">
        <v>9348.0</v>
      </c>
      <c r="C31" s="918">
        <v>2541.51</v>
      </c>
      <c r="D31" s="11">
        <v>45994.0</v>
      </c>
      <c r="E31" s="10">
        <v>5.36886547E8</v>
      </c>
      <c r="F31" s="10" t="s">
        <v>1303</v>
      </c>
      <c r="G31" s="10" t="s">
        <v>1304</v>
      </c>
      <c r="H31" s="12">
        <v>3250.0</v>
      </c>
      <c r="I31" s="13">
        <v>1310.0</v>
      </c>
      <c r="J31" s="10" t="s">
        <v>1305</v>
      </c>
      <c r="K31" s="10" t="s">
        <v>1236</v>
      </c>
      <c r="L31" s="714">
        <v>2932.0</v>
      </c>
      <c r="M31" s="10"/>
      <c r="N31" s="741">
        <v>8.0</v>
      </c>
      <c r="O31" s="744">
        <v>2693.0</v>
      </c>
      <c r="P31" s="727">
        <f>M352</f>
        <v>3216</v>
      </c>
      <c r="Q31" s="704">
        <f>C366</f>
        <v>3028.15</v>
      </c>
      <c r="R31" s="704">
        <f>C363</f>
        <v>150</v>
      </c>
      <c r="S31" s="704">
        <f>C364</f>
        <v>400</v>
      </c>
      <c r="T31" s="704">
        <f>C365</f>
        <v>200</v>
      </c>
      <c r="U31" s="704" t="str">
        <f>C367</f>
        <v/>
      </c>
      <c r="V31" s="145"/>
      <c r="W31" s="704">
        <f>G364</f>
        <v>2381.85</v>
      </c>
      <c r="X31" s="145"/>
      <c r="Y31" s="705"/>
    </row>
    <row r="32">
      <c r="A32" s="706"/>
      <c r="B32" s="667">
        <v>9617.0</v>
      </c>
      <c r="C32" s="918">
        <v>1600.39</v>
      </c>
      <c r="D32" s="11">
        <v>45994.0</v>
      </c>
      <c r="E32" s="10">
        <v>2.0755319E7</v>
      </c>
      <c r="F32" s="10" t="s">
        <v>1306</v>
      </c>
      <c r="G32" s="10" t="s">
        <v>1307</v>
      </c>
      <c r="H32" s="12">
        <v>7000.0</v>
      </c>
      <c r="I32" s="13">
        <v>3216.0</v>
      </c>
      <c r="J32" s="10" t="s">
        <v>1308</v>
      </c>
      <c r="K32" s="10" t="s">
        <v>115</v>
      </c>
      <c r="L32" s="714">
        <v>2693.0</v>
      </c>
      <c r="M32" s="10"/>
      <c r="N32" s="741">
        <v>9.0</v>
      </c>
      <c r="O32" s="744">
        <v>9334.0</v>
      </c>
      <c r="P32" s="727">
        <f>M383</f>
        <v>3060</v>
      </c>
      <c r="Q32" s="704">
        <f>C397</f>
        <v>1820.77</v>
      </c>
      <c r="R32" s="704">
        <f>C394</f>
        <v>150</v>
      </c>
      <c r="S32" s="704">
        <f>C395</f>
        <v>400</v>
      </c>
      <c r="T32" s="704">
        <f>C396</f>
        <v>200</v>
      </c>
      <c r="U32" s="704" t="str">
        <f>C398</f>
        <v/>
      </c>
      <c r="V32" s="145"/>
      <c r="W32" s="704">
        <f>G395</f>
        <v>2533.23</v>
      </c>
      <c r="X32" s="145"/>
      <c r="Y32" s="705"/>
    </row>
    <row r="33">
      <c r="A33" s="706"/>
      <c r="B33" s="946"/>
      <c r="C33" s="947">
        <f>SUM(C4:C32)</f>
        <v>55649.05</v>
      </c>
      <c r="D33" s="11">
        <v>45994.0</v>
      </c>
      <c r="E33" s="10">
        <v>5.36865212E8</v>
      </c>
      <c r="F33" s="10" t="s">
        <v>1309</v>
      </c>
      <c r="G33" s="10" t="s">
        <v>1310</v>
      </c>
      <c r="H33" s="12">
        <v>1210.0</v>
      </c>
      <c r="I33" s="13">
        <v>921.0</v>
      </c>
      <c r="J33" s="10" t="s">
        <v>1311</v>
      </c>
      <c r="K33" s="10" t="s">
        <v>262</v>
      </c>
      <c r="L33" s="714">
        <v>7265.0</v>
      </c>
      <c r="M33" s="10"/>
      <c r="N33" s="741">
        <v>10.0</v>
      </c>
      <c r="O33" s="744">
        <v>2890.0</v>
      </c>
      <c r="P33" s="727">
        <f>M414</f>
        <v>3845</v>
      </c>
      <c r="Q33" s="704">
        <f>C428</f>
        <v>2271.37</v>
      </c>
      <c r="R33" s="704">
        <f>C425</f>
        <v>150</v>
      </c>
      <c r="S33" s="704">
        <f>C426</f>
        <v>400</v>
      </c>
      <c r="T33" s="704">
        <f>C427</f>
        <v>200</v>
      </c>
      <c r="U33" s="745" t="str">
        <f>C429</f>
        <v/>
      </c>
      <c r="V33" s="128"/>
      <c r="W33" s="704">
        <f>G426</f>
        <v>3157.63</v>
      </c>
      <c r="X33" s="128"/>
      <c r="Y33" s="715"/>
    </row>
    <row r="34">
      <c r="A34" s="706"/>
      <c r="D34" s="11">
        <v>45994.0</v>
      </c>
      <c r="E34" s="10">
        <v>2802238.0</v>
      </c>
      <c r="F34" s="10" t="s">
        <v>1312</v>
      </c>
      <c r="G34" s="10" t="s">
        <v>1313</v>
      </c>
      <c r="H34" s="12">
        <v>700.0</v>
      </c>
      <c r="I34" s="13">
        <v>270.0</v>
      </c>
      <c r="J34" s="10" t="s">
        <v>1314</v>
      </c>
      <c r="K34" s="10" t="s">
        <v>980</v>
      </c>
      <c r="L34" s="714">
        <v>6338.0</v>
      </c>
      <c r="M34" s="10"/>
      <c r="N34" s="741">
        <v>11.0</v>
      </c>
      <c r="O34" s="744">
        <v>2316.0</v>
      </c>
      <c r="P34" s="727">
        <f>M445</f>
        <v>3325</v>
      </c>
      <c r="Q34" s="704">
        <f>C459</f>
        <v>2705.16</v>
      </c>
      <c r="R34" s="704">
        <f>C456</f>
        <v>150</v>
      </c>
      <c r="S34" s="704">
        <f>C457</f>
        <v>400</v>
      </c>
      <c r="T34" s="704">
        <f>C458</f>
        <v>200</v>
      </c>
      <c r="U34" s="717" t="str">
        <f>C460</f>
        <v/>
      </c>
      <c r="V34" s="126"/>
      <c r="W34" s="704">
        <f>G457</f>
        <v>2946.84</v>
      </c>
      <c r="X34" s="145"/>
      <c r="Y34" s="705"/>
    </row>
    <row r="35">
      <c r="A35" s="706"/>
      <c r="D35" s="11">
        <v>45994.0</v>
      </c>
      <c r="E35" s="10">
        <v>2891394.0</v>
      </c>
      <c r="F35" s="10" t="s">
        <v>1315</v>
      </c>
      <c r="G35" s="10" t="s">
        <v>1316</v>
      </c>
      <c r="H35" s="12">
        <v>685.0</v>
      </c>
      <c r="I35" s="13">
        <v>337.0</v>
      </c>
      <c r="J35" s="10" t="s">
        <v>1317</v>
      </c>
      <c r="K35" s="10" t="s">
        <v>197</v>
      </c>
      <c r="L35" s="714">
        <v>6643.0</v>
      </c>
      <c r="M35" s="10"/>
      <c r="N35" s="741">
        <v>12.0</v>
      </c>
      <c r="O35" s="744">
        <v>2774.0</v>
      </c>
      <c r="P35" s="727">
        <f>M476</f>
        <v>1249</v>
      </c>
      <c r="Q35" s="704">
        <f>C490</f>
        <v>1008.13</v>
      </c>
      <c r="R35" s="704">
        <f>C487</f>
        <v>150</v>
      </c>
      <c r="S35" s="704">
        <f>C488</f>
        <v>400</v>
      </c>
      <c r="T35" s="704">
        <f>C489</f>
        <v>200</v>
      </c>
      <c r="U35" s="704" t="str">
        <f>C491</f>
        <v/>
      </c>
      <c r="V35" s="145"/>
      <c r="W35" s="704">
        <f>G488</f>
        <v>955.87</v>
      </c>
      <c r="X35" s="145"/>
      <c r="Y35" s="705"/>
    </row>
    <row r="36">
      <c r="A36" s="706"/>
      <c r="D36" s="11">
        <v>45994.0</v>
      </c>
      <c r="E36" s="10">
        <v>5.3602887E8</v>
      </c>
      <c r="F36" s="10" t="s">
        <v>1318</v>
      </c>
      <c r="G36" s="10" t="s">
        <v>1319</v>
      </c>
      <c r="H36" s="12">
        <v>4300.0</v>
      </c>
      <c r="I36" s="13">
        <v>1558.0</v>
      </c>
      <c r="J36" s="10" t="s">
        <v>1320</v>
      </c>
      <c r="K36" s="10" t="s">
        <v>337</v>
      </c>
      <c r="L36" s="714">
        <v>9617.0</v>
      </c>
      <c r="M36" s="10"/>
      <c r="N36" s="741">
        <v>13.0</v>
      </c>
      <c r="O36" s="742" t="s">
        <v>973</v>
      </c>
      <c r="P36" s="711">
        <f>M507</f>
        <v>2849</v>
      </c>
      <c r="Q36" s="704">
        <f>C521</f>
        <v>2197.83</v>
      </c>
      <c r="R36" s="704">
        <f>C518</f>
        <v>150</v>
      </c>
      <c r="S36" s="704">
        <f>C519</f>
        <v>400</v>
      </c>
      <c r="T36" s="704">
        <f>C520</f>
        <v>200</v>
      </c>
      <c r="U36" s="717" t="str">
        <f>C522</f>
        <v/>
      </c>
      <c r="V36" s="145"/>
      <c r="W36" s="704">
        <f>G519</f>
        <v>2010.17</v>
      </c>
      <c r="X36" s="145"/>
      <c r="Y36" s="705"/>
    </row>
    <row r="37">
      <c r="A37" s="706"/>
      <c r="D37" s="11">
        <v>45994.0</v>
      </c>
      <c r="E37" s="10">
        <v>2.0657543E7</v>
      </c>
      <c r="F37" s="10" t="s">
        <v>133</v>
      </c>
      <c r="G37" s="10" t="s">
        <v>134</v>
      </c>
      <c r="H37" s="12">
        <v>2400.0</v>
      </c>
      <c r="I37" s="13">
        <v>800.0</v>
      </c>
      <c r="J37" s="10" t="s">
        <v>1321</v>
      </c>
      <c r="K37" s="10" t="s">
        <v>175</v>
      </c>
      <c r="L37" s="714">
        <v>3819.0</v>
      </c>
      <c r="M37" s="10"/>
      <c r="N37" s="741">
        <v>14.0</v>
      </c>
      <c r="O37" s="744">
        <v>3301.0</v>
      </c>
      <c r="P37" s="711">
        <f>M538</f>
        <v>4562</v>
      </c>
      <c r="Q37" s="704">
        <f>C552</f>
        <v>3267.16</v>
      </c>
      <c r="R37" s="704">
        <f>C549</f>
        <v>150</v>
      </c>
      <c r="S37" s="704">
        <f>C550</f>
        <v>400</v>
      </c>
      <c r="T37" s="704">
        <f>C551</f>
        <v>200</v>
      </c>
      <c r="U37" s="704" t="str">
        <f>C553</f>
        <v/>
      </c>
      <c r="V37" s="145"/>
      <c r="W37" s="704">
        <f>G550</f>
        <v>3770.84</v>
      </c>
      <c r="X37" s="145"/>
      <c r="Y37" s="705"/>
    </row>
    <row r="38">
      <c r="A38" s="706"/>
      <c r="D38" s="11">
        <v>45994.0</v>
      </c>
      <c r="E38" s="10">
        <v>2.0657543E7</v>
      </c>
      <c r="F38" s="10" t="s">
        <v>133</v>
      </c>
      <c r="G38" s="10" t="s">
        <v>134</v>
      </c>
      <c r="H38" s="12">
        <v>0.0</v>
      </c>
      <c r="I38" s="13">
        <v>0.0</v>
      </c>
      <c r="J38" s="10" t="s">
        <v>1322</v>
      </c>
      <c r="K38" s="708"/>
      <c r="L38" s="709"/>
      <c r="M38" s="10"/>
      <c r="N38" s="741">
        <v>15.0</v>
      </c>
      <c r="O38" s="742" t="s">
        <v>513</v>
      </c>
      <c r="P38" s="145" t="str">
        <f>M569</f>
        <v>#N/A</v>
      </c>
      <c r="Q38" s="704" t="str">
        <f>C583</f>
        <v>#N/A</v>
      </c>
      <c r="R38" s="704" t="str">
        <f>C580</f>
        <v/>
      </c>
      <c r="S38" s="704" t="str">
        <f>C581</f>
        <v/>
      </c>
      <c r="T38" s="704" t="str">
        <f>C582</f>
        <v/>
      </c>
      <c r="U38" s="717" t="str">
        <f>C584</f>
        <v/>
      </c>
      <c r="V38" s="126"/>
      <c r="W38" s="704" t="str">
        <f>G581</f>
        <v>#N/A</v>
      </c>
      <c r="X38" s="126"/>
      <c r="Y38" s="748"/>
    </row>
    <row r="39">
      <c r="A39" s="706"/>
      <c r="D39" s="11">
        <v>45995.0</v>
      </c>
      <c r="E39" s="10">
        <v>6.5333448E7</v>
      </c>
      <c r="F39" s="10" t="s">
        <v>1323</v>
      </c>
      <c r="G39" s="10" t="s">
        <v>1324</v>
      </c>
      <c r="H39" s="12">
        <v>1200.0</v>
      </c>
      <c r="I39" s="13">
        <v>282.0</v>
      </c>
      <c r="J39" s="10" t="s">
        <v>1325</v>
      </c>
      <c r="K39" s="10" t="s">
        <v>1028</v>
      </c>
      <c r="L39" s="714">
        <v>6339.0</v>
      </c>
      <c r="M39" s="10"/>
      <c r="N39" s="741">
        <v>16.0</v>
      </c>
      <c r="O39" s="744">
        <v>2516.0</v>
      </c>
      <c r="P39" s="145" t="str">
        <f>M600</f>
        <v>#N/A</v>
      </c>
      <c r="Q39" s="704" t="str">
        <f>C614</f>
        <v>#N/A</v>
      </c>
      <c r="R39" s="704">
        <f>C611</f>
        <v>150</v>
      </c>
      <c r="S39" s="704">
        <f>C612</f>
        <v>400</v>
      </c>
      <c r="T39" s="704">
        <f>C613</f>
        <v>200</v>
      </c>
      <c r="U39" s="704" t="str">
        <f>C615</f>
        <v/>
      </c>
      <c r="V39" s="145"/>
      <c r="W39" s="704" t="str">
        <f>G612</f>
        <v>#N/A</v>
      </c>
      <c r="X39" s="145"/>
      <c r="Y39" s="705"/>
    </row>
    <row r="40">
      <c r="A40" s="706"/>
      <c r="D40" s="11">
        <v>45995.0</v>
      </c>
      <c r="E40" s="10">
        <v>5570975.0</v>
      </c>
      <c r="F40" s="10" t="s">
        <v>1326</v>
      </c>
      <c r="G40" s="10" t="s">
        <v>1327</v>
      </c>
      <c r="H40" s="12">
        <v>5400.0</v>
      </c>
      <c r="I40" s="13">
        <v>2927.0</v>
      </c>
      <c r="J40" s="10" t="s">
        <v>1328</v>
      </c>
      <c r="K40" s="10" t="s">
        <v>980</v>
      </c>
      <c r="L40" s="714">
        <v>6338.0</v>
      </c>
      <c r="M40" s="10"/>
      <c r="N40" s="741">
        <v>17.0</v>
      </c>
      <c r="O40" s="742" t="s">
        <v>982</v>
      </c>
      <c r="P40" s="711">
        <f>M631</f>
        <v>1707</v>
      </c>
      <c r="Q40" s="704" t="str">
        <f>C645</f>
        <v>#N/A</v>
      </c>
      <c r="R40" s="704">
        <f>C642</f>
        <v>150</v>
      </c>
      <c r="S40" s="704">
        <f>C643</f>
        <v>400</v>
      </c>
      <c r="T40" s="704">
        <f>C644</f>
        <v>200</v>
      </c>
      <c r="U40" s="704" t="str">
        <f>C646</f>
        <v/>
      </c>
      <c r="V40" s="126"/>
      <c r="W40" s="704" t="str">
        <f>G643</f>
        <v>#N/A</v>
      </c>
      <c r="X40" s="145"/>
      <c r="Y40" s="705"/>
    </row>
    <row r="41">
      <c r="A41" s="706"/>
      <c r="D41" s="11">
        <v>45995.0</v>
      </c>
      <c r="E41" s="10" t="s">
        <v>1329</v>
      </c>
      <c r="F41" s="10" t="s">
        <v>1330</v>
      </c>
      <c r="G41" s="10" t="s">
        <v>1331</v>
      </c>
      <c r="H41" s="12">
        <v>0.0</v>
      </c>
      <c r="I41" s="13">
        <v>0.0</v>
      </c>
      <c r="J41" s="10" t="s">
        <v>1332</v>
      </c>
      <c r="K41" s="10" t="s">
        <v>1028</v>
      </c>
      <c r="L41" s="714">
        <v>6339.0</v>
      </c>
      <c r="M41" s="10"/>
      <c r="N41" s="741">
        <v>18.0</v>
      </c>
      <c r="O41" s="744">
        <v>6643.0</v>
      </c>
      <c r="P41" s="711">
        <f>M662</f>
        <v>2888</v>
      </c>
      <c r="Q41" s="704">
        <f>C676</f>
        <v>1595.61</v>
      </c>
      <c r="R41" s="704">
        <f>C673</f>
        <v>150</v>
      </c>
      <c r="S41" s="704">
        <f>C674</f>
        <v>400</v>
      </c>
      <c r="T41" s="704" t="str">
        <f>C675</f>
        <v/>
      </c>
      <c r="U41" s="704" t="str">
        <f>C677</f>
        <v/>
      </c>
      <c r="V41" s="145"/>
      <c r="W41" s="704">
        <f>G674</f>
        <v>4749.19</v>
      </c>
      <c r="X41" s="145"/>
      <c r="Y41" s="705"/>
    </row>
    <row r="42">
      <c r="A42" s="706"/>
      <c r="D42" s="11">
        <v>45995.0</v>
      </c>
      <c r="E42" s="10">
        <v>8037078.0</v>
      </c>
      <c r="F42" s="10" t="s">
        <v>1333</v>
      </c>
      <c r="G42" s="10" t="s">
        <v>1334</v>
      </c>
      <c r="H42" s="12">
        <v>6600.0</v>
      </c>
      <c r="I42" s="13">
        <v>2792.0</v>
      </c>
      <c r="J42" s="10" t="s">
        <v>1335</v>
      </c>
      <c r="K42" s="10" t="s">
        <v>175</v>
      </c>
      <c r="L42" s="714">
        <v>3819.0</v>
      </c>
      <c r="M42" s="10"/>
      <c r="N42" s="741">
        <v>19.0</v>
      </c>
      <c r="O42" s="744">
        <v>7352.0</v>
      </c>
      <c r="P42" s="711">
        <f>M693</f>
        <v>3905</v>
      </c>
      <c r="Q42" s="704">
        <f>C707</f>
        <v>2751.8</v>
      </c>
      <c r="R42" s="704">
        <f>C704</f>
        <v>150</v>
      </c>
      <c r="S42" s="704">
        <f>C705</f>
        <v>400</v>
      </c>
      <c r="T42" s="704">
        <f>C706</f>
        <v>200</v>
      </c>
      <c r="U42" s="704" t="str">
        <f>C708</f>
        <v/>
      </c>
      <c r="V42" s="126"/>
      <c r="W42" s="704">
        <f>G705</f>
        <v>3876.2</v>
      </c>
      <c r="X42" s="145"/>
      <c r="Y42" s="705"/>
    </row>
    <row r="43">
      <c r="A43" s="706"/>
      <c r="D43" s="11">
        <v>45995.0</v>
      </c>
      <c r="E43" s="10">
        <v>123519.0</v>
      </c>
      <c r="F43" s="10" t="s">
        <v>1336</v>
      </c>
      <c r="G43" s="10" t="s">
        <v>1337</v>
      </c>
      <c r="H43" s="12">
        <v>2100.0</v>
      </c>
      <c r="I43" s="13">
        <v>1203.0</v>
      </c>
      <c r="J43" s="10" t="s">
        <v>1338</v>
      </c>
      <c r="K43" s="10" t="s">
        <v>162</v>
      </c>
      <c r="L43" s="714">
        <v>3403.0</v>
      </c>
      <c r="M43" s="10"/>
      <c r="N43" s="741">
        <v>20.0</v>
      </c>
      <c r="O43" s="744">
        <v>3881.0</v>
      </c>
      <c r="P43" s="711">
        <f>M724</f>
        <v>1130</v>
      </c>
      <c r="Q43" s="704">
        <f>C738</f>
        <v>991.48</v>
      </c>
      <c r="R43" s="704">
        <f>C735</f>
        <v>150</v>
      </c>
      <c r="S43" s="704">
        <f>C736</f>
        <v>400</v>
      </c>
      <c r="T43" s="704" t="str">
        <f>C737</f>
        <v/>
      </c>
      <c r="U43" s="704" t="str">
        <f>C739</f>
        <v/>
      </c>
      <c r="V43" s="145"/>
      <c r="W43" s="704">
        <f>G736</f>
        <v>922.52</v>
      </c>
      <c r="X43" s="145"/>
      <c r="Y43" s="705"/>
    </row>
    <row r="44">
      <c r="A44" s="706"/>
      <c r="D44" s="11">
        <v>45995.0</v>
      </c>
      <c r="E44" s="10">
        <v>4226036.0</v>
      </c>
      <c r="F44" s="10" t="s">
        <v>1339</v>
      </c>
      <c r="G44" s="10" t="s">
        <v>1340</v>
      </c>
      <c r="H44" s="12">
        <v>4500.0</v>
      </c>
      <c r="I44" s="13">
        <v>1956.0</v>
      </c>
      <c r="J44" s="10" t="s">
        <v>1341</v>
      </c>
      <c r="K44" s="10" t="s">
        <v>220</v>
      </c>
      <c r="L44" s="714">
        <v>6960.0</v>
      </c>
      <c r="M44" s="10"/>
      <c r="N44" s="741">
        <v>21.0</v>
      </c>
      <c r="O44" s="744">
        <v>3866.0</v>
      </c>
      <c r="P44" s="711">
        <f>M755</f>
        <v>1034</v>
      </c>
      <c r="Q44" s="704">
        <f>C769</f>
        <v>754.35</v>
      </c>
      <c r="R44" s="704">
        <f>C766</f>
        <v>100</v>
      </c>
      <c r="S44" s="704">
        <f>C767</f>
        <v>400</v>
      </c>
      <c r="T44" s="704">
        <f>C768</f>
        <v>200</v>
      </c>
      <c r="U44" s="704" t="str">
        <f>C770</f>
        <v/>
      </c>
      <c r="V44" s="145"/>
      <c r="W44" s="704">
        <f>G767</f>
        <v>1207.65</v>
      </c>
      <c r="X44" s="126"/>
      <c r="Y44" s="748"/>
    </row>
    <row r="45">
      <c r="A45" s="706"/>
      <c r="D45" s="11">
        <v>45995.0</v>
      </c>
      <c r="E45" s="10">
        <v>2183669.0</v>
      </c>
      <c r="F45" s="10" t="s">
        <v>1342</v>
      </c>
      <c r="G45" s="10" t="s">
        <v>1343</v>
      </c>
      <c r="H45" s="12">
        <v>1450.0</v>
      </c>
      <c r="I45" s="13">
        <v>645.0</v>
      </c>
      <c r="J45" s="10" t="s">
        <v>1344</v>
      </c>
      <c r="K45" s="10" t="s">
        <v>197</v>
      </c>
      <c r="L45" s="714">
        <v>6643.0</v>
      </c>
      <c r="M45" s="10"/>
      <c r="N45" s="741">
        <v>22.0</v>
      </c>
      <c r="O45" s="744">
        <v>2675.0</v>
      </c>
      <c r="P45" s="711">
        <f>M786</f>
        <v>1119</v>
      </c>
      <c r="Q45" s="704">
        <f>C800</f>
        <v>607.22</v>
      </c>
      <c r="R45" s="704">
        <f>C797</f>
        <v>100</v>
      </c>
      <c r="S45" s="704">
        <f>C798</f>
        <v>400</v>
      </c>
      <c r="T45" s="704">
        <f>C799</f>
        <v>200</v>
      </c>
      <c r="U45" s="704" t="str">
        <f>C801</f>
        <v/>
      </c>
      <c r="V45" s="145"/>
      <c r="W45" s="704">
        <f>G798</f>
        <v>12.78</v>
      </c>
      <c r="X45" s="145"/>
      <c r="Y45" s="705"/>
    </row>
    <row r="46">
      <c r="A46" s="706"/>
      <c r="D46" s="11">
        <v>45995.0</v>
      </c>
      <c r="E46" s="10">
        <v>1518475.0</v>
      </c>
      <c r="F46" s="10" t="s">
        <v>1345</v>
      </c>
      <c r="G46" s="10" t="s">
        <v>282</v>
      </c>
      <c r="H46" s="12">
        <v>3000.0</v>
      </c>
      <c r="I46" s="13">
        <v>1093.0</v>
      </c>
      <c r="J46" s="10" t="s">
        <v>1346</v>
      </c>
      <c r="K46" s="10" t="s">
        <v>153</v>
      </c>
      <c r="L46" s="714">
        <v>3301.0</v>
      </c>
      <c r="M46" s="10"/>
      <c r="N46" s="741">
        <v>23.0</v>
      </c>
      <c r="O46" s="744">
        <v>6339.0</v>
      </c>
      <c r="P46" s="711">
        <f>M817</f>
        <v>2931</v>
      </c>
      <c r="Q46" s="704">
        <f>C831</f>
        <v>2400.99</v>
      </c>
      <c r="R46" s="704">
        <f>C828</f>
        <v>150</v>
      </c>
      <c r="S46" s="704">
        <f>C829</f>
        <v>400</v>
      </c>
      <c r="T46" s="704" t="str">
        <f>C830</f>
        <v/>
      </c>
      <c r="U46" s="704" t="str">
        <f>C832</f>
        <v/>
      </c>
      <c r="V46" s="145"/>
      <c r="W46" s="704">
        <f>G829</f>
        <v>454.61</v>
      </c>
      <c r="X46" s="145"/>
      <c r="Y46" s="705"/>
    </row>
    <row r="47">
      <c r="A47" s="706"/>
      <c r="D47" s="11">
        <v>45995.0</v>
      </c>
      <c r="E47" s="10" t="s">
        <v>1347</v>
      </c>
      <c r="F47" s="10" t="s">
        <v>1260</v>
      </c>
      <c r="G47" s="10" t="s">
        <v>1348</v>
      </c>
      <c r="H47" s="12">
        <v>2100.0</v>
      </c>
      <c r="I47" s="13">
        <v>1236.0</v>
      </c>
      <c r="J47" s="10" t="s">
        <v>1349</v>
      </c>
      <c r="K47" s="10" t="s">
        <v>28</v>
      </c>
      <c r="L47" s="714">
        <v>2653.0</v>
      </c>
      <c r="M47" s="10"/>
      <c r="N47" s="741">
        <v>24.0</v>
      </c>
      <c r="O47" s="744">
        <v>6813.0</v>
      </c>
      <c r="P47" s="711">
        <f>M848</f>
        <v>1476</v>
      </c>
      <c r="Q47" s="704">
        <f>C862</f>
        <v>1077.11</v>
      </c>
      <c r="R47" s="704">
        <f>C859</f>
        <v>150</v>
      </c>
      <c r="S47" s="704">
        <f>C860</f>
        <v>400</v>
      </c>
      <c r="T47" s="704" t="str">
        <f>C861</f>
        <v/>
      </c>
      <c r="U47" s="704" t="str">
        <f>C863</f>
        <v/>
      </c>
      <c r="V47" s="145"/>
      <c r="W47" s="704">
        <f>G860</f>
        <v>1166.89</v>
      </c>
      <c r="X47" s="145"/>
      <c r="Y47" s="705"/>
    </row>
    <row r="48">
      <c r="A48" s="706"/>
      <c r="D48" s="11">
        <v>45995.0</v>
      </c>
      <c r="E48" s="10">
        <v>2902579.0</v>
      </c>
      <c r="F48" s="10" t="s">
        <v>282</v>
      </c>
      <c r="G48" s="10" t="s">
        <v>1350</v>
      </c>
      <c r="H48" s="12">
        <v>950.0</v>
      </c>
      <c r="I48" s="13">
        <v>464.0</v>
      </c>
      <c r="J48" s="10" t="s">
        <v>1351</v>
      </c>
      <c r="K48" s="10" t="s">
        <v>274</v>
      </c>
      <c r="L48" s="714">
        <v>7352.0</v>
      </c>
      <c r="M48" s="10"/>
      <c r="N48" s="741">
        <v>25.0</v>
      </c>
      <c r="O48" s="744">
        <v>6338.0</v>
      </c>
      <c r="P48" s="711">
        <f>M879</f>
        <v>4939</v>
      </c>
      <c r="Q48" s="704">
        <f>C893</f>
        <v>3346.01</v>
      </c>
      <c r="R48" s="704">
        <f>C890</f>
        <v>150</v>
      </c>
      <c r="S48" s="704">
        <f>C891</f>
        <v>400</v>
      </c>
      <c r="T48" s="704" t="str">
        <f>C892</f>
        <v/>
      </c>
      <c r="U48" s="704">
        <f>C894</f>
        <v>744.62</v>
      </c>
      <c r="V48" s="145"/>
      <c r="W48" s="704">
        <f>G891</f>
        <v>2024.96</v>
      </c>
      <c r="X48" s="145"/>
      <c r="Y48" s="705"/>
    </row>
    <row r="49">
      <c r="A49" s="706"/>
      <c r="D49" s="11">
        <v>45995.0</v>
      </c>
      <c r="E49" s="10">
        <v>5.36552324E8</v>
      </c>
      <c r="F49" s="10" t="s">
        <v>1352</v>
      </c>
      <c r="G49" s="10" t="s">
        <v>1353</v>
      </c>
      <c r="H49" s="12">
        <v>820.0</v>
      </c>
      <c r="I49" s="13">
        <v>551.0</v>
      </c>
      <c r="J49" s="10" t="s">
        <v>1354</v>
      </c>
      <c r="K49" s="10" t="s">
        <v>287</v>
      </c>
      <c r="L49" s="714">
        <v>7807.0</v>
      </c>
      <c r="M49" s="10"/>
      <c r="N49" s="741">
        <v>26.0</v>
      </c>
      <c r="O49" s="744">
        <v>9617.0</v>
      </c>
      <c r="P49" s="711">
        <f>M910</f>
        <v>2350</v>
      </c>
      <c r="Q49" s="704" t="str">
        <f>C924</f>
        <v>#N/A</v>
      </c>
      <c r="R49" s="704">
        <f>C921</f>
        <v>150</v>
      </c>
      <c r="S49" s="704">
        <f>C922</f>
        <v>400</v>
      </c>
      <c r="T49" s="704">
        <f>C923</f>
        <v>200</v>
      </c>
      <c r="U49" s="704" t="str">
        <f>C925</f>
        <v/>
      </c>
      <c r="V49" s="145"/>
      <c r="W49" s="704" t="str">
        <f>G922</f>
        <v>#N/A</v>
      </c>
      <c r="X49" s="145"/>
      <c r="Y49" s="705"/>
    </row>
    <row r="50">
      <c r="A50" s="706"/>
      <c r="D50" s="11">
        <v>45995.0</v>
      </c>
      <c r="E50" s="10">
        <v>8033307.0</v>
      </c>
      <c r="F50" s="10" t="s">
        <v>1355</v>
      </c>
      <c r="G50" s="10" t="s">
        <v>1356</v>
      </c>
      <c r="H50" s="12">
        <v>150.0</v>
      </c>
      <c r="I50" s="13">
        <v>7.0</v>
      </c>
      <c r="J50" s="10" t="s">
        <v>1357</v>
      </c>
      <c r="K50" s="10" t="s">
        <v>287</v>
      </c>
      <c r="L50" s="714">
        <v>7807.0</v>
      </c>
      <c r="M50" s="10"/>
      <c r="N50" s="741">
        <v>27.0</v>
      </c>
      <c r="O50" s="744">
        <v>3403.0</v>
      </c>
      <c r="P50" s="711">
        <f>M941</f>
        <v>2387</v>
      </c>
      <c r="Q50" s="704">
        <f>C955</f>
        <v>1514.77</v>
      </c>
      <c r="R50" s="704">
        <f>C952</f>
        <v>150</v>
      </c>
      <c r="S50" s="704">
        <f>C953</f>
        <v>400</v>
      </c>
      <c r="T50" s="704">
        <f>C954</f>
        <v>200</v>
      </c>
      <c r="U50" s="704" t="str">
        <f>C956</f>
        <v/>
      </c>
      <c r="V50" s="145"/>
      <c r="W50" s="704">
        <f>G953</f>
        <v>1651.23</v>
      </c>
      <c r="X50" s="145"/>
      <c r="Y50" s="705"/>
    </row>
    <row r="51">
      <c r="A51" s="706"/>
      <c r="D51" s="11">
        <v>45995.0</v>
      </c>
      <c r="E51" s="10" t="s">
        <v>1358</v>
      </c>
      <c r="F51" s="10" t="s">
        <v>1359</v>
      </c>
      <c r="G51" s="10" t="s">
        <v>1360</v>
      </c>
      <c r="H51" s="12">
        <v>675.0</v>
      </c>
      <c r="I51" s="13">
        <v>369.0</v>
      </c>
      <c r="J51" s="10" t="s">
        <v>1361</v>
      </c>
      <c r="K51" s="10" t="s">
        <v>215</v>
      </c>
      <c r="L51" s="714">
        <v>6813.0</v>
      </c>
      <c r="M51" s="10"/>
      <c r="N51" s="741">
        <v>28.0</v>
      </c>
      <c r="O51" s="749"/>
      <c r="P51" s="145"/>
      <c r="Q51" s="704" t="str">
        <f>C326</f>
        <v/>
      </c>
      <c r="R51" s="145"/>
      <c r="S51" s="145"/>
      <c r="T51" s="145"/>
      <c r="U51" s="145"/>
      <c r="V51" s="145"/>
      <c r="W51" s="145"/>
      <c r="X51" s="145"/>
      <c r="Y51" s="705"/>
    </row>
    <row r="52">
      <c r="A52" s="706"/>
      <c r="D52" s="11">
        <v>45995.0</v>
      </c>
      <c r="E52" s="10">
        <v>5.36276954E8</v>
      </c>
      <c r="F52" s="10" t="s">
        <v>1362</v>
      </c>
      <c r="G52" s="10" t="s">
        <v>1363</v>
      </c>
      <c r="H52" s="12">
        <v>1550.0</v>
      </c>
      <c r="I52" s="13">
        <v>544.0</v>
      </c>
      <c r="J52" s="10" t="s">
        <v>1364</v>
      </c>
      <c r="K52" s="10" t="s">
        <v>262</v>
      </c>
      <c r="L52" s="714">
        <v>7265.0</v>
      </c>
      <c r="M52" s="10"/>
      <c r="N52" s="741">
        <v>29.0</v>
      </c>
      <c r="O52" s="749"/>
      <c r="P52" s="145"/>
      <c r="Q52" s="145"/>
      <c r="R52" s="145"/>
      <c r="S52" s="145"/>
      <c r="T52" s="145"/>
      <c r="U52" s="145"/>
      <c r="V52" s="145"/>
      <c r="W52" s="145"/>
      <c r="X52" s="145"/>
      <c r="Y52" s="705"/>
    </row>
    <row r="53">
      <c r="A53" s="706"/>
      <c r="D53" s="11">
        <v>45995.0</v>
      </c>
      <c r="E53" s="10">
        <v>5.35365152E8</v>
      </c>
      <c r="F53" s="10" t="s">
        <v>1365</v>
      </c>
      <c r="G53" s="10" t="s">
        <v>188</v>
      </c>
      <c r="H53" s="12">
        <v>1260.0</v>
      </c>
      <c r="I53" s="13">
        <v>403.0</v>
      </c>
      <c r="J53" s="10" t="s">
        <v>1366</v>
      </c>
      <c r="K53" s="10" t="s">
        <v>249</v>
      </c>
      <c r="L53" s="714">
        <v>7048.0</v>
      </c>
      <c r="M53" s="10"/>
      <c r="N53" s="741">
        <v>30.0</v>
      </c>
      <c r="O53" s="749"/>
      <c r="P53" s="145"/>
      <c r="Q53" s="145"/>
      <c r="R53" s="145"/>
      <c r="S53" s="145"/>
      <c r="T53" s="145"/>
      <c r="U53" s="145"/>
      <c r="V53" s="145"/>
      <c r="W53" s="145"/>
      <c r="X53" s="145"/>
      <c r="Y53" s="705"/>
    </row>
    <row r="54">
      <c r="A54" s="706"/>
      <c r="D54" s="11">
        <v>45995.0</v>
      </c>
      <c r="E54" s="10">
        <v>5.3576857E8</v>
      </c>
      <c r="F54" s="10" t="s">
        <v>1367</v>
      </c>
      <c r="G54" s="10" t="s">
        <v>191</v>
      </c>
      <c r="H54" s="12">
        <v>2800.0</v>
      </c>
      <c r="I54" s="13">
        <v>1130.0</v>
      </c>
      <c r="J54" s="10" t="s">
        <v>1368</v>
      </c>
      <c r="K54" s="10" t="s">
        <v>185</v>
      </c>
      <c r="L54" s="714">
        <v>3881.0</v>
      </c>
      <c r="M54" s="10"/>
      <c r="N54" s="741">
        <v>31.0</v>
      </c>
      <c r="O54" s="749"/>
      <c r="P54" s="145"/>
      <c r="Q54" s="145"/>
      <c r="R54" s="145"/>
      <c r="S54" s="145"/>
      <c r="T54" s="145"/>
      <c r="U54" s="145"/>
      <c r="V54" s="145"/>
      <c r="W54" s="145"/>
      <c r="X54" s="145"/>
      <c r="Y54" s="705"/>
    </row>
    <row r="55">
      <c r="A55" s="706"/>
      <c r="D55" s="11">
        <v>45995.0</v>
      </c>
      <c r="E55" s="10" t="s">
        <v>1369</v>
      </c>
      <c r="F55" s="10" t="s">
        <v>1370</v>
      </c>
      <c r="G55" s="10" t="s">
        <v>1371</v>
      </c>
      <c r="H55" s="12">
        <v>2500.0</v>
      </c>
      <c r="I55" s="13">
        <v>881.0</v>
      </c>
      <c r="J55" s="10" t="s">
        <v>1372</v>
      </c>
      <c r="K55" s="10" t="s">
        <v>79</v>
      </c>
      <c r="L55" s="714">
        <v>2316.0</v>
      </c>
      <c r="M55" s="10"/>
      <c r="N55" s="741">
        <v>32.0</v>
      </c>
      <c r="O55" s="749"/>
      <c r="P55" s="145"/>
      <c r="Q55" s="145"/>
      <c r="R55" s="145"/>
      <c r="S55" s="145"/>
      <c r="T55" s="145"/>
      <c r="U55" s="145"/>
      <c r="V55" s="145"/>
      <c r="W55" s="145"/>
      <c r="X55" s="145"/>
      <c r="Y55" s="705"/>
    </row>
    <row r="56">
      <c r="A56" s="706"/>
      <c r="D56" s="11">
        <v>45996.0</v>
      </c>
      <c r="E56" s="10" t="s">
        <v>1373</v>
      </c>
      <c r="F56" s="10" t="s">
        <v>1260</v>
      </c>
      <c r="G56" s="10" t="s">
        <v>1304</v>
      </c>
      <c r="H56" s="12">
        <v>3200.0</v>
      </c>
      <c r="I56" s="13">
        <v>1519.0</v>
      </c>
      <c r="J56" s="10" t="s">
        <v>1374</v>
      </c>
      <c r="K56" s="10" t="s">
        <v>1028</v>
      </c>
      <c r="L56" s="714">
        <v>6339.0</v>
      </c>
      <c r="M56" s="10"/>
      <c r="N56" s="741">
        <v>33.0</v>
      </c>
      <c r="O56" s="749"/>
      <c r="P56" s="145"/>
      <c r="Q56" s="145"/>
      <c r="R56" s="145"/>
      <c r="S56" s="145"/>
      <c r="T56" s="145"/>
      <c r="U56" s="145"/>
      <c r="V56" s="145"/>
      <c r="W56" s="145"/>
      <c r="X56" s="145"/>
      <c r="Y56" s="705"/>
    </row>
    <row r="57">
      <c r="A57" s="706"/>
      <c r="D57" s="11">
        <v>45996.0</v>
      </c>
      <c r="E57" s="10">
        <v>2173184.0</v>
      </c>
      <c r="F57" s="10" t="s">
        <v>1256</v>
      </c>
      <c r="G57" s="10" t="s">
        <v>1375</v>
      </c>
      <c r="H57" s="12">
        <v>3100.0</v>
      </c>
      <c r="I57" s="13">
        <v>951.0</v>
      </c>
      <c r="J57" s="10" t="s">
        <v>1376</v>
      </c>
      <c r="K57" s="10" t="s">
        <v>197</v>
      </c>
      <c r="L57" s="714">
        <v>6643.0</v>
      </c>
      <c r="M57" s="10"/>
      <c r="N57" s="741">
        <v>34.0</v>
      </c>
      <c r="O57" s="750"/>
      <c r="P57" s="145"/>
      <c r="Q57" s="128"/>
      <c r="R57" s="128"/>
      <c r="S57" s="128"/>
      <c r="T57" s="128"/>
      <c r="U57" s="128"/>
      <c r="V57" s="128"/>
      <c r="W57" s="128"/>
      <c r="X57" s="128"/>
      <c r="Y57" s="715"/>
    </row>
    <row r="58">
      <c r="A58" s="706"/>
      <c r="D58" s="11">
        <v>45996.0</v>
      </c>
      <c r="E58" s="10">
        <v>2184372.0</v>
      </c>
      <c r="F58" s="10" t="s">
        <v>1377</v>
      </c>
      <c r="G58" s="10" t="s">
        <v>1378</v>
      </c>
      <c r="H58" s="12">
        <v>2350.0</v>
      </c>
      <c r="I58" s="13">
        <v>1184.0</v>
      </c>
      <c r="J58" s="10" t="s">
        <v>1379</v>
      </c>
      <c r="K58" s="10" t="s">
        <v>162</v>
      </c>
      <c r="L58" s="714">
        <v>3403.0</v>
      </c>
      <c r="M58" s="10"/>
      <c r="N58" s="741">
        <v>35.0</v>
      </c>
      <c r="O58" s="749"/>
      <c r="P58" s="145"/>
      <c r="Q58" s="145"/>
      <c r="R58" s="126"/>
      <c r="S58" s="126"/>
      <c r="T58" s="126"/>
      <c r="U58" s="129"/>
      <c r="V58" s="126"/>
      <c r="W58" s="145"/>
      <c r="X58" s="126"/>
      <c r="Y58" s="748"/>
    </row>
    <row r="59">
      <c r="A59" s="706"/>
      <c r="D59" s="11">
        <v>45996.0</v>
      </c>
      <c r="E59" s="10">
        <v>2.0786855E7</v>
      </c>
      <c r="F59" s="10" t="s">
        <v>1380</v>
      </c>
      <c r="G59" s="10" t="s">
        <v>1381</v>
      </c>
      <c r="H59" s="12">
        <v>4000.0</v>
      </c>
      <c r="I59" s="13">
        <v>2010.0</v>
      </c>
      <c r="J59" s="10" t="s">
        <v>1382</v>
      </c>
      <c r="K59" s="10" t="s">
        <v>153</v>
      </c>
      <c r="L59" s="714">
        <v>3301.0</v>
      </c>
      <c r="M59" s="10"/>
      <c r="N59" s="741">
        <v>36.0</v>
      </c>
      <c r="O59" s="749"/>
      <c r="P59" s="145"/>
      <c r="Q59" s="145"/>
      <c r="R59" s="126"/>
      <c r="S59" s="145"/>
      <c r="T59" s="145"/>
      <c r="U59" s="145"/>
      <c r="V59" s="145"/>
      <c r="W59" s="145"/>
      <c r="X59" s="145"/>
      <c r="Y59" s="705"/>
    </row>
    <row r="60">
      <c r="A60" s="706"/>
      <c r="D60" s="11">
        <v>45996.0</v>
      </c>
      <c r="E60" s="10">
        <v>239576.0</v>
      </c>
      <c r="F60" s="10" t="s">
        <v>1383</v>
      </c>
      <c r="G60" s="22" t="s">
        <v>1384</v>
      </c>
      <c r="H60" s="12">
        <v>1200.0</v>
      </c>
      <c r="I60" s="13">
        <v>564.0</v>
      </c>
      <c r="J60" s="10" t="s">
        <v>1385</v>
      </c>
      <c r="K60" s="10" t="s">
        <v>197</v>
      </c>
      <c r="L60" s="714">
        <v>6643.0</v>
      </c>
      <c r="M60" s="708"/>
      <c r="N60" s="741">
        <v>37.0</v>
      </c>
      <c r="O60" s="749"/>
      <c r="P60" s="145"/>
      <c r="Q60" s="145"/>
      <c r="R60" s="126"/>
      <c r="S60" s="126"/>
      <c r="T60" s="126"/>
      <c r="U60" s="717"/>
      <c r="V60" s="126"/>
      <c r="W60" s="145"/>
      <c r="X60" s="126"/>
      <c r="Y60" s="748"/>
    </row>
    <row r="61">
      <c r="A61" s="706"/>
      <c r="D61" s="11">
        <v>45996.0</v>
      </c>
      <c r="E61" s="10">
        <v>2.075636E7</v>
      </c>
      <c r="F61" s="10" t="s">
        <v>1386</v>
      </c>
      <c r="G61" s="10" t="s">
        <v>1387</v>
      </c>
      <c r="H61" s="12">
        <v>5000.0</v>
      </c>
      <c r="I61" s="13">
        <v>2488.0</v>
      </c>
      <c r="J61" s="10" t="s">
        <v>1388</v>
      </c>
      <c r="K61" s="10" t="s">
        <v>262</v>
      </c>
      <c r="L61" s="714">
        <v>7265.0</v>
      </c>
      <c r="M61" s="708"/>
      <c r="N61" s="741">
        <v>38.0</v>
      </c>
      <c r="O61" s="749"/>
      <c r="P61" s="145"/>
      <c r="Q61" s="145"/>
      <c r="R61" s="126"/>
      <c r="S61" s="145"/>
      <c r="T61" s="145"/>
      <c r="U61" s="145"/>
      <c r="V61" s="145"/>
      <c r="W61" s="145"/>
      <c r="X61" s="145"/>
      <c r="Y61" s="705"/>
    </row>
    <row r="62">
      <c r="A62" s="706"/>
      <c r="D62" s="11">
        <v>45996.0</v>
      </c>
      <c r="E62" s="10">
        <v>148299.0</v>
      </c>
      <c r="F62" s="10" t="s">
        <v>1389</v>
      </c>
      <c r="G62" s="10" t="s">
        <v>1390</v>
      </c>
      <c r="H62" s="12">
        <v>3050.0</v>
      </c>
      <c r="I62" s="10">
        <v>1228.0</v>
      </c>
      <c r="J62" s="10" t="s">
        <v>1391</v>
      </c>
      <c r="K62" s="10" t="s">
        <v>287</v>
      </c>
      <c r="L62" s="714">
        <v>7807.0</v>
      </c>
      <c r="N62" s="741">
        <v>39.0</v>
      </c>
      <c r="O62" s="749"/>
      <c r="P62" s="145"/>
      <c r="Q62" s="145"/>
      <c r="R62" s="126"/>
      <c r="S62" s="126"/>
      <c r="T62" s="126"/>
      <c r="U62" s="129"/>
      <c r="V62" s="126"/>
      <c r="W62" s="145"/>
      <c r="X62" s="145"/>
      <c r="Y62" s="705"/>
    </row>
    <row r="63">
      <c r="A63" s="706"/>
      <c r="D63" s="11">
        <v>45996.0</v>
      </c>
      <c r="E63" s="10">
        <v>2903014.0</v>
      </c>
      <c r="F63" s="10" t="s">
        <v>1392</v>
      </c>
      <c r="G63" s="10" t="s">
        <v>1393</v>
      </c>
      <c r="H63" s="12">
        <v>4200.0</v>
      </c>
      <c r="I63" s="10">
        <v>2453.0</v>
      </c>
      <c r="J63" s="10" t="s">
        <v>1394</v>
      </c>
      <c r="K63" s="10" t="s">
        <v>249</v>
      </c>
      <c r="L63" s="714">
        <v>7048.0</v>
      </c>
      <c r="N63" s="751"/>
      <c r="O63" s="752"/>
      <c r="P63" s="753"/>
      <c r="Q63" s="753"/>
      <c r="R63" s="754"/>
      <c r="S63" s="753"/>
      <c r="T63" s="753"/>
      <c r="U63" s="753"/>
      <c r="V63" s="753"/>
      <c r="W63" s="753"/>
      <c r="X63" s="753"/>
      <c r="Y63" s="732"/>
    </row>
    <row r="64">
      <c r="A64" s="706"/>
      <c r="D64" s="11">
        <v>45996.0</v>
      </c>
      <c r="E64" s="10">
        <v>8014776.0</v>
      </c>
      <c r="F64" s="10" t="s">
        <v>1395</v>
      </c>
      <c r="G64" s="10" t="s">
        <v>1396</v>
      </c>
      <c r="H64" s="12">
        <v>3800.0</v>
      </c>
      <c r="I64" s="10">
        <v>1827.0</v>
      </c>
      <c r="J64" s="10" t="s">
        <v>1397</v>
      </c>
      <c r="K64" s="10" t="s">
        <v>274</v>
      </c>
      <c r="L64" s="714">
        <v>7352.0</v>
      </c>
      <c r="N64" s="755"/>
      <c r="O64" s="145"/>
      <c r="P64" s="126"/>
      <c r="Q64" s="145"/>
      <c r="R64" s="126"/>
      <c r="S64" s="126"/>
      <c r="T64" s="126"/>
      <c r="U64" s="717"/>
      <c r="V64" s="126"/>
      <c r="W64" s="145"/>
      <c r="X64" s="126"/>
      <c r="Y64" s="126"/>
    </row>
    <row r="65">
      <c r="A65" s="706"/>
      <c r="D65" s="11">
        <v>45996.0</v>
      </c>
      <c r="E65" s="10">
        <v>1190112.0</v>
      </c>
      <c r="F65" s="10" t="s">
        <v>1398</v>
      </c>
      <c r="G65" s="10" t="s">
        <v>1047</v>
      </c>
      <c r="H65" s="12">
        <v>3400.0</v>
      </c>
      <c r="I65" s="10">
        <v>1171.0</v>
      </c>
      <c r="J65" s="10" t="s">
        <v>1399</v>
      </c>
      <c r="K65" s="10" t="s">
        <v>1400</v>
      </c>
      <c r="L65" s="728" t="s">
        <v>1221</v>
      </c>
      <c r="N65" s="145"/>
      <c r="O65" s="145"/>
      <c r="P65" s="145"/>
      <c r="Q65" s="145"/>
      <c r="R65" s="126"/>
      <c r="S65" s="145"/>
      <c r="T65" s="145"/>
      <c r="U65" s="145"/>
      <c r="V65" s="145"/>
      <c r="W65" s="145"/>
      <c r="X65" s="145"/>
      <c r="Y65" s="145"/>
    </row>
    <row r="66">
      <c r="A66" s="706"/>
      <c r="D66" s="11">
        <v>45996.0</v>
      </c>
      <c r="E66" s="10" t="s">
        <v>1401</v>
      </c>
      <c r="F66" s="10" t="s">
        <v>1371</v>
      </c>
      <c r="G66" s="10" t="s">
        <v>1128</v>
      </c>
      <c r="H66" s="12">
        <v>2000.0</v>
      </c>
      <c r="I66" s="10">
        <v>1097.0</v>
      </c>
      <c r="J66" s="10" t="s">
        <v>1402</v>
      </c>
      <c r="K66" s="10" t="s">
        <v>79</v>
      </c>
      <c r="L66" s="714">
        <v>2316.0</v>
      </c>
      <c r="N66" s="145"/>
      <c r="O66" s="145"/>
      <c r="P66" s="126"/>
      <c r="Q66" s="145"/>
      <c r="R66" s="126"/>
      <c r="S66" s="126"/>
      <c r="T66" s="126"/>
      <c r="U66" s="717"/>
      <c r="V66" s="126"/>
      <c r="W66" s="145"/>
      <c r="X66" s="126"/>
      <c r="Y66" s="126"/>
    </row>
    <row r="67">
      <c r="A67" s="706"/>
      <c r="D67" s="11">
        <v>45996.0</v>
      </c>
      <c r="E67" s="10">
        <v>5.37072354E8</v>
      </c>
      <c r="F67" s="10" t="s">
        <v>1403</v>
      </c>
      <c r="G67" s="10" t="s">
        <v>1404</v>
      </c>
      <c r="H67" s="12">
        <v>4440.0</v>
      </c>
      <c r="I67" s="10">
        <v>2276.0</v>
      </c>
      <c r="J67" s="10" t="s">
        <v>1405</v>
      </c>
      <c r="K67" s="10" t="s">
        <v>132</v>
      </c>
      <c r="L67" s="714">
        <v>2890.0</v>
      </c>
      <c r="N67" s="145"/>
      <c r="O67" s="145"/>
      <c r="P67" s="145"/>
      <c r="Q67" s="145"/>
      <c r="R67" s="126"/>
      <c r="S67" s="145"/>
      <c r="T67" s="145"/>
      <c r="U67" s="145"/>
      <c r="V67" s="145"/>
      <c r="W67" s="145"/>
      <c r="X67" s="145"/>
      <c r="Y67" s="145"/>
    </row>
    <row r="68">
      <c r="A68" s="706"/>
      <c r="D68" s="11">
        <v>45996.0</v>
      </c>
      <c r="E68" s="10">
        <v>5810344.0</v>
      </c>
      <c r="F68" s="10" t="s">
        <v>1406</v>
      </c>
      <c r="G68" s="10" t="s">
        <v>1407</v>
      </c>
      <c r="H68" s="12">
        <v>3300.0</v>
      </c>
      <c r="I68" s="10">
        <v>1771.0</v>
      </c>
      <c r="J68" s="10" t="s">
        <v>1408</v>
      </c>
      <c r="K68" s="10" t="s">
        <v>320</v>
      </c>
      <c r="L68" s="714">
        <v>9348.0</v>
      </c>
      <c r="N68" s="145"/>
      <c r="O68" s="145"/>
      <c r="P68" s="126"/>
      <c r="Q68" s="145"/>
      <c r="R68" s="126"/>
      <c r="S68" s="126"/>
      <c r="T68" s="126"/>
      <c r="U68" s="717"/>
      <c r="V68" s="126"/>
      <c r="W68" s="145"/>
      <c r="X68" s="126"/>
      <c r="Y68" s="126"/>
    </row>
    <row r="69">
      <c r="A69" s="706"/>
      <c r="D69" s="11">
        <v>45996.0</v>
      </c>
      <c r="E69" s="10">
        <v>270528.0</v>
      </c>
      <c r="F69" s="10" t="s">
        <v>1409</v>
      </c>
      <c r="G69" s="10" t="s">
        <v>1410</v>
      </c>
      <c r="H69" s="12">
        <v>5350.0</v>
      </c>
      <c r="I69" s="10">
        <v>2849.0</v>
      </c>
      <c r="J69" s="10" t="s">
        <v>1411</v>
      </c>
      <c r="K69" s="10" t="s">
        <v>37</v>
      </c>
      <c r="L69" s="728" t="s">
        <v>973</v>
      </c>
      <c r="N69" s="145"/>
      <c r="O69" s="145"/>
      <c r="P69" s="145"/>
      <c r="Q69" s="145"/>
      <c r="R69" s="126"/>
      <c r="S69" s="145"/>
      <c r="T69" s="145"/>
      <c r="U69" s="145"/>
      <c r="V69" s="145"/>
      <c r="W69" s="145"/>
      <c r="X69" s="145"/>
      <c r="Y69" s="145"/>
    </row>
    <row r="70">
      <c r="A70" s="706"/>
      <c r="D70" s="11">
        <v>45997.0</v>
      </c>
      <c r="E70" s="10">
        <v>93618.0</v>
      </c>
      <c r="F70" s="10" t="s">
        <v>1412</v>
      </c>
      <c r="G70" s="10" t="s">
        <v>1413</v>
      </c>
      <c r="H70" s="12">
        <v>0.0</v>
      </c>
      <c r="I70" s="10">
        <v>0.0</v>
      </c>
      <c r="J70" s="10" t="s">
        <v>1414</v>
      </c>
      <c r="K70" s="708"/>
      <c r="L70" s="709"/>
      <c r="N70" s="145"/>
      <c r="O70" s="145"/>
      <c r="P70" s="145"/>
      <c r="Q70" s="145"/>
      <c r="R70" s="145"/>
      <c r="S70" s="145"/>
      <c r="T70" s="126"/>
      <c r="U70" s="145"/>
      <c r="V70" s="145"/>
      <c r="W70" s="145"/>
      <c r="X70" s="145"/>
      <c r="Y70" s="145"/>
    </row>
    <row r="71">
      <c r="A71" s="706"/>
      <c r="D71" s="11">
        <v>45997.0</v>
      </c>
      <c r="E71" s="10">
        <v>8036247.0</v>
      </c>
      <c r="F71" s="10" t="s">
        <v>1415</v>
      </c>
      <c r="G71" s="10" t="s">
        <v>1416</v>
      </c>
      <c r="H71" s="12">
        <v>0.0</v>
      </c>
      <c r="I71" s="10">
        <v>0.0</v>
      </c>
      <c r="J71" s="10" t="s">
        <v>1417</v>
      </c>
      <c r="K71" s="10" t="s">
        <v>185</v>
      </c>
      <c r="L71" s="714">
        <v>3881.0</v>
      </c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</row>
    <row r="72">
      <c r="A72" s="706"/>
      <c r="D72" s="11">
        <v>45998.0</v>
      </c>
      <c r="E72" s="10">
        <v>1.26221601E8</v>
      </c>
      <c r="F72" s="10" t="s">
        <v>1418</v>
      </c>
      <c r="G72" s="10" t="s">
        <v>1419</v>
      </c>
      <c r="H72" s="12">
        <v>450.0</v>
      </c>
      <c r="I72" s="10">
        <v>247.0</v>
      </c>
      <c r="J72" s="10" t="s">
        <v>1420</v>
      </c>
      <c r="K72" s="10" t="s">
        <v>1400</v>
      </c>
      <c r="L72" s="728" t="s">
        <v>1221</v>
      </c>
      <c r="N72" s="145"/>
      <c r="O72" s="145"/>
      <c r="P72" s="145"/>
      <c r="Q72" s="145"/>
      <c r="R72" s="126"/>
      <c r="S72" s="145"/>
      <c r="T72" s="145"/>
      <c r="U72" s="145"/>
      <c r="V72" s="145"/>
      <c r="W72" s="145"/>
      <c r="X72" s="145"/>
      <c r="Y72" s="145"/>
    </row>
    <row r="73">
      <c r="A73" s="706"/>
      <c r="D73" s="11">
        <v>45998.0</v>
      </c>
      <c r="E73" s="10">
        <v>8032897.0</v>
      </c>
      <c r="F73" s="10" t="s">
        <v>1421</v>
      </c>
      <c r="G73" s="10" t="s">
        <v>1422</v>
      </c>
      <c r="H73" s="12">
        <v>3900.0</v>
      </c>
      <c r="I73" s="10">
        <v>1571.0</v>
      </c>
      <c r="J73" s="10" t="s">
        <v>1423</v>
      </c>
      <c r="K73" s="10" t="s">
        <v>19</v>
      </c>
      <c r="L73" s="728" t="s">
        <v>431</v>
      </c>
      <c r="N73" s="145"/>
      <c r="O73" s="758"/>
      <c r="P73" s="126"/>
      <c r="Q73" s="145"/>
      <c r="R73" s="126"/>
      <c r="S73" s="126"/>
      <c r="T73" s="126"/>
      <c r="U73" s="129"/>
      <c r="V73" s="126"/>
      <c r="W73" s="145"/>
      <c r="X73" s="145"/>
      <c r="Y73" s="145"/>
    </row>
    <row r="74">
      <c r="A74" s="706"/>
      <c r="D74" s="11">
        <v>45998.0</v>
      </c>
      <c r="E74" s="10">
        <v>9205335.0</v>
      </c>
      <c r="F74" s="10" t="s">
        <v>1424</v>
      </c>
      <c r="G74" s="10" t="s">
        <v>1425</v>
      </c>
      <c r="H74" s="12">
        <v>4400.0</v>
      </c>
      <c r="I74" s="10">
        <v>1707.0</v>
      </c>
      <c r="J74" s="10" t="s">
        <v>1426</v>
      </c>
      <c r="K74" s="10" t="s">
        <v>1427</v>
      </c>
      <c r="L74" s="728" t="s">
        <v>982</v>
      </c>
      <c r="N74" s="145"/>
      <c r="O74" s="145"/>
      <c r="P74" s="145"/>
      <c r="Q74" s="145"/>
      <c r="R74" s="126"/>
      <c r="S74" s="145"/>
      <c r="T74" s="145"/>
      <c r="U74" s="145"/>
      <c r="V74" s="145"/>
      <c r="W74" s="145"/>
      <c r="X74" s="145"/>
      <c r="Y74" s="145"/>
    </row>
    <row r="75">
      <c r="A75" s="706"/>
      <c r="D75" s="11">
        <v>45998.0</v>
      </c>
      <c r="E75" s="10">
        <v>2420747.0</v>
      </c>
      <c r="F75" s="10" t="s">
        <v>1428</v>
      </c>
      <c r="G75" s="10" t="s">
        <v>1429</v>
      </c>
      <c r="H75" s="12">
        <v>2100.0</v>
      </c>
      <c r="I75" s="10">
        <v>660.0</v>
      </c>
      <c r="J75" s="10" t="s">
        <v>1430</v>
      </c>
      <c r="K75" s="10" t="s">
        <v>220</v>
      </c>
      <c r="L75" s="714">
        <v>6960.0</v>
      </c>
      <c r="N75" s="145"/>
      <c r="O75" s="145"/>
      <c r="P75" s="126"/>
      <c r="Q75" s="145"/>
      <c r="R75" s="126"/>
      <c r="S75" s="126"/>
      <c r="T75" s="126"/>
      <c r="U75" s="129"/>
      <c r="V75" s="126"/>
      <c r="W75" s="126"/>
      <c r="X75" s="126"/>
      <c r="Y75" s="126"/>
    </row>
    <row r="76">
      <c r="A76" s="706"/>
      <c r="D76" s="11">
        <v>45998.0</v>
      </c>
      <c r="E76" s="10">
        <v>2916519.0</v>
      </c>
      <c r="F76" s="10" t="s">
        <v>1431</v>
      </c>
      <c r="G76" s="10" t="s">
        <v>1432</v>
      </c>
      <c r="H76" s="12">
        <v>1500.0</v>
      </c>
      <c r="I76" s="10">
        <v>1119.0</v>
      </c>
      <c r="J76" s="10" t="s">
        <v>1433</v>
      </c>
      <c r="K76" s="10" t="s">
        <v>103</v>
      </c>
      <c r="L76" s="714">
        <v>2675.0</v>
      </c>
      <c r="N76" s="145"/>
      <c r="O76" s="145"/>
      <c r="P76" s="145"/>
      <c r="Q76" s="145"/>
      <c r="R76" s="126"/>
      <c r="S76" s="145"/>
      <c r="T76" s="145"/>
      <c r="U76" s="145"/>
      <c r="V76" s="145"/>
      <c r="W76" s="145"/>
      <c r="X76" s="145"/>
      <c r="Y76" s="145"/>
    </row>
    <row r="77">
      <c r="A77" s="706"/>
      <c r="D77" s="948"/>
      <c r="E77" s="708"/>
      <c r="F77" s="708"/>
      <c r="G77" s="708"/>
      <c r="H77" s="12">
        <f t="shared" ref="H77:I77" si="4">SUM(H3:H76)</f>
        <v>174515</v>
      </c>
      <c r="I77" s="13">
        <f t="shared" si="4"/>
        <v>82682.17</v>
      </c>
      <c r="J77" s="708"/>
      <c r="K77" s="708"/>
      <c r="L77" s="709"/>
      <c r="N77" s="145"/>
      <c r="O77" s="145"/>
      <c r="P77" s="126"/>
      <c r="Q77" s="145"/>
      <c r="R77" s="126"/>
      <c r="S77" s="126"/>
      <c r="T77" s="126"/>
      <c r="U77" s="717"/>
      <c r="V77" s="126"/>
      <c r="W77" s="145"/>
      <c r="X77" s="126"/>
      <c r="Y77" s="126"/>
    </row>
    <row r="78">
      <c r="A78" s="706"/>
      <c r="D78" s="34"/>
      <c r="E78" s="34"/>
      <c r="F78" s="34"/>
      <c r="G78" s="34"/>
      <c r="H78" s="949"/>
      <c r="I78" s="949"/>
      <c r="J78" s="34"/>
      <c r="K78" s="34"/>
      <c r="L78" s="950"/>
      <c r="N78" s="145"/>
      <c r="O78" s="145"/>
      <c r="P78" s="145"/>
      <c r="Q78" s="145"/>
      <c r="R78" s="126"/>
      <c r="S78" s="145"/>
      <c r="T78" s="145"/>
      <c r="U78" s="145"/>
      <c r="V78" s="145"/>
      <c r="W78" s="145"/>
      <c r="X78" s="145"/>
      <c r="Y78" s="145"/>
    </row>
    <row r="79">
      <c r="A79" s="706"/>
      <c r="L79" s="759"/>
      <c r="N79" s="145"/>
      <c r="O79" s="758"/>
      <c r="P79" s="126"/>
      <c r="Q79" s="145"/>
      <c r="R79" s="126"/>
      <c r="S79" s="126"/>
      <c r="T79" s="126"/>
      <c r="U79" s="717"/>
      <c r="V79" s="126"/>
      <c r="W79" s="145"/>
      <c r="X79" s="145"/>
      <c r="Y79" s="145"/>
    </row>
    <row r="80">
      <c r="A80" s="706"/>
      <c r="L80" s="759"/>
      <c r="N80" s="145"/>
      <c r="O80" s="145"/>
      <c r="P80" s="145"/>
      <c r="Q80" s="145"/>
      <c r="R80" s="126"/>
      <c r="S80" s="145"/>
      <c r="T80" s="145"/>
      <c r="U80" s="145"/>
      <c r="V80" s="145"/>
      <c r="W80" s="145"/>
      <c r="X80" s="145"/>
      <c r="Y80" s="145"/>
    </row>
    <row r="81">
      <c r="A81" s="706"/>
      <c r="L81" s="759"/>
      <c r="N81" s="145"/>
      <c r="O81" s="145"/>
      <c r="P81" s="126"/>
      <c r="Q81" s="145"/>
      <c r="R81" s="126"/>
      <c r="S81" s="126"/>
      <c r="T81" s="126"/>
      <c r="U81" s="717"/>
      <c r="V81" s="126"/>
      <c r="W81" s="126"/>
      <c r="X81" s="126"/>
      <c r="Y81" s="126"/>
    </row>
    <row r="82">
      <c r="A82" s="706"/>
      <c r="L82" s="759"/>
      <c r="N82" s="145"/>
      <c r="O82" s="145"/>
      <c r="P82" s="145"/>
      <c r="Q82" s="145"/>
      <c r="R82" s="126"/>
      <c r="S82" s="145"/>
      <c r="T82" s="145"/>
      <c r="U82" s="145"/>
      <c r="V82" s="145"/>
      <c r="W82" s="145"/>
      <c r="X82" s="145"/>
      <c r="Y82" s="145"/>
    </row>
    <row r="83">
      <c r="A83" s="706"/>
      <c r="L83" s="759"/>
      <c r="N83" s="145"/>
      <c r="O83" s="758"/>
      <c r="P83" s="126"/>
      <c r="Q83" s="145"/>
      <c r="R83" s="126"/>
      <c r="S83" s="126"/>
      <c r="T83" s="126"/>
      <c r="U83" s="717"/>
      <c r="V83" s="126"/>
      <c r="W83" s="145"/>
      <c r="X83" s="145"/>
      <c r="Y83" s="145"/>
    </row>
    <row r="84">
      <c r="A84" s="706"/>
      <c r="L84" s="759"/>
      <c r="N84" s="145"/>
      <c r="O84" s="145"/>
      <c r="P84" s="145"/>
      <c r="Q84" s="145"/>
      <c r="R84" s="126"/>
      <c r="S84" s="145"/>
      <c r="T84" s="145"/>
      <c r="U84" s="145"/>
      <c r="V84" s="145"/>
      <c r="W84" s="145"/>
      <c r="X84" s="145"/>
      <c r="Y84" s="145"/>
    </row>
    <row r="85">
      <c r="A85" s="706"/>
      <c r="L85" s="759"/>
      <c r="N85" s="145"/>
      <c r="O85" s="145"/>
      <c r="P85" s="126"/>
      <c r="Q85" s="145"/>
      <c r="R85" s="126"/>
      <c r="S85" s="126"/>
      <c r="T85" s="126"/>
      <c r="U85" s="717"/>
      <c r="V85" s="126"/>
      <c r="W85" s="145"/>
      <c r="X85" s="126"/>
      <c r="Y85" s="126"/>
    </row>
    <row r="86">
      <c r="A86" s="706"/>
      <c r="L86" s="759"/>
      <c r="N86" s="145"/>
      <c r="O86" s="145"/>
      <c r="P86" s="145"/>
      <c r="Q86" s="145"/>
      <c r="R86" s="126"/>
      <c r="S86" s="145"/>
      <c r="T86" s="145"/>
      <c r="U86" s="145"/>
      <c r="V86" s="145"/>
      <c r="W86" s="145"/>
      <c r="X86" s="145"/>
      <c r="Y86" s="145"/>
    </row>
    <row r="87">
      <c r="A87" s="706"/>
      <c r="L87" s="759"/>
      <c r="N87" s="145"/>
      <c r="O87" s="758"/>
      <c r="P87" s="126"/>
      <c r="Q87" s="145"/>
      <c r="R87" s="126"/>
      <c r="S87" s="126"/>
      <c r="T87" s="126"/>
      <c r="U87" s="717"/>
      <c r="V87" s="126"/>
      <c r="W87" s="145"/>
      <c r="X87" s="145"/>
      <c r="Y87" s="145"/>
    </row>
    <row r="88">
      <c r="A88" s="706"/>
      <c r="L88" s="759"/>
      <c r="N88" s="145"/>
      <c r="O88" s="145"/>
      <c r="P88" s="145"/>
      <c r="Q88" s="145"/>
      <c r="R88" s="126"/>
      <c r="S88" s="145"/>
      <c r="T88" s="145"/>
      <c r="U88" s="145"/>
      <c r="V88" s="145"/>
      <c r="W88" s="145"/>
      <c r="X88" s="145"/>
      <c r="Y88" s="145"/>
    </row>
    <row r="89">
      <c r="A89" s="706"/>
      <c r="L89" s="759"/>
      <c r="N89" s="755"/>
      <c r="O89" s="755"/>
      <c r="P89" s="145"/>
      <c r="Q89" s="755"/>
      <c r="R89" s="145"/>
      <c r="S89" s="145"/>
      <c r="T89" s="126"/>
      <c r="U89" s="717"/>
      <c r="V89" s="145"/>
      <c r="W89" s="145"/>
      <c r="X89" s="145"/>
      <c r="Y89" s="145"/>
    </row>
    <row r="90">
      <c r="A90" s="706"/>
      <c r="L90" s="759"/>
      <c r="N90" s="760"/>
      <c r="O90" s="145"/>
      <c r="P90" s="145"/>
      <c r="Q90" s="755"/>
      <c r="R90" s="145"/>
      <c r="S90" s="145"/>
      <c r="T90" s="145"/>
      <c r="U90" s="145"/>
      <c r="V90" s="145"/>
      <c r="W90" s="145"/>
      <c r="X90" s="145"/>
      <c r="Y90" s="145"/>
    </row>
    <row r="91">
      <c r="A91" s="706"/>
      <c r="L91" s="759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</row>
    <row r="92">
      <c r="A92" s="706"/>
      <c r="L92" s="759"/>
      <c r="N92" s="128"/>
      <c r="O92" s="128"/>
      <c r="P92" s="128"/>
      <c r="Q92" s="128"/>
      <c r="R92" s="128"/>
      <c r="S92" s="128"/>
      <c r="T92" s="128"/>
      <c r="U92" s="128"/>
      <c r="V92" s="145"/>
      <c r="W92" s="145"/>
      <c r="X92" s="145"/>
      <c r="Y92" s="145"/>
    </row>
    <row r="93">
      <c r="A93" s="706"/>
      <c r="L93" s="759"/>
      <c r="N93" s="126"/>
      <c r="O93" s="126"/>
      <c r="P93" s="126"/>
      <c r="Q93" s="126"/>
      <c r="R93" s="129"/>
      <c r="S93" s="126"/>
      <c r="T93" s="126"/>
      <c r="U93" s="126"/>
      <c r="V93" s="145"/>
      <c r="W93" s="145"/>
      <c r="X93" s="145"/>
      <c r="Y93" s="145"/>
    </row>
    <row r="94">
      <c r="A94" s="706"/>
      <c r="L94" s="759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</row>
    <row r="95">
      <c r="A95" s="706"/>
      <c r="L95" s="759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</row>
    <row r="96">
      <c r="A96" s="706"/>
      <c r="L96" s="759"/>
      <c r="N96" s="761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</row>
    <row r="97">
      <c r="A97" s="706"/>
      <c r="L97" s="759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</row>
    <row r="98">
      <c r="A98" s="706"/>
      <c r="L98" s="759"/>
      <c r="N98" s="762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</row>
    <row r="99">
      <c r="A99" s="706"/>
      <c r="L99" s="759"/>
      <c r="N99" s="128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</row>
    <row r="100">
      <c r="A100" s="706"/>
      <c r="L100" s="759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</row>
    <row r="101">
      <c r="A101" s="706"/>
      <c r="L101" s="759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</row>
    <row r="102">
      <c r="A102" s="706"/>
      <c r="L102" s="759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</row>
    <row r="103">
      <c r="A103" s="706"/>
      <c r="L103" s="759"/>
      <c r="N103" s="75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</row>
    <row r="104">
      <c r="A104" s="706"/>
      <c r="L104" s="759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</row>
    <row r="105">
      <c r="A105" s="706"/>
      <c r="L105" s="759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</row>
    <row r="106">
      <c r="A106" s="706"/>
      <c r="L106" s="759"/>
      <c r="N106" s="763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</row>
    <row r="107">
      <c r="A107" s="706"/>
      <c r="L107" s="759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</row>
    <row r="108">
      <c r="A108" s="706"/>
      <c r="L108" s="759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</row>
    <row r="109">
      <c r="A109" s="706"/>
      <c r="L109" s="759"/>
      <c r="N109" s="145"/>
      <c r="O109" s="145"/>
      <c r="P109" s="145"/>
      <c r="Q109" s="145"/>
      <c r="R109" s="145"/>
      <c r="S109" s="145"/>
      <c r="T109" s="764"/>
      <c r="U109" s="145"/>
      <c r="V109" s="145"/>
      <c r="W109" s="145"/>
      <c r="X109" s="145"/>
      <c r="Y109" s="145"/>
    </row>
    <row r="110">
      <c r="A110" s="706"/>
      <c r="L110" s="759"/>
      <c r="N110" s="145"/>
      <c r="O110" s="145"/>
      <c r="P110" s="126"/>
      <c r="Q110" s="145"/>
      <c r="R110" s="126"/>
      <c r="S110" s="126"/>
      <c r="T110" s="126"/>
      <c r="U110" s="129"/>
      <c r="V110" s="126"/>
      <c r="W110" s="145"/>
      <c r="X110" s="145"/>
      <c r="Y110" s="145"/>
    </row>
    <row r="111">
      <c r="A111" s="706"/>
      <c r="L111" s="759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</row>
    <row r="112">
      <c r="A112" s="706"/>
      <c r="L112" s="759"/>
      <c r="N112" s="76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</row>
    <row r="113">
      <c r="A113" s="706"/>
      <c r="L113" s="759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</row>
    <row r="114">
      <c r="A114" s="706"/>
      <c r="L114" s="759"/>
      <c r="N114" s="128"/>
      <c r="O114" s="128"/>
      <c r="P114" s="128"/>
      <c r="Q114" s="128"/>
      <c r="R114" s="128"/>
      <c r="S114" s="128"/>
      <c r="T114" s="145"/>
      <c r="U114" s="145"/>
      <c r="V114" s="145"/>
      <c r="W114" s="145"/>
      <c r="X114" s="145"/>
      <c r="Y114" s="145"/>
    </row>
    <row r="115">
      <c r="A115" s="706"/>
      <c r="L115" s="759"/>
      <c r="N115" s="126"/>
      <c r="O115" s="126"/>
      <c r="P115" s="126"/>
      <c r="Q115" s="126"/>
      <c r="R115" s="129"/>
      <c r="S115" s="126"/>
      <c r="T115" s="145"/>
      <c r="U115" s="145"/>
      <c r="V115" s="145"/>
      <c r="W115" s="145"/>
      <c r="X115" s="145"/>
      <c r="Y115" s="145"/>
    </row>
    <row r="116">
      <c r="A116" s="706"/>
      <c r="L116" s="759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</row>
    <row r="117">
      <c r="A117" s="706"/>
      <c r="L117" s="759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</row>
    <row r="118">
      <c r="A118" s="706"/>
      <c r="L118" s="759"/>
      <c r="N118" s="761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</row>
    <row r="119">
      <c r="A119" s="706"/>
      <c r="L119" s="759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</row>
    <row r="120">
      <c r="A120" s="706"/>
      <c r="L120" s="759"/>
      <c r="N120" s="128"/>
      <c r="O120" s="128"/>
      <c r="P120" s="128"/>
      <c r="Q120" s="128"/>
      <c r="R120" s="128"/>
      <c r="S120" s="128"/>
      <c r="T120" s="128"/>
      <c r="U120" s="128"/>
      <c r="V120" s="145"/>
      <c r="W120" s="145"/>
      <c r="X120" s="145"/>
      <c r="Y120" s="145"/>
    </row>
    <row r="121">
      <c r="A121" s="766"/>
      <c r="B121" s="767"/>
      <c r="C121" s="767"/>
      <c r="D121" s="767"/>
      <c r="E121" s="767"/>
      <c r="F121" s="767"/>
      <c r="G121" s="767"/>
      <c r="H121" s="767"/>
      <c r="I121" s="767"/>
      <c r="J121" s="767"/>
      <c r="K121" s="767"/>
      <c r="L121" s="768"/>
      <c r="N121" s="126"/>
      <c r="O121" s="126"/>
      <c r="P121" s="126"/>
      <c r="Q121" s="126"/>
      <c r="R121" s="129"/>
      <c r="S121" s="126"/>
      <c r="T121" s="126"/>
      <c r="U121" s="126"/>
      <c r="V121" s="145"/>
      <c r="W121" s="145"/>
      <c r="X121" s="145"/>
      <c r="Y121" s="145"/>
    </row>
    <row r="125">
      <c r="A125" s="769"/>
      <c r="B125" s="770"/>
      <c r="C125" s="770"/>
      <c r="D125" s="771" t="s">
        <v>700</v>
      </c>
      <c r="E125" s="772" t="s">
        <v>1434</v>
      </c>
      <c r="F125" s="773"/>
      <c r="G125" s="774"/>
      <c r="H125" s="305">
        <v>1.0</v>
      </c>
      <c r="I125" s="769"/>
      <c r="J125" s="770"/>
      <c r="K125" s="770"/>
      <c r="L125" s="771" t="s">
        <v>700</v>
      </c>
      <c r="M125" s="772" t="str">
        <f>E125</f>
        <v>12.01.2025-12.07.2025</v>
      </c>
      <c r="N125" s="773"/>
      <c r="O125" s="774"/>
    </row>
    <row r="126">
      <c r="A126" s="775"/>
      <c r="D126" s="771" t="s">
        <v>702</v>
      </c>
      <c r="E126" s="772" t="str">
        <f t="array" ref="E126">XLOOKUP(E127,$Q$972:$Q$1008,$R$972:$R$1008)</f>
        <v>Ada Fleet LLC</v>
      </c>
      <c r="F126" s="773"/>
      <c r="G126" s="774"/>
      <c r="H126" s="283"/>
      <c r="I126" s="775"/>
      <c r="L126" s="771" t="s">
        <v>351</v>
      </c>
      <c r="M126" s="772" t="str">
        <f t="array" ref="M126">XLOOKUP(M127,$L$1:$L$121,$K$1:$K$121)</f>
        <v>VICTOR DEMCHENKO</v>
      </c>
      <c r="N126" s="773"/>
      <c r="O126" s="774"/>
    </row>
    <row r="127">
      <c r="A127" s="775"/>
      <c r="D127" s="771" t="s">
        <v>703</v>
      </c>
      <c r="E127" s="778" t="s">
        <v>431</v>
      </c>
      <c r="F127" s="773"/>
      <c r="G127" s="774"/>
      <c r="H127" s="858"/>
      <c r="I127" s="775"/>
      <c r="L127" s="771" t="s">
        <v>703</v>
      </c>
      <c r="M127" s="772" t="str">
        <f>E127</f>
        <v>0427</v>
      </c>
      <c r="N127" s="773"/>
      <c r="O127" s="774"/>
      <c r="P127" s="777"/>
    </row>
    <row r="128">
      <c r="A128" s="779" t="s">
        <v>704</v>
      </c>
      <c r="B128" s="779" t="s">
        <v>5</v>
      </c>
      <c r="C128" s="779" t="s">
        <v>6</v>
      </c>
      <c r="D128" s="779" t="s">
        <v>7</v>
      </c>
      <c r="E128" s="779" t="s">
        <v>8</v>
      </c>
      <c r="F128" s="779" t="s">
        <v>706</v>
      </c>
      <c r="G128" s="779" t="s">
        <v>707</v>
      </c>
      <c r="H128" s="34"/>
      <c r="I128" s="779" t="s">
        <v>704</v>
      </c>
      <c r="J128" s="779" t="s">
        <v>5</v>
      </c>
      <c r="K128" s="779" t="s">
        <v>6</v>
      </c>
      <c r="L128" s="779" t="s">
        <v>7</v>
      </c>
      <c r="M128" s="779" t="s">
        <v>1178</v>
      </c>
      <c r="N128" s="779" t="s">
        <v>839</v>
      </c>
      <c r="O128" s="779" t="s">
        <v>707</v>
      </c>
    </row>
    <row r="129">
      <c r="A129" s="780">
        <f>IFERROR(__xludf.DUMMYFUNCTION("FILTER($D$3:$H$121,$L$3:$L$121=E127)"),45992.0)</f>
        <v>45992</v>
      </c>
      <c r="B129" s="781">
        <f>IFERROR(__xludf.DUMMYFUNCTION("""COMPUTED_VALUE"""),8949329.0)</f>
        <v>8949329</v>
      </c>
      <c r="C129" s="781" t="str">
        <f>IFERROR(__xludf.DUMMYFUNCTION("""COMPUTED_VALUE"""),"Riverside, CA, 92508")</f>
        <v>Riverside, CA, 92508</v>
      </c>
      <c r="D129" s="781" t="str">
        <f>IFERROR(__xludf.DUMMYFUNCTION("""COMPUTED_VALUE"""),"Sioux Falls, SD, 57107")</f>
        <v>Sioux Falls, SD, 57107</v>
      </c>
      <c r="E129" s="782">
        <f>IFERROR(__xludf.DUMMYFUNCTION("""COMPUTED_VALUE"""),3900.0)</f>
        <v>3900</v>
      </c>
      <c r="F129" s="783">
        <v>0.88</v>
      </c>
      <c r="G129" s="782">
        <f t="shared" ref="G129:G130" si="5">E129*F129</f>
        <v>3432</v>
      </c>
      <c r="H129" s="283"/>
      <c r="I129" s="780">
        <f>IFERROR(__xludf.DUMMYFUNCTION("FILTER($D$3:$G$121,$L$3:$L$121=M127)"),45992.0)</f>
        <v>45992</v>
      </c>
      <c r="J129" s="781">
        <f>IFERROR(__xludf.DUMMYFUNCTION("""COMPUTED_VALUE"""),8949329.0)</f>
        <v>8949329</v>
      </c>
      <c r="K129" s="781" t="str">
        <f>IFERROR(__xludf.DUMMYFUNCTION("""COMPUTED_VALUE"""),"Riverside, CA, 92508")</f>
        <v>Riverside, CA, 92508</v>
      </c>
      <c r="L129" s="781" t="str">
        <f>IFERROR(__xludf.DUMMYFUNCTION("""COMPUTED_VALUE"""),"Sioux Falls, SD, 57107")</f>
        <v>Sioux Falls, SD, 57107</v>
      </c>
      <c r="M129" s="784">
        <f>IFERROR(__xludf.DUMMYFUNCTION("FILTER($I$3:$I$121,$L$3:$L$121=M127)"),1695.0)</f>
        <v>1695</v>
      </c>
      <c r="N129" s="781">
        <v>0.65</v>
      </c>
      <c r="O129" s="782">
        <f t="shared" ref="O129:O130" si="6">M129*N129</f>
        <v>1101.75</v>
      </c>
    </row>
    <row r="130">
      <c r="A130" s="780">
        <f>IFERROR(__xludf.DUMMYFUNCTION("""COMPUTED_VALUE"""),45998.0)</f>
        <v>45998</v>
      </c>
      <c r="B130" s="781">
        <f>IFERROR(__xludf.DUMMYFUNCTION("""COMPUTED_VALUE"""),8032897.0)</f>
        <v>8032897</v>
      </c>
      <c r="C130" s="781" t="str">
        <f>IFERROR(__xludf.DUMMYFUNCTION("""COMPUTED_VALUE"""),"Mitchell, SD, 57301")</f>
        <v>Mitchell, SD, 57301</v>
      </c>
      <c r="D130" s="781" t="str">
        <f>IFERROR(__xludf.DUMMYFUNCTION("""COMPUTED_VALUE"""),"Dover, DE, 19904")</f>
        <v>Dover, DE, 19904</v>
      </c>
      <c r="E130" s="782">
        <f>IFERROR(__xludf.DUMMYFUNCTION("""COMPUTED_VALUE"""),3900.0)</f>
        <v>3900</v>
      </c>
      <c r="F130" s="783">
        <v>0.88</v>
      </c>
      <c r="G130" s="782">
        <f t="shared" si="5"/>
        <v>3432</v>
      </c>
      <c r="H130" s="283"/>
      <c r="I130" s="780">
        <f>IFERROR(__xludf.DUMMYFUNCTION("""COMPUTED_VALUE"""),45998.0)</f>
        <v>45998</v>
      </c>
      <c r="J130" s="781">
        <f>IFERROR(__xludf.DUMMYFUNCTION("""COMPUTED_VALUE"""),8032897.0)</f>
        <v>8032897</v>
      </c>
      <c r="K130" s="781" t="str">
        <f>IFERROR(__xludf.DUMMYFUNCTION("""COMPUTED_VALUE"""),"Mitchell, SD, 57301")</f>
        <v>Mitchell, SD, 57301</v>
      </c>
      <c r="L130" s="781" t="str">
        <f>IFERROR(__xludf.DUMMYFUNCTION("""COMPUTED_VALUE"""),"Dover, DE, 19904")</f>
        <v>Dover, DE, 19904</v>
      </c>
      <c r="M130" s="951">
        <f>IFERROR(__xludf.DUMMYFUNCTION("""COMPUTED_VALUE"""),1571.0)</f>
        <v>1571</v>
      </c>
      <c r="N130" s="781">
        <v>0.65</v>
      </c>
      <c r="O130" s="782">
        <f t="shared" si="6"/>
        <v>1021.15</v>
      </c>
    </row>
    <row r="131">
      <c r="A131" s="785"/>
      <c r="B131" s="786"/>
      <c r="C131" s="786"/>
      <c r="D131" s="786"/>
      <c r="E131" s="785"/>
      <c r="F131" s="787"/>
      <c r="G131" s="788"/>
      <c r="H131" s="283"/>
      <c r="I131" s="785"/>
      <c r="J131" s="786"/>
      <c r="K131" s="786"/>
      <c r="L131" s="786"/>
      <c r="M131" s="785"/>
      <c r="N131" s="787"/>
      <c r="O131" s="789"/>
    </row>
    <row r="132">
      <c r="A132" s="785"/>
      <c r="B132" s="786"/>
      <c r="C132" s="786"/>
      <c r="D132" s="786"/>
      <c r="E132" s="785"/>
      <c r="F132" s="787"/>
      <c r="G132" s="788"/>
      <c r="H132" s="283"/>
      <c r="I132" s="785"/>
      <c r="J132" s="786"/>
      <c r="K132" s="786"/>
      <c r="L132" s="786"/>
      <c r="M132" s="785"/>
      <c r="N132" s="787"/>
      <c r="O132" s="789"/>
    </row>
    <row r="133">
      <c r="A133" s="785"/>
      <c r="B133" s="786"/>
      <c r="C133" s="786"/>
      <c r="D133" s="786"/>
      <c r="E133" s="785"/>
      <c r="F133" s="787"/>
      <c r="G133" s="788"/>
      <c r="H133" s="283"/>
      <c r="I133" s="785"/>
      <c r="J133" s="786"/>
      <c r="K133" s="786"/>
      <c r="L133" s="786"/>
      <c r="M133" s="785"/>
      <c r="N133" s="787"/>
      <c r="O133" s="789"/>
    </row>
    <row r="134">
      <c r="A134" s="785"/>
      <c r="B134" s="786"/>
      <c r="C134" s="786"/>
      <c r="D134" s="786"/>
      <c r="E134" s="785"/>
      <c r="F134" s="787"/>
      <c r="G134" s="788"/>
      <c r="H134" s="283"/>
      <c r="I134" s="785"/>
      <c r="J134" s="786"/>
      <c r="K134" s="786"/>
      <c r="L134" s="786"/>
      <c r="M134" s="785"/>
      <c r="N134" s="787"/>
      <c r="O134" s="789"/>
    </row>
    <row r="135">
      <c r="A135" s="790" t="s">
        <v>711</v>
      </c>
      <c r="B135" s="791"/>
      <c r="C135" s="791"/>
      <c r="D135" s="792"/>
      <c r="E135" s="793">
        <f>SUM(E129:E134)</f>
        <v>7800</v>
      </c>
      <c r="F135" s="794"/>
      <c r="G135" s="793">
        <f>SUM(G129:G134)</f>
        <v>6864</v>
      </c>
      <c r="H135" s="283"/>
      <c r="I135" s="790" t="s">
        <v>711</v>
      </c>
      <c r="J135" s="791"/>
      <c r="K135" s="791"/>
      <c r="L135" s="792"/>
      <c r="M135" s="795">
        <f>SUM(M129:M134)</f>
        <v>3266</v>
      </c>
      <c r="N135" s="794"/>
      <c r="O135" s="793">
        <f>SUM(O129:O134)</f>
        <v>2122.9</v>
      </c>
    </row>
    <row r="136">
      <c r="A136" s="796"/>
      <c r="D136" s="248"/>
      <c r="E136" s="248"/>
      <c r="F136" s="248"/>
      <c r="G136" s="797"/>
      <c r="H136" s="283"/>
      <c r="I136" s="796"/>
      <c r="L136" s="798"/>
      <c r="O136" s="799"/>
    </row>
    <row r="137">
      <c r="A137" s="800" t="s">
        <v>712</v>
      </c>
      <c r="B137" s="801"/>
      <c r="C137" s="802"/>
      <c r="D137" s="248"/>
      <c r="E137" s="248"/>
      <c r="F137" s="248"/>
      <c r="G137" s="797"/>
      <c r="H137" s="283"/>
      <c r="I137" s="800" t="s">
        <v>712</v>
      </c>
      <c r="J137" s="803"/>
      <c r="K137" s="804"/>
      <c r="O137" s="799"/>
    </row>
    <row r="138">
      <c r="A138" s="805"/>
      <c r="B138" s="806"/>
      <c r="C138" s="807"/>
      <c r="D138" s="248"/>
      <c r="E138" s="248"/>
      <c r="F138" s="248"/>
      <c r="G138" s="797"/>
      <c r="H138" s="283"/>
      <c r="I138" s="805"/>
      <c r="J138" s="808"/>
      <c r="K138" s="809"/>
      <c r="O138" s="799"/>
    </row>
    <row r="139">
      <c r="A139" s="805"/>
      <c r="B139" s="811"/>
      <c r="C139" s="952"/>
      <c r="D139" s="248"/>
      <c r="E139" s="248"/>
      <c r="F139" s="248"/>
      <c r="G139" s="797"/>
      <c r="H139" s="283"/>
      <c r="I139" s="813"/>
      <c r="J139" s="774"/>
      <c r="K139" s="899"/>
      <c r="O139" s="799"/>
    </row>
    <row r="140">
      <c r="A140" s="953"/>
      <c r="B140" s="792"/>
      <c r="C140" s="782"/>
      <c r="D140" s="248"/>
      <c r="E140" s="248"/>
      <c r="F140" s="248"/>
      <c r="G140" s="797"/>
      <c r="H140" s="283"/>
      <c r="I140" s="815"/>
      <c r="J140" s="792"/>
      <c r="K140" s="816"/>
      <c r="O140" s="799"/>
    </row>
    <row r="141">
      <c r="A141" s="954"/>
      <c r="B141" s="774"/>
      <c r="C141" s="955"/>
      <c r="D141" s="819" t="s">
        <v>1181</v>
      </c>
      <c r="E141" s="820">
        <v>2298.8</v>
      </c>
      <c r="F141" s="248"/>
      <c r="G141" s="797"/>
      <c r="H141" s="283"/>
      <c r="I141" s="817"/>
      <c r="J141" s="774"/>
      <c r="K141" s="818"/>
      <c r="O141" s="799"/>
    </row>
    <row r="142">
      <c r="A142" s="954"/>
      <c r="B142" s="792"/>
      <c r="C142" s="955"/>
      <c r="D142" s="248"/>
      <c r="E142" s="248"/>
      <c r="F142" s="248"/>
      <c r="G142" s="797"/>
      <c r="H142" s="283"/>
      <c r="I142" s="817"/>
      <c r="J142" s="792"/>
      <c r="K142" s="818"/>
      <c r="O142" s="799"/>
    </row>
    <row r="143">
      <c r="A143" s="821" t="s">
        <v>714</v>
      </c>
      <c r="B143" s="822"/>
      <c r="C143" s="823">
        <f>SUM(C138:C142)</f>
        <v>0</v>
      </c>
      <c r="D143" s="824" t="s">
        <v>657</v>
      </c>
      <c r="E143" s="825">
        <f>G147-E141</f>
        <v>2867.11</v>
      </c>
      <c r="F143" s="248"/>
      <c r="G143" s="797"/>
      <c r="H143" s="283"/>
      <c r="I143" s="821" t="s">
        <v>714</v>
      </c>
      <c r="J143" s="826"/>
      <c r="K143" s="827">
        <f>SUM(K138:K142)</f>
        <v>0</v>
      </c>
      <c r="O143" s="799"/>
    </row>
    <row r="144">
      <c r="A144" s="828"/>
      <c r="C144" s="829"/>
      <c r="D144" s="248"/>
      <c r="E144" s="248"/>
      <c r="F144" s="248"/>
      <c r="G144" s="797"/>
      <c r="H144" s="283"/>
      <c r="I144" s="828"/>
      <c r="K144" s="829"/>
      <c r="O144" s="799"/>
    </row>
    <row r="145">
      <c r="A145" s="830" t="s">
        <v>715</v>
      </c>
      <c r="B145" s="831"/>
      <c r="C145" s="832"/>
      <c r="D145" s="248"/>
      <c r="E145" s="248"/>
      <c r="F145" s="248"/>
      <c r="G145" s="797"/>
      <c r="H145" s="283"/>
      <c r="I145" s="833" t="s">
        <v>715</v>
      </c>
      <c r="J145" s="834"/>
      <c r="K145" s="835"/>
      <c r="O145" s="799"/>
    </row>
    <row r="146">
      <c r="A146" s="836" t="s">
        <v>716</v>
      </c>
      <c r="B146" s="837"/>
      <c r="C146" s="838"/>
      <c r="D146" s="248"/>
      <c r="E146" s="248"/>
      <c r="F146" s="248"/>
      <c r="G146" s="797"/>
      <c r="H146" s="283"/>
      <c r="I146" s="839"/>
      <c r="J146" s="840"/>
      <c r="K146" s="841"/>
      <c r="O146" s="799"/>
    </row>
    <row r="147">
      <c r="A147" s="836" t="s">
        <v>717</v>
      </c>
      <c r="B147" s="843"/>
      <c r="C147" s="838"/>
      <c r="D147" s="248"/>
      <c r="E147" s="845" t="s">
        <v>1182</v>
      </c>
      <c r="G147" s="846">
        <f>G135+C143-C152</f>
        <v>5165.91</v>
      </c>
      <c r="H147" s="283"/>
      <c r="I147" s="847"/>
      <c r="J147" s="848"/>
      <c r="K147" s="849"/>
      <c r="L147" s="248"/>
      <c r="M147" s="845" t="s">
        <v>1183</v>
      </c>
      <c r="O147" s="846">
        <f>O135+K143-K152</f>
        <v>2122.9</v>
      </c>
    </row>
    <row r="148">
      <c r="A148" s="836" t="s">
        <v>718</v>
      </c>
      <c r="B148" s="837"/>
      <c r="C148" s="838"/>
      <c r="G148" s="799"/>
      <c r="H148" s="283"/>
      <c r="I148" s="847"/>
      <c r="J148" s="848"/>
      <c r="K148" s="849"/>
      <c r="O148" s="799"/>
    </row>
    <row r="149">
      <c r="A149" s="836" t="s">
        <v>656</v>
      </c>
      <c r="B149" s="843"/>
      <c r="C149" s="838">
        <f>IFERROR(__xludf.DUMMYFUNCTION("FILTER($C$4:$C$30,$B$4:$B$30=E127)"),1698.09)</f>
        <v>1698.09</v>
      </c>
      <c r="G149" s="799"/>
      <c r="H149" s="283"/>
      <c r="I149" s="847"/>
      <c r="J149" s="848"/>
      <c r="K149" s="849"/>
      <c r="O149" s="799"/>
    </row>
    <row r="150">
      <c r="A150" s="850" t="s">
        <v>1184</v>
      </c>
      <c r="B150" s="851"/>
      <c r="C150" s="852"/>
      <c r="E150" s="248"/>
      <c r="G150" s="799"/>
      <c r="H150" s="283"/>
      <c r="I150" s="847"/>
      <c r="J150" s="848"/>
      <c r="K150" s="849"/>
      <c r="M150" s="248"/>
      <c r="O150" s="799"/>
    </row>
    <row r="151">
      <c r="A151" s="956"/>
      <c r="B151" s="848"/>
      <c r="C151" s="957"/>
      <c r="G151" s="799"/>
      <c r="H151" s="283"/>
      <c r="I151" s="847"/>
      <c r="J151" s="848"/>
      <c r="K151" s="849"/>
      <c r="O151" s="799"/>
    </row>
    <row r="152">
      <c r="A152" s="853" t="s">
        <v>721</v>
      </c>
      <c r="B152" s="854"/>
      <c r="C152" s="855">
        <f>SUM(C146:C151)</f>
        <v>1698.09</v>
      </c>
      <c r="G152" s="799"/>
      <c r="H152" s="283"/>
      <c r="I152" s="853" t="s">
        <v>721</v>
      </c>
      <c r="J152" s="854"/>
      <c r="K152" s="855"/>
      <c r="O152" s="799"/>
    </row>
    <row r="153">
      <c r="A153" s="856"/>
      <c r="B153" s="857"/>
      <c r="C153" s="857"/>
      <c r="D153" s="857"/>
      <c r="E153" s="857"/>
      <c r="F153" s="857"/>
      <c r="G153" s="808"/>
      <c r="H153" s="283"/>
      <c r="I153" s="856"/>
      <c r="J153" s="857"/>
      <c r="K153" s="857"/>
      <c r="L153" s="857"/>
      <c r="M153" s="857"/>
      <c r="N153" s="857"/>
      <c r="O153" s="808"/>
    </row>
    <row r="156">
      <c r="A156" s="769"/>
      <c r="B156" s="770"/>
      <c r="C156" s="770"/>
      <c r="D156" s="771" t="s">
        <v>700</v>
      </c>
      <c r="E156" s="772" t="str">
        <f>E125</f>
        <v>12.01.2025-12.07.2025</v>
      </c>
      <c r="F156" s="773"/>
      <c r="G156" s="774"/>
      <c r="H156" s="305">
        <v>2.0</v>
      </c>
      <c r="I156" s="769"/>
      <c r="J156" s="770"/>
      <c r="K156" s="770"/>
      <c r="L156" s="771" t="s">
        <v>700</v>
      </c>
      <c r="M156" s="772" t="str">
        <f>E125</f>
        <v>12.01.2025-12.07.2025</v>
      </c>
      <c r="N156" s="773"/>
      <c r="O156" s="774"/>
      <c r="Q156" s="769"/>
      <c r="R156" s="770"/>
      <c r="S156" s="770"/>
      <c r="T156" s="771" t="s">
        <v>700</v>
      </c>
      <c r="U156" s="772" t="str">
        <f>E125</f>
        <v>12.01.2025-12.07.2025</v>
      </c>
      <c r="V156" s="773"/>
      <c r="W156" s="774"/>
    </row>
    <row r="157">
      <c r="A157" s="775"/>
      <c r="D157" s="771" t="s">
        <v>702</v>
      </c>
      <c r="E157" s="772" t="str">
        <f t="array" ref="E157">XLOOKUP(E158,$Q$972:$Q$1008,$R$972:$R$1008)</f>
        <v>Arba Express LLC</v>
      </c>
      <c r="F157" s="773"/>
      <c r="G157" s="774"/>
      <c r="H157" s="283"/>
      <c r="I157" s="775"/>
      <c r="L157" s="771" t="s">
        <v>351</v>
      </c>
      <c r="M157" s="772" t="str">
        <f t="array" ref="M157">XLOOKUP(M158,$L$1:$L$121,$K$1:$K$121)</f>
        <v>ROUDELINE ZEPHIRIN</v>
      </c>
      <c r="N157" s="773"/>
      <c r="O157" s="774"/>
      <c r="Q157" s="775"/>
      <c r="T157" s="771" t="s">
        <v>351</v>
      </c>
      <c r="U157" s="772" t="s">
        <v>661</v>
      </c>
      <c r="V157" s="773"/>
      <c r="W157" s="774"/>
    </row>
    <row r="158">
      <c r="A158" s="775"/>
      <c r="D158" s="771" t="s">
        <v>703</v>
      </c>
      <c r="E158" s="772">
        <v>6960.0</v>
      </c>
      <c r="F158" s="773"/>
      <c r="G158" s="774"/>
      <c r="H158" s="858"/>
      <c r="I158" s="775"/>
      <c r="L158" s="771" t="s">
        <v>703</v>
      </c>
      <c r="M158" s="772">
        <f>E158</f>
        <v>6960</v>
      </c>
      <c r="N158" s="773"/>
      <c r="O158" s="774"/>
      <c r="P158" s="958"/>
      <c r="Q158" s="775"/>
      <c r="T158" s="771" t="s">
        <v>703</v>
      </c>
      <c r="U158" s="772">
        <f>M158</f>
        <v>6960</v>
      </c>
      <c r="V158" s="773"/>
      <c r="W158" s="774"/>
    </row>
    <row r="159">
      <c r="A159" s="779" t="s">
        <v>704</v>
      </c>
      <c r="B159" s="779" t="s">
        <v>5</v>
      </c>
      <c r="C159" s="779" t="s">
        <v>6</v>
      </c>
      <c r="D159" s="779" t="s">
        <v>7</v>
      </c>
      <c r="E159" s="779" t="s">
        <v>8</v>
      </c>
      <c r="F159" s="779" t="s">
        <v>706</v>
      </c>
      <c r="G159" s="779" t="s">
        <v>707</v>
      </c>
      <c r="H159" s="34"/>
      <c r="I159" s="779" t="s">
        <v>704</v>
      </c>
      <c r="J159" s="779" t="s">
        <v>5</v>
      </c>
      <c r="K159" s="779" t="s">
        <v>6</v>
      </c>
      <c r="L159" s="779" t="s">
        <v>7</v>
      </c>
      <c r="M159" s="779" t="s">
        <v>1178</v>
      </c>
      <c r="N159" s="779" t="s">
        <v>839</v>
      </c>
      <c r="O159" s="779" t="s">
        <v>707</v>
      </c>
      <c r="Q159" s="779" t="s">
        <v>704</v>
      </c>
      <c r="R159" s="779" t="s">
        <v>5</v>
      </c>
      <c r="S159" s="779" t="s">
        <v>6</v>
      </c>
      <c r="T159" s="779" t="s">
        <v>7</v>
      </c>
      <c r="U159" s="779" t="s">
        <v>1178</v>
      </c>
      <c r="V159" s="779" t="s">
        <v>839</v>
      </c>
      <c r="W159" s="779" t="s">
        <v>707</v>
      </c>
    </row>
    <row r="160">
      <c r="A160" s="780">
        <f>IFERROR(__xludf.DUMMYFUNCTION("FILTER($D$3:$H$121,$L$3:$L$121=E158)"),45994.0)</f>
        <v>45994</v>
      </c>
      <c r="B160" s="781">
        <f>IFERROR(__xludf.DUMMYFUNCTION("""COMPUTED_VALUE"""),1768827.0)</f>
        <v>1768827</v>
      </c>
      <c r="C160" s="781" t="str">
        <f>IFERROR(__xludf.DUMMYFUNCTION("""COMPUTED_VALUE"""),"Mebane, NC, 27302")</f>
        <v>Mebane, NC, 27302</v>
      </c>
      <c r="D160" s="781" t="str">
        <f>IFERROR(__xludf.DUMMYFUNCTION("""COMPUTED_VALUE"""),"Abilene, TX, 79602")</f>
        <v>Abilene, TX, 79602</v>
      </c>
      <c r="E160" s="782">
        <f>IFERROR(__xludf.DUMMYFUNCTION("""COMPUTED_VALUE"""),2900.0)</f>
        <v>2900</v>
      </c>
      <c r="F160" s="783">
        <v>0.88</v>
      </c>
      <c r="G160" s="782">
        <f t="shared" ref="G160:G163" si="7">E160*F160</f>
        <v>2552</v>
      </c>
      <c r="H160" s="283"/>
      <c r="I160" s="860">
        <f>IFERROR(__xludf.DUMMYFUNCTION("FILTER($D$3:$G$121,$L$3:$L$121=M158)"),45994.0)</f>
        <v>45994</v>
      </c>
      <c r="J160" s="861">
        <f>IFERROR(__xludf.DUMMYFUNCTION("""COMPUTED_VALUE"""),1768827.0)</f>
        <v>1768827</v>
      </c>
      <c r="K160" s="861" t="str">
        <f>IFERROR(__xludf.DUMMYFUNCTION("""COMPUTED_VALUE"""),"Mebane, NC, 27302")</f>
        <v>Mebane, NC, 27302</v>
      </c>
      <c r="L160" s="861" t="str">
        <f>IFERROR(__xludf.DUMMYFUNCTION("""COMPUTED_VALUE"""),"Abilene, TX, 79602")</f>
        <v>Abilene, TX, 79602</v>
      </c>
      <c r="M160" s="861">
        <f>IFERROR(__xludf.DUMMYFUNCTION("FILTER($I$3:$I$121,$L$3:$L$121=M158)/2"),693.0)</f>
        <v>693</v>
      </c>
      <c r="N160" s="862">
        <v>0.8</v>
      </c>
      <c r="O160" s="863">
        <f>M160*N160</f>
        <v>554.4</v>
      </c>
      <c r="Q160" s="860">
        <f>IFERROR(__xludf.DUMMYFUNCTION("FILTER($D$3:$G$121,$L$3:$L$121=U158)"),45994.0)</f>
        <v>45994</v>
      </c>
      <c r="R160" s="861">
        <f>IFERROR(__xludf.DUMMYFUNCTION("""COMPUTED_VALUE"""),1768827.0)</f>
        <v>1768827</v>
      </c>
      <c r="S160" s="861" t="str">
        <f>IFERROR(__xludf.DUMMYFUNCTION("""COMPUTED_VALUE"""),"Mebane, NC, 27302")</f>
        <v>Mebane, NC, 27302</v>
      </c>
      <c r="T160" s="861" t="str">
        <f>IFERROR(__xludf.DUMMYFUNCTION("""COMPUTED_VALUE"""),"Abilene, TX, 79602")</f>
        <v>Abilene, TX, 79602</v>
      </c>
      <c r="U160" s="861">
        <f>IFERROR(__xludf.DUMMYFUNCTION("FILTER($I$3:$I$121,$L$3:$L$121=U158)/2"),693.0)</f>
        <v>693</v>
      </c>
      <c r="V160" s="862">
        <v>0.8</v>
      </c>
      <c r="W160" s="863">
        <f>U160*V160</f>
        <v>554.4</v>
      </c>
    </row>
    <row r="161">
      <c r="A161" s="780">
        <f>IFERROR(__xludf.DUMMYFUNCTION("""COMPUTED_VALUE"""),45995.0)</f>
        <v>45995</v>
      </c>
      <c r="B161" s="781">
        <f>IFERROR(__xludf.DUMMYFUNCTION("""COMPUTED_VALUE"""),4226036.0)</f>
        <v>4226036</v>
      </c>
      <c r="C161" s="781" t="str">
        <f>IFERROR(__xludf.DUMMYFUNCTION("""COMPUTED_VALUE"""),"Austin, TX, 78754")</f>
        <v>Austin, TX, 78754</v>
      </c>
      <c r="D161" s="781" t="str">
        <f>IFERROR(__xludf.DUMMYFUNCTION("""COMPUTED_VALUE"""),"Jersey City, NJ, 07097")</f>
        <v>Jersey City, NJ, 07097</v>
      </c>
      <c r="E161" s="782">
        <f>IFERROR(__xludf.DUMMYFUNCTION("""COMPUTED_VALUE"""),4500.0)</f>
        <v>4500</v>
      </c>
      <c r="F161" s="783">
        <v>0.88</v>
      </c>
      <c r="G161" s="782">
        <f t="shared" si="7"/>
        <v>3960</v>
      </c>
      <c r="H161" s="283"/>
      <c r="I161" s="780">
        <f>IFERROR(__xludf.DUMMYFUNCTION("""COMPUTED_VALUE"""),45995.0)</f>
        <v>45995</v>
      </c>
      <c r="J161" s="781">
        <f>IFERROR(__xludf.DUMMYFUNCTION("""COMPUTED_VALUE"""),4226036.0)</f>
        <v>4226036</v>
      </c>
      <c r="K161" s="781" t="str">
        <f>IFERROR(__xludf.DUMMYFUNCTION("""COMPUTED_VALUE"""),"Austin, TX, 78754")</f>
        <v>Austin, TX, 78754</v>
      </c>
      <c r="L161" s="781" t="str">
        <f>IFERROR(__xludf.DUMMYFUNCTION("""COMPUTED_VALUE"""),"Jersey City, NJ, 07097")</f>
        <v>Jersey City, NJ, 07097</v>
      </c>
      <c r="M161" s="782"/>
      <c r="N161" s="783"/>
      <c r="O161" s="789"/>
      <c r="Q161" s="780">
        <f>IFERROR(__xludf.DUMMYFUNCTION("""COMPUTED_VALUE"""),45995.0)</f>
        <v>45995</v>
      </c>
      <c r="R161" s="781">
        <f>IFERROR(__xludf.DUMMYFUNCTION("""COMPUTED_VALUE"""),4226036.0)</f>
        <v>4226036</v>
      </c>
      <c r="S161" s="781" t="str">
        <f>IFERROR(__xludf.DUMMYFUNCTION("""COMPUTED_VALUE"""),"Austin, TX, 78754")</f>
        <v>Austin, TX, 78754</v>
      </c>
      <c r="T161" s="781" t="str">
        <f>IFERROR(__xludf.DUMMYFUNCTION("""COMPUTED_VALUE"""),"Jersey City, NJ, 07097")</f>
        <v>Jersey City, NJ, 07097</v>
      </c>
      <c r="U161" s="782"/>
      <c r="V161" s="783"/>
      <c r="W161" s="789"/>
    </row>
    <row r="162">
      <c r="A162" s="959">
        <f>IFERROR(__xludf.DUMMYFUNCTION("""COMPUTED_VALUE"""),45998.0)</f>
        <v>45998</v>
      </c>
      <c r="B162" s="960">
        <f>IFERROR(__xludf.DUMMYFUNCTION("""COMPUTED_VALUE"""),2420747.0)</f>
        <v>2420747</v>
      </c>
      <c r="C162" s="960" t="str">
        <f>IFERROR(__xludf.DUMMYFUNCTION("""COMPUTED_VALUE"""),"Philadelphia, PA, 19116")</f>
        <v>Philadelphia, PA, 19116</v>
      </c>
      <c r="D162" s="960" t="str">
        <f>IFERROR(__xludf.DUMMYFUNCTION("""COMPUTED_VALUE"""),"Gastonia, NC, 28054")</f>
        <v>Gastonia, NC, 28054</v>
      </c>
      <c r="E162" s="961">
        <f>IFERROR(__xludf.DUMMYFUNCTION("""COMPUTED_VALUE"""),2100.0)</f>
        <v>2100</v>
      </c>
      <c r="F162" s="962">
        <v>0.88</v>
      </c>
      <c r="G162" s="963">
        <f t="shared" si="7"/>
        <v>1848</v>
      </c>
      <c r="H162" s="283"/>
      <c r="I162" s="959">
        <f>IFERROR(__xludf.DUMMYFUNCTION("""COMPUTED_VALUE"""),45998.0)</f>
        <v>45998</v>
      </c>
      <c r="J162" s="960">
        <f>IFERROR(__xludf.DUMMYFUNCTION("""COMPUTED_VALUE"""),2420747.0)</f>
        <v>2420747</v>
      </c>
      <c r="K162" s="960" t="str">
        <f>IFERROR(__xludf.DUMMYFUNCTION("""COMPUTED_VALUE"""),"Philadelphia, PA, 19116")</f>
        <v>Philadelphia, PA, 19116</v>
      </c>
      <c r="L162" s="960" t="str">
        <f>IFERROR(__xludf.DUMMYFUNCTION("""COMPUTED_VALUE"""),"Gastonia, NC, 28054")</f>
        <v>Gastonia, NC, 28054</v>
      </c>
      <c r="M162" s="964"/>
      <c r="N162" s="965"/>
      <c r="O162" s="966"/>
      <c r="Q162" s="959">
        <f>IFERROR(__xludf.DUMMYFUNCTION("""COMPUTED_VALUE"""),45998.0)</f>
        <v>45998</v>
      </c>
      <c r="R162" s="960">
        <f>IFERROR(__xludf.DUMMYFUNCTION("""COMPUTED_VALUE"""),2420747.0)</f>
        <v>2420747</v>
      </c>
      <c r="S162" s="960" t="str">
        <f>IFERROR(__xludf.DUMMYFUNCTION("""COMPUTED_VALUE"""),"Philadelphia, PA, 19116")</f>
        <v>Philadelphia, PA, 19116</v>
      </c>
      <c r="T162" s="960" t="str">
        <f>IFERROR(__xludf.DUMMYFUNCTION("""COMPUTED_VALUE"""),"Gastonia, NC, 28054")</f>
        <v>Gastonia, NC, 28054</v>
      </c>
      <c r="U162" s="964"/>
      <c r="V162" s="965"/>
      <c r="W162" s="966"/>
    </row>
    <row r="163">
      <c r="A163" s="785"/>
      <c r="B163" s="786"/>
      <c r="C163" s="786"/>
      <c r="D163" s="786"/>
      <c r="E163" s="785"/>
      <c r="F163" s="783">
        <v>0.88</v>
      </c>
      <c r="G163" s="782">
        <f t="shared" si="7"/>
        <v>0</v>
      </c>
      <c r="H163" s="283"/>
      <c r="I163" s="785"/>
      <c r="J163" s="786"/>
      <c r="K163" s="786"/>
      <c r="L163" s="786"/>
      <c r="M163" s="785"/>
      <c r="N163" s="787"/>
      <c r="O163" s="789"/>
      <c r="Q163" s="785"/>
      <c r="R163" s="786"/>
      <c r="S163" s="786"/>
      <c r="T163" s="786"/>
      <c r="U163" s="785"/>
      <c r="V163" s="787"/>
      <c r="W163" s="789"/>
    </row>
    <row r="164">
      <c r="A164" s="785"/>
      <c r="B164" s="786"/>
      <c r="C164" s="786"/>
      <c r="D164" s="786"/>
      <c r="E164" s="785"/>
      <c r="F164" s="787"/>
      <c r="G164" s="788"/>
      <c r="H164" s="283"/>
      <c r="I164" s="785"/>
      <c r="J164" s="786"/>
      <c r="K164" s="786"/>
      <c r="L164" s="786"/>
      <c r="M164" s="785"/>
      <c r="N164" s="787"/>
      <c r="O164" s="789"/>
      <c r="Q164" s="785"/>
      <c r="R164" s="786"/>
      <c r="S164" s="786"/>
      <c r="T164" s="786"/>
      <c r="U164" s="785"/>
      <c r="V164" s="787"/>
      <c r="W164" s="789"/>
    </row>
    <row r="165">
      <c r="A165" s="785"/>
      <c r="B165" s="786"/>
      <c r="C165" s="786"/>
      <c r="D165" s="786"/>
      <c r="E165" s="785"/>
      <c r="F165" s="787"/>
      <c r="G165" s="788"/>
      <c r="H165" s="283"/>
      <c r="I165" s="785"/>
      <c r="J165" s="786"/>
      <c r="K165" s="786"/>
      <c r="L165" s="786"/>
      <c r="M165" s="785"/>
      <c r="N165" s="787"/>
      <c r="O165" s="789"/>
      <c r="Q165" s="785"/>
      <c r="R165" s="786"/>
      <c r="S165" s="786"/>
      <c r="T165" s="786"/>
      <c r="U165" s="785"/>
      <c r="V165" s="787"/>
      <c r="W165" s="789"/>
    </row>
    <row r="166">
      <c r="A166" s="790" t="s">
        <v>711</v>
      </c>
      <c r="B166" s="791"/>
      <c r="C166" s="791"/>
      <c r="D166" s="792"/>
      <c r="E166" s="793">
        <f>SUM(E160:E165)</f>
        <v>9500</v>
      </c>
      <c r="F166" s="794"/>
      <c r="G166" s="793">
        <f>SUM(G160:G165)</f>
        <v>8360</v>
      </c>
      <c r="H166" s="283"/>
      <c r="I166" s="790" t="s">
        <v>711</v>
      </c>
      <c r="J166" s="791"/>
      <c r="K166" s="791"/>
      <c r="L166" s="792"/>
      <c r="M166" s="795">
        <f>SUM(M160:M165)</f>
        <v>693</v>
      </c>
      <c r="N166" s="794"/>
      <c r="O166" s="793">
        <f>SUM(O160:O165)</f>
        <v>554.4</v>
      </c>
      <c r="Q166" s="790" t="s">
        <v>711</v>
      </c>
      <c r="R166" s="791"/>
      <c r="S166" s="791"/>
      <c r="T166" s="792"/>
      <c r="U166" s="793">
        <f>SUM(U160:U165)</f>
        <v>693</v>
      </c>
      <c r="V166" s="794"/>
      <c r="W166" s="793">
        <f>SUM(W160:W165)</f>
        <v>554.4</v>
      </c>
    </row>
    <row r="167">
      <c r="A167" s="864"/>
      <c r="D167" s="865" t="s">
        <v>1185</v>
      </c>
      <c r="G167" s="866"/>
      <c r="H167" s="283"/>
      <c r="I167" s="796"/>
      <c r="L167" s="798"/>
      <c r="O167" s="799"/>
      <c r="Q167" s="796"/>
      <c r="T167" s="798"/>
      <c r="W167" s="799"/>
    </row>
    <row r="168">
      <c r="A168" s="800" t="s">
        <v>712</v>
      </c>
      <c r="B168" s="801"/>
      <c r="C168" s="802"/>
      <c r="G168" s="799"/>
      <c r="H168" s="283"/>
      <c r="I168" s="800" t="s">
        <v>712</v>
      </c>
      <c r="J168" s="803"/>
      <c r="K168" s="804"/>
      <c r="O168" s="799"/>
      <c r="Q168" s="800" t="s">
        <v>712</v>
      </c>
      <c r="R168" s="803"/>
      <c r="S168" s="804"/>
      <c r="W168" s="799"/>
    </row>
    <row r="169">
      <c r="A169" s="867"/>
      <c r="B169" s="808"/>
      <c r="C169" s="809"/>
      <c r="G169" s="799"/>
      <c r="H169" s="283"/>
      <c r="I169" s="805"/>
      <c r="J169" s="808"/>
      <c r="K169" s="967"/>
      <c r="O169" s="799"/>
      <c r="Q169" s="805"/>
      <c r="R169" s="808"/>
      <c r="S169" s="967"/>
      <c r="W169" s="799"/>
    </row>
    <row r="170">
      <c r="A170" s="868"/>
      <c r="B170" s="774"/>
      <c r="C170" s="816"/>
      <c r="G170" s="799"/>
      <c r="H170" s="283"/>
      <c r="I170" s="868"/>
      <c r="J170" s="774"/>
      <c r="K170" s="816"/>
      <c r="O170" s="799"/>
      <c r="Q170" s="868"/>
      <c r="R170" s="774"/>
      <c r="S170" s="816"/>
      <c r="W170" s="799"/>
    </row>
    <row r="171">
      <c r="A171" s="815"/>
      <c r="B171" s="792"/>
      <c r="C171" s="816"/>
      <c r="G171" s="799"/>
      <c r="H171" s="283"/>
      <c r="I171" s="815"/>
      <c r="J171" s="792"/>
      <c r="K171" s="816"/>
      <c r="O171" s="799"/>
      <c r="Q171" s="815"/>
      <c r="R171" s="792"/>
      <c r="S171" s="816"/>
      <c r="W171" s="799"/>
    </row>
    <row r="172">
      <c r="A172" s="817"/>
      <c r="B172" s="774"/>
      <c r="C172" s="818"/>
      <c r="G172" s="799"/>
      <c r="H172" s="283"/>
      <c r="I172" s="817"/>
      <c r="J172" s="774"/>
      <c r="K172" s="818"/>
      <c r="O172" s="799"/>
      <c r="Q172" s="817"/>
      <c r="R172" s="774"/>
      <c r="S172" s="818"/>
      <c r="W172" s="799"/>
    </row>
    <row r="173">
      <c r="A173" s="817"/>
      <c r="B173" s="792"/>
      <c r="C173" s="818"/>
      <c r="G173" s="799"/>
      <c r="H173" s="283"/>
      <c r="I173" s="817"/>
      <c r="J173" s="792"/>
      <c r="K173" s="818"/>
      <c r="O173" s="799"/>
      <c r="Q173" s="817"/>
      <c r="R173" s="792"/>
      <c r="S173" s="818"/>
      <c r="W173" s="799"/>
    </row>
    <row r="174">
      <c r="A174" s="821" t="s">
        <v>714</v>
      </c>
      <c r="B174" s="822"/>
      <c r="C174" s="823">
        <f>SUM(C169:C173)</f>
        <v>0</v>
      </c>
      <c r="G174" s="799"/>
      <c r="H174" s="283"/>
      <c r="I174" s="821" t="s">
        <v>714</v>
      </c>
      <c r="J174" s="826"/>
      <c r="K174" s="827">
        <f>SUM(K169:K173)</f>
        <v>0</v>
      </c>
      <c r="O174" s="799"/>
      <c r="Q174" s="821" t="s">
        <v>714</v>
      </c>
      <c r="R174" s="826"/>
      <c r="S174" s="827">
        <f>SUM(S169:S173)</f>
        <v>0</v>
      </c>
      <c r="W174" s="799"/>
    </row>
    <row r="175">
      <c r="A175" s="828"/>
      <c r="C175" s="829"/>
      <c r="G175" s="799"/>
      <c r="H175" s="283"/>
      <c r="I175" s="828"/>
      <c r="K175" s="829"/>
      <c r="O175" s="799"/>
      <c r="Q175" s="828"/>
      <c r="S175" s="829"/>
      <c r="W175" s="799"/>
    </row>
    <row r="176">
      <c r="A176" s="830" t="s">
        <v>715</v>
      </c>
      <c r="B176" s="831"/>
      <c r="C176" s="832"/>
      <c r="G176" s="799"/>
      <c r="H176" s="283"/>
      <c r="I176" s="833" t="s">
        <v>715</v>
      </c>
      <c r="J176" s="834"/>
      <c r="K176" s="835"/>
      <c r="O176" s="799"/>
      <c r="Q176" s="833" t="s">
        <v>715</v>
      </c>
      <c r="R176" s="834"/>
      <c r="S176" s="835"/>
      <c r="W176" s="799"/>
    </row>
    <row r="177">
      <c r="A177" s="836" t="s">
        <v>716</v>
      </c>
      <c r="B177" s="837"/>
      <c r="C177" s="838">
        <v>150.0</v>
      </c>
      <c r="G177" s="799"/>
      <c r="H177" s="283"/>
      <c r="I177" s="839"/>
      <c r="J177" s="840"/>
      <c r="K177" s="841"/>
      <c r="O177" s="799"/>
      <c r="Q177" s="839"/>
      <c r="R177" s="840"/>
      <c r="S177" s="841"/>
      <c r="W177" s="799"/>
    </row>
    <row r="178">
      <c r="A178" s="842" t="s">
        <v>717</v>
      </c>
      <c r="B178" s="843"/>
      <c r="C178" s="844">
        <v>400.0</v>
      </c>
      <c r="D178" s="248"/>
      <c r="E178" s="845" t="s">
        <v>1182</v>
      </c>
      <c r="G178" s="846">
        <f>G166+C174-C183</f>
        <v>5546.8</v>
      </c>
      <c r="H178" s="283"/>
      <c r="I178" s="847"/>
      <c r="J178" s="848"/>
      <c r="K178" s="849"/>
      <c r="L178" s="248"/>
      <c r="M178" s="845" t="s">
        <v>1183</v>
      </c>
      <c r="O178" s="846">
        <f>O166+K174-K183</f>
        <v>554.4</v>
      </c>
      <c r="Q178" s="847"/>
      <c r="R178" s="848"/>
      <c r="S178" s="849"/>
      <c r="T178" s="248"/>
      <c r="U178" s="845" t="s">
        <v>1183</v>
      </c>
      <c r="W178" s="846">
        <f>W166+S174-S183</f>
        <v>554.4</v>
      </c>
    </row>
    <row r="179">
      <c r="A179" s="836" t="s">
        <v>718</v>
      </c>
      <c r="B179" s="837"/>
      <c r="C179" s="838">
        <v>200.0</v>
      </c>
      <c r="G179" s="799"/>
      <c r="H179" s="283"/>
      <c r="I179" s="847"/>
      <c r="J179" s="848"/>
      <c r="K179" s="849"/>
      <c r="O179" s="799"/>
      <c r="Q179" s="847"/>
      <c r="R179" s="848"/>
      <c r="S179" s="849"/>
      <c r="W179" s="799"/>
    </row>
    <row r="180">
      <c r="A180" s="842" t="s">
        <v>656</v>
      </c>
      <c r="B180" s="843"/>
      <c r="C180" s="844">
        <f>IFERROR(__xludf.DUMMYFUNCTION("FILTER($C$4:$C$30,$B$4:$B$30=E158)"),2063.2)</f>
        <v>2063.2</v>
      </c>
      <c r="G180" s="799"/>
      <c r="H180" s="283"/>
      <c r="I180" s="847"/>
      <c r="J180" s="848"/>
      <c r="K180" s="849"/>
      <c r="O180" s="799"/>
      <c r="Q180" s="847"/>
      <c r="R180" s="848"/>
      <c r="S180" s="849"/>
      <c r="W180" s="799"/>
    </row>
    <row r="181">
      <c r="A181" s="850" t="s">
        <v>1184</v>
      </c>
      <c r="B181" s="851"/>
      <c r="C181" s="852"/>
      <c r="E181" s="248"/>
      <c r="G181" s="799"/>
      <c r="H181" s="283"/>
      <c r="I181" s="847"/>
      <c r="J181" s="848"/>
      <c r="K181" s="849"/>
      <c r="M181" s="248"/>
      <c r="O181" s="799"/>
      <c r="Q181" s="847"/>
      <c r="R181" s="848"/>
      <c r="S181" s="849"/>
      <c r="U181" s="248"/>
      <c r="W181" s="799"/>
    </row>
    <row r="182">
      <c r="A182" s="847"/>
      <c r="B182" s="848"/>
      <c r="C182" s="849"/>
      <c r="G182" s="799"/>
      <c r="H182" s="283"/>
      <c r="I182" s="847"/>
      <c r="J182" s="848"/>
      <c r="K182" s="849"/>
      <c r="O182" s="799"/>
      <c r="Q182" s="847"/>
      <c r="R182" s="848"/>
      <c r="S182" s="849"/>
      <c r="W182" s="799"/>
    </row>
    <row r="183">
      <c r="A183" s="853" t="s">
        <v>721</v>
      </c>
      <c r="B183" s="854"/>
      <c r="C183" s="855">
        <f>SUM(C177:C182)</f>
        <v>2813.2</v>
      </c>
      <c r="G183" s="799"/>
      <c r="H183" s="283"/>
      <c r="I183" s="853" t="s">
        <v>721</v>
      </c>
      <c r="J183" s="854"/>
      <c r="K183" s="855"/>
      <c r="O183" s="799"/>
      <c r="Q183" s="853" t="s">
        <v>721</v>
      </c>
      <c r="R183" s="854"/>
      <c r="S183" s="855"/>
      <c r="W183" s="799"/>
    </row>
    <row r="184">
      <c r="A184" s="856"/>
      <c r="B184" s="857"/>
      <c r="C184" s="857"/>
      <c r="D184" s="857"/>
      <c r="E184" s="857"/>
      <c r="F184" s="857"/>
      <c r="G184" s="808"/>
      <c r="H184" s="283"/>
      <c r="I184" s="856"/>
      <c r="J184" s="857"/>
      <c r="K184" s="857"/>
      <c r="L184" s="857"/>
      <c r="M184" s="857"/>
      <c r="N184" s="857"/>
      <c r="O184" s="808"/>
      <c r="Q184" s="856"/>
      <c r="R184" s="857"/>
      <c r="S184" s="857"/>
      <c r="T184" s="857"/>
      <c r="U184" s="857"/>
      <c r="V184" s="857"/>
      <c r="W184" s="808"/>
    </row>
    <row r="187">
      <c r="A187" s="769"/>
      <c r="B187" s="770"/>
      <c r="C187" s="770"/>
      <c r="D187" s="771" t="s">
        <v>700</v>
      </c>
      <c r="E187" s="772" t="str">
        <f>E125</f>
        <v>12.01.2025-12.07.2025</v>
      </c>
      <c r="F187" s="773"/>
      <c r="G187" s="774"/>
      <c r="H187" s="305">
        <v>3.0</v>
      </c>
      <c r="I187" s="769"/>
      <c r="J187" s="770"/>
      <c r="K187" s="770"/>
      <c r="L187" s="771" t="s">
        <v>700</v>
      </c>
      <c r="M187" s="772" t="str">
        <f>E125</f>
        <v>12.01.2025-12.07.2025</v>
      </c>
      <c r="N187" s="773"/>
      <c r="O187" s="774"/>
    </row>
    <row r="188">
      <c r="A188" s="775"/>
      <c r="D188" s="771" t="s">
        <v>702</v>
      </c>
      <c r="E188" s="772" t="str">
        <f t="array" ref="E188">XLOOKUP(E189,$Q$972:$Q$1008,$R$972:$R$1008)</f>
        <v>Arba Express LLC</v>
      </c>
      <c r="F188" s="773"/>
      <c r="G188" s="774"/>
      <c r="H188" s="283"/>
      <c r="I188" s="775"/>
      <c r="L188" s="771" t="s">
        <v>351</v>
      </c>
      <c r="M188" s="772" t="str">
        <f t="array" ref="M188">XLOOKUP(M189,$L$1:$L$121,$K$1:$K$121)</f>
        <v>DAGBOLEN ISA</v>
      </c>
      <c r="N188" s="773"/>
      <c r="O188" s="774"/>
    </row>
    <row r="189">
      <c r="A189" s="775"/>
      <c r="D189" s="771" t="s">
        <v>703</v>
      </c>
      <c r="E189" s="772">
        <v>7048.0</v>
      </c>
      <c r="F189" s="773"/>
      <c r="G189" s="774"/>
      <c r="H189" s="858"/>
      <c r="I189" s="775"/>
      <c r="L189" s="771" t="s">
        <v>703</v>
      </c>
      <c r="M189" s="772">
        <f>E189</f>
        <v>7048</v>
      </c>
      <c r="N189" s="773"/>
      <c r="O189" s="774"/>
      <c r="P189" s="777"/>
    </row>
    <row r="190">
      <c r="A190" s="779" t="s">
        <v>704</v>
      </c>
      <c r="B190" s="779" t="s">
        <v>5</v>
      </c>
      <c r="C190" s="779" t="s">
        <v>6</v>
      </c>
      <c r="D190" s="779" t="s">
        <v>7</v>
      </c>
      <c r="E190" s="779" t="s">
        <v>8</v>
      </c>
      <c r="F190" s="779" t="s">
        <v>706</v>
      </c>
      <c r="G190" s="779" t="s">
        <v>707</v>
      </c>
      <c r="H190" s="34"/>
      <c r="I190" s="779" t="s">
        <v>704</v>
      </c>
      <c r="J190" s="779" t="s">
        <v>5</v>
      </c>
      <c r="K190" s="779" t="s">
        <v>6</v>
      </c>
      <c r="L190" s="779" t="s">
        <v>7</v>
      </c>
      <c r="M190" s="779" t="s">
        <v>1178</v>
      </c>
      <c r="N190" s="779" t="s">
        <v>839</v>
      </c>
      <c r="O190" s="779" t="s">
        <v>707</v>
      </c>
    </row>
    <row r="191">
      <c r="A191" s="780">
        <f>IFERROR(__xludf.DUMMYFUNCTION("FILTER($D$3:$H$121,$L$3:$L$121=E189)"),45994.0)</f>
        <v>45994</v>
      </c>
      <c r="B191" s="781">
        <f>IFERROR(__xludf.DUMMYFUNCTION("""COMPUTED_VALUE"""),5.36539674E8)</f>
        <v>536539674</v>
      </c>
      <c r="C191" s="781" t="str">
        <f>IFERROR(__xludf.DUMMYFUNCTION("""COMPUTED_VALUE"""),"Prattville, AL, 36067")</f>
        <v>Prattville, AL, 36067</v>
      </c>
      <c r="D191" s="781" t="str">
        <f>IFERROR(__xludf.DUMMYFUNCTION("""COMPUTED_VALUE"""),"Town of Conklin, NY, 13748")</f>
        <v>Town of Conklin, NY, 13748</v>
      </c>
      <c r="E191" s="782">
        <f>IFERROR(__xludf.DUMMYFUNCTION("""COMPUTED_VALUE"""),2300.0)</f>
        <v>2300</v>
      </c>
      <c r="F191" s="783">
        <v>0.88</v>
      </c>
      <c r="G191" s="782">
        <f t="shared" ref="G191:G193" si="8">E191*F191</f>
        <v>2024</v>
      </c>
      <c r="H191" s="283"/>
      <c r="I191" s="780">
        <f>IFERROR(__xludf.DUMMYFUNCTION("FILTER($D$3:$G$121,$L$3:$L$121=M189)"),45994.0)</f>
        <v>45994</v>
      </c>
      <c r="J191" s="781">
        <f>IFERROR(__xludf.DUMMYFUNCTION("""COMPUTED_VALUE"""),5.36539674E8)</f>
        <v>536539674</v>
      </c>
      <c r="K191" s="781" t="str">
        <f>IFERROR(__xludf.DUMMYFUNCTION("""COMPUTED_VALUE"""),"Prattville, AL, 36067")</f>
        <v>Prattville, AL, 36067</v>
      </c>
      <c r="L191" s="781" t="str">
        <f>IFERROR(__xludf.DUMMYFUNCTION("""COMPUTED_VALUE"""),"Town of Conklin, NY, 13748")</f>
        <v>Town of Conklin, NY, 13748</v>
      </c>
      <c r="M191" s="869">
        <f>IFERROR(__xludf.DUMMYFUNCTION("FILTER($I$3:$I$121,$L$3:$L$121=M189)"),1490.0)</f>
        <v>1490</v>
      </c>
      <c r="N191" s="870">
        <v>0.7</v>
      </c>
      <c r="O191" s="782">
        <f t="shared" ref="O191:O193" si="9">M191*N191</f>
        <v>1043</v>
      </c>
    </row>
    <row r="192">
      <c r="A192" s="780">
        <f>IFERROR(__xludf.DUMMYFUNCTION("""COMPUTED_VALUE"""),45995.0)</f>
        <v>45995</v>
      </c>
      <c r="B192" s="781">
        <f>IFERROR(__xludf.DUMMYFUNCTION("""COMPUTED_VALUE"""),5.35365152E8)</f>
        <v>535365152</v>
      </c>
      <c r="C192" s="781" t="str">
        <f>IFERROR(__xludf.DUMMYFUNCTION("""COMPUTED_VALUE"""),"Hazle Township, PA, 18202")</f>
        <v>Hazle Township, PA, 18202</v>
      </c>
      <c r="D192" s="781" t="str">
        <f>IFERROR(__xludf.DUMMYFUNCTION("""COMPUTED_VALUE"""),"Providence, RI, 02908")</f>
        <v>Providence, RI, 02908</v>
      </c>
      <c r="E192" s="782">
        <f>IFERROR(__xludf.DUMMYFUNCTION("""COMPUTED_VALUE"""),1260.0)</f>
        <v>1260</v>
      </c>
      <c r="F192" s="783">
        <v>0.88</v>
      </c>
      <c r="G192" s="782">
        <f t="shared" si="8"/>
        <v>1108.8</v>
      </c>
      <c r="H192" s="283"/>
      <c r="I192" s="881">
        <f>IFERROR(__xludf.DUMMYFUNCTION("""COMPUTED_VALUE"""),45995.0)</f>
        <v>45995</v>
      </c>
      <c r="J192" s="882">
        <f>IFERROR(__xludf.DUMMYFUNCTION("""COMPUTED_VALUE"""),5.35365152E8)</f>
        <v>535365152</v>
      </c>
      <c r="K192" s="882" t="str">
        <f>IFERROR(__xludf.DUMMYFUNCTION("""COMPUTED_VALUE"""),"Hazle Township, PA, 18202")</f>
        <v>Hazle Township, PA, 18202</v>
      </c>
      <c r="L192" s="882" t="str">
        <f>IFERROR(__xludf.DUMMYFUNCTION("""COMPUTED_VALUE"""),"Providence, RI, 02908")</f>
        <v>Providence, RI, 02908</v>
      </c>
      <c r="M192" s="968">
        <f>IFERROR(__xludf.DUMMYFUNCTION("""COMPUTED_VALUE"""),403.0)</f>
        <v>403</v>
      </c>
      <c r="N192" s="870">
        <v>0.7</v>
      </c>
      <c r="O192" s="782">
        <f t="shared" si="9"/>
        <v>282.1</v>
      </c>
    </row>
    <row r="193">
      <c r="A193" s="883">
        <f>IFERROR(__xludf.DUMMYFUNCTION("""COMPUTED_VALUE"""),45996.0)</f>
        <v>45996</v>
      </c>
      <c r="B193" s="786">
        <f>IFERROR(__xludf.DUMMYFUNCTION("""COMPUTED_VALUE"""),2903014.0)</f>
        <v>2903014</v>
      </c>
      <c r="C193" s="786" t="str">
        <f>IFERROR(__xludf.DUMMYFUNCTION("""COMPUTED_VALUE"""),"Fall River, MA, 02721")</f>
        <v>Fall River, MA, 02721</v>
      </c>
      <c r="D193" s="786" t="str">
        <f>IFERROR(__xludf.DUMMYFUNCTION("""COMPUTED_VALUE"""),"Idaho Falls, ID, 83402")</f>
        <v>Idaho Falls, ID, 83402</v>
      </c>
      <c r="E193" s="884">
        <f>IFERROR(__xludf.DUMMYFUNCTION("""COMPUTED_VALUE"""),4200.0)</f>
        <v>4200</v>
      </c>
      <c r="F193" s="783">
        <v>0.88</v>
      </c>
      <c r="G193" s="782">
        <f t="shared" si="8"/>
        <v>3696</v>
      </c>
      <c r="H193" s="283"/>
      <c r="I193" s="924">
        <f>IFERROR(__xludf.DUMMYFUNCTION("""COMPUTED_VALUE"""),45996.0)</f>
        <v>45996</v>
      </c>
      <c r="J193" s="882">
        <f>IFERROR(__xludf.DUMMYFUNCTION("""COMPUTED_VALUE"""),2903014.0)</f>
        <v>2903014</v>
      </c>
      <c r="K193" s="882" t="str">
        <f>IFERROR(__xludf.DUMMYFUNCTION("""COMPUTED_VALUE"""),"Fall River, MA, 02721")</f>
        <v>Fall River, MA, 02721</v>
      </c>
      <c r="L193" s="882" t="str">
        <f>IFERROR(__xludf.DUMMYFUNCTION("""COMPUTED_VALUE"""),"Idaho Falls, ID, 83402")</f>
        <v>Idaho Falls, ID, 83402</v>
      </c>
      <c r="M193" s="969">
        <f>IFERROR(__xludf.DUMMYFUNCTION("""COMPUTED_VALUE"""),2453.0)</f>
        <v>2453</v>
      </c>
      <c r="N193" s="870">
        <v>0.7</v>
      </c>
      <c r="O193" s="782">
        <f t="shared" si="9"/>
        <v>1717.1</v>
      </c>
    </row>
    <row r="194">
      <c r="A194" s="785"/>
      <c r="B194" s="786"/>
      <c r="C194" s="786"/>
      <c r="D194" s="786"/>
      <c r="E194" s="785"/>
      <c r="F194" s="787"/>
      <c r="G194" s="788"/>
      <c r="H194" s="283"/>
      <c r="I194" s="785"/>
      <c r="J194" s="786"/>
      <c r="K194" s="786"/>
      <c r="L194" s="786"/>
      <c r="M194" s="785"/>
      <c r="N194" s="787"/>
      <c r="O194" s="789"/>
    </row>
    <row r="195">
      <c r="A195" s="785"/>
      <c r="B195" s="786"/>
      <c r="C195" s="786"/>
      <c r="D195" s="786"/>
      <c r="E195" s="785"/>
      <c r="F195" s="787"/>
      <c r="G195" s="788"/>
      <c r="H195" s="283"/>
      <c r="I195" s="785"/>
      <c r="J195" s="786"/>
      <c r="K195" s="786"/>
      <c r="L195" s="786"/>
      <c r="M195" s="785"/>
      <c r="N195" s="787"/>
      <c r="O195" s="789"/>
    </row>
    <row r="196">
      <c r="A196" s="785"/>
      <c r="B196" s="786"/>
      <c r="C196" s="786"/>
      <c r="D196" s="786"/>
      <c r="E196" s="785"/>
      <c r="F196" s="787"/>
      <c r="G196" s="788"/>
      <c r="H196" s="283"/>
      <c r="I196" s="785"/>
      <c r="J196" s="786"/>
      <c r="K196" s="786"/>
      <c r="L196" s="786"/>
      <c r="M196" s="785"/>
      <c r="N196" s="787"/>
      <c r="O196" s="789"/>
    </row>
    <row r="197">
      <c r="A197" s="790" t="s">
        <v>711</v>
      </c>
      <c r="B197" s="791"/>
      <c r="C197" s="791"/>
      <c r="D197" s="792"/>
      <c r="E197" s="793">
        <f>SUM(E191:E196)</f>
        <v>7760</v>
      </c>
      <c r="F197" s="794"/>
      <c r="G197" s="793">
        <f>SUM(G191:G196)</f>
        <v>6828.8</v>
      </c>
      <c r="H197" s="283"/>
      <c r="I197" s="790" t="s">
        <v>711</v>
      </c>
      <c r="J197" s="791"/>
      <c r="K197" s="791"/>
      <c r="L197" s="792"/>
      <c r="M197" s="795">
        <f>SUM(M191:M196)</f>
        <v>4346</v>
      </c>
      <c r="N197" s="794"/>
      <c r="O197" s="793">
        <f>SUM(O191:O196)</f>
        <v>3042.2</v>
      </c>
    </row>
    <row r="198">
      <c r="A198" s="796"/>
      <c r="D198" s="798"/>
      <c r="G198" s="799"/>
      <c r="H198" s="283"/>
      <c r="I198" s="796"/>
      <c r="L198" s="798"/>
      <c r="O198" s="799"/>
    </row>
    <row r="199">
      <c r="A199" s="800" t="s">
        <v>712</v>
      </c>
      <c r="B199" s="801"/>
      <c r="C199" s="802"/>
      <c r="G199" s="799"/>
      <c r="H199" s="283"/>
      <c r="I199" s="800" t="s">
        <v>712</v>
      </c>
      <c r="J199" s="803"/>
      <c r="K199" s="804"/>
      <c r="O199" s="799"/>
    </row>
    <row r="200">
      <c r="A200" s="867"/>
      <c r="B200" s="808"/>
      <c r="C200" s="809"/>
      <c r="G200" s="799"/>
      <c r="H200" s="283"/>
      <c r="I200" s="805"/>
      <c r="J200" s="808"/>
      <c r="K200" s="967"/>
      <c r="O200" s="799"/>
    </row>
    <row r="201">
      <c r="A201" s="868"/>
      <c r="B201" s="774"/>
      <c r="C201" s="816"/>
      <c r="G201" s="799"/>
      <c r="H201" s="283"/>
      <c r="I201" s="868"/>
      <c r="J201" s="774"/>
      <c r="K201" s="816"/>
      <c r="O201" s="799"/>
    </row>
    <row r="202">
      <c r="A202" s="815"/>
      <c r="B202" s="792"/>
      <c r="C202" s="816"/>
      <c r="G202" s="799"/>
      <c r="H202" s="283"/>
      <c r="I202" s="815"/>
      <c r="J202" s="792"/>
      <c r="K202" s="816"/>
      <c r="O202" s="799"/>
    </row>
    <row r="203">
      <c r="A203" s="817"/>
      <c r="B203" s="774"/>
      <c r="C203" s="818"/>
      <c r="G203" s="799"/>
      <c r="H203" s="283"/>
      <c r="I203" s="817"/>
      <c r="J203" s="774"/>
      <c r="K203" s="818"/>
      <c r="O203" s="799"/>
    </row>
    <row r="204">
      <c r="A204" s="817"/>
      <c r="B204" s="792"/>
      <c r="C204" s="818"/>
      <c r="G204" s="799"/>
      <c r="H204" s="283"/>
      <c r="I204" s="817"/>
      <c r="J204" s="792"/>
      <c r="K204" s="818"/>
      <c r="O204" s="799"/>
    </row>
    <row r="205">
      <c r="A205" s="821" t="s">
        <v>714</v>
      </c>
      <c r="B205" s="822"/>
      <c r="C205" s="823">
        <f>SUM(C200:C204)</f>
        <v>0</v>
      </c>
      <c r="G205" s="799"/>
      <c r="H205" s="283"/>
      <c r="I205" s="821" t="s">
        <v>714</v>
      </c>
      <c r="J205" s="826"/>
      <c r="K205" s="827">
        <f>SUM(K200:K204)</f>
        <v>0</v>
      </c>
      <c r="O205" s="799"/>
    </row>
    <row r="206">
      <c r="A206" s="828"/>
      <c r="C206" s="829"/>
      <c r="G206" s="799"/>
      <c r="H206" s="283"/>
      <c r="I206" s="828"/>
      <c r="K206" s="829"/>
      <c r="O206" s="799"/>
    </row>
    <row r="207">
      <c r="A207" s="830" t="s">
        <v>715</v>
      </c>
      <c r="B207" s="831"/>
      <c r="C207" s="832"/>
      <c r="G207" s="799"/>
      <c r="H207" s="283"/>
      <c r="I207" s="833" t="s">
        <v>715</v>
      </c>
      <c r="J207" s="834"/>
      <c r="K207" s="835"/>
      <c r="O207" s="799"/>
    </row>
    <row r="208">
      <c r="A208" s="836" t="s">
        <v>716</v>
      </c>
      <c r="B208" s="837"/>
      <c r="C208" s="838">
        <v>150.0</v>
      </c>
      <c r="G208" s="799"/>
      <c r="H208" s="283"/>
      <c r="I208" s="839"/>
      <c r="J208" s="840"/>
      <c r="K208" s="841"/>
      <c r="O208" s="799"/>
    </row>
    <row r="209">
      <c r="A209" s="842" t="s">
        <v>717</v>
      </c>
      <c r="B209" s="843"/>
      <c r="C209" s="844">
        <v>400.0</v>
      </c>
      <c r="D209" s="248"/>
      <c r="E209" s="845" t="s">
        <v>1182</v>
      </c>
      <c r="G209" s="846">
        <f>G197+C205-C214</f>
        <v>2809.37</v>
      </c>
      <c r="H209" s="283"/>
      <c r="I209" s="847"/>
      <c r="J209" s="848"/>
      <c r="K209" s="849"/>
      <c r="L209" s="248"/>
      <c r="M209" s="845" t="s">
        <v>1183</v>
      </c>
      <c r="O209" s="846">
        <f>O197+K205-K214</f>
        <v>3042.2</v>
      </c>
    </row>
    <row r="210">
      <c r="A210" s="836" t="s">
        <v>718</v>
      </c>
      <c r="B210" s="837"/>
      <c r="C210" s="838">
        <v>200.0</v>
      </c>
      <c r="G210" s="799"/>
      <c r="H210" s="283"/>
      <c r="I210" s="847"/>
      <c r="J210" s="848"/>
      <c r="K210" s="849"/>
      <c r="O210" s="799"/>
    </row>
    <row r="211">
      <c r="A211" s="842" t="s">
        <v>656</v>
      </c>
      <c r="B211" s="843"/>
      <c r="C211" s="844">
        <f>IFERROR(__xludf.DUMMYFUNCTION("FILTER($C$4:$C$30,$B$4:$B$30=E189)"),3269.43)</f>
        <v>3269.43</v>
      </c>
      <c r="G211" s="799"/>
      <c r="H211" s="283"/>
      <c r="I211" s="847"/>
      <c r="J211" s="848"/>
      <c r="K211" s="849"/>
      <c r="O211" s="799"/>
    </row>
    <row r="212">
      <c r="A212" s="850" t="s">
        <v>1184</v>
      </c>
      <c r="B212" s="851"/>
      <c r="C212" s="852"/>
      <c r="E212" s="248"/>
      <c r="G212" s="799"/>
      <c r="H212" s="283"/>
      <c r="I212" s="847"/>
      <c r="J212" s="848"/>
      <c r="K212" s="849"/>
      <c r="M212" s="248"/>
      <c r="O212" s="799"/>
    </row>
    <row r="213">
      <c r="A213" s="847"/>
      <c r="B213" s="848"/>
      <c r="C213" s="849"/>
      <c r="G213" s="799"/>
      <c r="H213" s="283"/>
      <c r="I213" s="847"/>
      <c r="J213" s="848"/>
      <c r="K213" s="849"/>
      <c r="O213" s="799"/>
    </row>
    <row r="214">
      <c r="A214" s="853" t="s">
        <v>721</v>
      </c>
      <c r="B214" s="854"/>
      <c r="C214" s="855">
        <f>SUM(C208:C213)</f>
        <v>4019.43</v>
      </c>
      <c r="G214" s="799"/>
      <c r="H214" s="283"/>
      <c r="I214" s="853" t="s">
        <v>721</v>
      </c>
      <c r="J214" s="854"/>
      <c r="K214" s="855"/>
      <c r="O214" s="799"/>
    </row>
    <row r="215">
      <c r="A215" s="856"/>
      <c r="B215" s="857"/>
      <c r="C215" s="857"/>
      <c r="D215" s="857"/>
      <c r="E215" s="857"/>
      <c r="F215" s="857"/>
      <c r="G215" s="808"/>
      <c r="H215" s="283"/>
      <c r="I215" s="856"/>
      <c r="J215" s="857"/>
      <c r="K215" s="857"/>
      <c r="L215" s="857"/>
      <c r="M215" s="857"/>
      <c r="N215" s="857"/>
      <c r="O215" s="808"/>
    </row>
    <row r="218">
      <c r="A218" s="769"/>
      <c r="B218" s="770"/>
      <c r="C218" s="770"/>
      <c r="D218" s="771" t="s">
        <v>700</v>
      </c>
      <c r="E218" s="772" t="str">
        <f>E125</f>
        <v>12.01.2025-12.07.2025</v>
      </c>
      <c r="F218" s="773"/>
      <c r="G218" s="774"/>
      <c r="H218" s="305">
        <v>4.0</v>
      </c>
      <c r="I218" s="769"/>
      <c r="J218" s="770"/>
      <c r="K218" s="770"/>
      <c r="L218" s="771" t="s">
        <v>700</v>
      </c>
      <c r="M218" s="772" t="str">
        <f>E125</f>
        <v>12.01.2025-12.07.2025</v>
      </c>
      <c r="N218" s="773"/>
      <c r="O218" s="774"/>
    </row>
    <row r="219">
      <c r="A219" s="775"/>
      <c r="D219" s="771" t="s">
        <v>702</v>
      </c>
      <c r="E219" s="772" t="str">
        <f t="array" ref="E219">XLOOKUP(E220,$Q$972:$Q$1008,$R$972:$R$1008)</f>
        <v>Ada Fleet LLC</v>
      </c>
      <c r="F219" s="773"/>
      <c r="G219" s="774"/>
      <c r="H219" s="283"/>
      <c r="I219" s="775"/>
      <c r="L219" s="771" t="s">
        <v>351</v>
      </c>
      <c r="M219" s="772" t="str">
        <f t="array" ref="M219">XLOOKUP(M220,$L$1:$L$121,$K$1:$K$121)</f>
        <v>BENCHIKA DOLL</v>
      </c>
      <c r="N219" s="773"/>
      <c r="O219" s="774"/>
    </row>
    <row r="220">
      <c r="A220" s="775"/>
      <c r="D220" s="771" t="s">
        <v>703</v>
      </c>
      <c r="E220" s="772">
        <v>7265.0</v>
      </c>
      <c r="F220" s="773"/>
      <c r="G220" s="774"/>
      <c r="H220" s="858"/>
      <c r="I220" s="775"/>
      <c r="L220" s="771" t="s">
        <v>703</v>
      </c>
      <c r="M220" s="772">
        <f>E220</f>
        <v>7265</v>
      </c>
      <c r="N220" s="773"/>
      <c r="O220" s="774"/>
      <c r="P220" s="859"/>
    </row>
    <row r="221">
      <c r="A221" s="779" t="s">
        <v>704</v>
      </c>
      <c r="B221" s="779" t="s">
        <v>5</v>
      </c>
      <c r="C221" s="779" t="s">
        <v>6</v>
      </c>
      <c r="D221" s="779" t="s">
        <v>7</v>
      </c>
      <c r="E221" s="779" t="s">
        <v>8</v>
      </c>
      <c r="F221" s="779" t="s">
        <v>706</v>
      </c>
      <c r="G221" s="779" t="s">
        <v>707</v>
      </c>
      <c r="H221" s="34"/>
      <c r="I221" s="779" t="s">
        <v>704</v>
      </c>
      <c r="J221" s="779" t="s">
        <v>5</v>
      </c>
      <c r="K221" s="779" t="s">
        <v>6</v>
      </c>
      <c r="L221" s="779" t="s">
        <v>7</v>
      </c>
      <c r="M221" s="779" t="s">
        <v>1178</v>
      </c>
      <c r="N221" s="779" t="s">
        <v>839</v>
      </c>
      <c r="O221" s="779" t="s">
        <v>707</v>
      </c>
    </row>
    <row r="222">
      <c r="A222" s="780">
        <f>IFERROR(__xludf.DUMMYFUNCTION("FILTER($D$3:$H$121,$L$3:$L$121=E220)"),45994.0)</f>
        <v>45994</v>
      </c>
      <c r="B222" s="781">
        <f>IFERROR(__xludf.DUMMYFUNCTION("""COMPUTED_VALUE"""),5.36865212E8)</f>
        <v>536865212</v>
      </c>
      <c r="C222" s="781" t="str">
        <f>IFERROR(__xludf.DUMMYFUNCTION("""COMPUTED_VALUE"""),"Daytona Beach, FL, 32114")</f>
        <v>Daytona Beach, FL, 32114</v>
      </c>
      <c r="D222" s="781" t="str">
        <f>IFERROR(__xludf.DUMMYFUNCTION("""COMPUTED_VALUE"""),"Manassas, VA, 20109")</f>
        <v>Manassas, VA, 20109</v>
      </c>
      <c r="E222" s="782">
        <f>IFERROR(__xludf.DUMMYFUNCTION("""COMPUTED_VALUE"""),1210.0)</f>
        <v>1210</v>
      </c>
      <c r="F222" s="783">
        <v>0.88</v>
      </c>
      <c r="G222" s="782">
        <f t="shared" ref="G222:G224" si="10">E222*F222</f>
        <v>1064.8</v>
      </c>
      <c r="H222" s="283"/>
      <c r="I222" s="872">
        <f>IFERROR(__xludf.DUMMYFUNCTION("FILTER($D$3:$G$121,$L$3:$L$121=M220)"),45994.0)</f>
        <v>45994</v>
      </c>
      <c r="J222" s="873">
        <f>IFERROR(__xludf.DUMMYFUNCTION("""COMPUTED_VALUE"""),5.36865212E8)</f>
        <v>536865212</v>
      </c>
      <c r="K222" s="873" t="str">
        <f>IFERROR(__xludf.DUMMYFUNCTION("""COMPUTED_VALUE"""),"Daytona Beach, FL, 32114")</f>
        <v>Daytona Beach, FL, 32114</v>
      </c>
      <c r="L222" s="873" t="str">
        <f>IFERROR(__xludf.DUMMYFUNCTION("""COMPUTED_VALUE"""),"Manassas, VA, 20109")</f>
        <v>Manassas, VA, 20109</v>
      </c>
      <c r="M222" s="970">
        <f>IFERROR(__xludf.DUMMYFUNCTION("FILTER($I$3:$I$121,$L$3:$L$121=M220)"),921.0)</f>
        <v>921</v>
      </c>
      <c r="N222" s="873">
        <v>0.65</v>
      </c>
      <c r="O222" s="876">
        <f t="shared" ref="O222:O224" si="11">M222*N222</f>
        <v>598.65</v>
      </c>
    </row>
    <row r="223">
      <c r="A223" s="780">
        <f>IFERROR(__xludf.DUMMYFUNCTION("""COMPUTED_VALUE"""),45995.0)</f>
        <v>45995</v>
      </c>
      <c r="B223" s="781">
        <f>IFERROR(__xludf.DUMMYFUNCTION("""COMPUTED_VALUE"""),5.36276954E8)</f>
        <v>536276954</v>
      </c>
      <c r="C223" s="781" t="str">
        <f>IFERROR(__xludf.DUMMYFUNCTION("""COMPUTED_VALUE"""),"Pocomoke City, MD, 21851")</f>
        <v>Pocomoke City, MD, 21851</v>
      </c>
      <c r="D223" s="781" t="str">
        <f>IFERROR(__xludf.DUMMYFUNCTION("""COMPUTED_VALUE"""),"Farmington, CT, 06032")</f>
        <v>Farmington, CT, 06032</v>
      </c>
      <c r="E223" s="782">
        <f>IFERROR(__xludf.DUMMYFUNCTION("""COMPUTED_VALUE"""),1550.0)</f>
        <v>1550</v>
      </c>
      <c r="F223" s="783">
        <v>0.88</v>
      </c>
      <c r="G223" s="782">
        <f t="shared" si="10"/>
        <v>1364</v>
      </c>
      <c r="H223" s="283"/>
      <c r="I223" s="872">
        <f>IFERROR(__xludf.DUMMYFUNCTION("""COMPUTED_VALUE"""),45995.0)</f>
        <v>45995</v>
      </c>
      <c r="J223" s="873">
        <f>IFERROR(__xludf.DUMMYFUNCTION("""COMPUTED_VALUE"""),5.36276954E8)</f>
        <v>536276954</v>
      </c>
      <c r="K223" s="873" t="str">
        <f>IFERROR(__xludf.DUMMYFUNCTION("""COMPUTED_VALUE"""),"Pocomoke City, MD, 21851")</f>
        <v>Pocomoke City, MD, 21851</v>
      </c>
      <c r="L223" s="873" t="str">
        <f>IFERROR(__xludf.DUMMYFUNCTION("""COMPUTED_VALUE"""),"Farmington, CT, 06032")</f>
        <v>Farmington, CT, 06032</v>
      </c>
      <c r="M223" s="875">
        <f>IFERROR(__xludf.DUMMYFUNCTION("""COMPUTED_VALUE"""),544.0)</f>
        <v>544</v>
      </c>
      <c r="N223" s="873">
        <v>0.65</v>
      </c>
      <c r="O223" s="876">
        <f t="shared" si="11"/>
        <v>353.6</v>
      </c>
    </row>
    <row r="224">
      <c r="A224" s="883">
        <f>IFERROR(__xludf.DUMMYFUNCTION("""COMPUTED_VALUE"""),45996.0)</f>
        <v>45996</v>
      </c>
      <c r="B224" s="786">
        <f>IFERROR(__xludf.DUMMYFUNCTION("""COMPUTED_VALUE"""),2.075636E7)</f>
        <v>20756360</v>
      </c>
      <c r="C224" s="786" t="str">
        <f>IFERROR(__xludf.DUMMYFUNCTION("""COMPUTED_VALUE"""),"West Caldwell, NJ, 07006")</f>
        <v>West Caldwell, NJ, 07006</v>
      </c>
      <c r="D224" s="786" t="str">
        <f>IFERROR(__xludf.DUMMYFUNCTION("""COMPUTED_VALUE"""),"Missoula, MT, 59808")</f>
        <v>Missoula, MT, 59808</v>
      </c>
      <c r="E224" s="884">
        <f>IFERROR(__xludf.DUMMYFUNCTION("""COMPUTED_VALUE"""),5000.0)</f>
        <v>5000</v>
      </c>
      <c r="F224" s="783">
        <v>0.88</v>
      </c>
      <c r="G224" s="782">
        <f t="shared" si="10"/>
        <v>4400</v>
      </c>
      <c r="H224" s="283"/>
      <c r="I224" s="971">
        <f>IFERROR(__xludf.DUMMYFUNCTION("""COMPUTED_VALUE"""),45996.0)</f>
        <v>45996</v>
      </c>
      <c r="J224" s="873">
        <f>IFERROR(__xludf.DUMMYFUNCTION("""COMPUTED_VALUE"""),2.075636E7)</f>
        <v>20756360</v>
      </c>
      <c r="K224" s="873" t="str">
        <f>IFERROR(__xludf.DUMMYFUNCTION("""COMPUTED_VALUE"""),"West Caldwell, NJ, 07006")</f>
        <v>West Caldwell, NJ, 07006</v>
      </c>
      <c r="L224" s="873" t="str">
        <f>IFERROR(__xludf.DUMMYFUNCTION("""COMPUTED_VALUE"""),"Missoula, MT, 59808")</f>
        <v>Missoula, MT, 59808</v>
      </c>
      <c r="M224" s="875">
        <f>IFERROR(__xludf.DUMMYFUNCTION("""COMPUTED_VALUE"""),2488.0)</f>
        <v>2488</v>
      </c>
      <c r="N224" s="873">
        <v>0.65</v>
      </c>
      <c r="O224" s="876">
        <f t="shared" si="11"/>
        <v>1617.2</v>
      </c>
    </row>
    <row r="225">
      <c r="A225" s="785"/>
      <c r="B225" s="786"/>
      <c r="C225" s="786"/>
      <c r="D225" s="786"/>
      <c r="E225" s="785"/>
      <c r="F225" s="787"/>
      <c r="G225" s="788"/>
      <c r="H225" s="283"/>
      <c r="I225" s="785"/>
      <c r="J225" s="786"/>
      <c r="K225" s="786"/>
      <c r="L225" s="786"/>
      <c r="M225" s="785"/>
      <c r="N225" s="787"/>
      <c r="O225" s="789"/>
    </row>
    <row r="226">
      <c r="A226" s="785"/>
      <c r="B226" s="786"/>
      <c r="C226" s="786"/>
      <c r="D226" s="786"/>
      <c r="E226" s="785"/>
      <c r="F226" s="787"/>
      <c r="G226" s="788"/>
      <c r="H226" s="283"/>
      <c r="I226" s="785"/>
      <c r="J226" s="786"/>
      <c r="K226" s="786"/>
      <c r="L226" s="786"/>
      <c r="M226" s="785"/>
      <c r="N226" s="787"/>
      <c r="O226" s="789"/>
    </row>
    <row r="227">
      <c r="A227" s="785"/>
      <c r="B227" s="786"/>
      <c r="C227" s="786"/>
      <c r="D227" s="786"/>
      <c r="E227" s="785"/>
      <c r="F227" s="787"/>
      <c r="G227" s="788"/>
      <c r="H227" s="283"/>
      <c r="I227" s="785"/>
      <c r="J227" s="786"/>
      <c r="K227" s="786"/>
      <c r="L227" s="786"/>
      <c r="M227" s="785"/>
      <c r="N227" s="787"/>
      <c r="O227" s="789"/>
    </row>
    <row r="228">
      <c r="A228" s="790" t="s">
        <v>711</v>
      </c>
      <c r="B228" s="791"/>
      <c r="C228" s="791"/>
      <c r="D228" s="792"/>
      <c r="E228" s="793">
        <f>SUM(E222:E227)</f>
        <v>7760</v>
      </c>
      <c r="F228" s="794"/>
      <c r="G228" s="793">
        <f>SUM(G222:G227)</f>
        <v>6828.8</v>
      </c>
      <c r="H228" s="283"/>
      <c r="I228" s="790" t="s">
        <v>711</v>
      </c>
      <c r="J228" s="791"/>
      <c r="K228" s="791"/>
      <c r="L228" s="792"/>
      <c r="M228" s="877">
        <f>SUM(M222:M227)</f>
        <v>3953</v>
      </c>
      <c r="N228" s="794"/>
      <c r="O228" s="793">
        <f>SUM(O222:O227)</f>
        <v>2569.45</v>
      </c>
    </row>
    <row r="229">
      <c r="A229" s="796"/>
      <c r="D229" s="798"/>
      <c r="E229" s="798"/>
      <c r="F229" s="798"/>
      <c r="G229" s="878"/>
      <c r="H229" s="283"/>
      <c r="I229" s="796"/>
      <c r="L229" s="798"/>
      <c r="O229" s="799"/>
    </row>
    <row r="230">
      <c r="A230" s="800" t="s">
        <v>712</v>
      </c>
      <c r="B230" s="801"/>
      <c r="C230" s="802"/>
      <c r="D230" s="798"/>
      <c r="E230" s="798"/>
      <c r="F230" s="798"/>
      <c r="G230" s="878"/>
      <c r="H230" s="283"/>
      <c r="I230" s="800" t="s">
        <v>712</v>
      </c>
      <c r="J230" s="803"/>
      <c r="K230" s="804"/>
      <c r="O230" s="799"/>
    </row>
    <row r="231">
      <c r="A231" s="805"/>
      <c r="B231" s="806"/>
      <c r="C231" s="807"/>
      <c r="D231" s="798"/>
      <c r="E231" s="798"/>
      <c r="F231" s="798"/>
      <c r="G231" s="878"/>
      <c r="H231" s="283"/>
      <c r="I231" s="805"/>
      <c r="J231" s="808"/>
      <c r="K231" s="967"/>
      <c r="O231" s="799"/>
    </row>
    <row r="232">
      <c r="A232" s="868"/>
      <c r="B232" s="774"/>
      <c r="C232" s="816"/>
      <c r="D232" s="798"/>
      <c r="E232" s="798"/>
      <c r="F232" s="798"/>
      <c r="G232" s="878"/>
      <c r="H232" s="283"/>
      <c r="I232" s="868"/>
      <c r="J232" s="774"/>
      <c r="K232" s="816"/>
      <c r="O232" s="799"/>
    </row>
    <row r="233">
      <c r="A233" s="815"/>
      <c r="B233" s="792"/>
      <c r="C233" s="816"/>
      <c r="D233" s="798"/>
      <c r="E233" s="798"/>
      <c r="F233" s="798"/>
      <c r="G233" s="878"/>
      <c r="H233" s="283"/>
      <c r="I233" s="815"/>
      <c r="J233" s="792"/>
      <c r="K233" s="816"/>
      <c r="O233" s="799"/>
    </row>
    <row r="234">
      <c r="A234" s="817"/>
      <c r="B234" s="774"/>
      <c r="C234" s="818"/>
      <c r="D234" s="819" t="s">
        <v>1181</v>
      </c>
      <c r="E234" s="820">
        <v>1228.25</v>
      </c>
      <c r="F234" s="798"/>
      <c r="G234" s="878"/>
      <c r="H234" s="283"/>
      <c r="I234" s="817"/>
      <c r="J234" s="774"/>
      <c r="K234" s="818"/>
      <c r="O234" s="799"/>
    </row>
    <row r="235">
      <c r="A235" s="817"/>
      <c r="B235" s="792"/>
      <c r="C235" s="818"/>
      <c r="D235" s="798"/>
      <c r="E235" s="798"/>
      <c r="F235" s="798"/>
      <c r="G235" s="878"/>
      <c r="H235" s="283"/>
      <c r="I235" s="817"/>
      <c r="J235" s="792"/>
      <c r="K235" s="818"/>
      <c r="O235" s="799"/>
    </row>
    <row r="236">
      <c r="A236" s="821" t="s">
        <v>714</v>
      </c>
      <c r="B236" s="822"/>
      <c r="C236" s="823">
        <f>SUM(C231:C235)</f>
        <v>0</v>
      </c>
      <c r="D236" s="824" t="s">
        <v>657</v>
      </c>
      <c r="E236" s="825">
        <f>G240-E234</f>
        <v>3295.26</v>
      </c>
      <c r="F236" s="798"/>
      <c r="G236" s="878"/>
      <c r="H236" s="283"/>
      <c r="I236" s="821" t="s">
        <v>714</v>
      </c>
      <c r="J236" s="826"/>
      <c r="K236" s="827">
        <f>SUM(K231:K235)</f>
        <v>0</v>
      </c>
      <c r="O236" s="799"/>
    </row>
    <row r="237">
      <c r="A237" s="828"/>
      <c r="C237" s="829"/>
      <c r="D237" s="798"/>
      <c r="E237" s="798"/>
      <c r="F237" s="798"/>
      <c r="G237" s="878"/>
      <c r="H237" s="283"/>
      <c r="I237" s="828"/>
      <c r="K237" s="829"/>
      <c r="O237" s="799"/>
    </row>
    <row r="238">
      <c r="A238" s="830" t="s">
        <v>715</v>
      </c>
      <c r="B238" s="831"/>
      <c r="C238" s="832"/>
      <c r="D238" s="798"/>
      <c r="E238" s="798"/>
      <c r="F238" s="798"/>
      <c r="G238" s="878"/>
      <c r="H238" s="283"/>
      <c r="I238" s="833" t="s">
        <v>715</v>
      </c>
      <c r="J238" s="834"/>
      <c r="K238" s="835"/>
      <c r="O238" s="799"/>
    </row>
    <row r="239">
      <c r="A239" s="836" t="s">
        <v>716</v>
      </c>
      <c r="B239" s="837"/>
      <c r="C239" s="838"/>
      <c r="D239" s="798"/>
      <c r="E239" s="798"/>
      <c r="F239" s="798"/>
      <c r="G239" s="878"/>
      <c r="H239" s="283"/>
      <c r="I239" s="839"/>
      <c r="J239" s="840"/>
      <c r="K239" s="841"/>
      <c r="O239" s="799"/>
    </row>
    <row r="240">
      <c r="A240" s="842" t="s">
        <v>717</v>
      </c>
      <c r="B240" s="843"/>
      <c r="C240" s="844"/>
      <c r="D240" s="248"/>
      <c r="E240" s="845" t="s">
        <v>1182</v>
      </c>
      <c r="G240" s="846">
        <f>G228+C236-C245</f>
        <v>4523.51</v>
      </c>
      <c r="H240" s="283"/>
      <c r="I240" s="847"/>
      <c r="J240" s="848"/>
      <c r="K240" s="849"/>
      <c r="L240" s="248"/>
      <c r="M240" s="845" t="s">
        <v>1183</v>
      </c>
      <c r="O240" s="846">
        <f>O228+K236-K245</f>
        <v>2569.45</v>
      </c>
    </row>
    <row r="241">
      <c r="A241" s="836" t="s">
        <v>718</v>
      </c>
      <c r="B241" s="837"/>
      <c r="C241" s="838"/>
      <c r="G241" s="799"/>
      <c r="H241" s="283"/>
      <c r="I241" s="847"/>
      <c r="J241" s="848"/>
      <c r="K241" s="849"/>
      <c r="O241" s="799"/>
    </row>
    <row r="242">
      <c r="A242" s="842" t="s">
        <v>656</v>
      </c>
      <c r="B242" s="843"/>
      <c r="C242" s="844">
        <f>IFERROR(__xludf.DUMMYFUNCTION("FILTER($C$4:$C$30,$B$4:$B$30=E220)"),2305.29)</f>
        <v>2305.29</v>
      </c>
      <c r="G242" s="799"/>
      <c r="H242" s="283"/>
      <c r="I242" s="847"/>
      <c r="J242" s="848"/>
      <c r="K242" s="849"/>
      <c r="O242" s="799"/>
    </row>
    <row r="243">
      <c r="A243" s="850" t="s">
        <v>1184</v>
      </c>
      <c r="B243" s="851"/>
      <c r="C243" s="852"/>
      <c r="E243" s="248"/>
      <c r="G243" s="799"/>
      <c r="H243" s="283"/>
      <c r="I243" s="847"/>
      <c r="J243" s="848"/>
      <c r="K243" s="849"/>
      <c r="M243" s="248"/>
      <c r="O243" s="799"/>
    </row>
    <row r="244">
      <c r="A244" s="847"/>
      <c r="B244" s="848"/>
      <c r="C244" s="849"/>
      <c r="G244" s="799"/>
      <c r="H244" s="283"/>
      <c r="I244" s="847"/>
      <c r="J244" s="848"/>
      <c r="K244" s="849"/>
      <c r="O244" s="799"/>
    </row>
    <row r="245">
      <c r="A245" s="853" t="s">
        <v>721</v>
      </c>
      <c r="B245" s="854"/>
      <c r="C245" s="855">
        <f>SUM(C239:C244)</f>
        <v>2305.29</v>
      </c>
      <c r="G245" s="799"/>
      <c r="H245" s="283"/>
      <c r="I245" s="853" t="s">
        <v>721</v>
      </c>
      <c r="J245" s="854"/>
      <c r="K245" s="855"/>
      <c r="O245" s="799"/>
    </row>
    <row r="246">
      <c r="A246" s="856"/>
      <c r="B246" s="857"/>
      <c r="C246" s="857"/>
      <c r="D246" s="857"/>
      <c r="E246" s="857"/>
      <c r="F246" s="857"/>
      <c r="G246" s="808"/>
      <c r="H246" s="283"/>
      <c r="I246" s="856"/>
      <c r="J246" s="857"/>
      <c r="K246" s="857"/>
      <c r="L246" s="857"/>
      <c r="M246" s="857"/>
      <c r="N246" s="857"/>
      <c r="O246" s="808"/>
    </row>
    <row r="249">
      <c r="A249" s="769"/>
      <c r="B249" s="770"/>
      <c r="C249" s="770"/>
      <c r="D249" s="771" t="s">
        <v>700</v>
      </c>
      <c r="E249" s="772" t="str">
        <f>E125</f>
        <v>12.01.2025-12.07.2025</v>
      </c>
      <c r="F249" s="773"/>
      <c r="G249" s="774"/>
      <c r="H249" s="305">
        <v>5.0</v>
      </c>
      <c r="I249" s="769"/>
      <c r="J249" s="770"/>
      <c r="K249" s="770"/>
      <c r="L249" s="771" t="s">
        <v>700</v>
      </c>
      <c r="M249" s="772" t="str">
        <f>E125</f>
        <v>12.01.2025-12.07.2025</v>
      </c>
      <c r="N249" s="773"/>
      <c r="O249" s="774"/>
    </row>
    <row r="250">
      <c r="A250" s="775"/>
      <c r="D250" s="771" t="s">
        <v>702</v>
      </c>
      <c r="E250" s="772" t="str">
        <f t="array" ref="E250">XLOOKUP(E251,$Q$972:$Q$1008,$R$972:$R$1008)</f>
        <v>Ada Fleet LLC</v>
      </c>
      <c r="F250" s="773"/>
      <c r="G250" s="774"/>
      <c r="H250" s="283"/>
      <c r="I250" s="775"/>
      <c r="L250" s="771" t="s">
        <v>351</v>
      </c>
      <c r="M250" s="772" t="str">
        <f t="array" ref="M250">XLOOKUP(M251,$L$1:$L$121,$K$1:$K$121)</f>
        <v>MICHEL PATRICK</v>
      </c>
      <c r="N250" s="773"/>
      <c r="O250" s="774"/>
    </row>
    <row r="251">
      <c r="A251" s="775"/>
      <c r="D251" s="771" t="s">
        <v>703</v>
      </c>
      <c r="E251" s="772">
        <v>3819.0</v>
      </c>
      <c r="F251" s="773"/>
      <c r="G251" s="774"/>
      <c r="H251" s="858"/>
      <c r="I251" s="775"/>
      <c r="L251" s="771" t="s">
        <v>703</v>
      </c>
      <c r="M251" s="772">
        <f>E251</f>
        <v>3819</v>
      </c>
      <c r="N251" s="773"/>
      <c r="O251" s="774"/>
      <c r="P251" s="777"/>
    </row>
    <row r="252">
      <c r="A252" s="779" t="s">
        <v>704</v>
      </c>
      <c r="B252" s="779" t="s">
        <v>5</v>
      </c>
      <c r="C252" s="779" t="s">
        <v>6</v>
      </c>
      <c r="D252" s="779" t="s">
        <v>7</v>
      </c>
      <c r="E252" s="779" t="s">
        <v>8</v>
      </c>
      <c r="F252" s="779" t="s">
        <v>706</v>
      </c>
      <c r="G252" s="779" t="s">
        <v>707</v>
      </c>
      <c r="H252" s="34"/>
      <c r="I252" s="779" t="s">
        <v>704</v>
      </c>
      <c r="J252" s="779" t="s">
        <v>5</v>
      </c>
      <c r="K252" s="779" t="s">
        <v>6</v>
      </c>
      <c r="L252" s="779" t="s">
        <v>7</v>
      </c>
      <c r="M252" s="779" t="s">
        <v>1178</v>
      </c>
      <c r="N252" s="779" t="s">
        <v>839</v>
      </c>
      <c r="O252" s="779" t="s">
        <v>707</v>
      </c>
    </row>
    <row r="253">
      <c r="A253" s="780">
        <f>IFERROR(__xludf.DUMMYFUNCTION("FILTER($D$3:$H$121,$L$3:$L$121=E251)"),45993.0)</f>
        <v>45993</v>
      </c>
      <c r="B253" s="781">
        <f>IFERROR(__xludf.DUMMYFUNCTION("""COMPUTED_VALUE"""),5.36600378E8)</f>
        <v>536600378</v>
      </c>
      <c r="C253" s="781" t="str">
        <f>IFERROR(__xludf.DUMMYFUNCTION("""COMPUTED_VALUE"""),"Commerce City, CO, 80022")</f>
        <v>Commerce City, CO, 80022</v>
      </c>
      <c r="D253" s="781" t="str">
        <f>IFERROR(__xludf.DUMMYFUNCTION("""COMPUTED_VALUE"""),"Riverdale, UT, 84405")</f>
        <v>Riverdale, UT, 84405</v>
      </c>
      <c r="E253" s="782">
        <f>IFERROR(__xludf.DUMMYFUNCTION("""COMPUTED_VALUE"""),1100.0)</f>
        <v>1100</v>
      </c>
      <c r="F253" s="783">
        <v>0.88</v>
      </c>
      <c r="G253" s="782">
        <f t="shared" ref="G253:G256" si="12">E253*F253</f>
        <v>968</v>
      </c>
      <c r="H253" s="283"/>
      <c r="I253" s="780">
        <f>IFERROR(__xludf.DUMMYFUNCTION("FILTER($D$3:$G$121,$L$3:$L$121=M251)"),45993.0)</f>
        <v>45993</v>
      </c>
      <c r="J253" s="781">
        <f>IFERROR(__xludf.DUMMYFUNCTION("""COMPUTED_VALUE"""),5.36600378E8)</f>
        <v>536600378</v>
      </c>
      <c r="K253" s="781" t="str">
        <f>IFERROR(__xludf.DUMMYFUNCTION("""COMPUTED_VALUE"""),"Commerce City, CO, 80022")</f>
        <v>Commerce City, CO, 80022</v>
      </c>
      <c r="L253" s="781" t="str">
        <f>IFERROR(__xludf.DUMMYFUNCTION("""COMPUTED_VALUE"""),"Riverdale, UT, 84405")</f>
        <v>Riverdale, UT, 84405</v>
      </c>
      <c r="M253" s="896">
        <f>IFERROR(__xludf.DUMMYFUNCTION("FILTER($I$3:$I$121,$L$3:$L$121=M251)"),561.0)</f>
        <v>561</v>
      </c>
      <c r="N253" s="781">
        <v>0.65</v>
      </c>
      <c r="O253" s="782">
        <f t="shared" ref="O253:O256" si="13">M253*N253</f>
        <v>364.65</v>
      </c>
    </row>
    <row r="254">
      <c r="A254" s="780">
        <f>IFERROR(__xludf.DUMMYFUNCTION("""COMPUTED_VALUE"""),45994.0)</f>
        <v>45994</v>
      </c>
      <c r="B254" s="781">
        <f>IFERROR(__xludf.DUMMYFUNCTION("""COMPUTED_VALUE"""),5.36733975E8)</f>
        <v>536733975</v>
      </c>
      <c r="C254" s="781" t="str">
        <f>IFERROR(__xludf.DUMMYFUNCTION("""COMPUTED_VALUE"""),"Moses Lake, WA, 98837")</f>
        <v>Moses Lake, WA, 98837</v>
      </c>
      <c r="D254" s="781" t="str">
        <f>IFERROR(__xludf.DUMMYFUNCTION("""COMPUTED_VALUE"""),"Corcoran, CA, 93212")</f>
        <v>Corcoran, CA, 93212</v>
      </c>
      <c r="E254" s="782">
        <f>IFERROR(__xludf.DUMMYFUNCTION("""COMPUTED_VALUE"""),0.0)</f>
        <v>0</v>
      </c>
      <c r="F254" s="783">
        <v>0.88</v>
      </c>
      <c r="G254" s="782">
        <f t="shared" si="12"/>
        <v>0</v>
      </c>
      <c r="H254" s="283"/>
      <c r="I254" s="881">
        <f>IFERROR(__xludf.DUMMYFUNCTION("""COMPUTED_VALUE"""),45994.0)</f>
        <v>45994</v>
      </c>
      <c r="J254" s="882">
        <f>IFERROR(__xludf.DUMMYFUNCTION("""COMPUTED_VALUE"""),5.36733975E8)</f>
        <v>536733975</v>
      </c>
      <c r="K254" s="882" t="str">
        <f>IFERROR(__xludf.DUMMYFUNCTION("""COMPUTED_VALUE"""),"Moses Lake, WA, 98837")</f>
        <v>Moses Lake, WA, 98837</v>
      </c>
      <c r="L254" s="882" t="str">
        <f>IFERROR(__xludf.DUMMYFUNCTION("""COMPUTED_VALUE"""),"Corcoran, CA, 93212")</f>
        <v>Corcoran, CA, 93212</v>
      </c>
      <c r="M254" s="896">
        <f>IFERROR(__xludf.DUMMYFUNCTION("""COMPUTED_VALUE"""),0.0)</f>
        <v>0</v>
      </c>
      <c r="N254" s="781">
        <v>0.65</v>
      </c>
      <c r="O254" s="782">
        <f t="shared" si="13"/>
        <v>0</v>
      </c>
    </row>
    <row r="255">
      <c r="A255" s="883">
        <f>IFERROR(__xludf.DUMMYFUNCTION("""COMPUTED_VALUE"""),45994.0)</f>
        <v>45994</v>
      </c>
      <c r="B255" s="786">
        <f>IFERROR(__xludf.DUMMYFUNCTION("""COMPUTED_VALUE"""),2.0657543E7)</f>
        <v>20657543</v>
      </c>
      <c r="C255" s="786" t="str">
        <f>IFERROR(__xludf.DUMMYFUNCTION("""COMPUTED_VALUE"""),"Grantsville, UT, 84029")</f>
        <v>Grantsville, UT, 84029</v>
      </c>
      <c r="D255" s="786" t="str">
        <f>IFERROR(__xludf.DUMMYFUNCTION("""COMPUTED_VALUE"""),"Moxee, WA, 98936")</f>
        <v>Moxee, WA, 98936</v>
      </c>
      <c r="E255" s="884">
        <f>IFERROR(__xludf.DUMMYFUNCTION("""COMPUTED_VALUE"""),2400.0)</f>
        <v>2400</v>
      </c>
      <c r="F255" s="783">
        <v>0.88</v>
      </c>
      <c r="G255" s="782">
        <f t="shared" si="12"/>
        <v>2112</v>
      </c>
      <c r="H255" s="283"/>
      <c r="I255" s="883">
        <f>IFERROR(__xludf.DUMMYFUNCTION("""COMPUTED_VALUE"""),45994.0)</f>
        <v>45994</v>
      </c>
      <c r="J255" s="786">
        <f>IFERROR(__xludf.DUMMYFUNCTION("""COMPUTED_VALUE"""),2.0657543E7)</f>
        <v>20657543</v>
      </c>
      <c r="K255" s="786" t="str">
        <f>IFERROR(__xludf.DUMMYFUNCTION("""COMPUTED_VALUE"""),"Grantsville, UT, 84029")</f>
        <v>Grantsville, UT, 84029</v>
      </c>
      <c r="L255" s="786" t="str">
        <f>IFERROR(__xludf.DUMMYFUNCTION("""COMPUTED_VALUE"""),"Moxee, WA, 98936")</f>
        <v>Moxee, WA, 98936</v>
      </c>
      <c r="M255" s="896">
        <f>IFERROR(__xludf.DUMMYFUNCTION("""COMPUTED_VALUE"""),800.0)</f>
        <v>800</v>
      </c>
      <c r="N255" s="781">
        <v>0.65</v>
      </c>
      <c r="O255" s="782">
        <f t="shared" si="13"/>
        <v>520</v>
      </c>
    </row>
    <row r="256">
      <c r="A256" s="883">
        <f>IFERROR(__xludf.DUMMYFUNCTION("""COMPUTED_VALUE"""),45995.0)</f>
        <v>45995</v>
      </c>
      <c r="B256" s="786">
        <f>IFERROR(__xludf.DUMMYFUNCTION("""COMPUTED_VALUE"""),8037078.0)</f>
        <v>8037078</v>
      </c>
      <c r="C256" s="786" t="str">
        <f>IFERROR(__xludf.DUMMYFUNCTION("""COMPUTED_VALUE"""),"Gleed, WA, 98908")</f>
        <v>Gleed, WA, 98908</v>
      </c>
      <c r="D256" s="786" t="str">
        <f>IFERROR(__xludf.DUMMYFUNCTION("""COMPUTED_VALUE"""),"Washington Township, PA, 17268")</f>
        <v>Washington Township, PA, 17268</v>
      </c>
      <c r="E256" s="884">
        <f>IFERROR(__xludf.DUMMYFUNCTION("""COMPUTED_VALUE"""),6600.0)</f>
        <v>6600</v>
      </c>
      <c r="F256" s="783">
        <v>0.88</v>
      </c>
      <c r="G256" s="782">
        <f t="shared" si="12"/>
        <v>5808</v>
      </c>
      <c r="H256" s="283"/>
      <c r="I256" s="883">
        <f>IFERROR(__xludf.DUMMYFUNCTION("""COMPUTED_VALUE"""),45995.0)</f>
        <v>45995</v>
      </c>
      <c r="J256" s="786">
        <f>IFERROR(__xludf.DUMMYFUNCTION("""COMPUTED_VALUE"""),8037078.0)</f>
        <v>8037078</v>
      </c>
      <c r="K256" s="786" t="str">
        <f>IFERROR(__xludf.DUMMYFUNCTION("""COMPUTED_VALUE"""),"Gleed, WA, 98908")</f>
        <v>Gleed, WA, 98908</v>
      </c>
      <c r="L256" s="786" t="str">
        <f>IFERROR(__xludf.DUMMYFUNCTION("""COMPUTED_VALUE"""),"Washington Township, PA, 17268")</f>
        <v>Washington Township, PA, 17268</v>
      </c>
      <c r="M256" s="896">
        <f>IFERROR(__xludf.DUMMYFUNCTION("""COMPUTED_VALUE"""),2792.0)</f>
        <v>2792</v>
      </c>
      <c r="N256" s="781">
        <v>0.65</v>
      </c>
      <c r="O256" s="782">
        <f t="shared" si="13"/>
        <v>1814.8</v>
      </c>
    </row>
    <row r="257">
      <c r="A257" s="785"/>
      <c r="B257" s="786"/>
      <c r="C257" s="786"/>
      <c r="D257" s="786"/>
      <c r="E257" s="785"/>
      <c r="F257" s="787"/>
      <c r="G257" s="788"/>
      <c r="H257" s="283"/>
      <c r="I257" s="785"/>
      <c r="J257" s="786"/>
      <c r="K257" s="786"/>
      <c r="L257" s="786"/>
      <c r="M257" s="785"/>
      <c r="N257" s="787"/>
      <c r="O257" s="789"/>
    </row>
    <row r="258">
      <c r="A258" s="785"/>
      <c r="B258" s="786"/>
      <c r="C258" s="786"/>
      <c r="D258" s="786"/>
      <c r="E258" s="785"/>
      <c r="F258" s="787"/>
      <c r="G258" s="788"/>
      <c r="H258" s="283"/>
      <c r="I258" s="785"/>
      <c r="J258" s="786"/>
      <c r="K258" s="786"/>
      <c r="L258" s="786"/>
      <c r="M258" s="785"/>
      <c r="N258" s="787"/>
      <c r="O258" s="789"/>
    </row>
    <row r="259">
      <c r="A259" s="790" t="s">
        <v>711</v>
      </c>
      <c r="B259" s="791"/>
      <c r="C259" s="791"/>
      <c r="D259" s="792"/>
      <c r="E259" s="793">
        <f>SUM(E253:E258)</f>
        <v>10100</v>
      </c>
      <c r="F259" s="794"/>
      <c r="G259" s="793">
        <f>SUM(G253:G258)</f>
        <v>8888</v>
      </c>
      <c r="H259" s="283"/>
      <c r="I259" s="790" t="s">
        <v>711</v>
      </c>
      <c r="J259" s="791"/>
      <c r="K259" s="791"/>
      <c r="L259" s="792"/>
      <c r="M259" s="877">
        <f>SUM(M253:M258)</f>
        <v>4153</v>
      </c>
      <c r="N259" s="794"/>
      <c r="O259" s="793">
        <f>SUM(O253:O258)</f>
        <v>2699.45</v>
      </c>
    </row>
    <row r="260">
      <c r="A260" s="796"/>
      <c r="D260" s="798"/>
      <c r="E260" s="798"/>
      <c r="F260" s="798"/>
      <c r="G260" s="878"/>
      <c r="H260" s="283"/>
      <c r="I260" s="796"/>
      <c r="L260" s="798"/>
      <c r="M260" s="798"/>
      <c r="N260" s="798"/>
      <c r="O260" s="878"/>
    </row>
    <row r="261">
      <c r="A261" s="800" t="s">
        <v>712</v>
      </c>
      <c r="B261" s="801"/>
      <c r="C261" s="802"/>
      <c r="D261" s="798"/>
      <c r="E261" s="798"/>
      <c r="F261" s="798"/>
      <c r="G261" s="878"/>
      <c r="H261" s="283"/>
      <c r="I261" s="800" t="s">
        <v>712</v>
      </c>
      <c r="J261" s="803"/>
      <c r="K261" s="804"/>
      <c r="L261" s="798"/>
      <c r="M261" s="798"/>
      <c r="N261" s="798"/>
      <c r="O261" s="878"/>
    </row>
    <row r="262">
      <c r="A262" s="805"/>
      <c r="B262" s="806"/>
      <c r="C262" s="952"/>
      <c r="D262" s="248"/>
      <c r="E262" s="248"/>
      <c r="F262" s="248"/>
      <c r="G262" s="797"/>
      <c r="H262" s="283"/>
      <c r="I262" s="805"/>
      <c r="J262" s="808"/>
      <c r="K262" s="967"/>
      <c r="L262" s="248"/>
      <c r="M262" s="248"/>
      <c r="N262" s="248"/>
      <c r="O262" s="797"/>
    </row>
    <row r="263">
      <c r="A263" s="868"/>
      <c r="B263" s="774"/>
      <c r="C263" s="816"/>
      <c r="D263" s="798"/>
      <c r="E263" s="798"/>
      <c r="F263" s="798"/>
      <c r="G263" s="878"/>
      <c r="H263" s="283"/>
      <c r="I263" s="868"/>
      <c r="J263" s="774"/>
      <c r="K263" s="816"/>
      <c r="L263" s="798"/>
      <c r="M263" s="798"/>
      <c r="N263" s="798"/>
      <c r="O263" s="878"/>
    </row>
    <row r="264">
      <c r="A264" s="815"/>
      <c r="B264" s="792"/>
      <c r="C264" s="816"/>
      <c r="D264" s="798"/>
      <c r="E264" s="798"/>
      <c r="F264" s="798"/>
      <c r="G264" s="878"/>
      <c r="H264" s="283"/>
      <c r="I264" s="815"/>
      <c r="J264" s="792"/>
      <c r="K264" s="816"/>
      <c r="L264" s="798"/>
      <c r="M264" s="798"/>
      <c r="N264" s="798"/>
      <c r="O264" s="878"/>
    </row>
    <row r="265">
      <c r="A265" s="817"/>
      <c r="B265" s="774"/>
      <c r="C265" s="818"/>
      <c r="D265" s="798"/>
      <c r="E265" s="798"/>
      <c r="F265" s="798"/>
      <c r="G265" s="878"/>
      <c r="H265" s="283"/>
      <c r="I265" s="817"/>
      <c r="J265" s="774"/>
      <c r="K265" s="818"/>
      <c r="L265" s="798"/>
      <c r="M265" s="798"/>
      <c r="N265" s="798"/>
      <c r="O265" s="878"/>
    </row>
    <row r="266">
      <c r="A266" s="817"/>
      <c r="B266" s="792"/>
      <c r="C266" s="818"/>
      <c r="D266" s="885" t="s">
        <v>1181</v>
      </c>
      <c r="E266" s="886">
        <v>650.75</v>
      </c>
      <c r="F266" s="798"/>
      <c r="G266" s="878"/>
      <c r="H266" s="283"/>
      <c r="I266" s="817"/>
      <c r="J266" s="792"/>
      <c r="K266" s="818"/>
      <c r="L266" s="798"/>
      <c r="M266" s="798"/>
      <c r="N266" s="798"/>
      <c r="O266" s="878"/>
    </row>
    <row r="267">
      <c r="A267" s="821" t="s">
        <v>714</v>
      </c>
      <c r="B267" s="822"/>
      <c r="C267" s="823">
        <f>SUM(C262:C266)</f>
        <v>0</v>
      </c>
      <c r="D267" s="798"/>
      <c r="E267" s="798"/>
      <c r="F267" s="798"/>
      <c r="G267" s="878"/>
      <c r="H267" s="283"/>
      <c r="I267" s="821" t="s">
        <v>714</v>
      </c>
      <c r="J267" s="826"/>
      <c r="K267" s="827">
        <f>SUM(K262:K266)</f>
        <v>0</v>
      </c>
      <c r="L267" s="798"/>
      <c r="M267" s="798"/>
      <c r="N267" s="798"/>
      <c r="O267" s="878"/>
    </row>
    <row r="268">
      <c r="A268" s="828"/>
      <c r="C268" s="829"/>
      <c r="D268" s="887" t="s">
        <v>657</v>
      </c>
      <c r="E268" s="888">
        <f>G271-E266</f>
        <v>3619.1</v>
      </c>
      <c r="F268" s="798"/>
      <c r="G268" s="878"/>
      <c r="H268" s="283"/>
      <c r="I268" s="828"/>
      <c r="K268" s="829"/>
      <c r="L268" s="798"/>
      <c r="M268" s="798"/>
      <c r="N268" s="798"/>
      <c r="O268" s="878"/>
    </row>
    <row r="269">
      <c r="A269" s="830" t="s">
        <v>715</v>
      </c>
      <c r="B269" s="831"/>
      <c r="C269" s="832"/>
      <c r="D269" s="798"/>
      <c r="E269" s="798"/>
      <c r="F269" s="798"/>
      <c r="G269" s="878"/>
      <c r="H269" s="283"/>
      <c r="I269" s="833" t="s">
        <v>715</v>
      </c>
      <c r="J269" s="834"/>
      <c r="K269" s="835"/>
      <c r="L269" s="798"/>
      <c r="M269" s="798"/>
      <c r="N269" s="798"/>
      <c r="O269" s="878"/>
    </row>
    <row r="270">
      <c r="A270" s="836" t="s">
        <v>716</v>
      </c>
      <c r="B270" s="837"/>
      <c r="C270" s="838">
        <v>150.0</v>
      </c>
      <c r="D270" s="798"/>
      <c r="E270" s="798"/>
      <c r="F270" s="798"/>
      <c r="G270" s="878"/>
      <c r="H270" s="283"/>
      <c r="I270" s="889"/>
      <c r="J270" s="851"/>
      <c r="K270" s="852"/>
      <c r="L270" s="865" t="s">
        <v>1187</v>
      </c>
      <c r="M270" s="798"/>
      <c r="N270" s="798"/>
      <c r="O270" s="878"/>
    </row>
    <row r="271">
      <c r="A271" s="842" t="s">
        <v>717</v>
      </c>
      <c r="B271" s="843"/>
      <c r="C271" s="844">
        <v>400.0</v>
      </c>
      <c r="D271" s="891"/>
      <c r="E271" s="845" t="s">
        <v>1182</v>
      </c>
      <c r="G271" s="846">
        <f>G259+C267-C276</f>
        <v>4269.85</v>
      </c>
      <c r="H271" s="283"/>
      <c r="I271" s="847"/>
      <c r="J271" s="848"/>
      <c r="K271" s="849"/>
      <c r="L271" s="248"/>
      <c r="M271" s="845" t="s">
        <v>1183</v>
      </c>
      <c r="O271" s="846">
        <f>O259+K267-K276</f>
        <v>2699.45</v>
      </c>
    </row>
    <row r="272">
      <c r="A272" s="836" t="s">
        <v>718</v>
      </c>
      <c r="B272" s="837"/>
      <c r="C272" s="838">
        <v>200.0</v>
      </c>
      <c r="D272" s="892"/>
      <c r="G272" s="799"/>
      <c r="H272" s="283"/>
      <c r="I272" s="847"/>
      <c r="J272" s="848"/>
      <c r="K272" s="849"/>
      <c r="O272" s="799"/>
    </row>
    <row r="273">
      <c r="A273" s="842" t="s">
        <v>656</v>
      </c>
      <c r="B273" s="843"/>
      <c r="C273" s="844">
        <f>IFERROR(__xludf.DUMMYFUNCTION("FILTER($C$4:$C$30,$B$4:$B$30=E251)"),3868.15)</f>
        <v>3868.15</v>
      </c>
      <c r="D273" s="891"/>
      <c r="G273" s="799"/>
      <c r="H273" s="283"/>
      <c r="I273" s="847"/>
      <c r="J273" s="848"/>
      <c r="K273" s="849"/>
      <c r="O273" s="799"/>
    </row>
    <row r="274">
      <c r="A274" s="850" t="s">
        <v>1184</v>
      </c>
      <c r="B274" s="851"/>
      <c r="C274" s="852"/>
      <c r="D274" s="893"/>
      <c r="E274" s="248"/>
      <c r="G274" s="799"/>
      <c r="H274" s="283"/>
      <c r="I274" s="847"/>
      <c r="J274" s="848"/>
      <c r="K274" s="849"/>
      <c r="M274" s="248"/>
      <c r="O274" s="799"/>
    </row>
    <row r="275">
      <c r="A275" s="847"/>
      <c r="B275" s="848"/>
      <c r="C275" s="849"/>
      <c r="D275" s="248"/>
      <c r="G275" s="799"/>
      <c r="H275" s="283"/>
      <c r="I275" s="847"/>
      <c r="J275" s="848"/>
      <c r="K275" s="849"/>
      <c r="O275" s="799"/>
    </row>
    <row r="276">
      <c r="A276" s="853" t="s">
        <v>721</v>
      </c>
      <c r="B276" s="854"/>
      <c r="C276" s="855">
        <f>SUM(C270:C275)</f>
        <v>4618.15</v>
      </c>
      <c r="D276" s="248"/>
      <c r="G276" s="799"/>
      <c r="H276" s="283"/>
      <c r="I276" s="853" t="s">
        <v>721</v>
      </c>
      <c r="J276" s="854"/>
      <c r="K276" s="855">
        <f>SUM(K270:K275)</f>
        <v>0</v>
      </c>
      <c r="O276" s="799"/>
    </row>
    <row r="277">
      <c r="A277" s="856"/>
      <c r="B277" s="857"/>
      <c r="C277" s="857"/>
      <c r="D277" s="894"/>
      <c r="E277" s="857"/>
      <c r="F277" s="857"/>
      <c r="G277" s="808"/>
      <c r="H277" s="283"/>
      <c r="I277" s="856"/>
      <c r="J277" s="857"/>
      <c r="K277" s="857"/>
      <c r="L277" s="857"/>
      <c r="M277" s="857"/>
      <c r="N277" s="857"/>
      <c r="O277" s="808"/>
    </row>
    <row r="280">
      <c r="A280" s="769"/>
      <c r="B280" s="770"/>
      <c r="C280" s="770"/>
      <c r="D280" s="771" t="s">
        <v>700</v>
      </c>
      <c r="E280" s="772" t="str">
        <f>E125</f>
        <v>12.01.2025-12.07.2025</v>
      </c>
      <c r="F280" s="773"/>
      <c r="G280" s="774"/>
      <c r="H280" s="305">
        <v>6.0</v>
      </c>
      <c r="I280" s="769"/>
      <c r="J280" s="770"/>
      <c r="K280" s="770"/>
      <c r="L280" s="771" t="s">
        <v>700</v>
      </c>
      <c r="M280" s="772" t="str">
        <f>E125</f>
        <v>12.01.2025-12.07.2025</v>
      </c>
      <c r="N280" s="773"/>
      <c r="O280" s="774"/>
    </row>
    <row r="281">
      <c r="A281" s="775"/>
      <c r="D281" s="771" t="s">
        <v>702</v>
      </c>
      <c r="E281" s="772" t="str">
        <f t="array" ref="E281">XLOOKUP(E282,$Q$972:$Q$1008,$R$972:$R$1008)</f>
        <v>Ada Fleet LLC</v>
      </c>
      <c r="F281" s="773"/>
      <c r="G281" s="774"/>
      <c r="H281" s="283"/>
      <c r="I281" s="775"/>
      <c r="L281" s="771" t="s">
        <v>351</v>
      </c>
      <c r="M281" s="772" t="str">
        <f t="array" ref="M281">XLOOKUP(M282,$L$1:$L$121,$K$1:$K$121)</f>
        <v>WOODBENS JOSIL</v>
      </c>
      <c r="N281" s="773"/>
      <c r="O281" s="774"/>
    </row>
    <row r="282">
      <c r="A282" s="775"/>
      <c r="D282" s="771" t="s">
        <v>703</v>
      </c>
      <c r="E282" s="772">
        <v>9348.0</v>
      </c>
      <c r="F282" s="773"/>
      <c r="G282" s="774"/>
      <c r="H282" s="858"/>
      <c r="I282" s="775"/>
      <c r="L282" s="771" t="s">
        <v>703</v>
      </c>
      <c r="M282" s="772">
        <f>E282</f>
        <v>9348</v>
      </c>
      <c r="N282" s="773"/>
      <c r="O282" s="774"/>
      <c r="P282" s="777"/>
    </row>
    <row r="283">
      <c r="A283" s="779" t="s">
        <v>704</v>
      </c>
      <c r="B283" s="779" t="s">
        <v>5</v>
      </c>
      <c r="C283" s="779" t="s">
        <v>6</v>
      </c>
      <c r="D283" s="779" t="s">
        <v>7</v>
      </c>
      <c r="E283" s="779" t="s">
        <v>8</v>
      </c>
      <c r="F283" s="779" t="s">
        <v>706</v>
      </c>
      <c r="G283" s="779" t="s">
        <v>707</v>
      </c>
      <c r="H283" s="34"/>
      <c r="I283" s="779" t="s">
        <v>704</v>
      </c>
      <c r="J283" s="779" t="s">
        <v>5</v>
      </c>
      <c r="K283" s="779" t="s">
        <v>6</v>
      </c>
      <c r="L283" s="779" t="s">
        <v>7</v>
      </c>
      <c r="M283" s="779" t="s">
        <v>1178</v>
      </c>
      <c r="N283" s="779" t="s">
        <v>839</v>
      </c>
      <c r="O283" s="779" t="s">
        <v>707</v>
      </c>
    </row>
    <row r="284">
      <c r="A284" s="780">
        <f>IFERROR(__xludf.DUMMYFUNCTION("FILTER($D$3:$H$121,$L$3:$L$121=E282)"),45992.0)</f>
        <v>45992</v>
      </c>
      <c r="B284" s="781">
        <f>IFERROR(__xludf.DUMMYFUNCTION("""COMPUTED_VALUE"""),5.36133066E8)</f>
        <v>536133066</v>
      </c>
      <c r="C284" s="781" t="str">
        <f>IFERROR(__xludf.DUMMYFUNCTION("""COMPUTED_VALUE"""),"Holbrook, MA, 02343")</f>
        <v>Holbrook, MA, 02343</v>
      </c>
      <c r="D284" s="781" t="str">
        <f>IFERROR(__xludf.DUMMYFUNCTION("""COMPUTED_VALUE"""),"Pleasant Prairie, WI, 53158")</f>
        <v>Pleasant Prairie, WI, 53158</v>
      </c>
      <c r="E284" s="782">
        <f>IFERROR(__xludf.DUMMYFUNCTION("""COMPUTED_VALUE"""),1310.0)</f>
        <v>1310</v>
      </c>
      <c r="F284" s="783">
        <v>0.88</v>
      </c>
      <c r="G284" s="782">
        <f t="shared" ref="G284:G286" si="14">E284*F284</f>
        <v>1152.8</v>
      </c>
      <c r="H284" s="283"/>
      <c r="I284" s="895">
        <f>IFERROR(__xludf.DUMMYFUNCTION("FILTER($D$3:$G$121,$L$3:$L$121=M282)"),45992.0)</f>
        <v>45992</v>
      </c>
      <c r="J284" s="895">
        <f>IFERROR(__xludf.DUMMYFUNCTION("""COMPUTED_VALUE"""),5.36133066E8)</f>
        <v>536133066</v>
      </c>
      <c r="K284" s="895" t="str">
        <f>IFERROR(__xludf.DUMMYFUNCTION("""COMPUTED_VALUE"""),"Holbrook, MA, 02343")</f>
        <v>Holbrook, MA, 02343</v>
      </c>
      <c r="L284" s="895" t="str">
        <f>IFERROR(__xludf.DUMMYFUNCTION("""COMPUTED_VALUE"""),"Pleasant Prairie, WI, 53158")</f>
        <v>Pleasant Prairie, WI, 53158</v>
      </c>
      <c r="M284" s="896">
        <f>IFERROR(__xludf.DUMMYFUNCTION("FILTER($I$3:$I$121,$L$3:$L$121=M282)"),1088.0)</f>
        <v>1088</v>
      </c>
      <c r="N284" s="861">
        <v>0.65</v>
      </c>
      <c r="O284" s="863">
        <f t="shared" ref="O284:O286" si="15">M284*N284</f>
        <v>707.2</v>
      </c>
    </row>
    <row r="285">
      <c r="A285" s="780">
        <f>IFERROR(__xludf.DUMMYFUNCTION("""COMPUTED_VALUE"""),45994.0)</f>
        <v>45994</v>
      </c>
      <c r="B285" s="781">
        <f>IFERROR(__xludf.DUMMYFUNCTION("""COMPUTED_VALUE"""),1544311.0)</f>
        <v>1544311</v>
      </c>
      <c r="C285" s="781" t="str">
        <f>IFERROR(__xludf.DUMMYFUNCTION("""COMPUTED_VALUE"""),"Lake Forest, IL, 60045")</f>
        <v>Lake Forest, IL, 60045</v>
      </c>
      <c r="D285" s="781" t="str">
        <f>IFERROR(__xludf.DUMMYFUNCTION("""COMPUTED_VALUE"""),"Wilmington, NC, 28405")</f>
        <v>Wilmington, NC, 28405</v>
      </c>
      <c r="E285" s="782">
        <f>IFERROR(__xludf.DUMMYFUNCTION("""COMPUTED_VALUE"""),2570.0)</f>
        <v>2570</v>
      </c>
      <c r="F285" s="783">
        <v>0.88</v>
      </c>
      <c r="G285" s="782">
        <f t="shared" si="14"/>
        <v>2261.6</v>
      </c>
      <c r="H285" s="283"/>
      <c r="I285" s="895">
        <f>IFERROR(__xludf.DUMMYFUNCTION("""COMPUTED_VALUE"""),45994.0)</f>
        <v>45994</v>
      </c>
      <c r="J285" s="895">
        <f>IFERROR(__xludf.DUMMYFUNCTION("""COMPUTED_VALUE"""),1544311.0)</f>
        <v>1544311</v>
      </c>
      <c r="K285" s="895" t="str">
        <f>IFERROR(__xludf.DUMMYFUNCTION("""COMPUTED_VALUE"""),"Lake Forest, IL, 60045")</f>
        <v>Lake Forest, IL, 60045</v>
      </c>
      <c r="L285" s="895" t="str">
        <f>IFERROR(__xludf.DUMMYFUNCTION("""COMPUTED_VALUE"""),"Wilmington, NC, 28405")</f>
        <v>Wilmington, NC, 28405</v>
      </c>
      <c r="M285" s="880">
        <f>IFERROR(__xludf.DUMMYFUNCTION("""COMPUTED_VALUE"""),999.0)</f>
        <v>999</v>
      </c>
      <c r="N285" s="861">
        <v>0.65</v>
      </c>
      <c r="O285" s="863">
        <f t="shared" si="15"/>
        <v>649.35</v>
      </c>
    </row>
    <row r="286">
      <c r="A286" s="883">
        <f>IFERROR(__xludf.DUMMYFUNCTION("""COMPUTED_VALUE"""),45996.0)</f>
        <v>45996</v>
      </c>
      <c r="B286" s="786">
        <f>IFERROR(__xludf.DUMMYFUNCTION("""COMPUTED_VALUE"""),5810344.0)</f>
        <v>5810344</v>
      </c>
      <c r="C286" s="786" t="str">
        <f>IFERROR(__xludf.DUMMYFUNCTION("""COMPUTED_VALUE"""),"Wagram, NC, 28396")</f>
        <v>Wagram, NC, 28396</v>
      </c>
      <c r="D286" s="786" t="str">
        <f>IFERROR(__xludf.DUMMYFUNCTION("""COMPUTED_VALUE"""),"Denver, CO, 80239")</f>
        <v>Denver, CO, 80239</v>
      </c>
      <c r="E286" s="884">
        <f>IFERROR(__xludf.DUMMYFUNCTION("""COMPUTED_VALUE"""),3300.0)</f>
        <v>3300</v>
      </c>
      <c r="F286" s="783">
        <v>0.88</v>
      </c>
      <c r="G286" s="782">
        <f t="shared" si="14"/>
        <v>2904</v>
      </c>
      <c r="H286" s="283"/>
      <c r="I286" s="895">
        <f>IFERROR(__xludf.DUMMYFUNCTION("""COMPUTED_VALUE"""),45996.0)</f>
        <v>45996</v>
      </c>
      <c r="J286" s="895">
        <f>IFERROR(__xludf.DUMMYFUNCTION("""COMPUTED_VALUE"""),5810344.0)</f>
        <v>5810344</v>
      </c>
      <c r="K286" s="895" t="str">
        <f>IFERROR(__xludf.DUMMYFUNCTION("""COMPUTED_VALUE"""),"Wagram, NC, 28396")</f>
        <v>Wagram, NC, 28396</v>
      </c>
      <c r="L286" s="895" t="str">
        <f>IFERROR(__xludf.DUMMYFUNCTION("""COMPUTED_VALUE"""),"Denver, CO, 80239")</f>
        <v>Denver, CO, 80239</v>
      </c>
      <c r="M286" s="925">
        <f>IFERROR(__xludf.DUMMYFUNCTION("""COMPUTED_VALUE"""),1771.0)</f>
        <v>1771</v>
      </c>
      <c r="N286" s="861">
        <v>0.65</v>
      </c>
      <c r="O286" s="863">
        <f t="shared" si="15"/>
        <v>1151.15</v>
      </c>
    </row>
    <row r="287">
      <c r="A287" s="785"/>
      <c r="B287" s="786"/>
      <c r="C287" s="786"/>
      <c r="D287" s="786"/>
      <c r="E287" s="785"/>
      <c r="F287" s="787"/>
      <c r="G287" s="788"/>
      <c r="H287" s="283"/>
      <c r="I287" s="785"/>
      <c r="J287" s="786"/>
      <c r="K287" s="786"/>
      <c r="L287" s="786"/>
      <c r="M287" s="785"/>
      <c r="N287" s="787"/>
      <c r="O287" s="789"/>
    </row>
    <row r="288">
      <c r="A288" s="785"/>
      <c r="B288" s="786"/>
      <c r="C288" s="786"/>
      <c r="D288" s="786"/>
      <c r="E288" s="785"/>
      <c r="F288" s="787"/>
      <c r="G288" s="788"/>
      <c r="H288" s="283"/>
      <c r="I288" s="785"/>
      <c r="J288" s="786"/>
      <c r="K288" s="786"/>
      <c r="L288" s="786"/>
      <c r="M288" s="785"/>
      <c r="N288" s="787"/>
      <c r="O288" s="789"/>
    </row>
    <row r="289">
      <c r="A289" s="785"/>
      <c r="B289" s="786"/>
      <c r="C289" s="786"/>
      <c r="D289" s="786"/>
      <c r="E289" s="785"/>
      <c r="F289" s="787"/>
      <c r="G289" s="788"/>
      <c r="H289" s="283"/>
      <c r="I289" s="785"/>
      <c r="J289" s="786"/>
      <c r="K289" s="786"/>
      <c r="L289" s="786"/>
      <c r="M289" s="785"/>
      <c r="N289" s="787"/>
      <c r="O289" s="789"/>
    </row>
    <row r="290">
      <c r="A290" s="790" t="s">
        <v>711</v>
      </c>
      <c r="B290" s="791"/>
      <c r="C290" s="791"/>
      <c r="D290" s="792"/>
      <c r="E290" s="793">
        <f>SUM(E284:E289)</f>
        <v>7180</v>
      </c>
      <c r="F290" s="794"/>
      <c r="G290" s="793">
        <f>SUM(G284:G289)</f>
        <v>6318.4</v>
      </c>
      <c r="H290" s="283"/>
      <c r="I290" s="790" t="s">
        <v>711</v>
      </c>
      <c r="J290" s="791"/>
      <c r="K290" s="791"/>
      <c r="L290" s="792"/>
      <c r="M290" s="877">
        <f>SUM(M284:M289)</f>
        <v>3858</v>
      </c>
      <c r="N290" s="794"/>
      <c r="O290" s="793">
        <f>SUM(O284:O289)</f>
        <v>2507.7</v>
      </c>
      <c r="Q290" s="669"/>
    </row>
    <row r="291">
      <c r="A291" s="796"/>
      <c r="D291" s="798"/>
      <c r="E291" s="798"/>
      <c r="F291" s="798"/>
      <c r="G291" s="878"/>
      <c r="H291" s="283"/>
      <c r="I291" s="796"/>
      <c r="L291" s="798"/>
      <c r="O291" s="799"/>
    </row>
    <row r="292">
      <c r="A292" s="800" t="s">
        <v>712</v>
      </c>
      <c r="B292" s="801"/>
      <c r="C292" s="802"/>
      <c r="D292" s="798"/>
      <c r="E292" s="798"/>
      <c r="F292" s="798"/>
      <c r="G292" s="878"/>
      <c r="H292" s="283"/>
      <c r="I292" s="800" t="s">
        <v>712</v>
      </c>
      <c r="J292" s="803"/>
      <c r="K292" s="804"/>
      <c r="O292" s="799"/>
    </row>
    <row r="293">
      <c r="A293" s="805"/>
      <c r="B293" s="806"/>
      <c r="C293" s="952"/>
      <c r="D293" s="248"/>
      <c r="E293" s="248"/>
      <c r="F293" s="248"/>
      <c r="G293" s="797"/>
      <c r="H293" s="283"/>
      <c r="I293" s="805"/>
      <c r="J293" s="808"/>
      <c r="K293" s="967"/>
      <c r="O293" s="799"/>
    </row>
    <row r="294">
      <c r="A294" s="813"/>
      <c r="B294" s="898"/>
      <c r="C294" s="899"/>
      <c r="D294" s="798"/>
      <c r="E294" s="798"/>
      <c r="F294" s="798"/>
      <c r="G294" s="878"/>
      <c r="H294" s="283"/>
      <c r="I294" s="813"/>
      <c r="J294" s="774"/>
      <c r="K294" s="816"/>
      <c r="O294" s="799"/>
    </row>
    <row r="295">
      <c r="A295" s="815"/>
      <c r="B295" s="792"/>
      <c r="C295" s="816"/>
      <c r="D295" s="798"/>
      <c r="E295" s="798"/>
      <c r="F295" s="798"/>
      <c r="G295" s="878"/>
      <c r="H295" s="283"/>
      <c r="I295" s="815"/>
      <c r="J295" s="792"/>
      <c r="K295" s="816"/>
      <c r="O295" s="799"/>
    </row>
    <row r="296">
      <c r="A296" s="817"/>
      <c r="B296" s="774"/>
      <c r="C296" s="818"/>
      <c r="D296" s="885" t="s">
        <v>1181</v>
      </c>
      <c r="E296" s="886">
        <v>3150.3</v>
      </c>
      <c r="F296" s="798"/>
      <c r="G296" s="878"/>
      <c r="H296" s="283"/>
      <c r="I296" s="817"/>
      <c r="J296" s="774"/>
      <c r="K296" s="818"/>
      <c r="O296" s="799"/>
    </row>
    <row r="297">
      <c r="A297" s="817"/>
      <c r="B297" s="792"/>
      <c r="C297" s="818"/>
      <c r="D297" s="798"/>
      <c r="E297" s="798"/>
      <c r="F297" s="798"/>
      <c r="G297" s="878"/>
      <c r="H297" s="283"/>
      <c r="I297" s="817"/>
      <c r="J297" s="792"/>
      <c r="K297" s="818"/>
      <c r="O297" s="799"/>
    </row>
    <row r="298">
      <c r="A298" s="821" t="s">
        <v>714</v>
      </c>
      <c r="B298" s="822"/>
      <c r="C298" s="823">
        <f>SUM(C293:C297)</f>
        <v>0</v>
      </c>
      <c r="D298" s="887" t="s">
        <v>657</v>
      </c>
      <c r="E298" s="972" t="str">
        <f>G302-O302</f>
        <v>#N/A</v>
      </c>
      <c r="F298" s="798"/>
      <c r="G298" s="878"/>
      <c r="H298" s="283"/>
      <c r="I298" s="821" t="s">
        <v>714</v>
      </c>
      <c r="J298" s="826"/>
      <c r="K298" s="827">
        <f>SUM(K293:K297)</f>
        <v>0</v>
      </c>
      <c r="O298" s="799"/>
    </row>
    <row r="299">
      <c r="A299" s="828"/>
      <c r="C299" s="829"/>
      <c r="D299" s="798"/>
      <c r="E299" s="798"/>
      <c r="F299" s="798"/>
      <c r="G299" s="878"/>
      <c r="H299" s="283"/>
      <c r="I299" s="828"/>
      <c r="K299" s="829"/>
      <c r="O299" s="799"/>
    </row>
    <row r="300">
      <c r="A300" s="830" t="s">
        <v>715</v>
      </c>
      <c r="B300" s="831"/>
      <c r="C300" s="832"/>
      <c r="D300" s="798"/>
      <c r="E300" s="798"/>
      <c r="F300" s="798"/>
      <c r="G300" s="878"/>
      <c r="H300" s="283"/>
      <c r="I300" s="833" t="s">
        <v>715</v>
      </c>
      <c r="J300" s="834"/>
      <c r="K300" s="835"/>
      <c r="O300" s="799"/>
    </row>
    <row r="301">
      <c r="A301" s="836" t="s">
        <v>716</v>
      </c>
      <c r="B301" s="837"/>
      <c r="C301" s="838"/>
      <c r="D301" s="798"/>
      <c r="E301" s="798"/>
      <c r="F301" s="798"/>
      <c r="G301" s="878"/>
      <c r="H301" s="283"/>
      <c r="I301" s="839"/>
      <c r="J301" s="840"/>
      <c r="K301" s="841"/>
      <c r="O301" s="799"/>
    </row>
    <row r="302">
      <c r="A302" s="842" t="s">
        <v>717</v>
      </c>
      <c r="B302" s="843"/>
      <c r="C302" s="844"/>
      <c r="D302" s="248"/>
      <c r="E302" s="845" t="s">
        <v>1182</v>
      </c>
      <c r="G302" s="846" t="str">
        <f>G290+C298-C307</f>
        <v>#N/A</v>
      </c>
      <c r="H302" s="283"/>
      <c r="I302" s="847"/>
      <c r="J302" s="848"/>
      <c r="K302" s="849"/>
      <c r="L302" s="248"/>
      <c r="M302" s="845" t="s">
        <v>1183</v>
      </c>
      <c r="O302" s="846">
        <f>O290+K298-K307</f>
        <v>2507.7</v>
      </c>
    </row>
    <row r="303">
      <c r="A303" s="836" t="s">
        <v>718</v>
      </c>
      <c r="B303" s="837"/>
      <c r="C303" s="838"/>
      <c r="G303" s="799"/>
      <c r="H303" s="283"/>
      <c r="I303" s="847"/>
      <c r="J303" s="848"/>
      <c r="K303" s="849"/>
      <c r="O303" s="799"/>
    </row>
    <row r="304">
      <c r="A304" s="842" t="s">
        <v>656</v>
      </c>
      <c r="B304" s="843"/>
      <c r="C304" s="844" t="str">
        <f>IFERROR(__xludf.DUMMYFUNCTION("FILTER($C$4:$C$30,$B$4:$B$30=E282)"),"#N/A")</f>
        <v>#N/A</v>
      </c>
      <c r="G304" s="799"/>
      <c r="H304" s="283"/>
      <c r="I304" s="847"/>
      <c r="J304" s="848"/>
      <c r="K304" s="849"/>
      <c r="O304" s="799"/>
    </row>
    <row r="305">
      <c r="A305" s="850" t="s">
        <v>1184</v>
      </c>
      <c r="B305" s="851"/>
      <c r="C305" s="852"/>
      <c r="E305" s="248"/>
      <c r="G305" s="799"/>
      <c r="H305" s="283"/>
      <c r="I305" s="847"/>
      <c r="J305" s="848"/>
      <c r="K305" s="849"/>
      <c r="M305" s="248"/>
      <c r="O305" s="799"/>
    </row>
    <row r="306">
      <c r="A306" s="847"/>
      <c r="B306" s="848"/>
      <c r="C306" s="849"/>
      <c r="G306" s="799"/>
      <c r="H306" s="283"/>
      <c r="I306" s="847"/>
      <c r="J306" s="848"/>
      <c r="K306" s="849"/>
      <c r="O306" s="799"/>
    </row>
    <row r="307">
      <c r="A307" s="853" t="s">
        <v>721</v>
      </c>
      <c r="B307" s="854"/>
      <c r="C307" s="855" t="str">
        <f>SUM(C301:C306)</f>
        <v>#N/A</v>
      </c>
      <c r="G307" s="799"/>
      <c r="H307" s="283"/>
      <c r="I307" s="853" t="s">
        <v>721</v>
      </c>
      <c r="J307" s="854"/>
      <c r="K307" s="855"/>
      <c r="O307" s="799"/>
    </row>
    <row r="308">
      <c r="A308" s="856"/>
      <c r="B308" s="857"/>
      <c r="C308" s="857"/>
      <c r="D308" s="857"/>
      <c r="E308" s="857"/>
      <c r="F308" s="857"/>
      <c r="G308" s="808"/>
      <c r="H308" s="283"/>
      <c r="I308" s="856"/>
      <c r="J308" s="857"/>
      <c r="K308" s="857"/>
      <c r="L308" s="857"/>
      <c r="M308" s="857"/>
      <c r="N308" s="857"/>
      <c r="O308" s="808"/>
    </row>
    <row r="311">
      <c r="A311" s="769"/>
      <c r="B311" s="770"/>
      <c r="C311" s="770"/>
      <c r="D311" s="771" t="s">
        <v>700</v>
      </c>
      <c r="E311" s="772" t="str">
        <f>E125</f>
        <v>12.01.2025-12.07.2025</v>
      </c>
      <c r="F311" s="773"/>
      <c r="G311" s="774"/>
      <c r="H311" s="305">
        <v>7.0</v>
      </c>
      <c r="I311" s="769"/>
      <c r="J311" s="770"/>
      <c r="K311" s="770"/>
      <c r="L311" s="771" t="s">
        <v>700</v>
      </c>
      <c r="M311" s="772" t="str">
        <f>E125</f>
        <v>12.01.2025-12.07.2025</v>
      </c>
      <c r="N311" s="773"/>
      <c r="O311" s="774"/>
    </row>
    <row r="312">
      <c r="A312" s="775"/>
      <c r="D312" s="771" t="s">
        <v>702</v>
      </c>
      <c r="E312" s="772" t="str">
        <f t="array" ref="E312">XLOOKUP(E313,$Q$972:$Q$1008,$R$972:$R$1008)</f>
        <v>Komo Logistics LLC</v>
      </c>
      <c r="F312" s="773"/>
      <c r="G312" s="774"/>
      <c r="H312" s="283"/>
      <c r="I312" s="775"/>
      <c r="L312" s="771" t="s">
        <v>351</v>
      </c>
      <c r="M312" s="772" t="str">
        <f t="array" ref="M312">XLOOKUP(M313,$L$1:$L$121,$K$1:$K$121)</f>
        <v>TOUSSAINT BESANTO</v>
      </c>
      <c r="N312" s="773"/>
      <c r="O312" s="774"/>
    </row>
    <row r="313">
      <c r="A313" s="775"/>
      <c r="D313" s="771" t="s">
        <v>703</v>
      </c>
      <c r="E313" s="772">
        <v>7807.0</v>
      </c>
      <c r="F313" s="773"/>
      <c r="G313" s="774"/>
      <c r="H313" s="283"/>
      <c r="I313" s="775"/>
      <c r="L313" s="771" t="s">
        <v>703</v>
      </c>
      <c r="M313" s="772">
        <f>E313</f>
        <v>7807</v>
      </c>
      <c r="N313" s="773"/>
      <c r="O313" s="774"/>
      <c r="P313" s="777"/>
    </row>
    <row r="314">
      <c r="A314" s="779" t="s">
        <v>704</v>
      </c>
      <c r="B314" s="779" t="s">
        <v>5</v>
      </c>
      <c r="C314" s="779" t="s">
        <v>6</v>
      </c>
      <c r="D314" s="779" t="s">
        <v>7</v>
      </c>
      <c r="E314" s="779" t="s">
        <v>8</v>
      </c>
      <c r="F314" s="779" t="s">
        <v>706</v>
      </c>
      <c r="G314" s="779" t="s">
        <v>707</v>
      </c>
      <c r="H314" s="34"/>
      <c r="I314" s="779" t="s">
        <v>704</v>
      </c>
      <c r="J314" s="779" t="s">
        <v>5</v>
      </c>
      <c r="K314" s="779" t="s">
        <v>6</v>
      </c>
      <c r="L314" s="779" t="s">
        <v>7</v>
      </c>
      <c r="M314" s="779" t="s">
        <v>1178</v>
      </c>
      <c r="N314" s="779" t="s">
        <v>839</v>
      </c>
      <c r="O314" s="779" t="s">
        <v>707</v>
      </c>
    </row>
    <row r="315">
      <c r="A315" s="780">
        <f>IFERROR(__xludf.DUMMYFUNCTION("FILTER($D$3:$H$121,$L$3:$L$121=E313)"),45993.0)</f>
        <v>45993</v>
      </c>
      <c r="B315" s="781">
        <f>IFERROR(__xludf.DUMMYFUNCTION("""COMPUTED_VALUE"""),1894900.0)</f>
        <v>1894900</v>
      </c>
      <c r="C315" s="781" t="str">
        <f>IFERROR(__xludf.DUMMYFUNCTION("""COMPUTED_VALUE"""),"Quincy, FL, 32351")</f>
        <v>Quincy, FL, 32351</v>
      </c>
      <c r="D315" s="871" t="str">
        <f>IFERROR(__xludf.DUMMYFUNCTION("""COMPUTED_VALUE"""),"Chicopee, MA, 01022")</f>
        <v>Chicopee, MA, 01022</v>
      </c>
      <c r="E315" s="782">
        <f>IFERROR(__xludf.DUMMYFUNCTION("""COMPUTED_VALUE"""),2400.0)</f>
        <v>2400</v>
      </c>
      <c r="F315" s="783">
        <v>0.88</v>
      </c>
      <c r="G315" s="782">
        <f t="shared" ref="G315:G318" si="16">E315*F315</f>
        <v>2112</v>
      </c>
      <c r="H315" s="283"/>
      <c r="I315" s="780">
        <f>IFERROR(__xludf.DUMMYFUNCTION("FILTER($D$3:$G$121,$L$3:$L$121=M313)"),45993.0)</f>
        <v>45993</v>
      </c>
      <c r="J315" s="781">
        <f>IFERROR(__xludf.DUMMYFUNCTION("""COMPUTED_VALUE"""),1894900.0)</f>
        <v>1894900</v>
      </c>
      <c r="K315" s="781" t="str">
        <f>IFERROR(__xludf.DUMMYFUNCTION("""COMPUTED_VALUE"""),"Quincy, FL, 32351")</f>
        <v>Quincy, FL, 32351</v>
      </c>
      <c r="L315" s="871" t="str">
        <f>IFERROR(__xludf.DUMMYFUNCTION("""COMPUTED_VALUE"""),"Chicopee, MA, 01022")</f>
        <v>Chicopee, MA, 01022</v>
      </c>
      <c r="M315" s="896">
        <f>IFERROR(__xludf.DUMMYFUNCTION("FILTER($I$3:$I$121,$L$3:$L$121=M313)"),1448.0)</f>
        <v>1448</v>
      </c>
      <c r="N315" s="781">
        <v>0.65</v>
      </c>
      <c r="O315" s="782">
        <f t="shared" ref="O315:O318" si="17">M315*N315</f>
        <v>941.2</v>
      </c>
    </row>
    <row r="316">
      <c r="A316" s="780">
        <f>IFERROR(__xludf.DUMMYFUNCTION("""COMPUTED_VALUE"""),45995.0)</f>
        <v>45995</v>
      </c>
      <c r="B316" s="781">
        <f>IFERROR(__xludf.DUMMYFUNCTION("""COMPUTED_VALUE"""),5.36552324E8)</f>
        <v>536552324</v>
      </c>
      <c r="C316" s="781" t="str">
        <f>IFERROR(__xludf.DUMMYFUNCTION("""COMPUTED_VALUE"""),"Agawam, MA, 01001")</f>
        <v>Agawam, MA, 01001</v>
      </c>
      <c r="D316" s="781" t="str">
        <f>IFERROR(__xludf.DUMMYFUNCTION("""COMPUTED_VALUE"""),"New Springfield, OH, 44443")</f>
        <v>New Springfield, OH, 44443</v>
      </c>
      <c r="E316" s="782">
        <f>IFERROR(__xludf.DUMMYFUNCTION("""COMPUTED_VALUE"""),820.0)</f>
        <v>820</v>
      </c>
      <c r="F316" s="783">
        <v>0.88</v>
      </c>
      <c r="G316" s="782">
        <f t="shared" si="16"/>
        <v>721.6</v>
      </c>
      <c r="H316" s="283"/>
      <c r="I316" s="881">
        <f>IFERROR(__xludf.DUMMYFUNCTION("""COMPUTED_VALUE"""),45995.0)</f>
        <v>45995</v>
      </c>
      <c r="J316" s="882">
        <f>IFERROR(__xludf.DUMMYFUNCTION("""COMPUTED_VALUE"""),5.36552324E8)</f>
        <v>536552324</v>
      </c>
      <c r="K316" s="882" t="str">
        <f>IFERROR(__xludf.DUMMYFUNCTION("""COMPUTED_VALUE"""),"Agawam, MA, 01001")</f>
        <v>Agawam, MA, 01001</v>
      </c>
      <c r="L316" s="882" t="str">
        <f>IFERROR(__xludf.DUMMYFUNCTION("""COMPUTED_VALUE"""),"New Springfield, OH, 44443")</f>
        <v>New Springfield, OH, 44443</v>
      </c>
      <c r="M316" s="896">
        <f>IFERROR(__xludf.DUMMYFUNCTION("""COMPUTED_VALUE"""),551.0)</f>
        <v>551</v>
      </c>
      <c r="N316" s="781">
        <v>0.65</v>
      </c>
      <c r="O316" s="782">
        <f t="shared" si="17"/>
        <v>358.15</v>
      </c>
    </row>
    <row r="317">
      <c r="A317" s="883">
        <f>IFERROR(__xludf.DUMMYFUNCTION("""COMPUTED_VALUE"""),45995.0)</f>
        <v>45995</v>
      </c>
      <c r="B317" s="786">
        <f>IFERROR(__xludf.DUMMYFUNCTION("""COMPUTED_VALUE"""),8033307.0)</f>
        <v>8033307</v>
      </c>
      <c r="C317" s="786" t="str">
        <f>IFERROR(__xludf.DUMMYFUNCTION("""COMPUTED_VALUE"""),"Holyoke, MA, 01040")</f>
        <v>Holyoke, MA, 01040</v>
      </c>
      <c r="D317" s="786" t="str">
        <f>IFERROR(__xludf.DUMMYFUNCTION("""COMPUTED_VALUE"""),"Munroe Falls, OH, 44262")</f>
        <v>Munroe Falls, OH, 44262</v>
      </c>
      <c r="E317" s="884">
        <f>IFERROR(__xludf.DUMMYFUNCTION("""COMPUTED_VALUE"""),150.0)</f>
        <v>150</v>
      </c>
      <c r="F317" s="783">
        <v>0.88</v>
      </c>
      <c r="G317" s="782">
        <f t="shared" si="16"/>
        <v>132</v>
      </c>
      <c r="H317" s="283"/>
      <c r="I317" s="924">
        <f>IFERROR(__xludf.DUMMYFUNCTION("""COMPUTED_VALUE"""),45995.0)</f>
        <v>45995</v>
      </c>
      <c r="J317" s="882">
        <f>IFERROR(__xludf.DUMMYFUNCTION("""COMPUTED_VALUE"""),8033307.0)</f>
        <v>8033307</v>
      </c>
      <c r="K317" s="882" t="str">
        <f>IFERROR(__xludf.DUMMYFUNCTION("""COMPUTED_VALUE"""),"Holyoke, MA, 01040")</f>
        <v>Holyoke, MA, 01040</v>
      </c>
      <c r="L317" s="882" t="str">
        <f>IFERROR(__xludf.DUMMYFUNCTION("""COMPUTED_VALUE"""),"Munroe Falls, OH, 44262")</f>
        <v>Munroe Falls, OH, 44262</v>
      </c>
      <c r="M317" s="896">
        <f>IFERROR(__xludf.DUMMYFUNCTION("""COMPUTED_VALUE"""),7.0)</f>
        <v>7</v>
      </c>
      <c r="N317" s="781">
        <v>0.65</v>
      </c>
      <c r="O317" s="782">
        <f t="shared" si="17"/>
        <v>4.55</v>
      </c>
    </row>
    <row r="318">
      <c r="A318" s="883">
        <f>IFERROR(__xludf.DUMMYFUNCTION("""COMPUTED_VALUE"""),45996.0)</f>
        <v>45996</v>
      </c>
      <c r="B318" s="786">
        <f>IFERROR(__xludf.DUMMYFUNCTION("""COMPUTED_VALUE"""),148299.0)</f>
        <v>148299</v>
      </c>
      <c r="C318" s="786" t="str">
        <f>IFERROR(__xludf.DUMMYFUNCTION("""COMPUTED_VALUE"""),"Imperial, PA, 15126")</f>
        <v>Imperial, PA, 15126</v>
      </c>
      <c r="D318" s="786" t="str">
        <f>IFERROR(__xludf.DUMMYFUNCTION("""COMPUTED_VALUE"""),"Miami, FL, 33178")</f>
        <v>Miami, FL, 33178</v>
      </c>
      <c r="E318" s="884">
        <f>IFERROR(__xludf.DUMMYFUNCTION("""COMPUTED_VALUE"""),3050.0)</f>
        <v>3050</v>
      </c>
      <c r="F318" s="783">
        <v>0.88</v>
      </c>
      <c r="G318" s="782">
        <f t="shared" si="16"/>
        <v>2684</v>
      </c>
      <c r="H318" s="283"/>
      <c r="I318" s="924">
        <f>IFERROR(__xludf.DUMMYFUNCTION("""COMPUTED_VALUE"""),45996.0)</f>
        <v>45996</v>
      </c>
      <c r="J318" s="882">
        <f>IFERROR(__xludf.DUMMYFUNCTION("""COMPUTED_VALUE"""),148299.0)</f>
        <v>148299</v>
      </c>
      <c r="K318" s="882" t="str">
        <f>IFERROR(__xludf.DUMMYFUNCTION("""COMPUTED_VALUE"""),"Imperial, PA, 15126")</f>
        <v>Imperial, PA, 15126</v>
      </c>
      <c r="L318" s="882" t="str">
        <f>IFERROR(__xludf.DUMMYFUNCTION("""COMPUTED_VALUE"""),"Miami, FL, 33178")</f>
        <v>Miami, FL, 33178</v>
      </c>
      <c r="M318" s="964">
        <f>IFERROR(__xludf.DUMMYFUNCTION("""COMPUTED_VALUE"""),1228.0)</f>
        <v>1228</v>
      </c>
      <c r="N318" s="781">
        <v>0.65</v>
      </c>
      <c r="O318" s="782">
        <f t="shared" si="17"/>
        <v>798.2</v>
      </c>
    </row>
    <row r="319">
      <c r="A319" s="785"/>
      <c r="B319" s="786"/>
      <c r="C319" s="786"/>
      <c r="D319" s="786"/>
      <c r="E319" s="785"/>
      <c r="F319" s="787"/>
      <c r="G319" s="788"/>
      <c r="H319" s="283"/>
      <c r="I319" s="785"/>
      <c r="J319" s="786"/>
      <c r="K319" s="786"/>
      <c r="L319" s="786"/>
      <c r="M319" s="785"/>
      <c r="N319" s="787"/>
      <c r="O319" s="789"/>
    </row>
    <row r="320">
      <c r="A320" s="785"/>
      <c r="B320" s="786"/>
      <c r="C320" s="786"/>
      <c r="D320" s="786"/>
      <c r="E320" s="785"/>
      <c r="F320" s="787"/>
      <c r="G320" s="788"/>
      <c r="H320" s="283"/>
      <c r="I320" s="785"/>
      <c r="J320" s="786"/>
      <c r="K320" s="786"/>
      <c r="L320" s="786"/>
      <c r="M320" s="785"/>
      <c r="N320" s="787"/>
      <c r="O320" s="789"/>
    </row>
    <row r="321">
      <c r="A321" s="790" t="s">
        <v>711</v>
      </c>
      <c r="B321" s="791"/>
      <c r="C321" s="791"/>
      <c r="D321" s="792"/>
      <c r="E321" s="793">
        <f>SUM(E315:E320)</f>
        <v>6420</v>
      </c>
      <c r="F321" s="794"/>
      <c r="G321" s="793">
        <f>SUM(G315:G320)</f>
        <v>5649.6</v>
      </c>
      <c r="H321" s="283"/>
      <c r="I321" s="790" t="s">
        <v>711</v>
      </c>
      <c r="J321" s="791"/>
      <c r="K321" s="791"/>
      <c r="L321" s="792"/>
      <c r="M321" s="877">
        <f>SUM(M315:M320)</f>
        <v>3234</v>
      </c>
      <c r="N321" s="794"/>
      <c r="O321" s="793">
        <f>SUM(O315:O320)</f>
        <v>2102.1</v>
      </c>
      <c r="Q321" s="669"/>
    </row>
    <row r="322">
      <c r="A322" s="796"/>
      <c r="D322" s="798"/>
      <c r="E322" s="798"/>
      <c r="F322" s="798"/>
      <c r="G322" s="878"/>
      <c r="H322" s="283"/>
      <c r="I322" s="796"/>
      <c r="L322" s="798"/>
      <c r="O322" s="799"/>
    </row>
    <row r="323">
      <c r="A323" s="800" t="s">
        <v>712</v>
      </c>
      <c r="B323" s="801"/>
      <c r="C323" s="802"/>
      <c r="D323" s="798"/>
      <c r="E323" s="798"/>
      <c r="F323" s="798"/>
      <c r="G323" s="878"/>
      <c r="H323" s="283"/>
      <c r="I323" s="800" t="s">
        <v>712</v>
      </c>
      <c r="J323" s="803"/>
      <c r="K323" s="804"/>
      <c r="O323" s="799"/>
    </row>
    <row r="324">
      <c r="A324" s="805"/>
      <c r="B324" s="806"/>
      <c r="C324" s="807"/>
      <c r="D324" s="248"/>
      <c r="E324" s="248"/>
      <c r="F324" s="248"/>
      <c r="G324" s="797"/>
      <c r="H324" s="283"/>
      <c r="I324" s="805"/>
      <c r="J324" s="808"/>
      <c r="K324" s="967"/>
      <c r="O324" s="799"/>
    </row>
    <row r="325">
      <c r="A325" s="868"/>
      <c r="B325" s="774"/>
      <c r="C325" s="816"/>
      <c r="D325" s="798"/>
      <c r="E325" s="798"/>
      <c r="F325" s="798"/>
      <c r="G325" s="878"/>
      <c r="H325" s="283"/>
      <c r="I325" s="868"/>
      <c r="J325" s="774"/>
      <c r="K325" s="816"/>
      <c r="O325" s="799"/>
    </row>
    <row r="326">
      <c r="A326" s="815"/>
      <c r="B326" s="792"/>
      <c r="C326" s="816"/>
      <c r="D326" s="798"/>
      <c r="E326" s="798"/>
      <c r="F326" s="798"/>
      <c r="G326" s="878"/>
      <c r="H326" s="283"/>
      <c r="I326" s="815"/>
      <c r="J326" s="792"/>
      <c r="K326" s="816"/>
      <c r="O326" s="799"/>
    </row>
    <row r="327">
      <c r="A327" s="817"/>
      <c r="B327" s="774"/>
      <c r="C327" s="818"/>
      <c r="D327" s="798"/>
      <c r="E327" s="798"/>
      <c r="F327" s="798"/>
      <c r="G327" s="878"/>
      <c r="H327" s="283"/>
      <c r="I327" s="817"/>
      <c r="J327" s="774"/>
      <c r="K327" s="818"/>
      <c r="O327" s="799"/>
    </row>
    <row r="328">
      <c r="A328" s="817"/>
      <c r="B328" s="792"/>
      <c r="C328" s="818"/>
      <c r="D328" s="885" t="s">
        <v>1181</v>
      </c>
      <c r="E328" s="886">
        <f>O333</f>
        <v>2102.1</v>
      </c>
      <c r="F328" s="798"/>
      <c r="G328" s="878"/>
      <c r="H328" s="283"/>
      <c r="I328" s="817"/>
      <c r="J328" s="792"/>
      <c r="K328" s="818"/>
      <c r="O328" s="799"/>
    </row>
    <row r="329">
      <c r="A329" s="821" t="s">
        <v>714</v>
      </c>
      <c r="B329" s="822"/>
      <c r="C329" s="823">
        <f>SUM(C324:C328)</f>
        <v>0</v>
      </c>
      <c r="D329" s="798"/>
      <c r="E329" s="798"/>
      <c r="F329" s="798"/>
      <c r="G329" s="878"/>
      <c r="H329" s="283"/>
      <c r="I329" s="821" t="s">
        <v>714</v>
      </c>
      <c r="J329" s="826"/>
      <c r="K329" s="827"/>
      <c r="O329" s="799"/>
    </row>
    <row r="330">
      <c r="A330" s="828"/>
      <c r="C330" s="829"/>
      <c r="D330" s="887" t="s">
        <v>657</v>
      </c>
      <c r="E330" s="888">
        <f>G333-E328</f>
        <v>1313.16</v>
      </c>
      <c r="F330" s="798"/>
      <c r="G330" s="878"/>
      <c r="H330" s="283"/>
      <c r="I330" s="828"/>
      <c r="K330" s="829"/>
      <c r="O330" s="799"/>
    </row>
    <row r="331">
      <c r="A331" s="830" t="s">
        <v>715</v>
      </c>
      <c r="B331" s="831"/>
      <c r="C331" s="832"/>
      <c r="D331" s="798"/>
      <c r="E331" s="798"/>
      <c r="F331" s="798"/>
      <c r="G331" s="878"/>
      <c r="H331" s="283"/>
      <c r="I331" s="833" t="s">
        <v>715</v>
      </c>
      <c r="J331" s="834"/>
      <c r="K331" s="835"/>
      <c r="O331" s="799"/>
    </row>
    <row r="332">
      <c r="A332" s="836" t="s">
        <v>716</v>
      </c>
      <c r="B332" s="837"/>
      <c r="C332" s="838"/>
      <c r="D332" s="798"/>
      <c r="E332" s="798"/>
      <c r="F332" s="798"/>
      <c r="G332" s="878"/>
      <c r="H332" s="283"/>
      <c r="I332" s="839"/>
      <c r="J332" s="840"/>
      <c r="K332" s="841"/>
      <c r="O332" s="799"/>
    </row>
    <row r="333">
      <c r="A333" s="842" t="s">
        <v>717</v>
      </c>
      <c r="B333" s="843"/>
      <c r="C333" s="844"/>
      <c r="D333" s="248"/>
      <c r="E333" s="845" t="s">
        <v>1182</v>
      </c>
      <c r="G333" s="846">
        <f>G321+C329-C338</f>
        <v>3415.26</v>
      </c>
      <c r="H333" s="283"/>
      <c r="I333" s="847"/>
      <c r="J333" s="848"/>
      <c r="K333" s="849"/>
      <c r="L333" s="248"/>
      <c r="M333" s="845" t="s">
        <v>1183</v>
      </c>
      <c r="O333" s="846">
        <f>O321+K329-K338</f>
        <v>2102.1</v>
      </c>
    </row>
    <row r="334">
      <c r="A334" s="836" t="s">
        <v>718</v>
      </c>
      <c r="B334" s="837"/>
      <c r="C334" s="838"/>
      <c r="G334" s="799"/>
      <c r="H334" s="283"/>
      <c r="I334" s="847"/>
      <c r="J334" s="848"/>
      <c r="K334" s="849"/>
      <c r="O334" s="799"/>
    </row>
    <row r="335">
      <c r="A335" s="842" t="s">
        <v>656</v>
      </c>
      <c r="B335" s="843"/>
      <c r="C335" s="844">
        <f>IFERROR(__xludf.DUMMYFUNCTION("FILTER($C$4:$C$30,$B$4:$B$30=E313)"),2234.34)</f>
        <v>2234.34</v>
      </c>
      <c r="G335" s="799"/>
      <c r="H335" s="283"/>
      <c r="I335" s="847"/>
      <c r="J335" s="848"/>
      <c r="K335" s="849"/>
      <c r="O335" s="799"/>
    </row>
    <row r="336">
      <c r="A336" s="850" t="s">
        <v>1184</v>
      </c>
      <c r="B336" s="851"/>
      <c r="C336" s="852"/>
      <c r="E336" s="248"/>
      <c r="G336" s="799"/>
      <c r="H336" s="283"/>
      <c r="I336" s="847"/>
      <c r="J336" s="848"/>
      <c r="K336" s="849"/>
      <c r="M336" s="248"/>
      <c r="O336" s="799"/>
    </row>
    <row r="337">
      <c r="A337" s="847"/>
      <c r="B337" s="848"/>
      <c r="C337" s="849"/>
      <c r="G337" s="799"/>
      <c r="H337" s="283"/>
      <c r="I337" s="847"/>
      <c r="J337" s="848"/>
      <c r="K337" s="849"/>
      <c r="O337" s="799"/>
    </row>
    <row r="338">
      <c r="A338" s="853" t="s">
        <v>721</v>
      </c>
      <c r="B338" s="854"/>
      <c r="C338" s="855">
        <f>SUM(C332:C337)</f>
        <v>2234.34</v>
      </c>
      <c r="G338" s="799"/>
      <c r="H338" s="283"/>
      <c r="I338" s="853" t="s">
        <v>721</v>
      </c>
      <c r="J338" s="854"/>
      <c r="K338" s="855"/>
      <c r="O338" s="799"/>
    </row>
    <row r="339">
      <c r="A339" s="856"/>
      <c r="B339" s="857"/>
      <c r="C339" s="857"/>
      <c r="D339" s="857"/>
      <c r="E339" s="857"/>
      <c r="F339" s="857"/>
      <c r="G339" s="808"/>
      <c r="H339" s="283"/>
      <c r="I339" s="856"/>
      <c r="J339" s="857"/>
      <c r="K339" s="857"/>
      <c r="L339" s="857"/>
      <c r="M339" s="857"/>
      <c r="N339" s="857"/>
      <c r="O339" s="808"/>
    </row>
    <row r="342">
      <c r="A342" s="769"/>
      <c r="B342" s="770"/>
      <c r="C342" s="770"/>
      <c r="D342" s="771" t="s">
        <v>700</v>
      </c>
      <c r="E342" s="772" t="str">
        <f>E125</f>
        <v>12.01.2025-12.07.2025</v>
      </c>
      <c r="F342" s="773"/>
      <c r="G342" s="774"/>
      <c r="H342" s="305">
        <v>8.0</v>
      </c>
      <c r="I342" s="769"/>
      <c r="J342" s="770"/>
      <c r="K342" s="770"/>
      <c r="L342" s="771" t="s">
        <v>700</v>
      </c>
      <c r="M342" s="772" t="str">
        <f>E125</f>
        <v>12.01.2025-12.07.2025</v>
      </c>
      <c r="N342" s="773"/>
      <c r="O342" s="774"/>
    </row>
    <row r="343">
      <c r="A343" s="775"/>
      <c r="D343" s="771" t="s">
        <v>702</v>
      </c>
      <c r="E343" s="772" t="str">
        <f t="array" ref="E343">XLOOKUP(E344,$Q$972:$Q$1008,$R$972:$R$1008)</f>
        <v>US Ela Logistic LLC</v>
      </c>
      <c r="F343" s="773"/>
      <c r="G343" s="774"/>
      <c r="H343" s="283"/>
      <c r="I343" s="775"/>
      <c r="L343" s="771" t="s">
        <v>351</v>
      </c>
      <c r="M343" s="772" t="str">
        <f t="array" ref="M343">XLOOKUP(M344,$L$1:$L$121,$K$1:$K$121)</f>
        <v>JOSEPH JOSEPH HYVENS</v>
      </c>
      <c r="N343" s="773"/>
      <c r="O343" s="774"/>
    </row>
    <row r="344">
      <c r="A344" s="775"/>
      <c r="D344" s="771" t="s">
        <v>703</v>
      </c>
      <c r="E344" s="772">
        <v>2693.0</v>
      </c>
      <c r="F344" s="773"/>
      <c r="G344" s="774"/>
      <c r="H344" s="858"/>
      <c r="I344" s="775"/>
      <c r="L344" s="771" t="s">
        <v>703</v>
      </c>
      <c r="M344" s="772">
        <f>E344</f>
        <v>2693</v>
      </c>
      <c r="N344" s="773"/>
      <c r="O344" s="774"/>
      <c r="P344" s="777"/>
    </row>
    <row r="345">
      <c r="A345" s="779" t="s">
        <v>704</v>
      </c>
      <c r="B345" s="779" t="s">
        <v>5</v>
      </c>
      <c r="C345" s="779" t="s">
        <v>6</v>
      </c>
      <c r="D345" s="779" t="s">
        <v>7</v>
      </c>
      <c r="E345" s="779" t="s">
        <v>8</v>
      </c>
      <c r="F345" s="779" t="s">
        <v>706</v>
      </c>
      <c r="G345" s="779" t="s">
        <v>707</v>
      </c>
      <c r="H345" s="34"/>
      <c r="I345" s="779" t="s">
        <v>704</v>
      </c>
      <c r="J345" s="779" t="s">
        <v>5</v>
      </c>
      <c r="K345" s="779" t="s">
        <v>6</v>
      </c>
      <c r="L345" s="779" t="s">
        <v>7</v>
      </c>
      <c r="M345" s="779" t="s">
        <v>1178</v>
      </c>
      <c r="N345" s="779" t="s">
        <v>839</v>
      </c>
      <c r="O345" s="779" t="s">
        <v>707</v>
      </c>
    </row>
    <row r="346">
      <c r="A346" s="780">
        <f>IFERROR(__xludf.DUMMYFUNCTION("FILTER($D$3:$H$121,$L$3:$L$121=E344)"),45994.0)</f>
        <v>45994</v>
      </c>
      <c r="B346" s="781">
        <f>IFERROR(__xludf.DUMMYFUNCTION("""COMPUTED_VALUE"""),2.0755319E7)</f>
        <v>20755319</v>
      </c>
      <c r="C346" s="781" t="str">
        <f>IFERROR(__xludf.DUMMYFUNCTION("""COMPUTED_VALUE"""),"Quincy, WA, 98848")</f>
        <v>Quincy, WA, 98848</v>
      </c>
      <c r="D346" s="781" t="str">
        <f>IFERROR(__xludf.DUMMYFUNCTION("""COMPUTED_VALUE"""),"Clewiston, FL, 33493")</f>
        <v>Clewiston, FL, 33493</v>
      </c>
      <c r="E346" s="782">
        <f>IFERROR(__xludf.DUMMYFUNCTION("""COMPUTED_VALUE"""),7000.0)</f>
        <v>7000</v>
      </c>
      <c r="F346" s="783">
        <v>0.88</v>
      </c>
      <c r="G346" s="782">
        <f t="shared" ref="G346:G348" si="18">E346*F346</f>
        <v>6160</v>
      </c>
      <c r="H346" s="283"/>
      <c r="I346" s="880">
        <f>IFERROR(__xludf.DUMMYFUNCTION("FILTER($D$3:$G$121,$L$3:$L$121=M344)"),45994.0)</f>
        <v>45994</v>
      </c>
      <c r="J346" s="880">
        <f>IFERROR(__xludf.DUMMYFUNCTION("""COMPUTED_VALUE"""),2.0755319E7)</f>
        <v>20755319</v>
      </c>
      <c r="K346" s="880" t="str">
        <f>IFERROR(__xludf.DUMMYFUNCTION("""COMPUTED_VALUE"""),"Quincy, WA, 98848")</f>
        <v>Quincy, WA, 98848</v>
      </c>
      <c r="L346" s="880" t="str">
        <f>IFERROR(__xludf.DUMMYFUNCTION("""COMPUTED_VALUE"""),"Clewiston, FL, 33493")</f>
        <v>Clewiston, FL, 33493</v>
      </c>
      <c r="M346" s="880">
        <f>IFERROR(__xludf.DUMMYFUNCTION("FILTER($I$3:$I$121,$L$3:$L$121=M344)"),3216.0)</f>
        <v>3216</v>
      </c>
      <c r="N346" s="861">
        <v>0.65</v>
      </c>
      <c r="O346" s="863">
        <f t="shared" ref="O346:O348" si="19">M346*N346</f>
        <v>2090.4</v>
      </c>
    </row>
    <row r="347">
      <c r="A347" s="780"/>
      <c r="B347" s="781"/>
      <c r="C347" s="781"/>
      <c r="D347" s="781"/>
      <c r="E347" s="782"/>
      <c r="F347" s="783">
        <v>0.88</v>
      </c>
      <c r="G347" s="782">
        <f t="shared" si="18"/>
        <v>0</v>
      </c>
      <c r="H347" s="283"/>
      <c r="I347" s="880"/>
      <c r="J347" s="880"/>
      <c r="K347" s="880"/>
      <c r="L347" s="880"/>
      <c r="M347" s="880"/>
      <c r="N347" s="861">
        <v>0.65</v>
      </c>
      <c r="O347" s="863">
        <f t="shared" si="19"/>
        <v>0</v>
      </c>
    </row>
    <row r="348">
      <c r="A348" s="785"/>
      <c r="B348" s="786"/>
      <c r="C348" s="786"/>
      <c r="D348" s="786"/>
      <c r="E348" s="785"/>
      <c r="F348" s="783">
        <v>0.88</v>
      </c>
      <c r="G348" s="782">
        <f t="shared" si="18"/>
        <v>0</v>
      </c>
      <c r="H348" s="283"/>
      <c r="I348" s="785"/>
      <c r="J348" s="786"/>
      <c r="K348" s="786"/>
      <c r="L348" s="786"/>
      <c r="M348" s="785"/>
      <c r="N348" s="861">
        <v>0.65</v>
      </c>
      <c r="O348" s="863">
        <f t="shared" si="19"/>
        <v>0</v>
      </c>
    </row>
    <row r="349">
      <c r="A349" s="785"/>
      <c r="B349" s="786"/>
      <c r="C349" s="786"/>
      <c r="D349" s="786"/>
      <c r="E349" s="785"/>
      <c r="F349" s="787"/>
      <c r="G349" s="788"/>
      <c r="H349" s="283"/>
      <c r="I349" s="785"/>
      <c r="J349" s="786"/>
      <c r="K349" s="786"/>
      <c r="L349" s="786"/>
      <c r="M349" s="785"/>
      <c r="N349" s="787"/>
      <c r="O349" s="789"/>
    </row>
    <row r="350">
      <c r="A350" s="785"/>
      <c r="B350" s="786"/>
      <c r="C350" s="786"/>
      <c r="D350" s="786"/>
      <c r="E350" s="785"/>
      <c r="F350" s="787"/>
      <c r="G350" s="788"/>
      <c r="H350" s="283"/>
      <c r="I350" s="785"/>
      <c r="J350" s="786"/>
      <c r="K350" s="786"/>
      <c r="L350" s="786"/>
      <c r="M350" s="785"/>
      <c r="N350" s="787"/>
      <c r="O350" s="789"/>
    </row>
    <row r="351">
      <c r="A351" s="785"/>
      <c r="B351" s="786"/>
      <c r="C351" s="786"/>
      <c r="D351" s="786"/>
      <c r="E351" s="785"/>
      <c r="F351" s="787"/>
      <c r="G351" s="788"/>
      <c r="H351" s="283"/>
      <c r="I351" s="785"/>
      <c r="J351" s="786"/>
      <c r="K351" s="786"/>
      <c r="L351" s="786"/>
      <c r="M351" s="785"/>
      <c r="N351" s="787"/>
      <c r="O351" s="789"/>
    </row>
    <row r="352">
      <c r="A352" s="790" t="s">
        <v>711</v>
      </c>
      <c r="B352" s="791"/>
      <c r="C352" s="791"/>
      <c r="D352" s="792"/>
      <c r="E352" s="793">
        <f>SUM(E346:E351)</f>
        <v>7000</v>
      </c>
      <c r="F352" s="794"/>
      <c r="G352" s="793">
        <f>SUM(G346:G351)</f>
        <v>6160</v>
      </c>
      <c r="H352" s="283"/>
      <c r="I352" s="790" t="s">
        <v>711</v>
      </c>
      <c r="J352" s="791"/>
      <c r="K352" s="791"/>
      <c r="L352" s="792"/>
      <c r="M352" s="877">
        <f>SUM(M346:M351)</f>
        <v>3216</v>
      </c>
      <c r="N352" s="794"/>
      <c r="O352" s="793">
        <f>SUM(O346:O351)</f>
        <v>2090.4</v>
      </c>
    </row>
    <row r="353">
      <c r="A353" s="796"/>
      <c r="D353" s="798"/>
      <c r="E353" s="798"/>
      <c r="F353" s="798"/>
      <c r="G353" s="878"/>
      <c r="H353" s="283"/>
      <c r="I353" s="796"/>
      <c r="L353" s="798"/>
      <c r="O353" s="799"/>
    </row>
    <row r="354">
      <c r="A354" s="800" t="s">
        <v>712</v>
      </c>
      <c r="B354" s="801"/>
      <c r="C354" s="802"/>
      <c r="D354" s="798"/>
      <c r="E354" s="798"/>
      <c r="F354" s="798"/>
      <c r="G354" s="878"/>
      <c r="H354" s="283"/>
      <c r="I354" s="800" t="s">
        <v>712</v>
      </c>
      <c r="J354" s="803"/>
      <c r="K354" s="804"/>
      <c r="O354" s="799"/>
    </row>
    <row r="355">
      <c r="A355" s="805"/>
      <c r="B355" s="806"/>
      <c r="C355" s="807"/>
      <c r="D355" s="248"/>
      <c r="E355" s="248"/>
      <c r="F355" s="248"/>
      <c r="G355" s="797"/>
      <c r="H355" s="283"/>
      <c r="I355" s="805"/>
      <c r="J355" s="808"/>
      <c r="K355" s="973"/>
      <c r="O355" s="799"/>
    </row>
    <row r="356">
      <c r="A356" s="868"/>
      <c r="B356" s="774"/>
      <c r="C356" s="816"/>
      <c r="D356" s="798"/>
      <c r="E356" s="798"/>
      <c r="F356" s="798"/>
      <c r="G356" s="878"/>
      <c r="H356" s="283"/>
      <c r="I356" s="868"/>
      <c r="J356" s="774"/>
      <c r="K356" s="816"/>
      <c r="O356" s="799"/>
    </row>
    <row r="357">
      <c r="A357" s="815"/>
      <c r="B357" s="792"/>
      <c r="C357" s="816"/>
      <c r="D357" s="798"/>
      <c r="E357" s="798"/>
      <c r="F357" s="798"/>
      <c r="G357" s="878"/>
      <c r="H357" s="283"/>
      <c r="I357" s="815"/>
      <c r="J357" s="792"/>
      <c r="K357" s="816"/>
      <c r="O357" s="799"/>
    </row>
    <row r="358">
      <c r="A358" s="817"/>
      <c r="B358" s="774"/>
      <c r="C358" s="818"/>
      <c r="D358" s="798"/>
      <c r="E358" s="798"/>
      <c r="F358" s="798"/>
      <c r="G358" s="878"/>
      <c r="H358" s="283"/>
      <c r="I358" s="817"/>
      <c r="J358" s="774"/>
      <c r="K358" s="818"/>
      <c r="O358" s="799"/>
    </row>
    <row r="359">
      <c r="A359" s="817"/>
      <c r="B359" s="792"/>
      <c r="C359" s="818"/>
      <c r="D359" s="885" t="s">
        <v>1181</v>
      </c>
      <c r="E359" s="886">
        <f>O364</f>
        <v>2090.4</v>
      </c>
      <c r="F359" s="798"/>
      <c r="G359" s="878"/>
      <c r="H359" s="283"/>
      <c r="I359" s="817"/>
      <c r="J359" s="792"/>
      <c r="K359" s="818"/>
      <c r="O359" s="799"/>
    </row>
    <row r="360">
      <c r="A360" s="821" t="s">
        <v>714</v>
      </c>
      <c r="B360" s="822"/>
      <c r="C360" s="823">
        <f>SUM(C355:C359)</f>
        <v>0</v>
      </c>
      <c r="D360" s="798"/>
      <c r="E360" s="798"/>
      <c r="F360" s="798"/>
      <c r="G360" s="878"/>
      <c r="H360" s="283"/>
      <c r="I360" s="821" t="s">
        <v>714</v>
      </c>
      <c r="J360" s="826"/>
      <c r="K360" s="827"/>
      <c r="O360" s="799"/>
    </row>
    <row r="361">
      <c r="A361" s="828"/>
      <c r="C361" s="829"/>
      <c r="D361" s="887" t="s">
        <v>657</v>
      </c>
      <c r="E361" s="888">
        <f>G364-E359</f>
        <v>291.45</v>
      </c>
      <c r="F361" s="798"/>
      <c r="G361" s="878"/>
      <c r="H361" s="283"/>
      <c r="I361" s="828"/>
      <c r="K361" s="829"/>
      <c r="O361" s="799"/>
    </row>
    <row r="362">
      <c r="A362" s="830" t="s">
        <v>715</v>
      </c>
      <c r="B362" s="831"/>
      <c r="C362" s="832"/>
      <c r="D362" s="798"/>
      <c r="E362" s="798"/>
      <c r="F362" s="798"/>
      <c r="G362" s="878"/>
      <c r="H362" s="283"/>
      <c r="I362" s="833" t="s">
        <v>715</v>
      </c>
      <c r="J362" s="834"/>
      <c r="K362" s="835"/>
      <c r="O362" s="799"/>
    </row>
    <row r="363">
      <c r="A363" s="836" t="s">
        <v>716</v>
      </c>
      <c r="B363" s="837"/>
      <c r="C363" s="838">
        <v>150.0</v>
      </c>
      <c r="D363" s="798"/>
      <c r="E363" s="798"/>
      <c r="F363" s="798"/>
      <c r="G363" s="878"/>
      <c r="H363" s="283"/>
      <c r="I363" s="839"/>
      <c r="J363" s="840"/>
      <c r="K363" s="841"/>
      <c r="O363" s="799"/>
    </row>
    <row r="364">
      <c r="A364" s="842" t="s">
        <v>717</v>
      </c>
      <c r="B364" s="843"/>
      <c r="C364" s="844">
        <v>400.0</v>
      </c>
      <c r="D364" s="248"/>
      <c r="E364" s="845" t="s">
        <v>1182</v>
      </c>
      <c r="G364" s="846">
        <f>G352+C360-C369</f>
        <v>2381.85</v>
      </c>
      <c r="H364" s="283"/>
      <c r="I364" s="847"/>
      <c r="J364" s="848"/>
      <c r="K364" s="849"/>
      <c r="L364" s="248"/>
      <c r="M364" s="845" t="s">
        <v>1183</v>
      </c>
      <c r="O364" s="846">
        <f>O352+K360-K369</f>
        <v>2090.4</v>
      </c>
    </row>
    <row r="365">
      <c r="A365" s="836" t="s">
        <v>718</v>
      </c>
      <c r="B365" s="837"/>
      <c r="C365" s="838">
        <v>200.0</v>
      </c>
      <c r="G365" s="799"/>
      <c r="H365" s="283"/>
      <c r="I365" s="847"/>
      <c r="J365" s="848"/>
      <c r="K365" s="849"/>
      <c r="O365" s="799"/>
    </row>
    <row r="366">
      <c r="A366" s="842" t="s">
        <v>656</v>
      </c>
      <c r="B366" s="843"/>
      <c r="C366" s="844">
        <f>IFERROR(__xludf.DUMMYFUNCTION("FILTER($C$4:$C$30,$B$4:$B$30=E344)"),3028.15)</f>
        <v>3028.15</v>
      </c>
      <c r="G366" s="799"/>
      <c r="H366" s="283"/>
      <c r="I366" s="847"/>
      <c r="J366" s="848"/>
      <c r="K366" s="849"/>
      <c r="O366" s="799"/>
    </row>
    <row r="367">
      <c r="A367" s="850" t="s">
        <v>1184</v>
      </c>
      <c r="B367" s="851"/>
      <c r="C367" s="852"/>
      <c r="E367" s="248"/>
      <c r="G367" s="799"/>
      <c r="H367" s="283"/>
      <c r="I367" s="847"/>
      <c r="J367" s="848"/>
      <c r="K367" s="849"/>
      <c r="M367" s="248"/>
      <c r="O367" s="799"/>
    </row>
    <row r="368">
      <c r="A368" s="847"/>
      <c r="B368" s="848"/>
      <c r="C368" s="849"/>
      <c r="G368" s="799"/>
      <c r="H368" s="283"/>
      <c r="I368" s="847"/>
      <c r="J368" s="848"/>
      <c r="K368" s="849"/>
      <c r="O368" s="799"/>
    </row>
    <row r="369">
      <c r="A369" s="853" t="s">
        <v>721</v>
      </c>
      <c r="B369" s="854"/>
      <c r="C369" s="855">
        <f>SUM(C363:C368)</f>
        <v>3778.15</v>
      </c>
      <c r="G369" s="799"/>
      <c r="H369" s="283"/>
      <c r="I369" s="853" t="s">
        <v>721</v>
      </c>
      <c r="J369" s="854"/>
      <c r="K369" s="855"/>
      <c r="O369" s="799"/>
    </row>
    <row r="370">
      <c r="A370" s="856"/>
      <c r="B370" s="857"/>
      <c r="C370" s="857"/>
      <c r="D370" s="857"/>
      <c r="E370" s="857"/>
      <c r="F370" s="857"/>
      <c r="G370" s="808"/>
      <c r="H370" s="283"/>
      <c r="I370" s="856"/>
      <c r="J370" s="857"/>
      <c r="K370" s="857"/>
      <c r="L370" s="857"/>
      <c r="M370" s="857"/>
      <c r="N370" s="857"/>
      <c r="O370" s="808"/>
    </row>
    <row r="373">
      <c r="A373" s="769"/>
      <c r="B373" s="770"/>
      <c r="C373" s="770"/>
      <c r="D373" s="771" t="s">
        <v>700</v>
      </c>
      <c r="E373" s="772" t="str">
        <f>E125</f>
        <v>12.01.2025-12.07.2025</v>
      </c>
      <c r="F373" s="773"/>
      <c r="G373" s="774"/>
      <c r="H373" s="305">
        <v>9.0</v>
      </c>
      <c r="I373" s="769"/>
      <c r="J373" s="770"/>
      <c r="K373" s="770"/>
      <c r="L373" s="771" t="s">
        <v>700</v>
      </c>
      <c r="M373" s="772" t="str">
        <f>E125</f>
        <v>12.01.2025-12.07.2025</v>
      </c>
      <c r="N373" s="773"/>
      <c r="O373" s="774"/>
    </row>
    <row r="374">
      <c r="A374" s="775"/>
      <c r="D374" s="771" t="s">
        <v>702</v>
      </c>
      <c r="E374" s="772" t="str">
        <f t="array" ref="E374">XLOOKUP(E375,$Q$972:$Q$1008,$R$972:$R$1008)</f>
        <v>Neta Global Logistic LLC</v>
      </c>
      <c r="F374" s="773"/>
      <c r="G374" s="774"/>
      <c r="H374" s="283"/>
      <c r="I374" s="775"/>
      <c r="L374" s="771" t="s">
        <v>351</v>
      </c>
      <c r="M374" s="772" t="str">
        <f t="array" ref="M374">XLOOKUP(M375,$L$1:$L$121,$K$1:$K$121)</f>
        <v>BELLANE STENDER</v>
      </c>
      <c r="N374" s="773"/>
      <c r="O374" s="774"/>
    </row>
    <row r="375">
      <c r="A375" s="775"/>
      <c r="D375" s="771" t="s">
        <v>703</v>
      </c>
      <c r="E375" s="772">
        <v>9334.0</v>
      </c>
      <c r="F375" s="773"/>
      <c r="G375" s="774"/>
      <c r="H375" s="858"/>
      <c r="I375" s="775"/>
      <c r="L375" s="771" t="s">
        <v>703</v>
      </c>
      <c r="M375" s="772">
        <f>E375</f>
        <v>9334</v>
      </c>
      <c r="N375" s="773"/>
      <c r="O375" s="774"/>
      <c r="P375" s="777"/>
    </row>
    <row r="376">
      <c r="A376" s="779" t="s">
        <v>704</v>
      </c>
      <c r="B376" s="779" t="s">
        <v>5</v>
      </c>
      <c r="C376" s="779" t="s">
        <v>6</v>
      </c>
      <c r="D376" s="779" t="s">
        <v>7</v>
      </c>
      <c r="E376" s="779" t="s">
        <v>8</v>
      </c>
      <c r="F376" s="779" t="s">
        <v>706</v>
      </c>
      <c r="G376" s="779" t="s">
        <v>707</v>
      </c>
      <c r="H376" s="34"/>
      <c r="I376" s="779" t="s">
        <v>704</v>
      </c>
      <c r="J376" s="779" t="s">
        <v>5</v>
      </c>
      <c r="K376" s="779" t="s">
        <v>6</v>
      </c>
      <c r="L376" s="779" t="s">
        <v>7</v>
      </c>
      <c r="M376" s="779" t="s">
        <v>1178</v>
      </c>
      <c r="N376" s="779" t="s">
        <v>839</v>
      </c>
      <c r="O376" s="779" t="s">
        <v>707</v>
      </c>
    </row>
    <row r="377">
      <c r="A377" s="780">
        <f>IFERROR(__xludf.DUMMYFUNCTION("FILTER($D$3:$H$121,$L$3:$L$121=E375)"),45992.0)</f>
        <v>45992</v>
      </c>
      <c r="B377" s="781" t="str">
        <f>IFERROR(__xludf.DUMMYFUNCTION("""COMPUTED_VALUE"""),"EFJ105052")</f>
        <v>EFJ105052</v>
      </c>
      <c r="C377" s="781" t="str">
        <f>IFERROR(__xludf.DUMMYFUNCTION("""COMPUTED_VALUE"""),"Williamston, NC, 27892")</f>
        <v>Williamston, NC, 27892</v>
      </c>
      <c r="D377" s="781" t="str">
        <f>IFERROR(__xludf.DUMMYFUNCTION("""COMPUTED_VALUE"""),"Auburn, WA, 98001")</f>
        <v>Auburn, WA, 98001</v>
      </c>
      <c r="E377" s="782">
        <f>IFERROR(__xludf.DUMMYFUNCTION("""COMPUTED_VALUE"""),5800.0)</f>
        <v>5800</v>
      </c>
      <c r="F377" s="783">
        <v>0.88</v>
      </c>
      <c r="G377" s="782">
        <f t="shared" ref="G377:G379" si="20">E377*F377</f>
        <v>5104</v>
      </c>
      <c r="H377" s="283"/>
      <c r="I377" s="780">
        <f>IFERROR(__xludf.DUMMYFUNCTION("FILTER($D$3:$G$121,$L$3:$L$121=M375)"),45992.0)</f>
        <v>45992</v>
      </c>
      <c r="J377" s="781" t="str">
        <f>IFERROR(__xludf.DUMMYFUNCTION("""COMPUTED_VALUE"""),"EFJ105052")</f>
        <v>EFJ105052</v>
      </c>
      <c r="K377" s="781" t="str">
        <f>IFERROR(__xludf.DUMMYFUNCTION("""COMPUTED_VALUE"""),"Williamston, NC, 27892")</f>
        <v>Williamston, NC, 27892</v>
      </c>
      <c r="L377" s="781" t="str">
        <f>IFERROR(__xludf.DUMMYFUNCTION("""COMPUTED_VALUE"""),"Auburn, WA, 98001")</f>
        <v>Auburn, WA, 98001</v>
      </c>
      <c r="M377" s="896">
        <f>IFERROR(__xludf.DUMMYFUNCTION("FILTER($I$3:$I$121,$L$3:$L$121=M375)"),3060.0)</f>
        <v>3060</v>
      </c>
      <c r="N377" s="781">
        <v>0.65</v>
      </c>
      <c r="O377" s="782">
        <f t="shared" ref="O377:O379" si="21">M377*N377</f>
        <v>1989</v>
      </c>
    </row>
    <row r="378">
      <c r="A378" s="780"/>
      <c r="B378" s="781"/>
      <c r="C378" s="781"/>
      <c r="D378" s="781"/>
      <c r="E378" s="782"/>
      <c r="F378" s="783">
        <v>0.88</v>
      </c>
      <c r="G378" s="782">
        <f t="shared" si="20"/>
        <v>0</v>
      </c>
      <c r="H378" s="283"/>
      <c r="I378" s="881"/>
      <c r="J378" s="882"/>
      <c r="K378" s="882"/>
      <c r="L378" s="882"/>
      <c r="M378" s="880"/>
      <c r="N378" s="781">
        <v>0.65</v>
      </c>
      <c r="O378" s="782">
        <f t="shared" si="21"/>
        <v>0</v>
      </c>
    </row>
    <row r="379">
      <c r="A379" s="785"/>
      <c r="B379" s="786"/>
      <c r="C379" s="786"/>
      <c r="D379" s="786"/>
      <c r="E379" s="785"/>
      <c r="F379" s="783">
        <v>0.88</v>
      </c>
      <c r="G379" s="782">
        <f t="shared" si="20"/>
        <v>0</v>
      </c>
      <c r="H379" s="283"/>
      <c r="I379" s="785"/>
      <c r="J379" s="786"/>
      <c r="K379" s="786"/>
      <c r="L379" s="786"/>
      <c r="M379" s="785"/>
      <c r="N379" s="781">
        <v>0.65</v>
      </c>
      <c r="O379" s="782">
        <f t="shared" si="21"/>
        <v>0</v>
      </c>
    </row>
    <row r="380">
      <c r="A380" s="785"/>
      <c r="B380" s="786"/>
      <c r="C380" s="786"/>
      <c r="D380" s="786"/>
      <c r="E380" s="785"/>
      <c r="F380" s="787"/>
      <c r="G380" s="788"/>
      <c r="H380" s="283"/>
      <c r="I380" s="785"/>
      <c r="J380" s="786"/>
      <c r="K380" s="786"/>
      <c r="L380" s="786"/>
      <c r="M380" s="785"/>
      <c r="N380" s="787"/>
      <c r="O380" s="789"/>
    </row>
    <row r="381">
      <c r="A381" s="785"/>
      <c r="B381" s="786"/>
      <c r="C381" s="786"/>
      <c r="D381" s="786"/>
      <c r="E381" s="785"/>
      <c r="F381" s="787"/>
      <c r="G381" s="788"/>
      <c r="H381" s="283"/>
      <c r="I381" s="785"/>
      <c r="J381" s="786"/>
      <c r="K381" s="786"/>
      <c r="L381" s="786"/>
      <c r="M381" s="785"/>
      <c r="N381" s="787"/>
      <c r="O381" s="789"/>
    </row>
    <row r="382">
      <c r="A382" s="785"/>
      <c r="B382" s="786"/>
      <c r="C382" s="786"/>
      <c r="D382" s="786"/>
      <c r="E382" s="785"/>
      <c r="F382" s="787"/>
      <c r="G382" s="788"/>
      <c r="H382" s="283"/>
      <c r="I382" s="785"/>
      <c r="J382" s="786"/>
      <c r="K382" s="786"/>
      <c r="L382" s="786"/>
      <c r="M382" s="785"/>
      <c r="N382" s="787"/>
      <c r="O382" s="789"/>
    </row>
    <row r="383">
      <c r="A383" s="790" t="s">
        <v>711</v>
      </c>
      <c r="B383" s="791"/>
      <c r="C383" s="791"/>
      <c r="D383" s="792"/>
      <c r="E383" s="793">
        <f>SUM(E377:E382)</f>
        <v>5800</v>
      </c>
      <c r="F383" s="794"/>
      <c r="G383" s="793">
        <f>SUM(G377:G382)</f>
        <v>5104</v>
      </c>
      <c r="H383" s="283"/>
      <c r="I383" s="790" t="s">
        <v>711</v>
      </c>
      <c r="J383" s="791"/>
      <c r="K383" s="791"/>
      <c r="L383" s="792"/>
      <c r="M383" s="877">
        <f>SUM(M377:M382)</f>
        <v>3060</v>
      </c>
      <c r="N383" s="794"/>
      <c r="O383" s="793">
        <f>SUM(O377:O382)</f>
        <v>1989</v>
      </c>
      <c r="Q383" s="669"/>
    </row>
    <row r="384">
      <c r="A384" s="796"/>
      <c r="D384" s="798"/>
      <c r="G384" s="799"/>
      <c r="H384" s="283"/>
      <c r="I384" s="796"/>
      <c r="L384" s="798"/>
      <c r="O384" s="799"/>
    </row>
    <row r="385">
      <c r="A385" s="800" t="s">
        <v>712</v>
      </c>
      <c r="B385" s="801"/>
      <c r="C385" s="802"/>
      <c r="G385" s="799"/>
      <c r="H385" s="283"/>
      <c r="I385" s="800" t="s">
        <v>712</v>
      </c>
      <c r="J385" s="803"/>
      <c r="K385" s="804"/>
      <c r="O385" s="799"/>
    </row>
    <row r="386">
      <c r="A386" s="805"/>
      <c r="B386" s="806"/>
      <c r="C386" s="952"/>
      <c r="G386" s="799"/>
      <c r="H386" s="283"/>
      <c r="I386" s="805"/>
      <c r="J386" s="808"/>
      <c r="K386" s="967"/>
      <c r="O386" s="799"/>
    </row>
    <row r="387">
      <c r="A387" s="868"/>
      <c r="B387" s="774"/>
      <c r="C387" s="816"/>
      <c r="G387" s="799"/>
      <c r="H387" s="283"/>
      <c r="I387" s="868"/>
      <c r="J387" s="774"/>
      <c r="K387" s="816"/>
      <c r="O387" s="799"/>
    </row>
    <row r="388">
      <c r="A388" s="815"/>
      <c r="B388" s="792"/>
      <c r="C388" s="816"/>
      <c r="G388" s="799"/>
      <c r="H388" s="283"/>
      <c r="I388" s="815"/>
      <c r="J388" s="792"/>
      <c r="K388" s="816"/>
      <c r="O388" s="799"/>
    </row>
    <row r="389">
      <c r="A389" s="817"/>
      <c r="B389" s="774"/>
      <c r="C389" s="818"/>
      <c r="G389" s="799"/>
      <c r="H389" s="283"/>
      <c r="I389" s="817"/>
      <c r="J389" s="774"/>
      <c r="K389" s="818"/>
      <c r="O389" s="799"/>
    </row>
    <row r="390">
      <c r="A390" s="817"/>
      <c r="B390" s="792"/>
      <c r="C390" s="818"/>
      <c r="G390" s="799"/>
      <c r="H390" s="283"/>
      <c r="I390" s="817"/>
      <c r="J390" s="792"/>
      <c r="K390" s="818"/>
      <c r="O390" s="799"/>
    </row>
    <row r="391">
      <c r="A391" s="821" t="s">
        <v>714</v>
      </c>
      <c r="B391" s="822"/>
      <c r="C391" s="823">
        <f>SUM(C386:C390)</f>
        <v>0</v>
      </c>
      <c r="G391" s="799"/>
      <c r="H391" s="283"/>
      <c r="I391" s="821" t="s">
        <v>714</v>
      </c>
      <c r="J391" s="826"/>
      <c r="K391" s="827">
        <f>SUM(K386:K390)</f>
        <v>0</v>
      </c>
      <c r="O391" s="799"/>
    </row>
    <row r="392">
      <c r="A392" s="828"/>
      <c r="C392" s="829"/>
      <c r="G392" s="799"/>
      <c r="H392" s="283"/>
      <c r="I392" s="828"/>
      <c r="K392" s="829"/>
      <c r="O392" s="799"/>
    </row>
    <row r="393">
      <c r="A393" s="830" t="s">
        <v>715</v>
      </c>
      <c r="B393" s="831"/>
      <c r="C393" s="832"/>
      <c r="G393" s="799"/>
      <c r="H393" s="283"/>
      <c r="I393" s="833" t="s">
        <v>715</v>
      </c>
      <c r="J393" s="834"/>
      <c r="K393" s="835"/>
      <c r="O393" s="799"/>
    </row>
    <row r="394">
      <c r="A394" s="836" t="s">
        <v>716</v>
      </c>
      <c r="B394" s="837"/>
      <c r="C394" s="838">
        <v>150.0</v>
      </c>
      <c r="G394" s="799"/>
      <c r="H394" s="283"/>
      <c r="I394" s="839"/>
      <c r="J394" s="840"/>
      <c r="K394" s="841"/>
      <c r="O394" s="799"/>
    </row>
    <row r="395">
      <c r="A395" s="842" t="s">
        <v>717</v>
      </c>
      <c r="B395" s="843"/>
      <c r="C395" s="844">
        <v>400.0</v>
      </c>
      <c r="D395" s="248"/>
      <c r="E395" s="845" t="s">
        <v>1182</v>
      </c>
      <c r="G395" s="846">
        <f>G383+C391-C400</f>
        <v>2533.23</v>
      </c>
      <c r="H395" s="283"/>
      <c r="I395" s="847"/>
      <c r="J395" s="848"/>
      <c r="K395" s="849"/>
      <c r="L395" s="248"/>
      <c r="M395" s="845" t="s">
        <v>1183</v>
      </c>
      <c r="O395" s="846">
        <f>O383+K391-K400</f>
        <v>1989</v>
      </c>
    </row>
    <row r="396">
      <c r="A396" s="836" t="s">
        <v>718</v>
      </c>
      <c r="B396" s="837"/>
      <c r="C396" s="838">
        <v>200.0</v>
      </c>
      <c r="G396" s="799"/>
      <c r="H396" s="283"/>
      <c r="I396" s="847"/>
      <c r="J396" s="848"/>
      <c r="K396" s="849"/>
      <c r="O396" s="799"/>
    </row>
    <row r="397">
      <c r="A397" s="842" t="s">
        <v>656</v>
      </c>
      <c r="B397" s="843"/>
      <c r="C397" s="844">
        <f>IFERROR(__xludf.DUMMYFUNCTION("FILTER($C$4:$C$30,$B$4:$B$30=E375)"),1820.77)</f>
        <v>1820.77</v>
      </c>
      <c r="G397" s="799"/>
      <c r="H397" s="283"/>
      <c r="I397" s="847"/>
      <c r="J397" s="848"/>
      <c r="K397" s="849"/>
      <c r="O397" s="799"/>
    </row>
    <row r="398">
      <c r="A398" s="850" t="s">
        <v>1184</v>
      </c>
      <c r="B398" s="851"/>
      <c r="C398" s="852"/>
      <c r="E398" s="248"/>
      <c r="G398" s="799"/>
      <c r="H398" s="283"/>
      <c r="I398" s="847"/>
      <c r="J398" s="848"/>
      <c r="K398" s="849"/>
      <c r="M398" s="248"/>
      <c r="O398" s="799"/>
    </row>
    <row r="399">
      <c r="A399" s="847"/>
      <c r="B399" s="848"/>
      <c r="C399" s="849"/>
      <c r="G399" s="799"/>
      <c r="H399" s="283"/>
      <c r="I399" s="847"/>
      <c r="J399" s="848"/>
      <c r="K399" s="849"/>
      <c r="O399" s="799"/>
    </row>
    <row r="400">
      <c r="A400" s="853" t="s">
        <v>721</v>
      </c>
      <c r="B400" s="854"/>
      <c r="C400" s="855">
        <f>SUM(C394:C399)</f>
        <v>2570.77</v>
      </c>
      <c r="G400" s="799"/>
      <c r="H400" s="283"/>
      <c r="I400" s="853" t="s">
        <v>721</v>
      </c>
      <c r="J400" s="854"/>
      <c r="K400" s="855"/>
      <c r="O400" s="799"/>
    </row>
    <row r="401">
      <c r="A401" s="856"/>
      <c r="B401" s="857"/>
      <c r="C401" s="857"/>
      <c r="D401" s="857"/>
      <c r="E401" s="857"/>
      <c r="F401" s="857"/>
      <c r="G401" s="808"/>
      <c r="H401" s="283"/>
      <c r="I401" s="856"/>
      <c r="J401" s="857"/>
      <c r="K401" s="857"/>
      <c r="L401" s="857"/>
      <c r="M401" s="857"/>
      <c r="N401" s="857"/>
      <c r="O401" s="808"/>
    </row>
    <row r="404">
      <c r="A404" s="769"/>
      <c r="B404" s="770"/>
      <c r="C404" s="770"/>
      <c r="D404" s="771" t="s">
        <v>700</v>
      </c>
      <c r="E404" s="772" t="str">
        <f>E125</f>
        <v>12.01.2025-12.07.2025</v>
      </c>
      <c r="F404" s="773"/>
      <c r="G404" s="774"/>
      <c r="H404" s="305">
        <v>10.0</v>
      </c>
      <c r="I404" s="769"/>
      <c r="J404" s="770"/>
      <c r="K404" s="770"/>
      <c r="L404" s="771" t="s">
        <v>700</v>
      </c>
      <c r="M404" s="772" t="str">
        <f>E125</f>
        <v>12.01.2025-12.07.2025</v>
      </c>
      <c r="N404" s="773"/>
      <c r="O404" s="774"/>
    </row>
    <row r="405">
      <c r="A405" s="775"/>
      <c r="D405" s="771" t="s">
        <v>702</v>
      </c>
      <c r="E405" s="772" t="str">
        <f t="array" ref="E405">XLOOKUP(E406,$Q$972:$Q$1008,$R$972:$R$1008)</f>
        <v>Skyhill LLC</v>
      </c>
      <c r="F405" s="773"/>
      <c r="G405" s="774"/>
      <c r="H405" s="283"/>
      <c r="I405" s="775"/>
      <c r="L405" s="771" t="s">
        <v>351</v>
      </c>
      <c r="M405" s="772" t="str">
        <f t="array" ref="M405">XLOOKUP(M406,$L$1:$L$121,$K$1:$K$121)</f>
        <v>KESNY METELUS</v>
      </c>
      <c r="N405" s="773"/>
      <c r="O405" s="774"/>
    </row>
    <row r="406">
      <c r="A406" s="775"/>
      <c r="D406" s="771" t="s">
        <v>703</v>
      </c>
      <c r="E406" s="772">
        <v>2890.0</v>
      </c>
      <c r="F406" s="773"/>
      <c r="G406" s="774"/>
      <c r="H406" s="858"/>
      <c r="I406" s="775"/>
      <c r="L406" s="771" t="s">
        <v>703</v>
      </c>
      <c r="M406" s="772">
        <f>E406</f>
        <v>2890</v>
      </c>
      <c r="N406" s="773"/>
      <c r="O406" s="774"/>
      <c r="P406" s="777"/>
    </row>
    <row r="407">
      <c r="A407" s="779" t="s">
        <v>704</v>
      </c>
      <c r="B407" s="779" t="s">
        <v>5</v>
      </c>
      <c r="C407" s="779" t="s">
        <v>6</v>
      </c>
      <c r="D407" s="779" t="s">
        <v>7</v>
      </c>
      <c r="E407" s="779" t="s">
        <v>8</v>
      </c>
      <c r="F407" s="779" t="s">
        <v>706</v>
      </c>
      <c r="G407" s="779" t="s">
        <v>707</v>
      </c>
      <c r="H407" s="34"/>
      <c r="I407" s="779" t="s">
        <v>704</v>
      </c>
      <c r="J407" s="779" t="s">
        <v>5</v>
      </c>
      <c r="K407" s="779" t="s">
        <v>6</v>
      </c>
      <c r="L407" s="779" t="s">
        <v>7</v>
      </c>
      <c r="M407" s="779" t="s">
        <v>1178</v>
      </c>
      <c r="N407" s="779" t="s">
        <v>839</v>
      </c>
      <c r="O407" s="779" t="s">
        <v>707</v>
      </c>
    </row>
    <row r="408">
      <c r="A408" s="780">
        <f>IFERROR(__xludf.DUMMYFUNCTION("FILTER($D$3:$H$121,$L$3:$L$121=E406)"),45994.0)</f>
        <v>45994</v>
      </c>
      <c r="B408" s="781">
        <f>IFERROR(__xludf.DUMMYFUNCTION("""COMPUTED_VALUE"""),7295292.0)</f>
        <v>7295292</v>
      </c>
      <c r="C408" s="781" t="str">
        <f>IFERROR(__xludf.DUMMYFUNCTION("""COMPUTED_VALUE"""),"Jacksonville, FL, 32221")</f>
        <v>Jacksonville, FL, 32221</v>
      </c>
      <c r="D408" s="781" t="str">
        <f>IFERROR(__xludf.DUMMYFUNCTION("""COMPUTED_VALUE"""),"Jal, NM, 88252")</f>
        <v>Jal, NM, 88252</v>
      </c>
      <c r="E408" s="782">
        <f>IFERROR(__xludf.DUMMYFUNCTION("""COMPUTED_VALUE"""),2600.0)</f>
        <v>2600</v>
      </c>
      <c r="F408" s="783">
        <v>0.88</v>
      </c>
      <c r="G408" s="782">
        <f t="shared" ref="G408:G409" si="22">E408*F408</f>
        <v>2288</v>
      </c>
      <c r="H408" s="283"/>
      <c r="I408" s="860">
        <f>IFERROR(__xludf.DUMMYFUNCTION("FILTER($D$3:$G$121,$L$3:$L$121=M406)"),45994.0)</f>
        <v>45994</v>
      </c>
      <c r="J408" s="861">
        <f>IFERROR(__xludf.DUMMYFUNCTION("""COMPUTED_VALUE"""),7295292.0)</f>
        <v>7295292</v>
      </c>
      <c r="K408" s="861" t="str">
        <f>IFERROR(__xludf.DUMMYFUNCTION("""COMPUTED_VALUE"""),"Jacksonville, FL, 32221")</f>
        <v>Jacksonville, FL, 32221</v>
      </c>
      <c r="L408" s="861" t="str">
        <f>IFERROR(__xludf.DUMMYFUNCTION("""COMPUTED_VALUE"""),"Jal, NM, 88252")</f>
        <v>Jal, NM, 88252</v>
      </c>
      <c r="M408" s="974">
        <f>IFERROR(__xludf.DUMMYFUNCTION("FILTER($I$3:$I$121,$L$3:$L$121=M406)"),1569.0)</f>
        <v>1569</v>
      </c>
      <c r="N408" s="861">
        <v>0.65</v>
      </c>
      <c r="O408" s="863">
        <f t="shared" ref="O408:O409" si="23">M408*N408</f>
        <v>1019.85</v>
      </c>
    </row>
    <row r="409">
      <c r="A409" s="780">
        <f>IFERROR(__xludf.DUMMYFUNCTION("""COMPUTED_VALUE"""),45996.0)</f>
        <v>45996</v>
      </c>
      <c r="B409" s="781">
        <f>IFERROR(__xludf.DUMMYFUNCTION("""COMPUTED_VALUE"""),5.37072354E8)</f>
        <v>537072354</v>
      </c>
      <c r="C409" s="781" t="str">
        <f>IFERROR(__xludf.DUMMYFUNCTION("""COMPUTED_VALUE"""),"El Paso, TX, 79907")</f>
        <v>El Paso, TX, 79907</v>
      </c>
      <c r="D409" s="781" t="str">
        <f>IFERROR(__xludf.DUMMYFUNCTION("""COMPUTED_VALUE"""),"Atglen, PA, 19310")</f>
        <v>Atglen, PA, 19310</v>
      </c>
      <c r="E409" s="782">
        <f>IFERROR(__xludf.DUMMYFUNCTION("""COMPUTED_VALUE"""),4440.0)</f>
        <v>4440</v>
      </c>
      <c r="F409" s="783">
        <v>0.88</v>
      </c>
      <c r="G409" s="782">
        <f t="shared" si="22"/>
        <v>3907.2</v>
      </c>
      <c r="H409" s="283"/>
      <c r="I409" s="860">
        <f>IFERROR(__xludf.DUMMYFUNCTION("""COMPUTED_VALUE"""),45996.0)</f>
        <v>45996</v>
      </c>
      <c r="J409" s="861">
        <f>IFERROR(__xludf.DUMMYFUNCTION("""COMPUTED_VALUE"""),5.37072354E8)</f>
        <v>537072354</v>
      </c>
      <c r="K409" s="861" t="str">
        <f>IFERROR(__xludf.DUMMYFUNCTION("""COMPUTED_VALUE"""),"El Paso, TX, 79907")</f>
        <v>El Paso, TX, 79907</v>
      </c>
      <c r="L409" s="861" t="str">
        <f>IFERROR(__xludf.DUMMYFUNCTION("""COMPUTED_VALUE"""),"Atglen, PA, 19310")</f>
        <v>Atglen, PA, 19310</v>
      </c>
      <c r="M409" s="975">
        <f>IFERROR(__xludf.DUMMYFUNCTION("""COMPUTED_VALUE"""),2276.0)</f>
        <v>2276</v>
      </c>
      <c r="N409" s="861">
        <v>0.65</v>
      </c>
      <c r="O409" s="863">
        <f t="shared" si="23"/>
        <v>1479.4</v>
      </c>
    </row>
    <row r="410">
      <c r="A410" s="785"/>
      <c r="B410" s="786"/>
      <c r="C410" s="786"/>
      <c r="D410" s="786"/>
      <c r="E410" s="785"/>
      <c r="F410" s="787"/>
      <c r="G410" s="788"/>
      <c r="H410" s="283"/>
      <c r="I410" s="785"/>
      <c r="J410" s="786"/>
      <c r="K410" s="786"/>
      <c r="L410" s="786"/>
      <c r="M410" s="785"/>
      <c r="N410" s="787"/>
      <c r="O410" s="789"/>
    </row>
    <row r="411">
      <c r="A411" s="785"/>
      <c r="B411" s="786"/>
      <c r="C411" s="786"/>
      <c r="D411" s="786"/>
      <c r="E411" s="785"/>
      <c r="F411" s="787"/>
      <c r="G411" s="788"/>
      <c r="H411" s="283"/>
      <c r="I411" s="785"/>
      <c r="J411" s="786"/>
      <c r="K411" s="786"/>
      <c r="L411" s="786"/>
      <c r="M411" s="785"/>
      <c r="N411" s="787"/>
      <c r="O411" s="789"/>
    </row>
    <row r="412">
      <c r="A412" s="785"/>
      <c r="B412" s="786"/>
      <c r="C412" s="786"/>
      <c r="D412" s="786"/>
      <c r="E412" s="785"/>
      <c r="F412" s="787"/>
      <c r="G412" s="788"/>
      <c r="H412" s="283"/>
      <c r="I412" s="785"/>
      <c r="J412" s="786"/>
      <c r="K412" s="786"/>
      <c r="L412" s="786"/>
      <c r="M412" s="785"/>
      <c r="N412" s="787"/>
      <c r="O412" s="789"/>
    </row>
    <row r="413">
      <c r="A413" s="785"/>
      <c r="B413" s="786"/>
      <c r="C413" s="786"/>
      <c r="D413" s="786"/>
      <c r="E413" s="785"/>
      <c r="F413" s="787"/>
      <c r="G413" s="788"/>
      <c r="H413" s="283"/>
      <c r="I413" s="785"/>
      <c r="J413" s="786"/>
      <c r="K413" s="786"/>
      <c r="L413" s="786"/>
      <c r="M413" s="785"/>
      <c r="N413" s="787"/>
      <c r="O413" s="789"/>
    </row>
    <row r="414">
      <c r="A414" s="790" t="s">
        <v>711</v>
      </c>
      <c r="B414" s="791"/>
      <c r="C414" s="791"/>
      <c r="D414" s="792"/>
      <c r="E414" s="793">
        <f>SUM(E408:E413)</f>
        <v>7040</v>
      </c>
      <c r="F414" s="794"/>
      <c r="G414" s="793">
        <f>SUM(G408:G413)</f>
        <v>6195.2</v>
      </c>
      <c r="H414" s="283"/>
      <c r="I414" s="790" t="s">
        <v>711</v>
      </c>
      <c r="J414" s="791"/>
      <c r="K414" s="791"/>
      <c r="L414" s="792"/>
      <c r="M414" s="877">
        <f>SUM(M408:M413)</f>
        <v>3845</v>
      </c>
      <c r="N414" s="794"/>
      <c r="O414" s="793">
        <f>SUM(O408:O413)</f>
        <v>2499.25</v>
      </c>
      <c r="Q414" s="669"/>
    </row>
    <row r="415">
      <c r="A415" s="796"/>
      <c r="D415" s="798"/>
      <c r="G415" s="799"/>
      <c r="H415" s="283"/>
      <c r="I415" s="796"/>
      <c r="L415" s="798"/>
      <c r="O415" s="799"/>
    </row>
    <row r="416">
      <c r="A416" s="800" t="s">
        <v>712</v>
      </c>
      <c r="B416" s="801"/>
      <c r="C416" s="802"/>
      <c r="G416" s="799"/>
      <c r="H416" s="283"/>
      <c r="I416" s="800" t="s">
        <v>712</v>
      </c>
      <c r="J416" s="803"/>
      <c r="K416" s="804"/>
      <c r="O416" s="799"/>
    </row>
    <row r="417">
      <c r="A417" s="902" t="s">
        <v>1179</v>
      </c>
      <c r="B417" s="806"/>
      <c r="C417" s="807">
        <v>250.0</v>
      </c>
      <c r="G417" s="799"/>
      <c r="H417" s="283"/>
      <c r="I417" s="902" t="s">
        <v>1179</v>
      </c>
      <c r="J417" s="808"/>
      <c r="K417" s="903">
        <v>250.0</v>
      </c>
      <c r="O417" s="799"/>
    </row>
    <row r="418">
      <c r="A418" s="868"/>
      <c r="B418" s="774"/>
      <c r="C418" s="816"/>
      <c r="G418" s="799"/>
      <c r="H418" s="283"/>
      <c r="I418" s="868"/>
      <c r="J418" s="774"/>
      <c r="K418" s="816"/>
      <c r="O418" s="799"/>
    </row>
    <row r="419">
      <c r="A419" s="815"/>
      <c r="B419" s="792"/>
      <c r="C419" s="816"/>
      <c r="G419" s="799"/>
      <c r="H419" s="283"/>
      <c r="I419" s="815"/>
      <c r="J419" s="792"/>
      <c r="K419" s="816"/>
      <c r="O419" s="799"/>
    </row>
    <row r="420">
      <c r="A420" s="817"/>
      <c r="B420" s="774"/>
      <c r="C420" s="818"/>
      <c r="G420" s="799"/>
      <c r="H420" s="283"/>
      <c r="I420" s="817"/>
      <c r="J420" s="774"/>
      <c r="K420" s="818"/>
      <c r="O420" s="799"/>
    </row>
    <row r="421">
      <c r="A421" s="817"/>
      <c r="B421" s="792"/>
      <c r="C421" s="818"/>
      <c r="G421" s="799"/>
      <c r="H421" s="283"/>
      <c r="I421" s="817"/>
      <c r="J421" s="792"/>
      <c r="K421" s="818"/>
      <c r="O421" s="799"/>
    </row>
    <row r="422">
      <c r="A422" s="821" t="s">
        <v>714</v>
      </c>
      <c r="B422" s="822"/>
      <c r="C422" s="823">
        <f>SUM(C417:C421)</f>
        <v>250</v>
      </c>
      <c r="G422" s="799"/>
      <c r="H422" s="283"/>
      <c r="I422" s="821" t="s">
        <v>714</v>
      </c>
      <c r="J422" s="826"/>
      <c r="K422" s="823">
        <f>SUM(K417:K421)</f>
        <v>250</v>
      </c>
      <c r="O422" s="799"/>
    </row>
    <row r="423">
      <c r="A423" s="828"/>
      <c r="C423" s="829"/>
      <c r="G423" s="799"/>
      <c r="H423" s="283"/>
      <c r="I423" s="828"/>
      <c r="K423" s="829"/>
      <c r="O423" s="799"/>
    </row>
    <row r="424">
      <c r="A424" s="830" t="s">
        <v>715</v>
      </c>
      <c r="B424" s="831"/>
      <c r="C424" s="832"/>
      <c r="G424" s="799"/>
      <c r="H424" s="283"/>
      <c r="I424" s="833" t="s">
        <v>715</v>
      </c>
      <c r="J424" s="834"/>
      <c r="K424" s="835"/>
      <c r="O424" s="799"/>
    </row>
    <row r="425">
      <c r="A425" s="836" t="s">
        <v>716</v>
      </c>
      <c r="B425" s="837"/>
      <c r="C425" s="838">
        <v>150.0</v>
      </c>
      <c r="G425" s="799"/>
      <c r="H425" s="283"/>
      <c r="I425" s="839"/>
      <c r="J425" s="840"/>
      <c r="K425" s="841"/>
      <c r="O425" s="799"/>
    </row>
    <row r="426">
      <c r="A426" s="842" t="s">
        <v>717</v>
      </c>
      <c r="B426" s="843"/>
      <c r="C426" s="844">
        <v>400.0</v>
      </c>
      <c r="D426" s="248"/>
      <c r="E426" s="845" t="s">
        <v>1182</v>
      </c>
      <c r="G426" s="846">
        <f>G414+C422-C431</f>
        <v>3157.63</v>
      </c>
      <c r="H426" s="283"/>
      <c r="I426" s="847"/>
      <c r="J426" s="848"/>
      <c r="K426" s="849"/>
      <c r="L426" s="248"/>
      <c r="M426" s="845" t="s">
        <v>1183</v>
      </c>
      <c r="O426" s="846">
        <f>O414+K422-K431</f>
        <v>2749.25</v>
      </c>
    </row>
    <row r="427">
      <c r="A427" s="836" t="s">
        <v>718</v>
      </c>
      <c r="B427" s="837"/>
      <c r="C427" s="838">
        <v>200.0</v>
      </c>
      <c r="G427" s="799"/>
      <c r="H427" s="283"/>
      <c r="I427" s="847"/>
      <c r="J427" s="848"/>
      <c r="K427" s="849"/>
      <c r="O427" s="799"/>
    </row>
    <row r="428">
      <c r="A428" s="842" t="s">
        <v>656</v>
      </c>
      <c r="B428" s="843"/>
      <c r="C428" s="844">
        <f>IFERROR(__xludf.DUMMYFUNCTION("FILTER($C$4:$C$30,$B$4:$B$30=E406)"),2271.37)</f>
        <v>2271.37</v>
      </c>
      <c r="G428" s="799"/>
      <c r="H428" s="283"/>
      <c r="I428" s="847"/>
      <c r="J428" s="848"/>
      <c r="K428" s="849"/>
      <c r="O428" s="799"/>
    </row>
    <row r="429">
      <c r="A429" s="850" t="s">
        <v>1184</v>
      </c>
      <c r="B429" s="851"/>
      <c r="C429" s="852"/>
      <c r="E429" s="248"/>
      <c r="G429" s="799"/>
      <c r="H429" s="283"/>
      <c r="I429" s="847"/>
      <c r="J429" s="848"/>
      <c r="K429" s="849"/>
      <c r="M429" s="248"/>
      <c r="O429" s="799"/>
    </row>
    <row r="430">
      <c r="A430" s="904" t="s">
        <v>1193</v>
      </c>
      <c r="B430" s="905"/>
      <c r="C430" s="906">
        <v>266.2</v>
      </c>
      <c r="G430" s="799"/>
      <c r="H430" s="283"/>
      <c r="I430" s="847"/>
      <c r="J430" s="848"/>
      <c r="K430" s="849"/>
      <c r="O430" s="799"/>
    </row>
    <row r="431">
      <c r="A431" s="853" t="s">
        <v>721</v>
      </c>
      <c r="B431" s="854"/>
      <c r="C431" s="855">
        <f>SUM(C425:C430)</f>
        <v>3287.57</v>
      </c>
      <c r="G431" s="799"/>
      <c r="H431" s="283"/>
      <c r="I431" s="853" t="s">
        <v>721</v>
      </c>
      <c r="J431" s="854"/>
      <c r="K431" s="855"/>
      <c r="O431" s="799"/>
    </row>
    <row r="432">
      <c r="A432" s="856"/>
      <c r="B432" s="857"/>
      <c r="C432" s="857"/>
      <c r="D432" s="857"/>
      <c r="E432" s="857"/>
      <c r="F432" s="857"/>
      <c r="G432" s="808"/>
      <c r="H432" s="283"/>
      <c r="I432" s="856"/>
      <c r="J432" s="857"/>
      <c r="K432" s="857"/>
      <c r="L432" s="857"/>
      <c r="M432" s="857"/>
      <c r="N432" s="857"/>
      <c r="O432" s="808"/>
    </row>
    <row r="435">
      <c r="A435" s="769"/>
      <c r="B435" s="770"/>
      <c r="C435" s="770"/>
      <c r="D435" s="771" t="s">
        <v>700</v>
      </c>
      <c r="E435" s="772" t="str">
        <f>E125</f>
        <v>12.01.2025-12.07.2025</v>
      </c>
      <c r="F435" s="773"/>
      <c r="G435" s="774"/>
      <c r="H435" s="305">
        <v>11.0</v>
      </c>
      <c r="I435" s="769"/>
      <c r="J435" s="770"/>
      <c r="K435" s="770"/>
      <c r="L435" s="771" t="s">
        <v>700</v>
      </c>
      <c r="M435" s="772" t="str">
        <f>E125</f>
        <v>12.01.2025-12.07.2025</v>
      </c>
      <c r="N435" s="773"/>
      <c r="O435" s="774"/>
    </row>
    <row r="436">
      <c r="A436" s="775"/>
      <c r="D436" s="771" t="s">
        <v>702</v>
      </c>
      <c r="E436" s="772" t="str">
        <f t="array" ref="E436">XLOOKUP(E437,$Q$972:$Q$1008,$R$972:$R$1008)</f>
        <v>Skyhill LLC</v>
      </c>
      <c r="F436" s="773"/>
      <c r="G436" s="774"/>
      <c r="H436" s="283"/>
      <c r="I436" s="775"/>
      <c r="L436" s="771" t="s">
        <v>351</v>
      </c>
      <c r="M436" s="772" t="str">
        <f t="array" ref="M436">XLOOKUP(M437,$L$1:$L$121,$K$1:$K$121)</f>
        <v>WILLIAMSON MONCHERY</v>
      </c>
      <c r="N436" s="773"/>
      <c r="O436" s="774"/>
    </row>
    <row r="437">
      <c r="A437" s="775"/>
      <c r="D437" s="771" t="s">
        <v>703</v>
      </c>
      <c r="E437" s="772">
        <v>2316.0</v>
      </c>
      <c r="F437" s="773"/>
      <c r="G437" s="774"/>
      <c r="H437" s="858"/>
      <c r="I437" s="775"/>
      <c r="L437" s="771" t="s">
        <v>703</v>
      </c>
      <c r="M437" s="772">
        <f>E437</f>
        <v>2316</v>
      </c>
      <c r="N437" s="773"/>
      <c r="O437" s="774"/>
      <c r="P437" s="777"/>
    </row>
    <row r="438">
      <c r="A438" s="779" t="s">
        <v>704</v>
      </c>
      <c r="B438" s="779" t="s">
        <v>5</v>
      </c>
      <c r="C438" s="779" t="s">
        <v>6</v>
      </c>
      <c r="D438" s="779" t="s">
        <v>7</v>
      </c>
      <c r="E438" s="779" t="s">
        <v>8</v>
      </c>
      <c r="F438" s="779" t="s">
        <v>706</v>
      </c>
      <c r="G438" s="779" t="s">
        <v>707</v>
      </c>
      <c r="H438" s="34"/>
      <c r="I438" s="779" t="s">
        <v>704</v>
      </c>
      <c r="J438" s="779" t="s">
        <v>5</v>
      </c>
      <c r="K438" s="779" t="s">
        <v>6</v>
      </c>
      <c r="L438" s="779" t="s">
        <v>7</v>
      </c>
      <c r="M438" s="779" t="s">
        <v>1178</v>
      </c>
      <c r="N438" s="779" t="s">
        <v>839</v>
      </c>
      <c r="O438" s="779" t="s">
        <v>707</v>
      </c>
    </row>
    <row r="439">
      <c r="A439" s="780">
        <f>IFERROR(__xludf.DUMMYFUNCTION("FILTER($D$3:$H$121,$L$3:$L$121=E437)"),45992.0)</f>
        <v>45992</v>
      </c>
      <c r="B439" s="781">
        <f>IFERROR(__xludf.DUMMYFUNCTION("""COMPUTED_VALUE"""),5.36115298E8)</f>
        <v>536115298</v>
      </c>
      <c r="C439" s="781" t="str">
        <f>IFERROR(__xludf.DUMMYFUNCTION("""COMPUTED_VALUE"""),"Courtland, VA, 23837")</f>
        <v>Courtland, VA, 23837</v>
      </c>
      <c r="D439" s="781" t="str">
        <f>IFERROR(__xludf.DUMMYFUNCTION("""COMPUTED_VALUE"""),"Chicopee, MA, 01013")</f>
        <v>Chicopee, MA, 01013</v>
      </c>
      <c r="E439" s="782">
        <f>IFERROR(__xludf.DUMMYFUNCTION("""COMPUTED_VALUE"""),1575.0)</f>
        <v>1575</v>
      </c>
      <c r="F439" s="783">
        <v>0.88</v>
      </c>
      <c r="G439" s="782">
        <f t="shared" ref="G439:G442" si="24">E439*F439</f>
        <v>1386</v>
      </c>
      <c r="H439" s="283"/>
      <c r="I439" s="780">
        <f>IFERROR(__xludf.DUMMYFUNCTION("FILTER($D$3:$G$121,$L$3:$L$121=M437)"),45992.0)</f>
        <v>45992</v>
      </c>
      <c r="J439" s="781">
        <f>IFERROR(__xludf.DUMMYFUNCTION("""COMPUTED_VALUE"""),5.36115298E8)</f>
        <v>536115298</v>
      </c>
      <c r="K439" s="781" t="str">
        <f>IFERROR(__xludf.DUMMYFUNCTION("""COMPUTED_VALUE"""),"Courtland, VA, 23837")</f>
        <v>Courtland, VA, 23837</v>
      </c>
      <c r="L439" s="781" t="str">
        <f>IFERROR(__xludf.DUMMYFUNCTION("""COMPUTED_VALUE"""),"Chicopee, MA, 01013")</f>
        <v>Chicopee, MA, 01013</v>
      </c>
      <c r="M439" s="784">
        <f>IFERROR(__xludf.DUMMYFUNCTION("FILTER($I$3:$I$121,$L$3:$L$121=M437)"),587.0)</f>
        <v>587</v>
      </c>
      <c r="N439" s="781">
        <v>0.65</v>
      </c>
      <c r="O439" s="782">
        <f t="shared" ref="O439:O442" si="25">M439*N439</f>
        <v>381.55</v>
      </c>
    </row>
    <row r="440">
      <c r="A440" s="780">
        <f>IFERROR(__xludf.DUMMYFUNCTION("""COMPUTED_VALUE"""),45993.0)</f>
        <v>45993</v>
      </c>
      <c r="B440" s="781" t="str">
        <f>IFERROR(__xludf.DUMMYFUNCTION("""COMPUTED_VALUE"""),"356311-0")</f>
        <v>356311-0</v>
      </c>
      <c r="C440" s="781" t="str">
        <f>IFERROR(__xludf.DUMMYFUNCTION("""COMPUTED_VALUE"""),"Ware, MA, 01082")</f>
        <v>Ware, MA, 01082</v>
      </c>
      <c r="D440" s="781" t="str">
        <f>IFERROR(__xludf.DUMMYFUNCTION("""COMPUTED_VALUE"""),"Taylor, MI, 48180")</f>
        <v>Taylor, MI, 48180</v>
      </c>
      <c r="E440" s="782">
        <f>IFERROR(__xludf.DUMMYFUNCTION("""COMPUTED_VALUE"""),1200.0)</f>
        <v>1200</v>
      </c>
      <c r="F440" s="783">
        <v>0.88</v>
      </c>
      <c r="G440" s="782">
        <f t="shared" si="24"/>
        <v>1056</v>
      </c>
      <c r="H440" s="283"/>
      <c r="I440" s="881">
        <f>IFERROR(__xludf.DUMMYFUNCTION("""COMPUTED_VALUE"""),45993.0)</f>
        <v>45993</v>
      </c>
      <c r="J440" s="882" t="str">
        <f>IFERROR(__xludf.DUMMYFUNCTION("""COMPUTED_VALUE"""),"356311-0")</f>
        <v>356311-0</v>
      </c>
      <c r="K440" s="882" t="str">
        <f>IFERROR(__xludf.DUMMYFUNCTION("""COMPUTED_VALUE"""),"Ware, MA, 01082")</f>
        <v>Ware, MA, 01082</v>
      </c>
      <c r="L440" s="882" t="str">
        <f>IFERROR(__xludf.DUMMYFUNCTION("""COMPUTED_VALUE"""),"Taylor, MI, 48180")</f>
        <v>Taylor, MI, 48180</v>
      </c>
      <c r="M440" s="784">
        <f>IFERROR(__xludf.DUMMYFUNCTION("""COMPUTED_VALUE"""),760.0)</f>
        <v>760</v>
      </c>
      <c r="N440" s="781">
        <v>0.65</v>
      </c>
      <c r="O440" s="782">
        <f t="shared" si="25"/>
        <v>494</v>
      </c>
    </row>
    <row r="441">
      <c r="A441" s="883">
        <f>IFERROR(__xludf.DUMMYFUNCTION("""COMPUTED_VALUE"""),45995.0)</f>
        <v>45995</v>
      </c>
      <c r="B441" s="786" t="str">
        <f>IFERROR(__xludf.DUMMYFUNCTION("""COMPUTED_VALUE"""),"356325-0")</f>
        <v>356325-0</v>
      </c>
      <c r="C441" s="786" t="str">
        <f>IFERROR(__xludf.DUMMYFUNCTION("""COMPUTED_VALUE"""),"West Unity, OH, 43570")</f>
        <v>West Unity, OH, 43570</v>
      </c>
      <c r="D441" s="786" t="str">
        <f>IFERROR(__xludf.DUMMYFUNCTION("""COMPUTED_VALUE"""),"Leominster, MA, 01453")</f>
        <v>Leominster, MA, 01453</v>
      </c>
      <c r="E441" s="884">
        <f>IFERROR(__xludf.DUMMYFUNCTION("""COMPUTED_VALUE"""),2500.0)</f>
        <v>2500</v>
      </c>
      <c r="F441" s="783">
        <v>0.88</v>
      </c>
      <c r="G441" s="782">
        <f t="shared" si="24"/>
        <v>2200</v>
      </c>
      <c r="H441" s="283"/>
      <c r="I441" s="924">
        <f>IFERROR(__xludf.DUMMYFUNCTION("""COMPUTED_VALUE"""),45995.0)</f>
        <v>45995</v>
      </c>
      <c r="J441" s="882" t="str">
        <f>IFERROR(__xludf.DUMMYFUNCTION("""COMPUTED_VALUE"""),"356325-0")</f>
        <v>356325-0</v>
      </c>
      <c r="K441" s="882" t="str">
        <f>IFERROR(__xludf.DUMMYFUNCTION("""COMPUTED_VALUE"""),"West Unity, OH, 43570")</f>
        <v>West Unity, OH, 43570</v>
      </c>
      <c r="L441" s="882" t="str">
        <f>IFERROR(__xludf.DUMMYFUNCTION("""COMPUTED_VALUE"""),"Leominster, MA, 01453")</f>
        <v>Leominster, MA, 01453</v>
      </c>
      <c r="M441" s="784">
        <f>IFERROR(__xludf.DUMMYFUNCTION("""COMPUTED_VALUE"""),881.0)</f>
        <v>881</v>
      </c>
      <c r="N441" s="781">
        <v>0.65</v>
      </c>
      <c r="O441" s="782">
        <f t="shared" si="25"/>
        <v>572.65</v>
      </c>
    </row>
    <row r="442">
      <c r="A442" s="883">
        <f>IFERROR(__xludf.DUMMYFUNCTION("""COMPUTED_VALUE"""),45996.0)</f>
        <v>45996</v>
      </c>
      <c r="B442" s="786" t="str">
        <f>IFERROR(__xludf.DUMMYFUNCTION("""COMPUTED_VALUE"""),"356304-0")</f>
        <v>356304-0</v>
      </c>
      <c r="C442" s="786" t="str">
        <f>IFERROR(__xludf.DUMMYFUNCTION("""COMPUTED_VALUE"""),"Leominster, MA, 01453")</f>
        <v>Leominster, MA, 01453</v>
      </c>
      <c r="D442" s="786" t="str">
        <f>IFERROR(__xludf.DUMMYFUNCTION("""COMPUTED_VALUE"""),"Atlanta, GA, 30336")</f>
        <v>Atlanta, GA, 30336</v>
      </c>
      <c r="E442" s="884">
        <f>IFERROR(__xludf.DUMMYFUNCTION("""COMPUTED_VALUE"""),2000.0)</f>
        <v>2000</v>
      </c>
      <c r="F442" s="783">
        <v>0.88</v>
      </c>
      <c r="G442" s="782">
        <f t="shared" si="24"/>
        <v>1760</v>
      </c>
      <c r="H442" s="283"/>
      <c r="I442" s="924">
        <f>IFERROR(__xludf.DUMMYFUNCTION("""COMPUTED_VALUE"""),45996.0)</f>
        <v>45996</v>
      </c>
      <c r="J442" s="882" t="str">
        <f>IFERROR(__xludf.DUMMYFUNCTION("""COMPUTED_VALUE"""),"356304-0")</f>
        <v>356304-0</v>
      </c>
      <c r="K442" s="882" t="str">
        <f>IFERROR(__xludf.DUMMYFUNCTION("""COMPUTED_VALUE"""),"Leominster, MA, 01453")</f>
        <v>Leominster, MA, 01453</v>
      </c>
      <c r="L442" s="882" t="str">
        <f>IFERROR(__xludf.DUMMYFUNCTION("""COMPUTED_VALUE"""),"Atlanta, GA, 30336")</f>
        <v>Atlanta, GA, 30336</v>
      </c>
      <c r="M442" s="976">
        <f>IFERROR(__xludf.DUMMYFUNCTION("""COMPUTED_VALUE"""),1097.0)</f>
        <v>1097</v>
      </c>
      <c r="N442" s="781">
        <v>0.65</v>
      </c>
      <c r="O442" s="782">
        <f t="shared" si="25"/>
        <v>713.05</v>
      </c>
    </row>
    <row r="443">
      <c r="A443" s="785"/>
      <c r="B443" s="786"/>
      <c r="C443" s="786"/>
      <c r="D443" s="786"/>
      <c r="E443" s="785"/>
      <c r="F443" s="787"/>
      <c r="G443" s="788"/>
      <c r="H443" s="283"/>
      <c r="I443" s="785"/>
      <c r="J443" s="786"/>
      <c r="K443" s="786"/>
      <c r="L443" s="786"/>
      <c r="M443" s="785"/>
      <c r="N443" s="787"/>
      <c r="O443" s="789"/>
    </row>
    <row r="444">
      <c r="A444" s="785"/>
      <c r="B444" s="786"/>
      <c r="C444" s="786"/>
      <c r="D444" s="786"/>
      <c r="E444" s="785"/>
      <c r="F444" s="787"/>
      <c r="G444" s="788"/>
      <c r="H444" s="283"/>
      <c r="I444" s="785"/>
      <c r="J444" s="786"/>
      <c r="K444" s="786"/>
      <c r="L444" s="786"/>
      <c r="M444" s="785"/>
      <c r="N444" s="787"/>
      <c r="O444" s="789"/>
    </row>
    <row r="445">
      <c r="A445" s="790" t="s">
        <v>711</v>
      </c>
      <c r="B445" s="791"/>
      <c r="C445" s="791"/>
      <c r="D445" s="792"/>
      <c r="E445" s="793">
        <f>SUM(E439:E444)</f>
        <v>7275</v>
      </c>
      <c r="F445" s="794"/>
      <c r="G445" s="793">
        <f>SUM(G439:G444)</f>
        <v>6402</v>
      </c>
      <c r="H445" s="283"/>
      <c r="I445" s="790" t="s">
        <v>711</v>
      </c>
      <c r="J445" s="791"/>
      <c r="K445" s="791"/>
      <c r="L445" s="792"/>
      <c r="M445" s="877">
        <f>SUM(M439:M444)</f>
        <v>3325</v>
      </c>
      <c r="N445" s="794"/>
      <c r="O445" s="793">
        <f>SUM(O439:O444)</f>
        <v>2161.25</v>
      </c>
    </row>
    <row r="446">
      <c r="A446" s="796"/>
      <c r="D446" s="798"/>
      <c r="G446" s="799"/>
      <c r="H446" s="283"/>
      <c r="I446" s="796"/>
      <c r="L446" s="798"/>
      <c r="O446" s="799"/>
    </row>
    <row r="447">
      <c r="A447" s="800" t="s">
        <v>712</v>
      </c>
      <c r="B447" s="801"/>
      <c r="C447" s="802"/>
      <c r="G447" s="799"/>
      <c r="H447" s="283"/>
      <c r="I447" s="800" t="s">
        <v>712</v>
      </c>
      <c r="J447" s="803"/>
      <c r="K447" s="804"/>
      <c r="O447" s="799"/>
    </row>
    <row r="448">
      <c r="A448" s="902"/>
      <c r="B448" s="806"/>
      <c r="C448" s="807"/>
      <c r="G448" s="799"/>
      <c r="H448" s="283"/>
      <c r="I448" s="902"/>
      <c r="J448" s="808"/>
      <c r="K448" s="903"/>
      <c r="O448" s="799"/>
    </row>
    <row r="449">
      <c r="A449" s="868"/>
      <c r="B449" s="774"/>
      <c r="C449" s="816"/>
      <c r="G449" s="799"/>
      <c r="H449" s="283"/>
      <c r="I449" s="868"/>
      <c r="J449" s="774"/>
      <c r="K449" s="816"/>
      <c r="O449" s="799"/>
    </row>
    <row r="450">
      <c r="A450" s="815"/>
      <c r="B450" s="792"/>
      <c r="C450" s="816"/>
      <c r="G450" s="799"/>
      <c r="H450" s="283"/>
      <c r="I450" s="815"/>
      <c r="J450" s="792"/>
      <c r="K450" s="816"/>
      <c r="O450" s="799"/>
    </row>
    <row r="451">
      <c r="A451" s="817"/>
      <c r="B451" s="774"/>
      <c r="C451" s="818"/>
      <c r="G451" s="799"/>
      <c r="H451" s="283"/>
      <c r="I451" s="817"/>
      <c r="J451" s="774"/>
      <c r="K451" s="818"/>
      <c r="O451" s="799"/>
    </row>
    <row r="452">
      <c r="A452" s="817"/>
      <c r="B452" s="792"/>
      <c r="C452" s="818"/>
      <c r="G452" s="799"/>
      <c r="H452" s="283"/>
      <c r="I452" s="817"/>
      <c r="J452" s="792"/>
      <c r="K452" s="818"/>
      <c r="O452" s="799"/>
    </row>
    <row r="453">
      <c r="A453" s="821" t="s">
        <v>714</v>
      </c>
      <c r="B453" s="822"/>
      <c r="C453" s="823">
        <f>SUM(C448:C452)</f>
        <v>0</v>
      </c>
      <c r="G453" s="799"/>
      <c r="H453" s="283"/>
      <c r="I453" s="821" t="s">
        <v>714</v>
      </c>
      <c r="J453" s="826"/>
      <c r="K453" s="823">
        <f>SUM(K448:K452)</f>
        <v>0</v>
      </c>
      <c r="O453" s="799"/>
    </row>
    <row r="454">
      <c r="A454" s="828"/>
      <c r="C454" s="829"/>
      <c r="G454" s="799"/>
      <c r="H454" s="283"/>
      <c r="I454" s="828"/>
      <c r="K454" s="829"/>
      <c r="O454" s="799"/>
    </row>
    <row r="455">
      <c r="A455" s="830" t="s">
        <v>715</v>
      </c>
      <c r="B455" s="831"/>
      <c r="C455" s="832"/>
      <c r="G455" s="799"/>
      <c r="H455" s="283"/>
      <c r="I455" s="833" t="s">
        <v>715</v>
      </c>
      <c r="J455" s="834"/>
      <c r="K455" s="835"/>
      <c r="O455" s="799"/>
    </row>
    <row r="456">
      <c r="A456" s="836" t="s">
        <v>716</v>
      </c>
      <c r="B456" s="837"/>
      <c r="C456" s="838">
        <v>150.0</v>
      </c>
      <c r="G456" s="799"/>
      <c r="H456" s="283"/>
      <c r="I456" s="839"/>
      <c r="J456" s="840"/>
      <c r="K456" s="841"/>
      <c r="O456" s="799"/>
    </row>
    <row r="457">
      <c r="A457" s="842" t="s">
        <v>717</v>
      </c>
      <c r="B457" s="843"/>
      <c r="C457" s="844">
        <v>400.0</v>
      </c>
      <c r="D457" s="248"/>
      <c r="E457" s="845" t="s">
        <v>1182</v>
      </c>
      <c r="G457" s="846">
        <f>G445+C453-C462</f>
        <v>2946.84</v>
      </c>
      <c r="H457" s="283"/>
      <c r="I457" s="847"/>
      <c r="J457" s="848"/>
      <c r="K457" s="849"/>
      <c r="L457" s="248"/>
      <c r="M457" s="845" t="s">
        <v>1183</v>
      </c>
      <c r="O457" s="846">
        <f>O445+K453-K462</f>
        <v>2161.25</v>
      </c>
    </row>
    <row r="458">
      <c r="A458" s="836" t="s">
        <v>718</v>
      </c>
      <c r="B458" s="837"/>
      <c r="C458" s="838">
        <v>200.0</v>
      </c>
      <c r="G458" s="799"/>
      <c r="H458" s="283"/>
      <c r="I458" s="847"/>
      <c r="J458" s="848"/>
      <c r="K458" s="849"/>
      <c r="O458" s="799"/>
    </row>
    <row r="459">
      <c r="A459" s="842" t="s">
        <v>656</v>
      </c>
      <c r="B459" s="843"/>
      <c r="C459" s="844">
        <f>IFERROR(__xludf.DUMMYFUNCTION("FILTER($C$4:$C$30,$B$4:$B$30=E437)"),2705.16)</f>
        <v>2705.16</v>
      </c>
      <c r="G459" s="799"/>
      <c r="H459" s="283"/>
      <c r="I459" s="847"/>
      <c r="J459" s="848"/>
      <c r="K459" s="849"/>
      <c r="O459" s="799"/>
    </row>
    <row r="460">
      <c r="A460" s="850" t="s">
        <v>1184</v>
      </c>
      <c r="B460" s="851"/>
      <c r="C460" s="852"/>
      <c r="E460" s="248"/>
      <c r="G460" s="799"/>
      <c r="H460" s="283"/>
      <c r="I460" s="847"/>
      <c r="J460" s="848"/>
      <c r="K460" s="849"/>
      <c r="M460" s="248"/>
      <c r="O460" s="799"/>
    </row>
    <row r="461">
      <c r="A461" s="847"/>
      <c r="B461" s="848"/>
      <c r="C461" s="849"/>
      <c r="G461" s="799"/>
      <c r="H461" s="283"/>
      <c r="I461" s="847"/>
      <c r="J461" s="848"/>
      <c r="K461" s="849"/>
      <c r="O461" s="799"/>
    </row>
    <row r="462">
      <c r="A462" s="853" t="s">
        <v>721</v>
      </c>
      <c r="B462" s="854"/>
      <c r="C462" s="855">
        <f>SUM(C456:C461)</f>
        <v>3455.16</v>
      </c>
      <c r="G462" s="799"/>
      <c r="H462" s="283"/>
      <c r="I462" s="853" t="s">
        <v>721</v>
      </c>
      <c r="J462" s="854"/>
      <c r="K462" s="855"/>
      <c r="O462" s="799"/>
    </row>
    <row r="463">
      <c r="A463" s="856"/>
      <c r="B463" s="857"/>
      <c r="C463" s="857"/>
      <c r="D463" s="857"/>
      <c r="E463" s="857"/>
      <c r="F463" s="857"/>
      <c r="G463" s="808"/>
      <c r="H463" s="283"/>
      <c r="I463" s="856"/>
      <c r="J463" s="857"/>
      <c r="K463" s="857"/>
      <c r="L463" s="857"/>
      <c r="M463" s="857"/>
      <c r="N463" s="857"/>
      <c r="O463" s="808"/>
    </row>
    <row r="466">
      <c r="A466" s="769"/>
      <c r="B466" s="770"/>
      <c r="C466" s="770"/>
      <c r="D466" s="771" t="s">
        <v>700</v>
      </c>
      <c r="E466" s="772" t="str">
        <f>E125</f>
        <v>12.01.2025-12.07.2025</v>
      </c>
      <c r="F466" s="773"/>
      <c r="G466" s="774"/>
      <c r="H466" s="305">
        <v>12.0</v>
      </c>
      <c r="I466" s="769"/>
      <c r="J466" s="770"/>
      <c r="K466" s="770"/>
      <c r="L466" s="771" t="s">
        <v>700</v>
      </c>
      <c r="M466" s="772" t="str">
        <f>E125</f>
        <v>12.01.2025-12.07.2025</v>
      </c>
      <c r="N466" s="773"/>
      <c r="O466" s="774"/>
    </row>
    <row r="467">
      <c r="A467" s="775"/>
      <c r="D467" s="771" t="s">
        <v>702</v>
      </c>
      <c r="E467" s="772" t="str">
        <f t="array" ref="E467">XLOOKUP(E468,$Q$972:$Q$1008,$R$972:$R$1008)</f>
        <v>EDT Logistics LLC</v>
      </c>
      <c r="F467" s="773"/>
      <c r="G467" s="774"/>
      <c r="H467" s="283"/>
      <c r="I467" s="775"/>
      <c r="L467" s="771" t="s">
        <v>351</v>
      </c>
      <c r="M467" s="772" t="str">
        <f t="array" ref="M467">XLOOKUP(M468,$L$1:$L$121,$K$1:$K$121)</f>
        <v>CHRISTOPHER ELIOTT NUNEZ</v>
      </c>
      <c r="N467" s="773"/>
      <c r="O467" s="774"/>
    </row>
    <row r="468">
      <c r="A468" s="775"/>
      <c r="D468" s="771" t="s">
        <v>703</v>
      </c>
      <c r="E468" s="772">
        <v>2774.0</v>
      </c>
      <c r="F468" s="773"/>
      <c r="G468" s="774"/>
      <c r="H468" s="858"/>
      <c r="I468" s="775"/>
      <c r="L468" s="771" t="s">
        <v>703</v>
      </c>
      <c r="M468" s="772">
        <f>E468</f>
        <v>2774</v>
      </c>
      <c r="N468" s="773"/>
      <c r="O468" s="774"/>
      <c r="P468" s="777"/>
    </row>
    <row r="469">
      <c r="A469" s="779" t="s">
        <v>704</v>
      </c>
      <c r="B469" s="779" t="s">
        <v>5</v>
      </c>
      <c r="C469" s="779" t="s">
        <v>6</v>
      </c>
      <c r="D469" s="779" t="s">
        <v>7</v>
      </c>
      <c r="E469" s="779" t="s">
        <v>8</v>
      </c>
      <c r="F469" s="779" t="s">
        <v>706</v>
      </c>
      <c r="G469" s="779" t="s">
        <v>707</v>
      </c>
      <c r="H469" s="34"/>
      <c r="I469" s="779" t="s">
        <v>704</v>
      </c>
      <c r="J469" s="779" t="s">
        <v>5</v>
      </c>
      <c r="K469" s="779" t="s">
        <v>6</v>
      </c>
      <c r="L469" s="779" t="s">
        <v>7</v>
      </c>
      <c r="M469" s="779" t="s">
        <v>1178</v>
      </c>
      <c r="N469" s="779" t="s">
        <v>839</v>
      </c>
      <c r="O469" s="779" t="s">
        <v>707</v>
      </c>
    </row>
    <row r="470">
      <c r="A470" s="780">
        <f>IFERROR(__xludf.DUMMYFUNCTION("FILTER($D$3:$H$121,$L$3:$L$121=E468)"),45992.0)</f>
        <v>45992</v>
      </c>
      <c r="B470" s="781">
        <f>IFERROR(__xludf.DUMMYFUNCTION("""COMPUTED_VALUE"""),5.36174247E8)</f>
        <v>536174247</v>
      </c>
      <c r="C470" s="781" t="str">
        <f>IFERROR(__xludf.DUMMYFUNCTION("""COMPUTED_VALUE"""),"Allentown, PA, 18103")</f>
        <v>Allentown, PA, 18103</v>
      </c>
      <c r="D470" s="781" t="str">
        <f>IFERROR(__xludf.DUMMYFUNCTION("""COMPUTED_VALUE"""),"Pompano Beach, FL, 33076")</f>
        <v>Pompano Beach, FL, 33076</v>
      </c>
      <c r="E470" s="782">
        <f>IFERROR(__xludf.DUMMYFUNCTION("""COMPUTED_VALUE"""),2800.0)</f>
        <v>2800</v>
      </c>
      <c r="F470" s="783">
        <v>0.88</v>
      </c>
      <c r="G470" s="782">
        <f>E470*F470</f>
        <v>2464</v>
      </c>
      <c r="H470" s="283"/>
      <c r="I470" s="860">
        <f>IFERROR(__xludf.DUMMYFUNCTION("FILTER($D$3:$G$121,$L$3:$L$121=M468)"),45992.0)</f>
        <v>45992</v>
      </c>
      <c r="J470" s="861">
        <f>IFERROR(__xludf.DUMMYFUNCTION("""COMPUTED_VALUE"""),5.36174247E8)</f>
        <v>536174247</v>
      </c>
      <c r="K470" s="861" t="str">
        <f>IFERROR(__xludf.DUMMYFUNCTION("""COMPUTED_VALUE"""),"Allentown, PA, 18103")</f>
        <v>Allentown, PA, 18103</v>
      </c>
      <c r="L470" s="861" t="str">
        <f>IFERROR(__xludf.DUMMYFUNCTION("""COMPUTED_VALUE"""),"Pompano Beach, FL, 33076")</f>
        <v>Pompano Beach, FL, 33076</v>
      </c>
      <c r="M470" s="784">
        <f>IFERROR(__xludf.DUMMYFUNCTION("FILTER($I$3:$I$121,$L$3:$L$121=M468)"),1249.0)</f>
        <v>1249</v>
      </c>
      <c r="N470" s="861">
        <v>0.65</v>
      </c>
      <c r="O470" s="863">
        <f>M470*N470</f>
        <v>811.85</v>
      </c>
    </row>
    <row r="471">
      <c r="A471" s="780"/>
      <c r="B471" s="781"/>
      <c r="C471" s="781"/>
      <c r="D471" s="781"/>
      <c r="E471" s="782"/>
      <c r="F471" s="783"/>
      <c r="G471" s="782"/>
      <c r="H471" s="283"/>
      <c r="I471" s="907"/>
      <c r="J471" s="908"/>
      <c r="K471" s="908"/>
      <c r="L471" s="908"/>
      <c r="M471" s="909"/>
      <c r="N471" s="908"/>
      <c r="O471" s="910"/>
    </row>
    <row r="472">
      <c r="A472" s="785"/>
      <c r="B472" s="786"/>
      <c r="C472" s="786"/>
      <c r="D472" s="786"/>
      <c r="E472" s="785"/>
      <c r="F472" s="783"/>
      <c r="G472" s="782"/>
      <c r="H472" s="283"/>
      <c r="I472" s="911"/>
      <c r="J472" s="861"/>
      <c r="K472" s="861"/>
      <c r="L472" s="861"/>
      <c r="M472" s="911"/>
      <c r="N472" s="861"/>
      <c r="O472" s="863"/>
    </row>
    <row r="473">
      <c r="A473" s="785"/>
      <c r="B473" s="786"/>
      <c r="C473" s="786"/>
      <c r="D473" s="786"/>
      <c r="E473" s="785"/>
      <c r="F473" s="787"/>
      <c r="G473" s="788"/>
      <c r="H473" s="283"/>
      <c r="I473" s="785"/>
      <c r="J473" s="786"/>
      <c r="K473" s="786"/>
      <c r="L473" s="786"/>
      <c r="M473" s="785"/>
      <c r="N473" s="787"/>
      <c r="O473" s="789"/>
    </row>
    <row r="474">
      <c r="A474" s="785"/>
      <c r="B474" s="786"/>
      <c r="C474" s="786"/>
      <c r="D474" s="786"/>
      <c r="E474" s="785"/>
      <c r="F474" s="787"/>
      <c r="G474" s="788"/>
      <c r="H474" s="283"/>
      <c r="I474" s="785"/>
      <c r="J474" s="786"/>
      <c r="K474" s="786"/>
      <c r="L474" s="786"/>
      <c r="M474" s="785"/>
      <c r="N474" s="787"/>
      <c r="O474" s="789"/>
    </row>
    <row r="475">
      <c r="A475" s="785"/>
      <c r="B475" s="786"/>
      <c r="C475" s="786"/>
      <c r="D475" s="786"/>
      <c r="E475" s="785"/>
      <c r="F475" s="787"/>
      <c r="G475" s="788"/>
      <c r="H475" s="283"/>
      <c r="I475" s="785"/>
      <c r="J475" s="786"/>
      <c r="K475" s="786"/>
      <c r="L475" s="786"/>
      <c r="M475" s="785"/>
      <c r="N475" s="787"/>
      <c r="O475" s="789"/>
    </row>
    <row r="476">
      <c r="A476" s="790" t="s">
        <v>711</v>
      </c>
      <c r="B476" s="791"/>
      <c r="C476" s="791"/>
      <c r="D476" s="792"/>
      <c r="E476" s="793">
        <f>SUM(E470:E475)</f>
        <v>2800</v>
      </c>
      <c r="F476" s="794"/>
      <c r="G476" s="793">
        <f>SUM(G470:G475)</f>
        <v>2464</v>
      </c>
      <c r="H476" s="283"/>
      <c r="I476" s="790" t="s">
        <v>711</v>
      </c>
      <c r="J476" s="791"/>
      <c r="K476" s="791"/>
      <c r="L476" s="792"/>
      <c r="M476" s="877">
        <f>SUM(M470:M475)</f>
        <v>1249</v>
      </c>
      <c r="N476" s="794"/>
      <c r="O476" s="793">
        <f>SUM(O470:O475)</f>
        <v>811.85</v>
      </c>
    </row>
    <row r="477">
      <c r="A477" s="796"/>
      <c r="D477" s="798"/>
      <c r="G477" s="799"/>
      <c r="H477" s="283"/>
      <c r="I477" s="796"/>
      <c r="L477" s="798"/>
      <c r="O477" s="799"/>
    </row>
    <row r="478">
      <c r="A478" s="800" t="s">
        <v>712</v>
      </c>
      <c r="B478" s="801"/>
      <c r="C478" s="802"/>
      <c r="G478" s="799"/>
      <c r="H478" s="283"/>
      <c r="I478" s="800" t="s">
        <v>712</v>
      </c>
      <c r="J478" s="803"/>
      <c r="K478" s="804"/>
      <c r="O478" s="799"/>
    </row>
    <row r="479">
      <c r="A479" s="902" t="s">
        <v>1179</v>
      </c>
      <c r="B479" s="806"/>
      <c r="C479" s="807">
        <v>250.0</v>
      </c>
      <c r="G479" s="799"/>
      <c r="H479" s="283"/>
      <c r="I479" s="902" t="s">
        <v>1179</v>
      </c>
      <c r="J479" s="808"/>
      <c r="K479" s="903">
        <v>250.0</v>
      </c>
      <c r="O479" s="799"/>
    </row>
    <row r="480">
      <c r="A480" s="868"/>
      <c r="B480" s="774"/>
      <c r="C480" s="816"/>
      <c r="G480" s="799"/>
      <c r="H480" s="283"/>
      <c r="I480" s="868"/>
      <c r="J480" s="774"/>
      <c r="K480" s="816"/>
      <c r="O480" s="799"/>
    </row>
    <row r="481">
      <c r="A481" s="815"/>
      <c r="B481" s="792"/>
      <c r="C481" s="816"/>
      <c r="G481" s="799"/>
      <c r="H481" s="283"/>
      <c r="I481" s="815"/>
      <c r="J481" s="792"/>
      <c r="K481" s="816"/>
      <c r="O481" s="799"/>
    </row>
    <row r="482">
      <c r="A482" s="817"/>
      <c r="B482" s="774"/>
      <c r="C482" s="818"/>
      <c r="G482" s="799"/>
      <c r="H482" s="283"/>
      <c r="I482" s="817"/>
      <c r="J482" s="774"/>
      <c r="K482" s="818"/>
      <c r="O482" s="799"/>
    </row>
    <row r="483">
      <c r="A483" s="817"/>
      <c r="B483" s="792"/>
      <c r="C483" s="818"/>
      <c r="G483" s="799"/>
      <c r="H483" s="283"/>
      <c r="I483" s="817"/>
      <c r="J483" s="792"/>
      <c r="K483" s="818"/>
      <c r="O483" s="799"/>
    </row>
    <row r="484">
      <c r="A484" s="821" t="s">
        <v>714</v>
      </c>
      <c r="B484" s="822"/>
      <c r="C484" s="823">
        <f>SUM(C479:C483)</f>
        <v>250</v>
      </c>
      <c r="G484" s="799"/>
      <c r="H484" s="283"/>
      <c r="I484" s="821" t="s">
        <v>714</v>
      </c>
      <c r="J484" s="826"/>
      <c r="K484" s="823">
        <f>SUM(K479:K483)</f>
        <v>250</v>
      </c>
      <c r="O484" s="799"/>
    </row>
    <row r="485">
      <c r="A485" s="828"/>
      <c r="C485" s="829"/>
      <c r="G485" s="799"/>
      <c r="H485" s="283"/>
      <c r="I485" s="828"/>
      <c r="K485" s="829"/>
      <c r="O485" s="799"/>
    </row>
    <row r="486">
      <c r="A486" s="830" t="s">
        <v>715</v>
      </c>
      <c r="B486" s="831"/>
      <c r="C486" s="832"/>
      <c r="G486" s="799"/>
      <c r="H486" s="283"/>
      <c r="I486" s="833" t="s">
        <v>715</v>
      </c>
      <c r="J486" s="834"/>
      <c r="K486" s="835"/>
      <c r="O486" s="799"/>
    </row>
    <row r="487">
      <c r="A487" s="836" t="s">
        <v>716</v>
      </c>
      <c r="B487" s="837"/>
      <c r="C487" s="838">
        <v>150.0</v>
      </c>
      <c r="G487" s="799"/>
      <c r="H487" s="283"/>
      <c r="I487" s="839"/>
      <c r="J487" s="840"/>
      <c r="K487" s="841"/>
      <c r="O487" s="799"/>
    </row>
    <row r="488">
      <c r="A488" s="842" t="s">
        <v>717</v>
      </c>
      <c r="B488" s="843"/>
      <c r="C488" s="844">
        <v>400.0</v>
      </c>
      <c r="D488" s="248"/>
      <c r="E488" s="845" t="s">
        <v>1182</v>
      </c>
      <c r="G488" s="846">
        <f>G476+C484-C493</f>
        <v>955.87</v>
      </c>
      <c r="H488" s="283"/>
      <c r="I488" s="847"/>
      <c r="J488" s="848"/>
      <c r="K488" s="849"/>
      <c r="L488" s="248"/>
      <c r="M488" s="845" t="s">
        <v>1183</v>
      </c>
      <c r="O488" s="846">
        <f>O476+K484-K493</f>
        <v>1061.85</v>
      </c>
    </row>
    <row r="489">
      <c r="A489" s="836" t="s">
        <v>718</v>
      </c>
      <c r="B489" s="837"/>
      <c r="C489" s="838">
        <v>200.0</v>
      </c>
      <c r="G489" s="799"/>
      <c r="H489" s="283"/>
      <c r="I489" s="847"/>
      <c r="J489" s="848"/>
      <c r="K489" s="849"/>
      <c r="O489" s="799"/>
    </row>
    <row r="490">
      <c r="A490" s="842" t="s">
        <v>656</v>
      </c>
      <c r="B490" s="843"/>
      <c r="C490" s="844">
        <f>IFERROR(__xludf.DUMMYFUNCTION("FILTER($C$4:$C$30,$B$4:$B$30=E468)"),1008.13)</f>
        <v>1008.13</v>
      </c>
      <c r="G490" s="799"/>
      <c r="H490" s="283"/>
      <c r="I490" s="847"/>
      <c r="J490" s="848"/>
      <c r="K490" s="849"/>
      <c r="O490" s="799"/>
    </row>
    <row r="491">
      <c r="A491" s="850" t="s">
        <v>1184</v>
      </c>
      <c r="B491" s="851"/>
      <c r="C491" s="852"/>
      <c r="E491" s="248"/>
      <c r="G491" s="799"/>
      <c r="H491" s="283"/>
      <c r="I491" s="847"/>
      <c r="J491" s="848"/>
      <c r="K491" s="849"/>
      <c r="M491" s="248"/>
      <c r="O491" s="799"/>
    </row>
    <row r="492">
      <c r="A492" s="847"/>
      <c r="B492" s="848"/>
      <c r="C492" s="849"/>
      <c r="G492" s="799"/>
      <c r="H492" s="283"/>
      <c r="I492" s="847"/>
      <c r="J492" s="848"/>
      <c r="K492" s="849"/>
      <c r="O492" s="799"/>
    </row>
    <row r="493">
      <c r="A493" s="853" t="s">
        <v>721</v>
      </c>
      <c r="B493" s="854"/>
      <c r="C493" s="855">
        <f>SUM(C487:C492)</f>
        <v>1758.13</v>
      </c>
      <c r="G493" s="799"/>
      <c r="H493" s="283"/>
      <c r="I493" s="853" t="s">
        <v>721</v>
      </c>
      <c r="J493" s="854"/>
      <c r="K493" s="855"/>
      <c r="O493" s="799"/>
    </row>
    <row r="494">
      <c r="A494" s="856"/>
      <c r="B494" s="857"/>
      <c r="C494" s="857"/>
      <c r="D494" s="857"/>
      <c r="E494" s="857"/>
      <c r="F494" s="857"/>
      <c r="G494" s="808"/>
      <c r="H494" s="283"/>
      <c r="I494" s="856"/>
      <c r="J494" s="857"/>
      <c r="K494" s="857"/>
      <c r="L494" s="857"/>
      <c r="M494" s="857"/>
      <c r="N494" s="857"/>
      <c r="O494" s="808"/>
    </row>
    <row r="497">
      <c r="A497" s="769"/>
      <c r="B497" s="770"/>
      <c r="C497" s="770"/>
      <c r="D497" s="771" t="s">
        <v>700</v>
      </c>
      <c r="E497" s="772" t="str">
        <f>E125</f>
        <v>12.01.2025-12.07.2025</v>
      </c>
      <c r="F497" s="773"/>
      <c r="G497" s="774"/>
      <c r="H497" s="305">
        <v>13.0</v>
      </c>
      <c r="I497" s="769"/>
      <c r="J497" s="770"/>
      <c r="K497" s="770"/>
      <c r="L497" s="771" t="s">
        <v>700</v>
      </c>
      <c r="M497" s="772" t="str">
        <f>E125</f>
        <v>12.01.2025-12.07.2025</v>
      </c>
      <c r="N497" s="773"/>
      <c r="O497" s="774"/>
    </row>
    <row r="498">
      <c r="A498" s="775"/>
      <c r="D498" s="771" t="s">
        <v>702</v>
      </c>
      <c r="E498" s="772" t="str">
        <f t="array" ref="E498">XLOOKUP(E499,$Q$972:$Q$1008,$R$972:$R$1008)</f>
        <v>EDT Logistics LLC</v>
      </c>
      <c r="F498" s="773"/>
      <c r="G498" s="774"/>
      <c r="H498" s="283"/>
      <c r="I498" s="775"/>
      <c r="L498" s="771" t="s">
        <v>351</v>
      </c>
      <c r="M498" s="772" t="str">
        <f t="array" ref="M498">XLOOKUP(M499,$L$1:$L$121,$K$1:$K$121)</f>
        <v>GLADIMY JULME</v>
      </c>
      <c r="N498" s="773"/>
      <c r="O498" s="774"/>
    </row>
    <row r="499">
      <c r="A499" s="775"/>
      <c r="D499" s="771" t="s">
        <v>703</v>
      </c>
      <c r="E499" s="778" t="s">
        <v>973</v>
      </c>
      <c r="F499" s="773"/>
      <c r="G499" s="774"/>
      <c r="H499" s="858"/>
      <c r="I499" s="775"/>
      <c r="L499" s="771" t="s">
        <v>703</v>
      </c>
      <c r="M499" s="772" t="str">
        <f>E499</f>
        <v>0659</v>
      </c>
      <c r="N499" s="773"/>
      <c r="O499" s="774"/>
      <c r="P499" s="777"/>
    </row>
    <row r="500">
      <c r="A500" s="779" t="s">
        <v>704</v>
      </c>
      <c r="B500" s="779" t="s">
        <v>5</v>
      </c>
      <c r="C500" s="779" t="s">
        <v>6</v>
      </c>
      <c r="D500" s="779" t="s">
        <v>7</v>
      </c>
      <c r="E500" s="779" t="s">
        <v>8</v>
      </c>
      <c r="F500" s="779" t="s">
        <v>706</v>
      </c>
      <c r="G500" s="779" t="s">
        <v>707</v>
      </c>
      <c r="H500" s="34"/>
      <c r="I500" s="779" t="s">
        <v>704</v>
      </c>
      <c r="J500" s="779" t="s">
        <v>5</v>
      </c>
      <c r="K500" s="779" t="s">
        <v>6</v>
      </c>
      <c r="L500" s="779" t="s">
        <v>7</v>
      </c>
      <c r="M500" s="779" t="s">
        <v>1178</v>
      </c>
      <c r="N500" s="779" t="s">
        <v>839</v>
      </c>
      <c r="O500" s="779" t="s">
        <v>707</v>
      </c>
    </row>
    <row r="501">
      <c r="A501" s="780">
        <f>IFERROR(__xludf.DUMMYFUNCTION("FILTER($D$3:$H$121,$L$3:$L$121=E499)"),45996.0)</f>
        <v>45996</v>
      </c>
      <c r="B501" s="781">
        <f>IFERROR(__xludf.DUMMYFUNCTION("""COMPUTED_VALUE"""),270528.0)</f>
        <v>270528</v>
      </c>
      <c r="C501" s="781" t="str">
        <f>IFERROR(__xludf.DUMMYFUNCTION("""COMPUTED_VALUE"""),"Charlotte, NC, 28269")</f>
        <v>Charlotte, NC, 28269</v>
      </c>
      <c r="D501" s="781" t="str">
        <f>IFERROR(__xludf.DUMMYFUNCTION("""COMPUTED_VALUE"""),"Kent, WA, 98032")</f>
        <v>Kent, WA, 98032</v>
      </c>
      <c r="E501" s="782">
        <f>IFERROR(__xludf.DUMMYFUNCTION("""COMPUTED_VALUE"""),5350.0)</f>
        <v>5350</v>
      </c>
      <c r="F501" s="783">
        <v>0.88</v>
      </c>
      <c r="G501" s="782">
        <f t="shared" ref="G501:G503" si="26">E501*F501</f>
        <v>4708</v>
      </c>
      <c r="H501" s="283"/>
      <c r="I501" s="780">
        <f>IFERROR(__xludf.DUMMYFUNCTION("FILTER($D$3:$G$121,$L$3:$L$121=M499)"),45996.0)</f>
        <v>45996</v>
      </c>
      <c r="J501" s="781">
        <f>IFERROR(__xludf.DUMMYFUNCTION("""COMPUTED_VALUE"""),270528.0)</f>
        <v>270528</v>
      </c>
      <c r="K501" s="781" t="str">
        <f>IFERROR(__xludf.DUMMYFUNCTION("""COMPUTED_VALUE"""),"Charlotte, NC, 28269")</f>
        <v>Charlotte, NC, 28269</v>
      </c>
      <c r="L501" s="781" t="str">
        <f>IFERROR(__xludf.DUMMYFUNCTION("""COMPUTED_VALUE"""),"Kent, WA, 98032")</f>
        <v>Kent, WA, 98032</v>
      </c>
      <c r="M501" s="896">
        <f>IFERROR(__xludf.DUMMYFUNCTION("FILTER($I$3:$I$121,$L$3:$L$121=M499)"),2849.0)</f>
        <v>2849</v>
      </c>
      <c r="N501" s="781">
        <v>0.65</v>
      </c>
      <c r="O501" s="782">
        <f t="shared" ref="O501:O503" si="27">M501*N501</f>
        <v>1851.85</v>
      </c>
    </row>
    <row r="502">
      <c r="A502" s="780"/>
      <c r="B502" s="781"/>
      <c r="C502" s="781"/>
      <c r="D502" s="781"/>
      <c r="E502" s="782"/>
      <c r="F502" s="783">
        <v>0.88</v>
      </c>
      <c r="G502" s="782">
        <f t="shared" si="26"/>
        <v>0</v>
      </c>
      <c r="H502" s="283"/>
      <c r="I502" s="881"/>
      <c r="J502" s="882"/>
      <c r="K502" s="882"/>
      <c r="L502" s="882"/>
      <c r="M502" s="896"/>
      <c r="N502" s="781">
        <v>0.65</v>
      </c>
      <c r="O502" s="782">
        <f t="shared" si="27"/>
        <v>0</v>
      </c>
    </row>
    <row r="503">
      <c r="A503" s="785"/>
      <c r="B503" s="786"/>
      <c r="C503" s="786"/>
      <c r="D503" s="786"/>
      <c r="E503" s="785"/>
      <c r="F503" s="783">
        <v>0.88</v>
      </c>
      <c r="G503" s="782">
        <f t="shared" si="26"/>
        <v>0</v>
      </c>
      <c r="H503" s="283"/>
      <c r="I503" s="785"/>
      <c r="J503" s="786"/>
      <c r="K503" s="786"/>
      <c r="L503" s="786"/>
      <c r="M503" s="785"/>
      <c r="N503" s="781">
        <v>0.65</v>
      </c>
      <c r="O503" s="782">
        <f t="shared" si="27"/>
        <v>0</v>
      </c>
    </row>
    <row r="504">
      <c r="A504" s="785"/>
      <c r="B504" s="786"/>
      <c r="C504" s="786"/>
      <c r="D504" s="786"/>
      <c r="E504" s="785"/>
      <c r="F504" s="787"/>
      <c r="G504" s="782"/>
      <c r="H504" s="283"/>
      <c r="I504" s="785"/>
      <c r="J504" s="786"/>
      <c r="K504" s="786"/>
      <c r="L504" s="786"/>
      <c r="M504" s="785"/>
      <c r="N504" s="787"/>
      <c r="O504" s="789"/>
    </row>
    <row r="505">
      <c r="A505" s="785"/>
      <c r="B505" s="786"/>
      <c r="C505" s="786"/>
      <c r="D505" s="786"/>
      <c r="E505" s="785"/>
      <c r="F505" s="787"/>
      <c r="G505" s="788"/>
      <c r="H505" s="283"/>
      <c r="I505" s="785"/>
      <c r="J505" s="786"/>
      <c r="K505" s="786"/>
      <c r="L505" s="786"/>
      <c r="M505" s="785"/>
      <c r="N505" s="787"/>
      <c r="O505" s="789"/>
    </row>
    <row r="506">
      <c r="A506" s="785"/>
      <c r="B506" s="786"/>
      <c r="C506" s="786"/>
      <c r="D506" s="786"/>
      <c r="E506" s="785"/>
      <c r="F506" s="787"/>
      <c r="G506" s="788"/>
      <c r="H506" s="283"/>
      <c r="I506" s="785"/>
      <c r="J506" s="786"/>
      <c r="K506" s="786"/>
      <c r="L506" s="786"/>
      <c r="M506" s="785"/>
      <c r="N506" s="787"/>
      <c r="O506" s="789"/>
    </row>
    <row r="507">
      <c r="A507" s="790" t="s">
        <v>711</v>
      </c>
      <c r="B507" s="791"/>
      <c r="C507" s="791"/>
      <c r="D507" s="792"/>
      <c r="E507" s="793">
        <f>SUM(E501:E506)</f>
        <v>5350</v>
      </c>
      <c r="F507" s="794"/>
      <c r="G507" s="793">
        <f>SUM(G501:G506)</f>
        <v>4708</v>
      </c>
      <c r="H507" s="283"/>
      <c r="I507" s="790" t="s">
        <v>711</v>
      </c>
      <c r="J507" s="791"/>
      <c r="K507" s="791"/>
      <c r="L507" s="792"/>
      <c r="M507" s="877">
        <f>SUM(M501:M506)</f>
        <v>2849</v>
      </c>
      <c r="N507" s="794"/>
      <c r="O507" s="793">
        <f>SUM(O501:O506)</f>
        <v>1851.85</v>
      </c>
    </row>
    <row r="508">
      <c r="A508" s="796"/>
      <c r="D508" s="798"/>
      <c r="G508" s="799"/>
      <c r="H508" s="283"/>
      <c r="I508" s="796"/>
      <c r="L508" s="798"/>
      <c r="O508" s="799"/>
    </row>
    <row r="509">
      <c r="A509" s="800" t="s">
        <v>712</v>
      </c>
      <c r="B509" s="801"/>
      <c r="C509" s="802"/>
      <c r="G509" s="799"/>
      <c r="H509" s="283"/>
      <c r="I509" s="800" t="s">
        <v>712</v>
      </c>
      <c r="J509" s="803"/>
      <c r="K509" s="804"/>
      <c r="O509" s="799"/>
    </row>
    <row r="510">
      <c r="A510" s="805" t="s">
        <v>1435</v>
      </c>
      <c r="B510" s="806"/>
      <c r="C510" s="952">
        <v>250.0</v>
      </c>
      <c r="G510" s="799"/>
      <c r="H510" s="283"/>
      <c r="I510" s="805" t="s">
        <v>1435</v>
      </c>
      <c r="J510" s="808"/>
      <c r="K510" s="967">
        <v>250.0</v>
      </c>
      <c r="O510" s="799"/>
    </row>
    <row r="511">
      <c r="A511" s="813"/>
      <c r="B511" s="898"/>
      <c r="C511" s="899"/>
      <c r="G511" s="799"/>
      <c r="H511" s="283"/>
      <c r="I511" s="813"/>
      <c r="J511" s="774"/>
      <c r="K511" s="963"/>
      <c r="O511" s="799"/>
    </row>
    <row r="512">
      <c r="A512" s="977"/>
      <c r="B512" s="792"/>
      <c r="C512" s="978"/>
      <c r="G512" s="799"/>
      <c r="H512" s="283"/>
      <c r="I512" s="979"/>
      <c r="J512" s="792"/>
      <c r="K512" s="978"/>
      <c r="O512" s="799"/>
    </row>
    <row r="513">
      <c r="A513" s="817"/>
      <c r="B513" s="774"/>
      <c r="C513" s="818"/>
      <c r="G513" s="799"/>
      <c r="H513" s="283"/>
      <c r="I513" s="817"/>
      <c r="J513" s="774"/>
      <c r="K513" s="818"/>
      <c r="O513" s="799"/>
    </row>
    <row r="514">
      <c r="A514" s="817"/>
      <c r="B514" s="792"/>
      <c r="C514" s="818"/>
      <c r="G514" s="799"/>
      <c r="H514" s="283"/>
      <c r="I514" s="817"/>
      <c r="J514" s="792"/>
      <c r="K514" s="818"/>
      <c r="O514" s="799"/>
    </row>
    <row r="515">
      <c r="A515" s="821" t="s">
        <v>714</v>
      </c>
      <c r="B515" s="822"/>
      <c r="C515" s="823">
        <f>SUM(C510:C514)</f>
        <v>250</v>
      </c>
      <c r="G515" s="799"/>
      <c r="H515" s="283"/>
      <c r="I515" s="821" t="s">
        <v>714</v>
      </c>
      <c r="J515" s="826"/>
      <c r="K515" s="827">
        <f>SUM(K510:K514)</f>
        <v>250</v>
      </c>
      <c r="O515" s="799"/>
    </row>
    <row r="516">
      <c r="A516" s="828"/>
      <c r="C516" s="829"/>
      <c r="G516" s="799"/>
      <c r="H516" s="283"/>
      <c r="I516" s="828"/>
      <c r="K516" s="829"/>
      <c r="O516" s="799"/>
    </row>
    <row r="517">
      <c r="A517" s="830" t="s">
        <v>715</v>
      </c>
      <c r="B517" s="831"/>
      <c r="C517" s="832"/>
      <c r="G517" s="799"/>
      <c r="H517" s="283"/>
      <c r="I517" s="833" t="s">
        <v>715</v>
      </c>
      <c r="J517" s="834"/>
      <c r="K517" s="835"/>
      <c r="O517" s="799"/>
    </row>
    <row r="518">
      <c r="A518" s="836" t="s">
        <v>716</v>
      </c>
      <c r="B518" s="837"/>
      <c r="C518" s="838">
        <v>150.0</v>
      </c>
      <c r="G518" s="799"/>
      <c r="H518" s="283"/>
      <c r="I518" s="839"/>
      <c r="J518" s="840"/>
      <c r="K518" s="841"/>
      <c r="O518" s="799"/>
    </row>
    <row r="519">
      <c r="A519" s="842" t="s">
        <v>717</v>
      </c>
      <c r="B519" s="843"/>
      <c r="C519" s="844">
        <v>400.0</v>
      </c>
      <c r="D519" s="248"/>
      <c r="E519" s="845" t="s">
        <v>1182</v>
      </c>
      <c r="G519" s="846">
        <f>G507+C515-C524</f>
        <v>2010.17</v>
      </c>
      <c r="H519" s="283"/>
      <c r="I519" s="847"/>
      <c r="J519" s="848"/>
      <c r="K519" s="849"/>
      <c r="L519" s="248"/>
      <c r="M519" s="845" t="s">
        <v>1183</v>
      </c>
      <c r="O519" s="846">
        <f>O507+K515-K524</f>
        <v>2101.85</v>
      </c>
    </row>
    <row r="520">
      <c r="A520" s="836" t="s">
        <v>718</v>
      </c>
      <c r="B520" s="837"/>
      <c r="C520" s="838">
        <v>200.0</v>
      </c>
      <c r="G520" s="799"/>
      <c r="H520" s="283"/>
      <c r="I520" s="847"/>
      <c r="J520" s="848"/>
      <c r="K520" s="849"/>
      <c r="O520" s="799"/>
    </row>
    <row r="521">
      <c r="A521" s="842" t="s">
        <v>656</v>
      </c>
      <c r="B521" s="843"/>
      <c r="C521" s="844">
        <f>IFERROR(__xludf.DUMMYFUNCTION("FILTER($C$4:$C$30,$B$4:$B$30=E499)"),2197.83)</f>
        <v>2197.83</v>
      </c>
      <c r="G521" s="799"/>
      <c r="H521" s="283"/>
      <c r="I521" s="847"/>
      <c r="J521" s="848"/>
      <c r="K521" s="849"/>
      <c r="O521" s="799"/>
    </row>
    <row r="522">
      <c r="A522" s="850" t="s">
        <v>1184</v>
      </c>
      <c r="B522" s="851"/>
      <c r="C522" s="852"/>
      <c r="E522" s="248"/>
      <c r="G522" s="799"/>
      <c r="H522" s="283"/>
      <c r="I522" s="847"/>
      <c r="J522" s="848"/>
      <c r="K522" s="849"/>
      <c r="M522" s="248"/>
      <c r="O522" s="799"/>
    </row>
    <row r="523">
      <c r="A523" s="847"/>
      <c r="B523" s="848"/>
      <c r="C523" s="849"/>
      <c r="G523" s="799"/>
      <c r="H523" s="283"/>
      <c r="I523" s="847"/>
      <c r="J523" s="848"/>
      <c r="K523" s="849"/>
      <c r="O523" s="799"/>
    </row>
    <row r="524">
      <c r="A524" s="853" t="s">
        <v>721</v>
      </c>
      <c r="B524" s="854"/>
      <c r="C524" s="855">
        <f>SUM(C518:C523)</f>
        <v>2947.83</v>
      </c>
      <c r="G524" s="799"/>
      <c r="H524" s="283"/>
      <c r="I524" s="853" t="s">
        <v>721</v>
      </c>
      <c r="J524" s="854"/>
      <c r="K524" s="855"/>
      <c r="O524" s="799"/>
    </row>
    <row r="525">
      <c r="A525" s="856"/>
      <c r="B525" s="857"/>
      <c r="C525" s="857"/>
      <c r="D525" s="857"/>
      <c r="E525" s="857"/>
      <c r="F525" s="857"/>
      <c r="G525" s="808"/>
      <c r="H525" s="283"/>
      <c r="I525" s="856"/>
      <c r="J525" s="857"/>
      <c r="K525" s="857"/>
      <c r="L525" s="857"/>
      <c r="M525" s="857"/>
      <c r="N525" s="857"/>
      <c r="O525" s="808"/>
    </row>
    <row r="528">
      <c r="A528" s="769"/>
      <c r="B528" s="770"/>
      <c r="C528" s="770"/>
      <c r="D528" s="771" t="s">
        <v>700</v>
      </c>
      <c r="E528" s="772" t="str">
        <f>E125</f>
        <v>12.01.2025-12.07.2025</v>
      </c>
      <c r="F528" s="773"/>
      <c r="G528" s="774"/>
      <c r="H528" s="305">
        <v>14.0</v>
      </c>
      <c r="I528" s="769"/>
      <c r="J528" s="770"/>
      <c r="K528" s="770"/>
      <c r="L528" s="771" t="s">
        <v>700</v>
      </c>
      <c r="M528" s="772" t="str">
        <f>E125</f>
        <v>12.01.2025-12.07.2025</v>
      </c>
      <c r="N528" s="773"/>
      <c r="O528" s="774"/>
    </row>
    <row r="529">
      <c r="A529" s="775"/>
      <c r="D529" s="771" t="s">
        <v>702</v>
      </c>
      <c r="E529" s="772" t="str">
        <f t="array" ref="E529">XLOOKUP(E530,$Q$972:$Q$1008,$R$972:$R$1008)</f>
        <v>Beycan LLC</v>
      </c>
      <c r="F529" s="773"/>
      <c r="G529" s="774"/>
      <c r="H529" s="283"/>
      <c r="I529" s="775"/>
      <c r="L529" s="771" t="s">
        <v>351</v>
      </c>
      <c r="M529" s="772" t="str">
        <f t="array" ref="M529">XLOOKUP(M530,$L$1:$L$121,$K$1:$K$121)</f>
        <v>YVENSO BOSQUET</v>
      </c>
      <c r="N529" s="773"/>
      <c r="O529" s="774"/>
    </row>
    <row r="530">
      <c r="A530" s="775"/>
      <c r="D530" s="771" t="s">
        <v>703</v>
      </c>
      <c r="E530" s="772">
        <v>3301.0</v>
      </c>
      <c r="F530" s="773"/>
      <c r="G530" s="774"/>
      <c r="H530" s="858"/>
      <c r="I530" s="775"/>
      <c r="L530" s="771" t="s">
        <v>703</v>
      </c>
      <c r="M530" s="772">
        <f>E530</f>
        <v>3301</v>
      </c>
      <c r="N530" s="773"/>
      <c r="O530" s="774"/>
      <c r="P530" s="777"/>
    </row>
    <row r="531">
      <c r="A531" s="779" t="s">
        <v>704</v>
      </c>
      <c r="B531" s="779" t="s">
        <v>5</v>
      </c>
      <c r="C531" s="779" t="s">
        <v>6</v>
      </c>
      <c r="D531" s="779" t="s">
        <v>7</v>
      </c>
      <c r="E531" s="779" t="s">
        <v>8</v>
      </c>
      <c r="F531" s="779" t="s">
        <v>706</v>
      </c>
      <c r="G531" s="779" t="s">
        <v>707</v>
      </c>
      <c r="H531" s="34"/>
      <c r="I531" s="779" t="s">
        <v>704</v>
      </c>
      <c r="J531" s="779" t="s">
        <v>5</v>
      </c>
      <c r="K531" s="779" t="s">
        <v>6</v>
      </c>
      <c r="L531" s="779" t="s">
        <v>7</v>
      </c>
      <c r="M531" s="779" t="s">
        <v>1178</v>
      </c>
      <c r="N531" s="779" t="s">
        <v>839</v>
      </c>
      <c r="O531" s="779" t="s">
        <v>707</v>
      </c>
    </row>
    <row r="532">
      <c r="A532" s="780">
        <f>IFERROR(__xludf.DUMMYFUNCTION("FILTER($D$3:$H$121,$L$3:$L$121=E530)"),45993.0)</f>
        <v>45993</v>
      </c>
      <c r="B532" s="781" t="str">
        <f>IFERROR(__xludf.DUMMYFUNCTION("""COMPUTED_VALUE"""),"6NB1211")</f>
        <v>6NB1211</v>
      </c>
      <c r="C532" s="781" t="str">
        <f>IFERROR(__xludf.DUMMYFUNCTION("""COMPUTED_VALUE"""),"Sanford, FL, 32771")</f>
        <v>Sanford, FL, 32771</v>
      </c>
      <c r="D532" s="781" t="str">
        <f>IFERROR(__xludf.DUMMYFUNCTION("""COMPUTED_VALUE"""),"Pittsville, WI, 54466")</f>
        <v>Pittsville, WI, 54466</v>
      </c>
      <c r="E532" s="782">
        <f>IFERROR(__xludf.DUMMYFUNCTION("""COMPUTED_VALUE"""),1850.0)</f>
        <v>1850</v>
      </c>
      <c r="F532" s="783">
        <v>0.88</v>
      </c>
      <c r="G532" s="782">
        <f t="shared" ref="G532:G536" si="28">E532*F532</f>
        <v>1628</v>
      </c>
      <c r="H532" s="283"/>
      <c r="I532" s="883">
        <f>IFERROR(__xludf.DUMMYFUNCTION("FILTER($D$3:$G$121,$L$3:$L$121=M530)"),45993.0)</f>
        <v>45993</v>
      </c>
      <c r="J532" s="786" t="str">
        <f>IFERROR(__xludf.DUMMYFUNCTION("""COMPUTED_VALUE"""),"6NB1211")</f>
        <v>6NB1211</v>
      </c>
      <c r="K532" s="786" t="str">
        <f>IFERROR(__xludf.DUMMYFUNCTION("""COMPUTED_VALUE"""),"Sanford, FL, 32771")</f>
        <v>Sanford, FL, 32771</v>
      </c>
      <c r="L532" s="786" t="str">
        <f>IFERROR(__xludf.DUMMYFUNCTION("""COMPUTED_VALUE"""),"Pittsville, WI, 54466")</f>
        <v>Pittsville, WI, 54466</v>
      </c>
      <c r="M532" s="896">
        <f>IFERROR(__xludf.DUMMYFUNCTION("FILTER($I$3:$I$121,$L$3:$L$121=M530)"),1459.0)</f>
        <v>1459</v>
      </c>
      <c r="N532" s="861">
        <v>0.65</v>
      </c>
      <c r="O532" s="863">
        <f t="shared" ref="O532:O536" si="29">M532*N532</f>
        <v>948.35</v>
      </c>
    </row>
    <row r="533">
      <c r="A533" s="780">
        <f>IFERROR(__xludf.DUMMYFUNCTION("""COMPUTED_VALUE"""),45995.0)</f>
        <v>45995</v>
      </c>
      <c r="B533" s="781">
        <f>IFERROR(__xludf.DUMMYFUNCTION("""COMPUTED_VALUE"""),1518475.0)</f>
        <v>1518475</v>
      </c>
      <c r="C533" s="781" t="str">
        <f>IFERROR(__xludf.DUMMYFUNCTION("""COMPUTED_VALUE"""),"Dorchester, WI, 54425")</f>
        <v>Dorchester, WI, 54425</v>
      </c>
      <c r="D533" s="781" t="str">
        <f>IFERROR(__xludf.DUMMYFUNCTION("""COMPUTED_VALUE"""),"Denver, CO, 80216")</f>
        <v>Denver, CO, 80216</v>
      </c>
      <c r="E533" s="782">
        <f>IFERROR(__xludf.DUMMYFUNCTION("""COMPUTED_VALUE"""),3000.0)</f>
        <v>3000</v>
      </c>
      <c r="F533" s="783">
        <v>0.88</v>
      </c>
      <c r="G533" s="782">
        <f t="shared" si="28"/>
        <v>2640</v>
      </c>
      <c r="H533" s="283"/>
      <c r="I533" s="883">
        <f>IFERROR(__xludf.DUMMYFUNCTION("""COMPUTED_VALUE"""),45995.0)</f>
        <v>45995</v>
      </c>
      <c r="J533" s="786">
        <f>IFERROR(__xludf.DUMMYFUNCTION("""COMPUTED_VALUE"""),1518475.0)</f>
        <v>1518475</v>
      </c>
      <c r="K533" s="786" t="str">
        <f>IFERROR(__xludf.DUMMYFUNCTION("""COMPUTED_VALUE"""),"Dorchester, WI, 54425")</f>
        <v>Dorchester, WI, 54425</v>
      </c>
      <c r="L533" s="786" t="str">
        <f>IFERROR(__xludf.DUMMYFUNCTION("""COMPUTED_VALUE"""),"Denver, CO, 80216")</f>
        <v>Denver, CO, 80216</v>
      </c>
      <c r="M533" s="880">
        <f>IFERROR(__xludf.DUMMYFUNCTION("""COMPUTED_VALUE"""),1093.0)</f>
        <v>1093</v>
      </c>
      <c r="N533" s="861">
        <v>0.65</v>
      </c>
      <c r="O533" s="863">
        <f t="shared" si="29"/>
        <v>710.45</v>
      </c>
    </row>
    <row r="534">
      <c r="A534" s="883">
        <f>IFERROR(__xludf.DUMMYFUNCTION("""COMPUTED_VALUE"""),45996.0)</f>
        <v>45996</v>
      </c>
      <c r="B534" s="786">
        <f>IFERROR(__xludf.DUMMYFUNCTION("""COMPUTED_VALUE"""),2.0786855E7)</f>
        <v>20786855</v>
      </c>
      <c r="C534" s="786" t="str">
        <f>IFERROR(__xludf.DUMMYFUNCTION("""COMPUTED_VALUE"""),"Golden, CO, 80403")</f>
        <v>Golden, CO, 80403</v>
      </c>
      <c r="D534" s="786" t="str">
        <f>IFERROR(__xludf.DUMMYFUNCTION("""COMPUTED_VALUE"""),"Nashua, NH, 03063")</f>
        <v>Nashua, NH, 03063</v>
      </c>
      <c r="E534" s="884">
        <f>IFERROR(__xludf.DUMMYFUNCTION("""COMPUTED_VALUE"""),4000.0)</f>
        <v>4000</v>
      </c>
      <c r="F534" s="783">
        <v>0.88</v>
      </c>
      <c r="G534" s="782">
        <f t="shared" si="28"/>
        <v>3520</v>
      </c>
      <c r="H534" s="283"/>
      <c r="I534" s="883">
        <f>IFERROR(__xludf.DUMMYFUNCTION("""COMPUTED_VALUE"""),45996.0)</f>
        <v>45996</v>
      </c>
      <c r="J534" s="786">
        <f>IFERROR(__xludf.DUMMYFUNCTION("""COMPUTED_VALUE"""),2.0786855E7)</f>
        <v>20786855</v>
      </c>
      <c r="K534" s="786" t="str">
        <f>IFERROR(__xludf.DUMMYFUNCTION("""COMPUTED_VALUE"""),"Golden, CO, 80403")</f>
        <v>Golden, CO, 80403</v>
      </c>
      <c r="L534" s="786" t="str">
        <f>IFERROR(__xludf.DUMMYFUNCTION("""COMPUTED_VALUE"""),"Nashua, NH, 03063")</f>
        <v>Nashua, NH, 03063</v>
      </c>
      <c r="M534" s="880">
        <f>IFERROR(__xludf.DUMMYFUNCTION("""COMPUTED_VALUE"""),2010.0)</f>
        <v>2010</v>
      </c>
      <c r="N534" s="861">
        <v>0.65</v>
      </c>
      <c r="O534" s="863">
        <f t="shared" si="29"/>
        <v>1306.5</v>
      </c>
    </row>
    <row r="535">
      <c r="A535" s="785"/>
      <c r="B535" s="786"/>
      <c r="C535" s="786"/>
      <c r="D535" s="786"/>
      <c r="E535" s="785"/>
      <c r="F535" s="783">
        <v>0.88</v>
      </c>
      <c r="G535" s="782">
        <f t="shared" si="28"/>
        <v>0</v>
      </c>
      <c r="H535" s="283"/>
      <c r="I535" s="883"/>
      <c r="J535" s="786"/>
      <c r="K535" s="786"/>
      <c r="L535" s="786"/>
      <c r="M535" s="880"/>
      <c r="N535" s="861">
        <v>0.65</v>
      </c>
      <c r="O535" s="863">
        <f t="shared" si="29"/>
        <v>0</v>
      </c>
    </row>
    <row r="536">
      <c r="A536" s="785"/>
      <c r="B536" s="786"/>
      <c r="C536" s="786"/>
      <c r="D536" s="786"/>
      <c r="E536" s="785"/>
      <c r="F536" s="783">
        <v>0.88</v>
      </c>
      <c r="G536" s="782">
        <f t="shared" si="28"/>
        <v>0</v>
      </c>
      <c r="H536" s="283"/>
      <c r="I536" s="785"/>
      <c r="J536" s="786"/>
      <c r="K536" s="786"/>
      <c r="L536" s="786"/>
      <c r="M536" s="785"/>
      <c r="N536" s="861">
        <v>0.65</v>
      </c>
      <c r="O536" s="863">
        <f t="shared" si="29"/>
        <v>0</v>
      </c>
    </row>
    <row r="537">
      <c r="A537" s="785"/>
      <c r="B537" s="786"/>
      <c r="C537" s="786"/>
      <c r="D537" s="786"/>
      <c r="E537" s="785"/>
      <c r="F537" s="787"/>
      <c r="G537" s="788"/>
      <c r="H537" s="283"/>
      <c r="I537" s="785"/>
      <c r="J537" s="786"/>
      <c r="K537" s="786"/>
      <c r="L537" s="786"/>
      <c r="M537" s="785"/>
      <c r="N537" s="787"/>
      <c r="O537" s="789"/>
    </row>
    <row r="538">
      <c r="A538" s="790" t="s">
        <v>711</v>
      </c>
      <c r="B538" s="791"/>
      <c r="C538" s="791"/>
      <c r="D538" s="792"/>
      <c r="E538" s="793">
        <f>SUM(E532:E537)</f>
        <v>8850</v>
      </c>
      <c r="F538" s="794"/>
      <c r="G538" s="793">
        <f>SUM(G532:G537)</f>
        <v>7788</v>
      </c>
      <c r="H538" s="283"/>
      <c r="I538" s="790" t="s">
        <v>711</v>
      </c>
      <c r="J538" s="791"/>
      <c r="K538" s="791"/>
      <c r="L538" s="792"/>
      <c r="M538" s="877">
        <f>SUM(M532:M537)</f>
        <v>4562</v>
      </c>
      <c r="N538" s="794"/>
      <c r="O538" s="793">
        <f>SUM(O532:O537)</f>
        <v>2965.3</v>
      </c>
    </row>
    <row r="539">
      <c r="A539" s="796"/>
      <c r="D539" s="798"/>
      <c r="G539" s="799"/>
      <c r="H539" s="283"/>
      <c r="I539" s="796"/>
      <c r="L539" s="798"/>
      <c r="M539" s="798"/>
      <c r="N539" s="798"/>
      <c r="O539" s="878"/>
    </row>
    <row r="540">
      <c r="A540" s="800" t="s">
        <v>712</v>
      </c>
      <c r="B540" s="801"/>
      <c r="C540" s="802"/>
      <c r="G540" s="799"/>
      <c r="H540" s="283"/>
      <c r="I540" s="800" t="s">
        <v>712</v>
      </c>
      <c r="J540" s="803"/>
      <c r="K540" s="804"/>
      <c r="L540" s="798"/>
      <c r="M540" s="798"/>
      <c r="N540" s="798"/>
      <c r="O540" s="878"/>
    </row>
    <row r="541">
      <c r="A541" s="902"/>
      <c r="B541" s="806"/>
      <c r="C541" s="807"/>
      <c r="G541" s="799"/>
      <c r="H541" s="283"/>
      <c r="I541" s="902"/>
      <c r="J541" s="808"/>
      <c r="K541" s="903"/>
      <c r="L541" s="798"/>
      <c r="M541" s="798"/>
      <c r="N541" s="798"/>
      <c r="O541" s="878"/>
    </row>
    <row r="542">
      <c r="A542" s="868"/>
      <c r="B542" s="774"/>
      <c r="C542" s="816"/>
      <c r="G542" s="799"/>
      <c r="H542" s="283"/>
      <c r="I542" s="868"/>
      <c r="J542" s="774"/>
      <c r="K542" s="816"/>
      <c r="L542" s="798"/>
      <c r="M542" s="798"/>
      <c r="N542" s="798"/>
      <c r="O542" s="878"/>
    </row>
    <row r="543">
      <c r="A543" s="815"/>
      <c r="B543" s="792"/>
      <c r="C543" s="816"/>
      <c r="G543" s="799"/>
      <c r="H543" s="283"/>
      <c r="I543" s="815"/>
      <c r="J543" s="792"/>
      <c r="K543" s="816"/>
      <c r="L543" s="798"/>
      <c r="M543" s="798"/>
      <c r="N543" s="798"/>
      <c r="O543" s="878"/>
    </row>
    <row r="544">
      <c r="A544" s="817"/>
      <c r="B544" s="774"/>
      <c r="C544" s="818"/>
      <c r="G544" s="799"/>
      <c r="H544" s="283"/>
      <c r="I544" s="817"/>
      <c r="J544" s="774"/>
      <c r="K544" s="818"/>
      <c r="L544" s="798"/>
      <c r="M544" s="798"/>
      <c r="N544" s="798"/>
      <c r="O544" s="878"/>
    </row>
    <row r="545">
      <c r="A545" s="817"/>
      <c r="B545" s="792"/>
      <c r="C545" s="818"/>
      <c r="G545" s="799"/>
      <c r="H545" s="283"/>
      <c r="I545" s="817"/>
      <c r="J545" s="792"/>
      <c r="K545" s="818"/>
      <c r="L545" s="798"/>
      <c r="M545" s="798"/>
      <c r="N545" s="798"/>
      <c r="O545" s="878"/>
    </row>
    <row r="546">
      <c r="A546" s="821" t="s">
        <v>714</v>
      </c>
      <c r="B546" s="822"/>
      <c r="C546" s="823">
        <f>SUM(C541:C545)</f>
        <v>0</v>
      </c>
      <c r="G546" s="799"/>
      <c r="H546" s="283"/>
      <c r="I546" s="821" t="s">
        <v>714</v>
      </c>
      <c r="J546" s="826"/>
      <c r="K546" s="823">
        <f>SUM(K541:K545)</f>
        <v>0</v>
      </c>
      <c r="L546" s="798"/>
      <c r="M546" s="798"/>
      <c r="N546" s="798"/>
      <c r="O546" s="878"/>
    </row>
    <row r="547">
      <c r="A547" s="828"/>
      <c r="C547" s="829"/>
      <c r="G547" s="799"/>
      <c r="H547" s="283"/>
      <c r="I547" s="828"/>
      <c r="K547" s="829"/>
      <c r="L547" s="248"/>
      <c r="M547" s="798"/>
      <c r="N547" s="798"/>
      <c r="O547" s="878"/>
    </row>
    <row r="548">
      <c r="A548" s="830" t="s">
        <v>715</v>
      </c>
      <c r="B548" s="831"/>
      <c r="C548" s="832"/>
      <c r="G548" s="799"/>
      <c r="H548" s="283"/>
      <c r="I548" s="833" t="s">
        <v>715</v>
      </c>
      <c r="J548" s="834"/>
      <c r="K548" s="835"/>
      <c r="L548" s="892"/>
      <c r="M548" s="798"/>
      <c r="N548" s="798"/>
      <c r="O548" s="878"/>
    </row>
    <row r="549">
      <c r="A549" s="836" t="s">
        <v>716</v>
      </c>
      <c r="B549" s="837"/>
      <c r="C549" s="838">
        <v>150.0</v>
      </c>
      <c r="G549" s="799"/>
      <c r="H549" s="283"/>
      <c r="I549" s="850" t="s">
        <v>1184</v>
      </c>
      <c r="J549" s="851"/>
      <c r="K549" s="852"/>
      <c r="L549" s="913"/>
      <c r="M549" s="798"/>
      <c r="N549" s="798"/>
      <c r="O549" s="878"/>
    </row>
    <row r="550">
      <c r="A550" s="842" t="s">
        <v>717</v>
      </c>
      <c r="B550" s="843"/>
      <c r="C550" s="844">
        <v>400.0</v>
      </c>
      <c r="D550" s="891"/>
      <c r="E550" s="845" t="s">
        <v>1182</v>
      </c>
      <c r="G550" s="846">
        <f>G538+C546-C555</f>
        <v>3770.84</v>
      </c>
      <c r="H550" s="283"/>
      <c r="I550" s="847"/>
      <c r="J550" s="848"/>
      <c r="K550" s="849"/>
      <c r="L550" s="849"/>
      <c r="M550" s="845" t="s">
        <v>1183</v>
      </c>
      <c r="O550" s="846">
        <f>O538+K546-K555</f>
        <v>2965.3</v>
      </c>
    </row>
    <row r="551">
      <c r="A551" s="836" t="s">
        <v>718</v>
      </c>
      <c r="B551" s="837"/>
      <c r="C551" s="838">
        <v>200.0</v>
      </c>
      <c r="D551" s="892"/>
      <c r="G551" s="799"/>
      <c r="H551" s="283"/>
      <c r="I551" s="850" t="s">
        <v>1184</v>
      </c>
      <c r="J551" s="851"/>
      <c r="K551" s="852"/>
      <c r="L551" s="913"/>
      <c r="O551" s="799"/>
    </row>
    <row r="552">
      <c r="A552" s="842" t="s">
        <v>656</v>
      </c>
      <c r="B552" s="843"/>
      <c r="C552" s="844">
        <f>IFERROR(__xludf.DUMMYFUNCTION("FILTER($C$4:$C$30,$B$4:$B$30=E530)"),3267.16)</f>
        <v>3267.16</v>
      </c>
      <c r="D552" s="891"/>
      <c r="G552" s="799"/>
      <c r="H552" s="283"/>
      <c r="I552" s="914"/>
      <c r="J552" s="905"/>
      <c r="K552" s="906"/>
      <c r="L552" s="849"/>
      <c r="O552" s="799"/>
    </row>
    <row r="553">
      <c r="A553" s="850"/>
      <c r="B553" s="851"/>
      <c r="C553" s="852"/>
      <c r="D553" s="913"/>
      <c r="E553" s="248"/>
      <c r="G553" s="799"/>
      <c r="H553" s="283"/>
      <c r="I553" s="847"/>
      <c r="J553" s="848"/>
      <c r="K553" s="849"/>
      <c r="L553" s="248"/>
      <c r="M553" s="248"/>
      <c r="O553" s="799"/>
    </row>
    <row r="554">
      <c r="A554" s="914"/>
      <c r="B554" s="905"/>
      <c r="C554" s="906"/>
      <c r="D554" s="915"/>
      <c r="G554" s="799"/>
      <c r="H554" s="283"/>
      <c r="I554" s="847"/>
      <c r="J554" s="848"/>
      <c r="K554" s="849"/>
      <c r="L554" s="248"/>
      <c r="O554" s="799"/>
    </row>
    <row r="555">
      <c r="A555" s="853" t="s">
        <v>721</v>
      </c>
      <c r="B555" s="854"/>
      <c r="C555" s="855">
        <f>SUM(C549:C554)</f>
        <v>4017.16</v>
      </c>
      <c r="D555" s="248"/>
      <c r="G555" s="799"/>
      <c r="H555" s="283"/>
      <c r="I555" s="853" t="s">
        <v>721</v>
      </c>
      <c r="J555" s="854"/>
      <c r="K555" s="855">
        <f>SUM(K549:K554)</f>
        <v>0</v>
      </c>
      <c r="L555" s="248"/>
      <c r="O555" s="799"/>
    </row>
    <row r="556">
      <c r="A556" s="856"/>
      <c r="B556" s="857"/>
      <c r="C556" s="857"/>
      <c r="D556" s="894"/>
      <c r="E556" s="857"/>
      <c r="F556" s="857"/>
      <c r="G556" s="808"/>
      <c r="H556" s="283"/>
      <c r="I556" s="856"/>
      <c r="J556" s="857"/>
      <c r="K556" s="857"/>
      <c r="L556" s="894"/>
      <c r="M556" s="857"/>
      <c r="N556" s="857"/>
      <c r="O556" s="808"/>
    </row>
    <row r="559">
      <c r="A559" s="769"/>
      <c r="B559" s="770"/>
      <c r="C559" s="770"/>
      <c r="D559" s="771" t="s">
        <v>700</v>
      </c>
      <c r="E559" s="772" t="str">
        <f>E125</f>
        <v>12.01.2025-12.07.2025</v>
      </c>
      <c r="F559" s="773"/>
      <c r="G559" s="774"/>
      <c r="H559" s="305">
        <v>15.0</v>
      </c>
      <c r="I559" s="769"/>
      <c r="J559" s="770"/>
      <c r="K559" s="770"/>
      <c r="L559" s="771" t="s">
        <v>700</v>
      </c>
      <c r="M559" s="772" t="str">
        <f>E125</f>
        <v>12.01.2025-12.07.2025</v>
      </c>
      <c r="N559" s="773"/>
      <c r="O559" s="774"/>
    </row>
    <row r="560">
      <c r="A560" s="775"/>
      <c r="D560" s="771" t="s">
        <v>702</v>
      </c>
      <c r="E560" s="772" t="str">
        <f t="array" ref="E560">XLOOKUP(E561,$Q$972:$Q$1008,$R$972:$R$1008)</f>
        <v>Perlivion LLC</v>
      </c>
      <c r="F560" s="773"/>
      <c r="G560" s="774"/>
      <c r="H560" s="283"/>
      <c r="I560" s="775"/>
      <c r="L560" s="771" t="s">
        <v>351</v>
      </c>
      <c r="M560" s="772" t="str">
        <f t="array" ref="M560">XLOOKUP(M561,$L$1:$L$121,$K$1:$K$121)</f>
        <v>#N/A</v>
      </c>
      <c r="N560" s="773"/>
      <c r="O560" s="774"/>
    </row>
    <row r="561">
      <c r="A561" s="775"/>
      <c r="D561" s="771" t="s">
        <v>703</v>
      </c>
      <c r="E561" s="778" t="s">
        <v>513</v>
      </c>
      <c r="F561" s="773"/>
      <c r="G561" s="774"/>
      <c r="H561" s="283"/>
      <c r="I561" s="775"/>
      <c r="L561" s="771" t="s">
        <v>703</v>
      </c>
      <c r="M561" s="772" t="str">
        <f>E561</f>
        <v>0913</v>
      </c>
      <c r="N561" s="773"/>
      <c r="O561" s="774"/>
    </row>
    <row r="562">
      <c r="A562" s="779" t="s">
        <v>704</v>
      </c>
      <c r="B562" s="779" t="s">
        <v>5</v>
      </c>
      <c r="C562" s="779" t="s">
        <v>6</v>
      </c>
      <c r="D562" s="779" t="s">
        <v>7</v>
      </c>
      <c r="E562" s="779" t="s">
        <v>8</v>
      </c>
      <c r="F562" s="779" t="s">
        <v>706</v>
      </c>
      <c r="G562" s="779" t="s">
        <v>707</v>
      </c>
      <c r="H562" s="34"/>
      <c r="I562" s="779" t="s">
        <v>704</v>
      </c>
      <c r="J562" s="779" t="s">
        <v>5</v>
      </c>
      <c r="K562" s="779" t="s">
        <v>6</v>
      </c>
      <c r="L562" s="779" t="s">
        <v>7</v>
      </c>
      <c r="M562" s="779" t="s">
        <v>1178</v>
      </c>
      <c r="N562" s="779" t="s">
        <v>839</v>
      </c>
      <c r="O562" s="779" t="s">
        <v>707</v>
      </c>
    </row>
    <row r="563">
      <c r="A563" s="780" t="str">
        <f>IFERROR(__xludf.DUMMYFUNCTION("FILTER($D$3:$H$121,$L$3:$L$121=E561)"),"#N/A")</f>
        <v>#N/A</v>
      </c>
      <c r="B563" s="781"/>
      <c r="C563" s="781"/>
      <c r="D563" s="781"/>
      <c r="E563" s="782"/>
      <c r="F563" s="783">
        <v>0.88</v>
      </c>
      <c r="G563" s="782">
        <f t="shared" ref="G563:G564" si="30">E563*F563</f>
        <v>0</v>
      </c>
      <c r="H563" s="283"/>
      <c r="I563" s="780" t="str">
        <f>IFERROR(__xludf.DUMMYFUNCTION("FILTER($D$3:$G$121,$L$3:$L$121=M561)"),"#N/A")</f>
        <v>#N/A</v>
      </c>
      <c r="J563" s="781"/>
      <c r="K563" s="781"/>
      <c r="L563" s="781"/>
      <c r="M563" s="880" t="str">
        <f>IFERROR(__xludf.DUMMYFUNCTION("FILTER($I$3:$I$121,$L$3:$L$121=M561)"),"#N/A")</f>
        <v>#N/A</v>
      </c>
      <c r="N563" s="781">
        <v>0.65</v>
      </c>
      <c r="O563" s="782" t="str">
        <f t="shared" ref="O563:O564" si="31">M563*N563</f>
        <v>#N/A</v>
      </c>
    </row>
    <row r="564">
      <c r="A564" s="780"/>
      <c r="B564" s="781"/>
      <c r="C564" s="781"/>
      <c r="D564" s="781"/>
      <c r="E564" s="782"/>
      <c r="F564" s="783">
        <v>0.88</v>
      </c>
      <c r="G564" s="782">
        <f t="shared" si="30"/>
        <v>0</v>
      </c>
      <c r="H564" s="283"/>
      <c r="I564" s="881"/>
      <c r="J564" s="882"/>
      <c r="K564" s="882"/>
      <c r="L564" s="882"/>
      <c r="M564" s="880"/>
      <c r="N564" s="781">
        <v>0.65</v>
      </c>
      <c r="O564" s="782">
        <f t="shared" si="31"/>
        <v>0</v>
      </c>
    </row>
    <row r="565">
      <c r="A565" s="785"/>
      <c r="B565" s="786"/>
      <c r="C565" s="786"/>
      <c r="D565" s="786"/>
      <c r="E565" s="785"/>
      <c r="F565" s="787"/>
      <c r="G565" s="788"/>
      <c r="H565" s="283"/>
      <c r="I565" s="785"/>
      <c r="J565" s="786"/>
      <c r="K565" s="786"/>
      <c r="L565" s="786"/>
      <c r="M565" s="785"/>
      <c r="N565" s="787"/>
      <c r="O565" s="789"/>
    </row>
    <row r="566">
      <c r="A566" s="785"/>
      <c r="B566" s="786"/>
      <c r="C566" s="786"/>
      <c r="D566" s="786"/>
      <c r="E566" s="785"/>
      <c r="F566" s="787"/>
      <c r="G566" s="788"/>
      <c r="H566" s="283"/>
      <c r="I566" s="785"/>
      <c r="J566" s="786"/>
      <c r="K566" s="786"/>
      <c r="L566" s="786"/>
      <c r="M566" s="785"/>
      <c r="N566" s="787"/>
      <c r="O566" s="789"/>
    </row>
    <row r="567">
      <c r="A567" s="785"/>
      <c r="B567" s="786"/>
      <c r="C567" s="786"/>
      <c r="D567" s="786"/>
      <c r="E567" s="785"/>
      <c r="F567" s="787"/>
      <c r="G567" s="788"/>
      <c r="H567" s="283"/>
      <c r="I567" s="785"/>
      <c r="J567" s="786"/>
      <c r="K567" s="786"/>
      <c r="L567" s="786"/>
      <c r="M567" s="785"/>
      <c r="N567" s="787"/>
      <c r="O567" s="789"/>
    </row>
    <row r="568">
      <c r="A568" s="785"/>
      <c r="B568" s="786"/>
      <c r="C568" s="786"/>
      <c r="D568" s="786"/>
      <c r="E568" s="785"/>
      <c r="F568" s="787"/>
      <c r="G568" s="788"/>
      <c r="H568" s="283"/>
      <c r="I568" s="785"/>
      <c r="J568" s="786"/>
      <c r="K568" s="786"/>
      <c r="L568" s="786"/>
      <c r="M568" s="785"/>
      <c r="N568" s="787"/>
      <c r="O568" s="789"/>
    </row>
    <row r="569">
      <c r="A569" s="790" t="s">
        <v>711</v>
      </c>
      <c r="B569" s="791"/>
      <c r="C569" s="791"/>
      <c r="D569" s="792"/>
      <c r="E569" s="793">
        <f>SUM(E563:E568)</f>
        <v>0</v>
      </c>
      <c r="F569" s="794"/>
      <c r="G569" s="793">
        <f>SUM(G563:G568)</f>
        <v>0</v>
      </c>
      <c r="H569" s="283"/>
      <c r="I569" s="790" t="s">
        <v>711</v>
      </c>
      <c r="J569" s="791"/>
      <c r="K569" s="791"/>
      <c r="L569" s="792"/>
      <c r="M569" s="933" t="str">
        <f>SUM(M563:M568)</f>
        <v>#N/A</v>
      </c>
      <c r="N569" s="794"/>
      <c r="O569" s="793" t="str">
        <f>SUM(O563:O568)</f>
        <v>#N/A</v>
      </c>
    </row>
    <row r="570">
      <c r="A570" s="796"/>
      <c r="D570" s="798"/>
      <c r="E570" s="798"/>
      <c r="F570" s="798"/>
      <c r="G570" s="878"/>
      <c r="H570" s="283"/>
      <c r="I570" s="796"/>
      <c r="L570" s="798"/>
      <c r="O570" s="799"/>
    </row>
    <row r="571">
      <c r="A571" s="800" t="s">
        <v>712</v>
      </c>
      <c r="B571" s="801"/>
      <c r="C571" s="802"/>
      <c r="D571" s="798"/>
      <c r="E571" s="798"/>
      <c r="F571" s="798"/>
      <c r="G571" s="878"/>
      <c r="H571" s="283"/>
      <c r="I571" s="800" t="s">
        <v>712</v>
      </c>
      <c r="J571" s="803"/>
      <c r="K571" s="804"/>
      <c r="O571" s="799"/>
    </row>
    <row r="572">
      <c r="A572" s="902"/>
      <c r="B572" s="806"/>
      <c r="C572" s="807"/>
      <c r="D572" s="798"/>
      <c r="E572" s="798"/>
      <c r="F572" s="798"/>
      <c r="G572" s="878"/>
      <c r="H572" s="283"/>
      <c r="I572" s="902"/>
      <c r="J572" s="808"/>
      <c r="K572" s="903"/>
      <c r="O572" s="799"/>
    </row>
    <row r="573">
      <c r="A573" s="868"/>
      <c r="B573" s="774"/>
      <c r="C573" s="816"/>
      <c r="D573" s="798"/>
      <c r="E573" s="798"/>
      <c r="F573" s="798"/>
      <c r="G573" s="878"/>
      <c r="H573" s="283"/>
      <c r="I573" s="868"/>
      <c r="J573" s="774"/>
      <c r="K573" s="816"/>
      <c r="O573" s="799"/>
    </row>
    <row r="574">
      <c r="A574" s="815"/>
      <c r="B574" s="792"/>
      <c r="C574" s="816"/>
      <c r="D574" s="798"/>
      <c r="E574" s="798"/>
      <c r="F574" s="798"/>
      <c r="G574" s="878"/>
      <c r="H574" s="283"/>
      <c r="I574" s="815"/>
      <c r="J574" s="792"/>
      <c r="K574" s="816"/>
      <c r="O574" s="799"/>
    </row>
    <row r="575">
      <c r="A575" s="817"/>
      <c r="B575" s="774"/>
      <c r="C575" s="818"/>
      <c r="D575" s="798"/>
      <c r="E575" s="798"/>
      <c r="F575" s="798"/>
      <c r="G575" s="878"/>
      <c r="H575" s="283"/>
      <c r="I575" s="817"/>
      <c r="J575" s="774"/>
      <c r="K575" s="818"/>
      <c r="O575" s="799"/>
    </row>
    <row r="576">
      <c r="A576" s="817"/>
      <c r="B576" s="792"/>
      <c r="C576" s="818"/>
      <c r="D576" s="885" t="s">
        <v>1181</v>
      </c>
      <c r="E576" s="886" t="str">
        <f>O581</f>
        <v>#N/A</v>
      </c>
      <c r="F576" s="798"/>
      <c r="G576" s="878"/>
      <c r="H576" s="283"/>
      <c r="I576" s="817"/>
      <c r="J576" s="792"/>
      <c r="K576" s="818"/>
      <c r="O576" s="799"/>
    </row>
    <row r="577">
      <c r="A577" s="821" t="s">
        <v>714</v>
      </c>
      <c r="B577" s="822"/>
      <c r="C577" s="823">
        <f>SUM(C572:C576)</f>
        <v>0</v>
      </c>
      <c r="D577" s="798"/>
      <c r="E577" s="798"/>
      <c r="F577" s="798"/>
      <c r="G577" s="878"/>
      <c r="H577" s="283"/>
      <c r="I577" s="821" t="s">
        <v>714</v>
      </c>
      <c r="J577" s="826"/>
      <c r="K577" s="827">
        <f>SUM(K572:K576)</f>
        <v>0</v>
      </c>
      <c r="O577" s="799"/>
    </row>
    <row r="578">
      <c r="A578" s="828"/>
      <c r="C578" s="829"/>
      <c r="D578" s="887" t="s">
        <v>657</v>
      </c>
      <c r="E578" s="972" t="str">
        <f>G581-E576</f>
        <v>#N/A</v>
      </c>
      <c r="F578" s="798"/>
      <c r="G578" s="878"/>
      <c r="H578" s="283"/>
      <c r="I578" s="828"/>
      <c r="K578" s="829"/>
      <c r="O578" s="799"/>
    </row>
    <row r="579">
      <c r="A579" s="830" t="s">
        <v>715</v>
      </c>
      <c r="B579" s="831"/>
      <c r="C579" s="832"/>
      <c r="D579" s="798"/>
      <c r="E579" s="798"/>
      <c r="F579" s="798"/>
      <c r="G579" s="878"/>
      <c r="H579" s="283"/>
      <c r="I579" s="833" t="s">
        <v>715</v>
      </c>
      <c r="J579" s="834"/>
      <c r="K579" s="835"/>
      <c r="O579" s="799"/>
    </row>
    <row r="580">
      <c r="A580" s="836" t="s">
        <v>716</v>
      </c>
      <c r="B580" s="837"/>
      <c r="C580" s="838"/>
      <c r="D580" s="798"/>
      <c r="E580" s="798"/>
      <c r="F580" s="798"/>
      <c r="G580" s="878"/>
      <c r="H580" s="283"/>
      <c r="I580" s="839"/>
      <c r="J580" s="840"/>
      <c r="K580" s="841"/>
      <c r="O580" s="799"/>
    </row>
    <row r="581">
      <c r="A581" s="842" t="s">
        <v>717</v>
      </c>
      <c r="B581" s="843"/>
      <c r="C581" s="844"/>
      <c r="D581" s="248"/>
      <c r="E581" s="845" t="s">
        <v>1182</v>
      </c>
      <c r="G581" s="846" t="str">
        <f>G569+C577-C586</f>
        <v>#N/A</v>
      </c>
      <c r="H581" s="283"/>
      <c r="I581" s="847"/>
      <c r="J581" s="848"/>
      <c r="K581" s="849"/>
      <c r="L581" s="248"/>
      <c r="M581" s="845" t="s">
        <v>1183</v>
      </c>
      <c r="O581" s="846" t="str">
        <f>O569+K577-K586</f>
        <v>#N/A</v>
      </c>
    </row>
    <row r="582">
      <c r="A582" s="836" t="s">
        <v>718</v>
      </c>
      <c r="B582" s="837"/>
      <c r="C582" s="838"/>
      <c r="G582" s="799"/>
      <c r="H582" s="283"/>
      <c r="I582" s="847"/>
      <c r="J582" s="848"/>
      <c r="K582" s="849"/>
      <c r="O582" s="799"/>
    </row>
    <row r="583">
      <c r="A583" s="842" t="s">
        <v>656</v>
      </c>
      <c r="B583" s="843"/>
      <c r="C583" s="844" t="str">
        <f>IFERROR(__xludf.DUMMYFUNCTION("FILTER($C$4:$C$30,$B$4:$B$30=E561)"),"#N/A")</f>
        <v>#N/A</v>
      </c>
      <c r="G583" s="799"/>
      <c r="H583" s="283"/>
      <c r="I583" s="847"/>
      <c r="J583" s="848"/>
      <c r="K583" s="849"/>
      <c r="O583" s="799"/>
    </row>
    <row r="584">
      <c r="A584" s="850" t="s">
        <v>1184</v>
      </c>
      <c r="B584" s="851"/>
      <c r="C584" s="852"/>
      <c r="E584" s="248"/>
      <c r="G584" s="799"/>
      <c r="H584" s="283"/>
      <c r="I584" s="847"/>
      <c r="J584" s="848"/>
      <c r="K584" s="849"/>
      <c r="M584" s="248"/>
      <c r="O584" s="799"/>
    </row>
    <row r="585">
      <c r="A585" s="847"/>
      <c r="B585" s="848"/>
      <c r="C585" s="849"/>
      <c r="G585" s="799"/>
      <c r="H585" s="283"/>
      <c r="I585" s="847"/>
      <c r="J585" s="848"/>
      <c r="K585" s="849"/>
      <c r="O585" s="799"/>
    </row>
    <row r="586">
      <c r="A586" s="853" t="s">
        <v>721</v>
      </c>
      <c r="B586" s="854"/>
      <c r="C586" s="855" t="str">
        <f>SUM(C580:C585)</f>
        <v>#N/A</v>
      </c>
      <c r="G586" s="799"/>
      <c r="H586" s="283"/>
      <c r="I586" s="853" t="s">
        <v>721</v>
      </c>
      <c r="J586" s="854"/>
      <c r="K586" s="855">
        <f>SUM(K580:K585)</f>
        <v>0</v>
      </c>
      <c r="O586" s="799"/>
    </row>
    <row r="587">
      <c r="A587" s="856"/>
      <c r="B587" s="857"/>
      <c r="C587" s="857"/>
      <c r="D587" s="857"/>
      <c r="E587" s="857"/>
      <c r="F587" s="857"/>
      <c r="G587" s="808"/>
      <c r="H587" s="283"/>
      <c r="I587" s="856"/>
      <c r="J587" s="857"/>
      <c r="K587" s="857"/>
      <c r="L587" s="857"/>
      <c r="M587" s="857"/>
      <c r="N587" s="857"/>
      <c r="O587" s="808"/>
    </row>
    <row r="590">
      <c r="A590" s="769"/>
      <c r="B590" s="770"/>
      <c r="C590" s="770"/>
      <c r="D590" s="771" t="s">
        <v>700</v>
      </c>
      <c r="E590" s="772" t="str">
        <f>E125</f>
        <v>12.01.2025-12.07.2025</v>
      </c>
      <c r="F590" s="773"/>
      <c r="G590" s="774"/>
      <c r="H590" s="305">
        <v>16.0</v>
      </c>
      <c r="I590" s="769"/>
      <c r="J590" s="770"/>
      <c r="K590" s="770"/>
      <c r="L590" s="771" t="s">
        <v>700</v>
      </c>
      <c r="M590" s="772" t="str">
        <f>E125</f>
        <v>12.01.2025-12.07.2025</v>
      </c>
      <c r="N590" s="773"/>
      <c r="O590" s="774"/>
    </row>
    <row r="591">
      <c r="A591" s="775"/>
      <c r="D591" s="771" t="s">
        <v>702</v>
      </c>
      <c r="E591" s="772" t="str">
        <f t="array" ref="E591">XLOOKUP(E592,$Q$972:$Q$1008,$R$972:$R$1008)</f>
        <v>Careway Logistic LLC</v>
      </c>
      <c r="F591" s="773"/>
      <c r="G591" s="774"/>
      <c r="H591" s="283"/>
      <c r="I591" s="775"/>
      <c r="L591" s="771" t="s">
        <v>351</v>
      </c>
      <c r="M591" s="772" t="str">
        <f t="array" ref="M591">XLOOKUP(M592,$L$1:$L$121,$K$1:$K$121)</f>
        <v>#N/A</v>
      </c>
      <c r="N591" s="773"/>
      <c r="O591" s="774"/>
    </row>
    <row r="592">
      <c r="A592" s="775"/>
      <c r="D592" s="771" t="s">
        <v>703</v>
      </c>
      <c r="E592" s="772">
        <v>2516.0</v>
      </c>
      <c r="F592" s="773"/>
      <c r="G592" s="774"/>
      <c r="H592" s="283"/>
      <c r="I592" s="775"/>
      <c r="L592" s="771" t="s">
        <v>703</v>
      </c>
      <c r="M592" s="772">
        <f>E592</f>
        <v>2516</v>
      </c>
      <c r="N592" s="773"/>
      <c r="O592" s="774"/>
    </row>
    <row r="593">
      <c r="A593" s="779" t="s">
        <v>704</v>
      </c>
      <c r="B593" s="779" t="s">
        <v>5</v>
      </c>
      <c r="C593" s="779" t="s">
        <v>6</v>
      </c>
      <c r="D593" s="779" t="s">
        <v>7</v>
      </c>
      <c r="E593" s="779" t="s">
        <v>8</v>
      </c>
      <c r="F593" s="779" t="s">
        <v>706</v>
      </c>
      <c r="G593" s="779" t="s">
        <v>707</v>
      </c>
      <c r="H593" s="34"/>
      <c r="I593" s="779" t="s">
        <v>704</v>
      </c>
      <c r="J593" s="779" t="s">
        <v>5</v>
      </c>
      <c r="K593" s="779" t="s">
        <v>6</v>
      </c>
      <c r="L593" s="779" t="s">
        <v>7</v>
      </c>
      <c r="M593" s="779" t="s">
        <v>1178</v>
      </c>
      <c r="N593" s="779" t="s">
        <v>839</v>
      </c>
      <c r="O593" s="779" t="s">
        <v>707</v>
      </c>
    </row>
    <row r="594">
      <c r="A594" s="780" t="str">
        <f>IFERROR(__xludf.DUMMYFUNCTION("FILTER($D$3:$H$121,$L$3:$L$121=E592)"),"#N/A")</f>
        <v>#N/A</v>
      </c>
      <c r="B594" s="781"/>
      <c r="C594" s="781"/>
      <c r="D594" s="781"/>
      <c r="E594" s="782"/>
      <c r="F594" s="783">
        <v>0.88</v>
      </c>
      <c r="G594" s="782">
        <f>E594*F594</f>
        <v>0</v>
      </c>
      <c r="H594" s="283"/>
      <c r="I594" s="780" t="str">
        <f>IFERROR(__xludf.DUMMYFUNCTION("FILTER($D$3:$G$121,$L$3:$L$121=M592)"),"#N/A")</f>
        <v>#N/A</v>
      </c>
      <c r="J594" s="781"/>
      <c r="K594" s="781"/>
      <c r="L594" s="781"/>
      <c r="M594" s="896" t="str">
        <f>IFERROR(__xludf.DUMMYFUNCTION("FILTER($I$3:$I$121,$L$3:$L$121=M592)"),"#N/A")</f>
        <v>#N/A</v>
      </c>
      <c r="N594" s="781">
        <v>0.65</v>
      </c>
      <c r="O594" s="782" t="str">
        <f>M594*N594</f>
        <v>#N/A</v>
      </c>
    </row>
    <row r="595">
      <c r="A595" s="780"/>
      <c r="B595" s="781"/>
      <c r="C595" s="781"/>
      <c r="D595" s="781"/>
      <c r="E595" s="782"/>
      <c r="F595" s="783"/>
      <c r="G595" s="782"/>
      <c r="H595" s="283"/>
      <c r="I595" s="780"/>
      <c r="J595" s="781"/>
      <c r="K595" s="781"/>
      <c r="L595" s="781"/>
      <c r="M595" s="782"/>
      <c r="N595" s="783"/>
      <c r="O595" s="789"/>
    </row>
    <row r="596">
      <c r="A596" s="785"/>
      <c r="B596" s="786"/>
      <c r="C596" s="786"/>
      <c r="D596" s="786"/>
      <c r="E596" s="785"/>
      <c r="F596" s="787"/>
      <c r="G596" s="788"/>
      <c r="H596" s="283"/>
      <c r="I596" s="785"/>
      <c r="J596" s="786"/>
      <c r="K596" s="786"/>
      <c r="L596" s="786"/>
      <c r="M596" s="785"/>
      <c r="N596" s="787"/>
      <c r="O596" s="789"/>
    </row>
    <row r="597">
      <c r="A597" s="785"/>
      <c r="B597" s="786"/>
      <c r="C597" s="786"/>
      <c r="D597" s="786"/>
      <c r="E597" s="785"/>
      <c r="F597" s="787"/>
      <c r="G597" s="788"/>
      <c r="H597" s="283"/>
      <c r="I597" s="785"/>
      <c r="J597" s="786"/>
      <c r="K597" s="786"/>
      <c r="L597" s="786"/>
      <c r="M597" s="785"/>
      <c r="N597" s="787"/>
      <c r="O597" s="789"/>
    </row>
    <row r="598">
      <c r="A598" s="785"/>
      <c r="B598" s="786"/>
      <c r="C598" s="786"/>
      <c r="D598" s="786"/>
      <c r="E598" s="785"/>
      <c r="F598" s="787"/>
      <c r="G598" s="788"/>
      <c r="H598" s="283"/>
      <c r="I598" s="785"/>
      <c r="J598" s="786"/>
      <c r="K598" s="786"/>
      <c r="L598" s="786"/>
      <c r="M598" s="785"/>
      <c r="N598" s="787"/>
      <c r="O598" s="789"/>
    </row>
    <row r="599">
      <c r="A599" s="785"/>
      <c r="B599" s="786"/>
      <c r="C599" s="786"/>
      <c r="D599" s="786"/>
      <c r="E599" s="785"/>
      <c r="F599" s="787"/>
      <c r="G599" s="788"/>
      <c r="H599" s="283"/>
      <c r="I599" s="785"/>
      <c r="J599" s="786"/>
      <c r="K599" s="786"/>
      <c r="L599" s="786"/>
      <c r="M599" s="785"/>
      <c r="N599" s="787"/>
      <c r="O599" s="789"/>
    </row>
    <row r="600">
      <c r="A600" s="790" t="s">
        <v>711</v>
      </c>
      <c r="B600" s="791"/>
      <c r="C600" s="791"/>
      <c r="D600" s="792"/>
      <c r="E600" s="793">
        <f>SUM(E594:E599)</f>
        <v>0</v>
      </c>
      <c r="F600" s="794"/>
      <c r="G600" s="793">
        <f>SUM(G594:G599)</f>
        <v>0</v>
      </c>
      <c r="H600" s="283"/>
      <c r="I600" s="790" t="s">
        <v>711</v>
      </c>
      <c r="J600" s="791"/>
      <c r="K600" s="791"/>
      <c r="L600" s="792"/>
      <c r="M600" s="933" t="str">
        <f>SUM(M594:M599)</f>
        <v>#N/A</v>
      </c>
      <c r="N600" s="794"/>
      <c r="O600" s="793" t="str">
        <f>SUM(O594:O599)</f>
        <v>#N/A</v>
      </c>
    </row>
    <row r="601">
      <c r="A601" s="796"/>
      <c r="D601" s="798"/>
      <c r="G601" s="799"/>
      <c r="H601" s="283"/>
      <c r="I601" s="796"/>
      <c r="L601" s="798"/>
      <c r="O601" s="799"/>
    </row>
    <row r="602">
      <c r="A602" s="800" t="s">
        <v>712</v>
      </c>
      <c r="B602" s="801"/>
      <c r="C602" s="802"/>
      <c r="G602" s="799"/>
      <c r="H602" s="283"/>
      <c r="I602" s="800" t="s">
        <v>712</v>
      </c>
      <c r="J602" s="803"/>
      <c r="K602" s="804"/>
      <c r="O602" s="799"/>
    </row>
    <row r="603">
      <c r="A603" s="902"/>
      <c r="B603" s="806"/>
      <c r="C603" s="807"/>
      <c r="G603" s="799"/>
      <c r="H603" s="283"/>
      <c r="I603" s="902"/>
      <c r="J603" s="808"/>
      <c r="K603" s="903"/>
      <c r="O603" s="799"/>
    </row>
    <row r="604">
      <c r="A604" s="868"/>
      <c r="B604" s="774"/>
      <c r="C604" s="816"/>
      <c r="G604" s="799"/>
      <c r="H604" s="283"/>
      <c r="I604" s="868"/>
      <c r="J604" s="774"/>
      <c r="K604" s="816"/>
      <c r="O604" s="799"/>
    </row>
    <row r="605">
      <c r="A605" s="815"/>
      <c r="B605" s="792"/>
      <c r="C605" s="816"/>
      <c r="G605" s="799"/>
      <c r="H605" s="283"/>
      <c r="I605" s="815"/>
      <c r="J605" s="792"/>
      <c r="K605" s="816"/>
      <c r="O605" s="799"/>
    </row>
    <row r="606">
      <c r="A606" s="817"/>
      <c r="B606" s="774"/>
      <c r="C606" s="818"/>
      <c r="G606" s="799"/>
      <c r="H606" s="283"/>
      <c r="I606" s="817"/>
      <c r="J606" s="774"/>
      <c r="K606" s="818"/>
      <c r="O606" s="799"/>
    </row>
    <row r="607">
      <c r="A607" s="817"/>
      <c r="B607" s="792"/>
      <c r="C607" s="818"/>
      <c r="G607" s="799"/>
      <c r="H607" s="283"/>
      <c r="I607" s="817"/>
      <c r="J607" s="792"/>
      <c r="K607" s="818"/>
      <c r="O607" s="799"/>
    </row>
    <row r="608">
      <c r="A608" s="821" t="s">
        <v>714</v>
      </c>
      <c r="B608" s="822"/>
      <c r="C608" s="823">
        <f>SUM(C603:C607)</f>
        <v>0</v>
      </c>
      <c r="G608" s="799"/>
      <c r="H608" s="283"/>
      <c r="I608" s="821" t="s">
        <v>714</v>
      </c>
      <c r="J608" s="826"/>
      <c r="K608" s="823">
        <f>SUM(K603:K607)</f>
        <v>0</v>
      </c>
      <c r="O608" s="799"/>
    </row>
    <row r="609">
      <c r="A609" s="828"/>
      <c r="C609" s="829"/>
      <c r="G609" s="799"/>
      <c r="H609" s="283"/>
      <c r="I609" s="828"/>
      <c r="K609" s="829"/>
      <c r="O609" s="799"/>
    </row>
    <row r="610">
      <c r="A610" s="830" t="s">
        <v>715</v>
      </c>
      <c r="B610" s="831"/>
      <c r="C610" s="832"/>
      <c r="G610" s="799"/>
      <c r="H610" s="283"/>
      <c r="I610" s="833" t="s">
        <v>715</v>
      </c>
      <c r="J610" s="834"/>
      <c r="K610" s="835"/>
      <c r="O610" s="799"/>
    </row>
    <row r="611">
      <c r="A611" s="836" t="s">
        <v>716</v>
      </c>
      <c r="B611" s="837"/>
      <c r="C611" s="838">
        <v>150.0</v>
      </c>
      <c r="G611" s="799"/>
      <c r="H611" s="283"/>
      <c r="I611" s="839"/>
      <c r="J611" s="840"/>
      <c r="K611" s="841"/>
      <c r="O611" s="799"/>
    </row>
    <row r="612">
      <c r="A612" s="842" t="s">
        <v>717</v>
      </c>
      <c r="B612" s="843"/>
      <c r="C612" s="844">
        <v>400.0</v>
      </c>
      <c r="D612" s="248"/>
      <c r="E612" s="845" t="s">
        <v>1182</v>
      </c>
      <c r="G612" s="846" t="str">
        <f>G600+C608-C617</f>
        <v>#N/A</v>
      </c>
      <c r="H612" s="283"/>
      <c r="I612" s="847"/>
      <c r="J612" s="848"/>
      <c r="K612" s="849"/>
      <c r="L612" s="248"/>
      <c r="M612" s="845" t="s">
        <v>1183</v>
      </c>
      <c r="O612" s="846" t="str">
        <f>O600+K608-K617</f>
        <v>#N/A</v>
      </c>
    </row>
    <row r="613">
      <c r="A613" s="836" t="s">
        <v>718</v>
      </c>
      <c r="B613" s="837"/>
      <c r="C613" s="838">
        <v>200.0</v>
      </c>
      <c r="G613" s="799"/>
      <c r="H613" s="283"/>
      <c r="I613" s="847"/>
      <c r="J613" s="848"/>
      <c r="K613" s="849"/>
      <c r="O613" s="799"/>
    </row>
    <row r="614">
      <c r="A614" s="842" t="s">
        <v>656</v>
      </c>
      <c r="B614" s="843"/>
      <c r="C614" s="844" t="str">
        <f>IFERROR(__xludf.DUMMYFUNCTION("FILTER($C$4:$C$30,$B$4:$B$30=E592)"),"#N/A")</f>
        <v>#N/A</v>
      </c>
      <c r="G614" s="799"/>
      <c r="H614" s="283"/>
      <c r="I614" s="847"/>
      <c r="J614" s="848"/>
      <c r="K614" s="849"/>
      <c r="O614" s="799"/>
    </row>
    <row r="615">
      <c r="A615" s="850" t="s">
        <v>1184</v>
      </c>
      <c r="B615" s="851"/>
      <c r="C615" s="852"/>
      <c r="E615" s="248"/>
      <c r="G615" s="799"/>
      <c r="H615" s="283"/>
      <c r="I615" s="847"/>
      <c r="J615" s="848"/>
      <c r="K615" s="849"/>
      <c r="M615" s="248"/>
      <c r="O615" s="799"/>
    </row>
    <row r="616">
      <c r="A616" s="847"/>
      <c r="B616" s="848"/>
      <c r="C616" s="849"/>
      <c r="G616" s="799"/>
      <c r="H616" s="283"/>
      <c r="I616" s="847"/>
      <c r="J616" s="848"/>
      <c r="K616" s="849"/>
      <c r="O616" s="799"/>
    </row>
    <row r="617">
      <c r="A617" s="853" t="s">
        <v>721</v>
      </c>
      <c r="B617" s="854"/>
      <c r="C617" s="855" t="str">
        <f>SUM(C611:C616)</f>
        <v>#N/A</v>
      </c>
      <c r="G617" s="799"/>
      <c r="H617" s="283"/>
      <c r="I617" s="853" t="s">
        <v>721</v>
      </c>
      <c r="J617" s="854"/>
      <c r="K617" s="855">
        <f>SUM(K611:K616)</f>
        <v>0</v>
      </c>
      <c r="O617" s="799"/>
    </row>
    <row r="618">
      <c r="A618" s="856"/>
      <c r="B618" s="857"/>
      <c r="C618" s="857"/>
      <c r="D618" s="857"/>
      <c r="E618" s="857"/>
      <c r="F618" s="857"/>
      <c r="G618" s="808"/>
      <c r="H618" s="283"/>
      <c r="I618" s="856"/>
      <c r="J618" s="857"/>
      <c r="K618" s="857"/>
      <c r="L618" s="857"/>
      <c r="M618" s="857"/>
      <c r="N618" s="857"/>
      <c r="O618" s="808"/>
    </row>
    <row r="621">
      <c r="A621" s="769"/>
      <c r="B621" s="770"/>
      <c r="C621" s="770"/>
      <c r="D621" s="771" t="s">
        <v>700</v>
      </c>
      <c r="E621" s="772" t="str">
        <f>E125</f>
        <v>12.01.2025-12.07.2025</v>
      </c>
      <c r="F621" s="773"/>
      <c r="G621" s="774"/>
      <c r="H621" s="305">
        <v>17.0</v>
      </c>
      <c r="I621" s="769"/>
      <c r="J621" s="770"/>
      <c r="K621" s="770"/>
      <c r="L621" s="771" t="s">
        <v>700</v>
      </c>
      <c r="M621" s="772" t="str">
        <f>E125</f>
        <v>12.01.2025-12.07.2025</v>
      </c>
      <c r="N621" s="773"/>
      <c r="O621" s="774"/>
    </row>
    <row r="622">
      <c r="A622" s="775"/>
      <c r="D622" s="771" t="s">
        <v>702</v>
      </c>
      <c r="E622" s="772" t="str">
        <f t="array" ref="E622">XLOOKUP(E623,$Q$972:$Q$1008,$R$972:$R$1008)</f>
        <v>Careway Logistic LLC</v>
      </c>
      <c r="F622" s="773"/>
      <c r="G622" s="774"/>
      <c r="H622" s="283"/>
      <c r="I622" s="775"/>
      <c r="L622" s="771" t="s">
        <v>351</v>
      </c>
      <c r="M622" s="772" t="str">
        <f t="array" ref="M622">XLOOKUP(M623,$L$1:$L$121,$K$1:$K$121)</f>
        <v>WILHEM FORTUNE</v>
      </c>
      <c r="N622" s="773"/>
      <c r="O622" s="774"/>
    </row>
    <row r="623">
      <c r="A623" s="775"/>
      <c r="D623" s="771" t="s">
        <v>703</v>
      </c>
      <c r="E623" s="778" t="s">
        <v>982</v>
      </c>
      <c r="F623" s="773"/>
      <c r="G623" s="774"/>
      <c r="H623" s="858"/>
      <c r="I623" s="775"/>
      <c r="L623" s="771" t="s">
        <v>703</v>
      </c>
      <c r="M623" s="772" t="str">
        <f>E623</f>
        <v>0997</v>
      </c>
      <c r="N623" s="773"/>
      <c r="O623" s="774"/>
      <c r="P623" s="859"/>
    </row>
    <row r="624">
      <c r="A624" s="779" t="s">
        <v>704</v>
      </c>
      <c r="B624" s="779" t="s">
        <v>5</v>
      </c>
      <c r="C624" s="779" t="s">
        <v>6</v>
      </c>
      <c r="D624" s="779" t="s">
        <v>7</v>
      </c>
      <c r="E624" s="779" t="s">
        <v>8</v>
      </c>
      <c r="F624" s="779" t="s">
        <v>706</v>
      </c>
      <c r="G624" s="779" t="s">
        <v>707</v>
      </c>
      <c r="H624" s="34"/>
      <c r="I624" s="779" t="s">
        <v>704</v>
      </c>
      <c r="J624" s="779" t="s">
        <v>5</v>
      </c>
      <c r="K624" s="779" t="s">
        <v>6</v>
      </c>
      <c r="L624" s="779" t="s">
        <v>7</v>
      </c>
      <c r="M624" s="779" t="s">
        <v>1178</v>
      </c>
      <c r="N624" s="779" t="s">
        <v>839</v>
      </c>
      <c r="O624" s="779" t="s">
        <v>707</v>
      </c>
    </row>
    <row r="625">
      <c r="A625" s="780">
        <f>IFERROR(__xludf.DUMMYFUNCTION("FILTER($D$3:$H$121,$L$3:$L$121=E623)"),45998.0)</f>
        <v>45998</v>
      </c>
      <c r="B625" s="781">
        <f>IFERROR(__xludf.DUMMYFUNCTION("""COMPUTED_VALUE"""),9205335.0)</f>
        <v>9205335</v>
      </c>
      <c r="C625" s="781" t="str">
        <f>IFERROR(__xludf.DUMMYFUNCTION("""COMPUTED_VALUE"""),"San Diego, CA, 92130")</f>
        <v>San Diego, CA, 92130</v>
      </c>
      <c r="D625" s="781" t="str">
        <f>IFERROR(__xludf.DUMMYFUNCTION("""COMPUTED_VALUE"""),"Kansas City, MO, 64127")</f>
        <v>Kansas City, MO, 64127</v>
      </c>
      <c r="E625" s="782">
        <f>IFERROR(__xludf.DUMMYFUNCTION("""COMPUTED_VALUE"""),4400.0)</f>
        <v>4400</v>
      </c>
      <c r="F625" s="783">
        <v>0.88</v>
      </c>
      <c r="G625" s="782">
        <f>E625*F625</f>
        <v>3872</v>
      </c>
      <c r="H625" s="283"/>
      <c r="I625" s="780">
        <f>IFERROR(__xludf.DUMMYFUNCTION("FILTER($D$3:$G$121,$L$3:$L$121=M623)"),45998.0)</f>
        <v>45998</v>
      </c>
      <c r="J625" s="781">
        <f>IFERROR(__xludf.DUMMYFUNCTION("""COMPUTED_VALUE"""),9205335.0)</f>
        <v>9205335</v>
      </c>
      <c r="K625" s="781" t="str">
        <f>IFERROR(__xludf.DUMMYFUNCTION("""COMPUTED_VALUE"""),"San Diego, CA, 92130")</f>
        <v>San Diego, CA, 92130</v>
      </c>
      <c r="L625" s="781" t="str">
        <f>IFERROR(__xludf.DUMMYFUNCTION("""COMPUTED_VALUE"""),"Kansas City, MO, 64127")</f>
        <v>Kansas City, MO, 64127</v>
      </c>
      <c r="M625" s="980">
        <f>IFERROR(__xludf.DUMMYFUNCTION("FILTER($I$3:$I$121,$L$3:$L$121=M623)"),1707.0)</f>
        <v>1707</v>
      </c>
      <c r="N625" s="781">
        <v>0.65</v>
      </c>
      <c r="O625" s="782">
        <f>M625*N625</f>
        <v>1109.55</v>
      </c>
    </row>
    <row r="626">
      <c r="A626" s="780"/>
      <c r="B626" s="781"/>
      <c r="C626" s="781"/>
      <c r="D626" s="781"/>
      <c r="E626" s="782"/>
      <c r="F626" s="783"/>
      <c r="G626" s="782"/>
      <c r="H626" s="283"/>
      <c r="I626" s="780"/>
      <c r="J626" s="781"/>
      <c r="K626" s="781"/>
      <c r="L626" s="781"/>
      <c r="M626" s="782"/>
      <c r="N626" s="783"/>
      <c r="O626" s="789"/>
    </row>
    <row r="627">
      <c r="A627" s="785"/>
      <c r="B627" s="786"/>
      <c r="C627" s="786"/>
      <c r="D627" s="786"/>
      <c r="E627" s="785"/>
      <c r="F627" s="787"/>
      <c r="G627" s="788"/>
      <c r="H627" s="283"/>
      <c r="I627" s="785"/>
      <c r="J627" s="786"/>
      <c r="K627" s="786"/>
      <c r="L627" s="786"/>
      <c r="M627" s="785"/>
      <c r="N627" s="787"/>
      <c r="O627" s="789"/>
    </row>
    <row r="628">
      <c r="A628" s="785"/>
      <c r="B628" s="786"/>
      <c r="C628" s="786"/>
      <c r="D628" s="786"/>
      <c r="E628" s="785"/>
      <c r="F628" s="787"/>
      <c r="G628" s="788"/>
      <c r="H628" s="283"/>
      <c r="I628" s="785"/>
      <c r="J628" s="786"/>
      <c r="K628" s="786"/>
      <c r="L628" s="786"/>
      <c r="M628" s="785"/>
      <c r="N628" s="787"/>
      <c r="O628" s="789"/>
    </row>
    <row r="629">
      <c r="A629" s="785"/>
      <c r="B629" s="786"/>
      <c r="C629" s="786"/>
      <c r="D629" s="786"/>
      <c r="E629" s="785"/>
      <c r="F629" s="787"/>
      <c r="G629" s="788"/>
      <c r="H629" s="283"/>
      <c r="I629" s="785"/>
      <c r="J629" s="786"/>
      <c r="K629" s="786"/>
      <c r="L629" s="786"/>
      <c r="M629" s="785"/>
      <c r="N629" s="787"/>
      <c r="O629" s="789"/>
    </row>
    <row r="630">
      <c r="A630" s="785"/>
      <c r="B630" s="786"/>
      <c r="C630" s="786"/>
      <c r="D630" s="786"/>
      <c r="E630" s="785"/>
      <c r="F630" s="787"/>
      <c r="G630" s="788"/>
      <c r="H630" s="283"/>
      <c r="I630" s="785"/>
      <c r="J630" s="786"/>
      <c r="K630" s="786"/>
      <c r="L630" s="786"/>
      <c r="M630" s="785"/>
      <c r="N630" s="787"/>
      <c r="O630" s="789"/>
    </row>
    <row r="631">
      <c r="A631" s="790" t="s">
        <v>711</v>
      </c>
      <c r="B631" s="791"/>
      <c r="C631" s="791"/>
      <c r="D631" s="792"/>
      <c r="E631" s="793">
        <f>SUM(E625:E630)</f>
        <v>4400</v>
      </c>
      <c r="F631" s="794"/>
      <c r="G631" s="793">
        <f>SUM(G625:G630)</f>
        <v>3872</v>
      </c>
      <c r="H631" s="283"/>
      <c r="I631" s="790" t="s">
        <v>711</v>
      </c>
      <c r="J631" s="791"/>
      <c r="K631" s="791"/>
      <c r="L631" s="792"/>
      <c r="M631" s="877">
        <f>SUM(M625:M630)</f>
        <v>1707</v>
      </c>
      <c r="N631" s="794"/>
      <c r="O631" s="793">
        <f>SUM(O625:O630)</f>
        <v>1109.55</v>
      </c>
    </row>
    <row r="632">
      <c r="A632" s="796"/>
      <c r="D632" s="798"/>
      <c r="G632" s="799"/>
      <c r="H632" s="283"/>
      <c r="I632" s="796"/>
      <c r="L632" s="798"/>
      <c r="O632" s="799"/>
    </row>
    <row r="633">
      <c r="A633" s="800" t="s">
        <v>712</v>
      </c>
      <c r="B633" s="801"/>
      <c r="C633" s="802"/>
      <c r="G633" s="799"/>
      <c r="H633" s="283"/>
      <c r="I633" s="800" t="s">
        <v>712</v>
      </c>
      <c r="J633" s="803"/>
      <c r="K633" s="804"/>
      <c r="O633" s="799"/>
    </row>
    <row r="634">
      <c r="A634" s="902"/>
      <c r="B634" s="806"/>
      <c r="C634" s="807"/>
      <c r="G634" s="799"/>
      <c r="H634" s="283"/>
      <c r="I634" s="902"/>
      <c r="J634" s="808"/>
      <c r="K634" s="903"/>
      <c r="O634" s="799"/>
    </row>
    <row r="635">
      <c r="A635" s="868"/>
      <c r="B635" s="774"/>
      <c r="C635" s="816"/>
      <c r="G635" s="799"/>
      <c r="H635" s="283"/>
      <c r="I635" s="813"/>
      <c r="J635" s="774"/>
      <c r="K635" s="916"/>
      <c r="O635" s="799"/>
    </row>
    <row r="636">
      <c r="A636" s="815"/>
      <c r="B636" s="792"/>
      <c r="C636" s="816"/>
      <c r="G636" s="799"/>
      <c r="H636" s="283"/>
      <c r="I636" s="815"/>
      <c r="J636" s="792"/>
      <c r="K636" s="816"/>
      <c r="O636" s="799"/>
    </row>
    <row r="637">
      <c r="A637" s="817"/>
      <c r="B637" s="774"/>
      <c r="C637" s="818"/>
      <c r="G637" s="799"/>
      <c r="H637" s="283"/>
      <c r="I637" s="817"/>
      <c r="J637" s="774"/>
      <c r="K637" s="818"/>
      <c r="O637" s="799"/>
    </row>
    <row r="638">
      <c r="A638" s="817"/>
      <c r="B638" s="792"/>
      <c r="C638" s="818"/>
      <c r="G638" s="799"/>
      <c r="H638" s="283"/>
      <c r="I638" s="817"/>
      <c r="J638" s="792"/>
      <c r="K638" s="818"/>
      <c r="O638" s="799"/>
    </row>
    <row r="639">
      <c r="A639" s="821" t="s">
        <v>714</v>
      </c>
      <c r="B639" s="822"/>
      <c r="C639" s="823">
        <f>SUM(C634:C638)</f>
        <v>0</v>
      </c>
      <c r="G639" s="799"/>
      <c r="H639" s="283"/>
      <c r="I639" s="821" t="s">
        <v>714</v>
      </c>
      <c r="J639" s="826"/>
      <c r="K639" s="823">
        <f>SUM(K634:K638)</f>
        <v>0</v>
      </c>
      <c r="O639" s="799"/>
    </row>
    <row r="640">
      <c r="A640" s="828"/>
      <c r="C640" s="829"/>
      <c r="G640" s="799"/>
      <c r="H640" s="283"/>
      <c r="I640" s="828"/>
      <c r="K640" s="829"/>
      <c r="O640" s="799"/>
    </row>
    <row r="641">
      <c r="A641" s="830" t="s">
        <v>715</v>
      </c>
      <c r="B641" s="831"/>
      <c r="C641" s="832"/>
      <c r="G641" s="799"/>
      <c r="H641" s="283"/>
      <c r="I641" s="833" t="s">
        <v>715</v>
      </c>
      <c r="J641" s="834"/>
      <c r="K641" s="835"/>
      <c r="O641" s="799"/>
    </row>
    <row r="642">
      <c r="A642" s="836" t="s">
        <v>716</v>
      </c>
      <c r="B642" s="837"/>
      <c r="C642" s="838">
        <v>150.0</v>
      </c>
      <c r="G642" s="799"/>
      <c r="H642" s="283"/>
      <c r="I642" s="839"/>
      <c r="J642" s="840"/>
      <c r="K642" s="841"/>
      <c r="O642" s="799"/>
    </row>
    <row r="643">
      <c r="A643" s="842" t="s">
        <v>717</v>
      </c>
      <c r="B643" s="843"/>
      <c r="C643" s="844">
        <v>400.0</v>
      </c>
      <c r="D643" s="891"/>
      <c r="E643" s="845" t="s">
        <v>1182</v>
      </c>
      <c r="G643" s="846" t="str">
        <f>G631+C639-C648</f>
        <v>#N/A</v>
      </c>
      <c r="H643" s="283"/>
      <c r="I643" s="847"/>
      <c r="J643" s="848"/>
      <c r="K643" s="849"/>
      <c r="L643" s="248"/>
      <c r="M643" s="845" t="s">
        <v>1183</v>
      </c>
      <c r="O643" s="846">
        <f>O631+K639-K648</f>
        <v>1109.55</v>
      </c>
    </row>
    <row r="644">
      <c r="A644" s="836" t="s">
        <v>718</v>
      </c>
      <c r="B644" s="837"/>
      <c r="C644" s="838">
        <v>200.0</v>
      </c>
      <c r="D644" s="892"/>
      <c r="G644" s="799"/>
      <c r="H644" s="283"/>
      <c r="I644" s="847"/>
      <c r="J644" s="848"/>
      <c r="K644" s="849"/>
      <c r="O644" s="799"/>
    </row>
    <row r="645">
      <c r="A645" s="842" t="s">
        <v>656</v>
      </c>
      <c r="B645" s="843"/>
      <c r="C645" s="844" t="str">
        <f>IFERROR(__xludf.DUMMYFUNCTION("FILTER($C$4:$C$30,$B$4:$B$30=E623)"),"#N/A")</f>
        <v>#N/A</v>
      </c>
      <c r="D645" s="891"/>
      <c r="G645" s="799"/>
      <c r="H645" s="283"/>
      <c r="I645" s="847"/>
      <c r="J645" s="848"/>
      <c r="K645" s="849"/>
      <c r="O645" s="799"/>
    </row>
    <row r="646">
      <c r="A646" s="850" t="s">
        <v>1184</v>
      </c>
      <c r="B646" s="851"/>
      <c r="C646" s="852"/>
      <c r="D646" s="917"/>
      <c r="E646" s="248"/>
      <c r="G646" s="799"/>
      <c r="H646" s="283"/>
      <c r="I646" s="847"/>
      <c r="J646" s="848"/>
      <c r="K646" s="849"/>
      <c r="M646" s="248"/>
      <c r="O646" s="799"/>
    </row>
    <row r="647">
      <c r="A647" s="914"/>
      <c r="B647" s="905"/>
      <c r="C647" s="906"/>
      <c r="D647" s="915" t="s">
        <v>1203</v>
      </c>
      <c r="G647" s="799"/>
      <c r="H647" s="283"/>
      <c r="I647" s="847"/>
      <c r="J647" s="848"/>
      <c r="K647" s="849"/>
      <c r="O647" s="799"/>
    </row>
    <row r="648">
      <c r="A648" s="853" t="s">
        <v>721</v>
      </c>
      <c r="B648" s="854"/>
      <c r="C648" s="855" t="str">
        <f>SUM(C642:C647)</f>
        <v>#N/A</v>
      </c>
      <c r="D648" s="248"/>
      <c r="G648" s="799"/>
      <c r="H648" s="283"/>
      <c r="I648" s="853" t="s">
        <v>721</v>
      </c>
      <c r="J648" s="854"/>
      <c r="K648" s="855">
        <f>SUM(K642:K647)</f>
        <v>0</v>
      </c>
      <c r="O648" s="799"/>
    </row>
    <row r="649">
      <c r="A649" s="856"/>
      <c r="B649" s="857"/>
      <c r="C649" s="857"/>
      <c r="D649" s="894"/>
      <c r="E649" s="857"/>
      <c r="F649" s="857"/>
      <c r="G649" s="808"/>
      <c r="H649" s="283"/>
      <c r="I649" s="856"/>
      <c r="J649" s="857"/>
      <c r="K649" s="857"/>
      <c r="L649" s="857"/>
      <c r="M649" s="857"/>
      <c r="N649" s="857"/>
      <c r="O649" s="808"/>
    </row>
    <row r="652">
      <c r="A652" s="769"/>
      <c r="B652" s="770"/>
      <c r="C652" s="770"/>
      <c r="D652" s="771" t="s">
        <v>700</v>
      </c>
      <c r="E652" s="772" t="str">
        <f>E125</f>
        <v>12.01.2025-12.07.2025</v>
      </c>
      <c r="F652" s="773"/>
      <c r="G652" s="774"/>
      <c r="H652" s="305">
        <v>18.0</v>
      </c>
      <c r="I652" s="769"/>
      <c r="J652" s="770"/>
      <c r="K652" s="770"/>
      <c r="L652" s="771" t="s">
        <v>700</v>
      </c>
      <c r="M652" s="772" t="str">
        <f>E652</f>
        <v>12.01.2025-12.07.2025</v>
      </c>
      <c r="N652" s="773"/>
      <c r="O652" s="774"/>
    </row>
    <row r="653">
      <c r="A653" s="775"/>
      <c r="D653" s="771" t="s">
        <v>702</v>
      </c>
      <c r="E653" s="772" t="str">
        <f t="array" ref="E653">XLOOKUP(E654,$Q$972:$Q$1008,$R$972:$R$1008)</f>
        <v>FERHAT BAL</v>
      </c>
      <c r="F653" s="773"/>
      <c r="G653" s="774"/>
      <c r="H653" s="283"/>
      <c r="I653" s="775"/>
      <c r="L653" s="771" t="s">
        <v>702</v>
      </c>
      <c r="M653" s="772" t="s">
        <v>693</v>
      </c>
      <c r="N653" s="773"/>
      <c r="O653" s="774"/>
    </row>
    <row r="654">
      <c r="A654" s="775"/>
      <c r="D654" s="771" t="s">
        <v>703</v>
      </c>
      <c r="E654" s="772">
        <v>6643.0</v>
      </c>
      <c r="F654" s="773"/>
      <c r="G654" s="774"/>
      <c r="H654" s="858"/>
      <c r="I654" s="775"/>
      <c r="L654" s="771" t="s">
        <v>703</v>
      </c>
      <c r="M654" s="772">
        <v>6643.0</v>
      </c>
      <c r="N654" s="773"/>
      <c r="O654" s="774"/>
      <c r="P654" s="958"/>
    </row>
    <row r="655">
      <c r="A655" s="779" t="s">
        <v>704</v>
      </c>
      <c r="B655" s="779" t="s">
        <v>5</v>
      </c>
      <c r="C655" s="779" t="s">
        <v>6</v>
      </c>
      <c r="D655" s="779" t="s">
        <v>7</v>
      </c>
      <c r="E655" s="779" t="s">
        <v>8</v>
      </c>
      <c r="F655" s="779" t="s">
        <v>706</v>
      </c>
      <c r="G655" s="779" t="s">
        <v>707</v>
      </c>
      <c r="H655" s="34"/>
      <c r="I655" s="779"/>
      <c r="J655" s="779"/>
      <c r="K655" s="779"/>
      <c r="L655" s="779"/>
      <c r="M655" s="779" t="s">
        <v>1204</v>
      </c>
      <c r="N655" s="779"/>
      <c r="O655" s="779"/>
    </row>
    <row r="656">
      <c r="A656" s="780">
        <f>IFERROR(__xludf.DUMMYFUNCTION("FILTER($D$3:$H$121,$L$3:$L$121=E654)"),45993.0)</f>
        <v>45993</v>
      </c>
      <c r="B656" s="781">
        <f>IFERROR(__xludf.DUMMYFUNCTION("""COMPUTED_VALUE"""),2175513.0)</f>
        <v>2175513</v>
      </c>
      <c r="C656" s="781" t="str">
        <f>IFERROR(__xludf.DUMMYFUNCTION("""COMPUTED_VALUE"""),"Byhalia, MS, 38611")</f>
        <v>Byhalia, MS, 38611</v>
      </c>
      <c r="D656" s="781" t="str">
        <f>IFERROR(__xludf.DUMMYFUNCTION("""COMPUTED_VALUE"""),"Prattville, AL, 36067")</f>
        <v>Prattville, AL, 36067</v>
      </c>
      <c r="E656" s="782">
        <f>IFERROR(__xludf.DUMMYFUNCTION("""COMPUTED_VALUE"""),1250.0)</f>
        <v>1250</v>
      </c>
      <c r="F656" s="783">
        <v>0.88</v>
      </c>
      <c r="G656" s="782">
        <f t="shared" ref="G656:G661" si="32">E656*F656</f>
        <v>1100</v>
      </c>
      <c r="H656" s="283"/>
      <c r="I656" s="780"/>
      <c r="J656" s="781"/>
      <c r="K656" s="781"/>
      <c r="L656" s="781"/>
      <c r="M656" s="880">
        <f>IFERROR(__xludf.DUMMYFUNCTION("FILTER($I$3:$I$121,$L$3:$L$121=M654)"),303.0)</f>
        <v>303</v>
      </c>
      <c r="N656" s="781"/>
      <c r="O656" s="782"/>
    </row>
    <row r="657">
      <c r="A657" s="780">
        <f>IFERROR(__xludf.DUMMYFUNCTION("""COMPUTED_VALUE"""),45993.0)</f>
        <v>45993</v>
      </c>
      <c r="B657" s="781">
        <f>IFERROR(__xludf.DUMMYFUNCTION("""COMPUTED_VALUE"""),2182447.0)</f>
        <v>2182447</v>
      </c>
      <c r="C657" s="781" t="str">
        <f>IFERROR(__xludf.DUMMYFUNCTION("""COMPUTED_VALUE"""),"Olive Branch, MS, 38654")</f>
        <v>Olive Branch, MS, 38654</v>
      </c>
      <c r="D657" s="781" t="str">
        <f>IFERROR(__xludf.DUMMYFUNCTION("""COMPUTED_VALUE"""),"Cypress, TX, 77433")</f>
        <v>Cypress, TX, 77433</v>
      </c>
      <c r="E657" s="782">
        <f>IFERROR(__xludf.DUMMYFUNCTION("""COMPUTED_VALUE"""),150.0)</f>
        <v>150</v>
      </c>
      <c r="F657" s="783">
        <v>0.88</v>
      </c>
      <c r="G657" s="782">
        <f t="shared" si="32"/>
        <v>132</v>
      </c>
      <c r="H657" s="283"/>
      <c r="I657" s="780"/>
      <c r="J657" s="781"/>
      <c r="K657" s="781"/>
      <c r="L657" s="781"/>
      <c r="M657" s="880">
        <f>IFERROR(__xludf.DUMMYFUNCTION("""COMPUTED_VALUE"""),88.0)</f>
        <v>88</v>
      </c>
      <c r="N657" s="781"/>
      <c r="O657" s="782"/>
    </row>
    <row r="658">
      <c r="A658" s="883">
        <f>IFERROR(__xludf.DUMMYFUNCTION("""COMPUTED_VALUE"""),45994.0)</f>
        <v>45994</v>
      </c>
      <c r="B658" s="786">
        <f>IFERROR(__xludf.DUMMYFUNCTION("""COMPUTED_VALUE"""),2891394.0)</f>
        <v>2891394</v>
      </c>
      <c r="C658" s="786" t="str">
        <f>IFERROR(__xludf.DUMMYFUNCTION("""COMPUTED_VALUE"""),"Wetumpka, AL, 36092")</f>
        <v>Wetumpka, AL, 36092</v>
      </c>
      <c r="D658" s="786" t="str">
        <f>IFERROR(__xludf.DUMMYFUNCTION("""COMPUTED_VALUE"""),"Memphis, TN, 38118")</f>
        <v>Memphis, TN, 38118</v>
      </c>
      <c r="E658" s="884">
        <f>IFERROR(__xludf.DUMMYFUNCTION("""COMPUTED_VALUE"""),685.0)</f>
        <v>685</v>
      </c>
      <c r="F658" s="783">
        <v>0.88</v>
      </c>
      <c r="G658" s="782">
        <f t="shared" si="32"/>
        <v>602.8</v>
      </c>
      <c r="H658" s="283"/>
      <c r="I658" s="780"/>
      <c r="J658" s="781"/>
      <c r="K658" s="781"/>
      <c r="L658" s="781"/>
      <c r="M658" s="880">
        <f>IFERROR(__xludf.DUMMYFUNCTION("""COMPUTED_VALUE"""),337.0)</f>
        <v>337</v>
      </c>
      <c r="N658" s="781"/>
      <c r="O658" s="782"/>
    </row>
    <row r="659">
      <c r="A659" s="883">
        <f>IFERROR(__xludf.DUMMYFUNCTION("""COMPUTED_VALUE"""),45995.0)</f>
        <v>45995</v>
      </c>
      <c r="B659" s="786">
        <f>IFERROR(__xludf.DUMMYFUNCTION("""COMPUTED_VALUE"""),2183669.0)</f>
        <v>2183669</v>
      </c>
      <c r="C659" s="786" t="str">
        <f>IFERROR(__xludf.DUMMYFUNCTION("""COMPUTED_VALUE"""),", MS, 38879")</f>
        <v>, MS, 38879</v>
      </c>
      <c r="D659" s="786" t="str">
        <f>IFERROR(__xludf.DUMMYFUNCTION("""COMPUTED_VALUE"""),"Dallas, TX, 75232")</f>
        <v>Dallas, TX, 75232</v>
      </c>
      <c r="E659" s="884">
        <f>IFERROR(__xludf.DUMMYFUNCTION("""COMPUTED_VALUE"""),1450.0)</f>
        <v>1450</v>
      </c>
      <c r="F659" s="783">
        <v>0.88</v>
      </c>
      <c r="G659" s="782">
        <f t="shared" si="32"/>
        <v>1276</v>
      </c>
      <c r="H659" s="283"/>
      <c r="I659" s="785"/>
      <c r="J659" s="786"/>
      <c r="K659" s="786"/>
      <c r="L659" s="786"/>
      <c r="M659" s="880">
        <f>IFERROR(__xludf.DUMMYFUNCTION("""COMPUTED_VALUE"""),645.0)</f>
        <v>645</v>
      </c>
      <c r="N659" s="787"/>
      <c r="O659" s="789"/>
    </row>
    <row r="660">
      <c r="A660" s="883">
        <f>IFERROR(__xludf.DUMMYFUNCTION("""COMPUTED_VALUE"""),45996.0)</f>
        <v>45996</v>
      </c>
      <c r="B660" s="786">
        <f>IFERROR(__xludf.DUMMYFUNCTION("""COMPUTED_VALUE"""),2173184.0)</f>
        <v>2173184</v>
      </c>
      <c r="C660" s="786" t="str">
        <f>IFERROR(__xludf.DUMMYFUNCTION("""COMPUTED_VALUE"""),"Byhalia, MS, 38611")</f>
        <v>Byhalia, MS, 38611</v>
      </c>
      <c r="D660" s="786" t="str">
        <f>IFERROR(__xludf.DUMMYFUNCTION("""COMPUTED_VALUE"""),"Hanover, MD, 21076")</f>
        <v>Hanover, MD, 21076</v>
      </c>
      <c r="E660" s="884">
        <f>IFERROR(__xludf.DUMMYFUNCTION("""COMPUTED_VALUE"""),3100.0)</f>
        <v>3100</v>
      </c>
      <c r="F660" s="783">
        <v>0.88</v>
      </c>
      <c r="G660" s="782">
        <f t="shared" si="32"/>
        <v>2728</v>
      </c>
      <c r="H660" s="283"/>
      <c r="I660" s="785"/>
      <c r="J660" s="786"/>
      <c r="K660" s="786"/>
      <c r="L660" s="786"/>
      <c r="M660" s="880">
        <f>IFERROR(__xludf.DUMMYFUNCTION("""COMPUTED_VALUE"""),951.0)</f>
        <v>951</v>
      </c>
      <c r="N660" s="787"/>
      <c r="O660" s="789"/>
    </row>
    <row r="661">
      <c r="A661" s="883">
        <f>IFERROR(__xludf.DUMMYFUNCTION("""COMPUTED_VALUE"""),45996.0)</f>
        <v>45996</v>
      </c>
      <c r="B661" s="786">
        <f>IFERROR(__xludf.DUMMYFUNCTION("""COMPUTED_VALUE"""),239576.0)</f>
        <v>239576</v>
      </c>
      <c r="C661" s="786" t="str">
        <f>IFERROR(__xludf.DUMMYFUNCTION("""COMPUTED_VALUE"""),"Hawkins, TX, 75765")</f>
        <v>Hawkins, TX, 75765</v>
      </c>
      <c r="D661" s="928" t="str">
        <f>IFERROR(__xludf.DUMMYFUNCTION("""COMPUTED_VALUE"""),"New Albany, MS, 38652")</f>
        <v>New Albany, MS, 38652</v>
      </c>
      <c r="E661" s="884">
        <f>IFERROR(__xludf.DUMMYFUNCTION("""COMPUTED_VALUE"""),1200.0)</f>
        <v>1200</v>
      </c>
      <c r="F661" s="783">
        <v>0.88</v>
      </c>
      <c r="G661" s="782">
        <f t="shared" si="32"/>
        <v>1056</v>
      </c>
      <c r="H661" s="283"/>
      <c r="I661" s="785"/>
      <c r="J661" s="786"/>
      <c r="K661" s="786"/>
      <c r="L661" s="786"/>
      <c r="M661" s="880">
        <f>IFERROR(__xludf.DUMMYFUNCTION("""COMPUTED_VALUE"""),564.0)</f>
        <v>564</v>
      </c>
      <c r="N661" s="787"/>
      <c r="O661" s="789"/>
    </row>
    <row r="662">
      <c r="A662" s="790" t="s">
        <v>711</v>
      </c>
      <c r="B662" s="791"/>
      <c r="C662" s="791"/>
      <c r="D662" s="792"/>
      <c r="E662" s="793">
        <f>SUM(E656:E661)</f>
        <v>7835</v>
      </c>
      <c r="F662" s="794"/>
      <c r="G662" s="793">
        <f>SUM(G656:G661)</f>
        <v>6894.8</v>
      </c>
      <c r="H662" s="283"/>
      <c r="I662" s="790"/>
      <c r="J662" s="791"/>
      <c r="K662" s="791"/>
      <c r="L662" s="792"/>
      <c r="M662" s="877">
        <f>SUM(M656:M661)</f>
        <v>2888</v>
      </c>
      <c r="N662" s="794"/>
      <c r="O662" s="793"/>
      <c r="P662" s="777"/>
    </row>
    <row r="663">
      <c r="A663" s="796"/>
      <c r="D663" s="798"/>
      <c r="G663" s="799"/>
      <c r="H663" s="283"/>
      <c r="I663" s="796"/>
      <c r="L663" s="798"/>
      <c r="O663" s="799"/>
    </row>
    <row r="664">
      <c r="A664" s="800" t="s">
        <v>712</v>
      </c>
      <c r="B664" s="801"/>
      <c r="C664" s="802"/>
      <c r="G664" s="799"/>
      <c r="H664" s="283"/>
      <c r="I664" s="800"/>
      <c r="J664" s="803"/>
      <c r="K664" s="804"/>
      <c r="O664" s="799"/>
    </row>
    <row r="665">
      <c r="A665" s="902"/>
      <c r="B665" s="806"/>
      <c r="C665" s="807"/>
      <c r="G665" s="799"/>
      <c r="H665" s="283"/>
      <c r="I665" s="902" t="s">
        <v>1194</v>
      </c>
      <c r="J665" s="808"/>
      <c r="K665" s="809"/>
      <c r="O665" s="799"/>
    </row>
    <row r="666">
      <c r="A666" s="868"/>
      <c r="B666" s="774"/>
      <c r="C666" s="816"/>
      <c r="G666" s="799"/>
      <c r="H666" s="283"/>
      <c r="I666" s="868"/>
      <c r="J666" s="774"/>
      <c r="K666" s="816"/>
      <c r="O666" s="799"/>
    </row>
    <row r="667">
      <c r="A667" s="815"/>
      <c r="B667" s="792"/>
      <c r="C667" s="816"/>
      <c r="G667" s="799"/>
      <c r="H667" s="283"/>
      <c r="I667" s="815"/>
      <c r="J667" s="792"/>
      <c r="K667" s="816"/>
      <c r="O667" s="799"/>
    </row>
    <row r="668">
      <c r="A668" s="817"/>
      <c r="B668" s="774"/>
      <c r="C668" s="818"/>
      <c r="G668" s="799"/>
      <c r="H668" s="283"/>
      <c r="I668" s="817"/>
      <c r="J668" s="774"/>
      <c r="K668" s="818"/>
      <c r="O668" s="799"/>
    </row>
    <row r="669">
      <c r="A669" s="817"/>
      <c r="B669" s="792"/>
      <c r="C669" s="818"/>
      <c r="G669" s="799"/>
      <c r="H669" s="283"/>
      <c r="I669" s="817"/>
      <c r="J669" s="792"/>
      <c r="K669" s="818"/>
      <c r="O669" s="799"/>
    </row>
    <row r="670">
      <c r="A670" s="821" t="s">
        <v>714</v>
      </c>
      <c r="B670" s="822"/>
      <c r="C670" s="823">
        <f>SUM(C665:C669)</f>
        <v>0</v>
      </c>
      <c r="G670" s="799"/>
      <c r="H670" s="283"/>
      <c r="I670" s="821"/>
      <c r="J670" s="826"/>
      <c r="K670" s="827"/>
      <c r="O670" s="799"/>
    </row>
    <row r="671">
      <c r="A671" s="828"/>
      <c r="C671" s="829"/>
      <c r="G671" s="799"/>
      <c r="H671" s="283"/>
      <c r="I671" s="828"/>
      <c r="K671" s="829"/>
      <c r="O671" s="799"/>
    </row>
    <row r="672">
      <c r="A672" s="830" t="s">
        <v>715</v>
      </c>
      <c r="B672" s="831"/>
      <c r="C672" s="832"/>
      <c r="G672" s="799"/>
      <c r="H672" s="283"/>
      <c r="I672" s="833"/>
      <c r="J672" s="834"/>
      <c r="K672" s="835"/>
      <c r="O672" s="799"/>
    </row>
    <row r="673">
      <c r="A673" s="836" t="s">
        <v>716</v>
      </c>
      <c r="B673" s="837"/>
      <c r="C673" s="838">
        <v>150.0</v>
      </c>
      <c r="G673" s="799"/>
      <c r="H673" s="283"/>
      <c r="I673" s="839"/>
      <c r="J673" s="840"/>
      <c r="K673" s="841"/>
      <c r="O673" s="799"/>
    </row>
    <row r="674">
      <c r="A674" s="842" t="s">
        <v>717</v>
      </c>
      <c r="B674" s="843"/>
      <c r="C674" s="844">
        <v>400.0</v>
      </c>
      <c r="D674" s="248"/>
      <c r="E674" s="845" t="s">
        <v>1182</v>
      </c>
      <c r="G674" s="846">
        <f>G662+C670-C679</f>
        <v>4749.19</v>
      </c>
      <c r="H674" s="283"/>
      <c r="I674" s="847"/>
      <c r="J674" s="848"/>
      <c r="K674" s="849"/>
      <c r="L674" s="248"/>
      <c r="M674" s="845"/>
      <c r="O674" s="846"/>
    </row>
    <row r="675">
      <c r="A675" s="836" t="s">
        <v>718</v>
      </c>
      <c r="B675" s="837"/>
      <c r="C675" s="838"/>
      <c r="G675" s="799"/>
      <c r="H675" s="283"/>
      <c r="I675" s="847"/>
      <c r="J675" s="848"/>
      <c r="K675" s="849"/>
      <c r="O675" s="799"/>
    </row>
    <row r="676">
      <c r="A676" s="842" t="s">
        <v>656</v>
      </c>
      <c r="B676" s="843"/>
      <c r="C676" s="844">
        <f>IFERROR(__xludf.DUMMYFUNCTION("FILTER($C$4:$C$30,$B$4:$B$30=E654)"),1595.61)</f>
        <v>1595.61</v>
      </c>
      <c r="G676" s="799"/>
      <c r="H676" s="283"/>
      <c r="I676" s="847"/>
      <c r="J676" s="848"/>
      <c r="K676" s="849"/>
      <c r="O676" s="799"/>
    </row>
    <row r="677">
      <c r="A677" s="850" t="s">
        <v>1184</v>
      </c>
      <c r="B677" s="851"/>
      <c r="C677" s="852"/>
      <c r="E677" s="248"/>
      <c r="G677" s="799"/>
      <c r="H677" s="283"/>
      <c r="I677" s="847"/>
      <c r="J677" s="848"/>
      <c r="K677" s="849"/>
      <c r="M677" s="248"/>
      <c r="O677" s="799"/>
    </row>
    <row r="678">
      <c r="A678" s="847"/>
      <c r="B678" s="848"/>
      <c r="C678" s="849"/>
      <c r="G678" s="799"/>
      <c r="H678" s="283"/>
      <c r="I678" s="847"/>
      <c r="J678" s="848"/>
      <c r="K678" s="849"/>
      <c r="O678" s="799"/>
    </row>
    <row r="679">
      <c r="A679" s="853" t="s">
        <v>721</v>
      </c>
      <c r="B679" s="854"/>
      <c r="C679" s="855">
        <f>SUM(C673:C678)</f>
        <v>2145.61</v>
      </c>
      <c r="G679" s="799"/>
      <c r="H679" s="283"/>
      <c r="I679" s="853"/>
      <c r="J679" s="854"/>
      <c r="K679" s="855"/>
      <c r="O679" s="799"/>
    </row>
    <row r="680">
      <c r="A680" s="856"/>
      <c r="B680" s="857"/>
      <c r="C680" s="857"/>
      <c r="D680" s="857"/>
      <c r="E680" s="857"/>
      <c r="F680" s="857"/>
      <c r="G680" s="808"/>
      <c r="H680" s="283"/>
      <c r="I680" s="856"/>
      <c r="J680" s="857"/>
      <c r="K680" s="857"/>
      <c r="L680" s="857"/>
      <c r="M680" s="857"/>
      <c r="N680" s="857"/>
      <c r="O680" s="808"/>
    </row>
    <row r="683">
      <c r="A683" s="769"/>
      <c r="B683" s="770"/>
      <c r="C683" s="770"/>
      <c r="D683" s="771" t="s">
        <v>700</v>
      </c>
      <c r="E683" s="772" t="str">
        <f>E125</f>
        <v>12.01.2025-12.07.2025</v>
      </c>
      <c r="F683" s="773"/>
      <c r="G683" s="774"/>
      <c r="H683" s="305">
        <v>19.0</v>
      </c>
      <c r="I683" s="769"/>
      <c r="J683" s="770"/>
      <c r="K683" s="770"/>
      <c r="L683" s="771" t="s">
        <v>700</v>
      </c>
      <c r="M683" s="772" t="str">
        <f>E125</f>
        <v>12.01.2025-12.07.2025</v>
      </c>
      <c r="N683" s="773"/>
      <c r="O683" s="774"/>
    </row>
    <row r="684">
      <c r="A684" s="775"/>
      <c r="D684" s="771" t="s">
        <v>702</v>
      </c>
      <c r="E684" s="772" t="s">
        <v>682</v>
      </c>
      <c r="F684" s="773"/>
      <c r="G684" s="774"/>
      <c r="H684" s="283"/>
      <c r="I684" s="775"/>
      <c r="L684" s="771" t="s">
        <v>351</v>
      </c>
      <c r="M684" s="772" t="str">
        <f t="array" ref="M684">XLOOKUP(M685,$L$1:$L$121,$K$1:$K$121)</f>
        <v>JEAN SONNY</v>
      </c>
      <c r="N684" s="773"/>
      <c r="O684" s="774"/>
    </row>
    <row r="685">
      <c r="A685" s="775"/>
      <c r="D685" s="771" t="s">
        <v>703</v>
      </c>
      <c r="E685" s="772">
        <v>7352.0</v>
      </c>
      <c r="F685" s="773"/>
      <c r="G685" s="774"/>
      <c r="H685" s="858"/>
      <c r="I685" s="775"/>
      <c r="L685" s="771" t="s">
        <v>703</v>
      </c>
      <c r="M685" s="772">
        <f>E685</f>
        <v>7352</v>
      </c>
      <c r="N685" s="773"/>
      <c r="O685" s="774"/>
      <c r="P685" s="777"/>
    </row>
    <row r="686">
      <c r="A686" s="779" t="s">
        <v>704</v>
      </c>
      <c r="B686" s="779" t="s">
        <v>5</v>
      </c>
      <c r="C686" s="779" t="s">
        <v>6</v>
      </c>
      <c r="D686" s="779" t="s">
        <v>7</v>
      </c>
      <c r="E686" s="779" t="s">
        <v>8</v>
      </c>
      <c r="F686" s="779" t="s">
        <v>706</v>
      </c>
      <c r="G686" s="779" t="s">
        <v>707</v>
      </c>
      <c r="H686" s="34"/>
      <c r="I686" s="779" t="s">
        <v>704</v>
      </c>
      <c r="J686" s="779" t="s">
        <v>5</v>
      </c>
      <c r="K686" s="779" t="s">
        <v>6</v>
      </c>
      <c r="L686" s="779" t="s">
        <v>7</v>
      </c>
      <c r="M686" s="779" t="s">
        <v>1178</v>
      </c>
      <c r="N686" s="779" t="s">
        <v>839</v>
      </c>
      <c r="O686" s="779" t="s">
        <v>707</v>
      </c>
    </row>
    <row r="687">
      <c r="A687" s="780">
        <f>IFERROR(__xludf.DUMMYFUNCTION("FILTER($D$3:$H$121,$L$3:$L$121=E685)"),45993.0)</f>
        <v>45993</v>
      </c>
      <c r="B687" s="781">
        <f>IFERROR(__xludf.DUMMYFUNCTION("""COMPUTED_VALUE"""),5.3664644E8)</f>
        <v>536646440</v>
      </c>
      <c r="C687" s="781" t="str">
        <f>IFERROR(__xludf.DUMMYFUNCTION("""COMPUTED_VALUE"""),"Camp Hill, PA, 17011")</f>
        <v>Camp Hill, PA, 17011</v>
      </c>
      <c r="D687" s="781" t="str">
        <f>IFERROR(__xludf.DUMMYFUNCTION("""COMPUTED_VALUE"""),"Aurora, CO, 80019")</f>
        <v>Aurora, CO, 80019</v>
      </c>
      <c r="E687" s="782">
        <f>IFERROR(__xludf.DUMMYFUNCTION("""COMPUTED_VALUE"""),3350.0)</f>
        <v>3350</v>
      </c>
      <c r="F687" s="783">
        <v>0.88</v>
      </c>
      <c r="G687" s="782">
        <f t="shared" ref="G687:G689" si="33">E687*F687</f>
        <v>2948</v>
      </c>
      <c r="H687" s="283"/>
      <c r="I687" s="780">
        <f>IFERROR(__xludf.DUMMYFUNCTION("FILTER($D$3:$G$121,$L$3:$L$121=M685)"),45993.0)</f>
        <v>45993</v>
      </c>
      <c r="J687" s="781">
        <f>IFERROR(__xludf.DUMMYFUNCTION("""COMPUTED_VALUE"""),5.3664644E8)</f>
        <v>536646440</v>
      </c>
      <c r="K687" s="781" t="str">
        <f>IFERROR(__xludf.DUMMYFUNCTION("""COMPUTED_VALUE"""),"Camp Hill, PA, 17011")</f>
        <v>Camp Hill, PA, 17011</v>
      </c>
      <c r="L687" s="781" t="str">
        <f>IFERROR(__xludf.DUMMYFUNCTION("""COMPUTED_VALUE"""),"Aurora, CO, 80019")</f>
        <v>Aurora, CO, 80019</v>
      </c>
      <c r="M687" s="880">
        <f>IFERROR(__xludf.DUMMYFUNCTION("FILTER($I$3:$I$121,$L$3:$L$121=M685)"),1614.0)</f>
        <v>1614</v>
      </c>
      <c r="N687" s="781">
        <v>0.65</v>
      </c>
      <c r="O687" s="782">
        <f t="shared" ref="O687:O689" si="34">M687*N687</f>
        <v>1049.1</v>
      </c>
    </row>
    <row r="688">
      <c r="A688" s="780">
        <f>IFERROR(__xludf.DUMMYFUNCTION("""COMPUTED_VALUE"""),45995.0)</f>
        <v>45995</v>
      </c>
      <c r="B688" s="781">
        <f>IFERROR(__xludf.DUMMYFUNCTION("""COMPUTED_VALUE"""),2902579.0)</f>
        <v>2902579</v>
      </c>
      <c r="C688" s="781" t="str">
        <f>IFERROR(__xludf.DUMMYFUNCTION("""COMPUTED_VALUE"""),"Denver, CO, 80216")</f>
        <v>Denver, CO, 80216</v>
      </c>
      <c r="D688" s="781" t="str">
        <f>IFERROR(__xludf.DUMMYFUNCTION("""COMPUTED_VALUE"""),"Albuquerque, NM, 87107")</f>
        <v>Albuquerque, NM, 87107</v>
      </c>
      <c r="E688" s="782">
        <f>IFERROR(__xludf.DUMMYFUNCTION("""COMPUTED_VALUE"""),950.0)</f>
        <v>950</v>
      </c>
      <c r="F688" s="783">
        <v>0.88</v>
      </c>
      <c r="G688" s="782">
        <f t="shared" si="33"/>
        <v>836</v>
      </c>
      <c r="H688" s="283"/>
      <c r="I688" s="780">
        <f>IFERROR(__xludf.DUMMYFUNCTION("""COMPUTED_VALUE"""),45995.0)</f>
        <v>45995</v>
      </c>
      <c r="J688" s="781">
        <f>IFERROR(__xludf.DUMMYFUNCTION("""COMPUTED_VALUE"""),2902579.0)</f>
        <v>2902579</v>
      </c>
      <c r="K688" s="781" t="str">
        <f>IFERROR(__xludf.DUMMYFUNCTION("""COMPUTED_VALUE"""),"Denver, CO, 80216")</f>
        <v>Denver, CO, 80216</v>
      </c>
      <c r="L688" s="781" t="str">
        <f>IFERROR(__xludf.DUMMYFUNCTION("""COMPUTED_VALUE"""),"Albuquerque, NM, 87107")</f>
        <v>Albuquerque, NM, 87107</v>
      </c>
      <c r="M688" s="896">
        <f>IFERROR(__xludf.DUMMYFUNCTION("""COMPUTED_VALUE"""),464.0)</f>
        <v>464</v>
      </c>
      <c r="N688" s="781">
        <v>0.65</v>
      </c>
      <c r="O688" s="782">
        <f t="shared" si="34"/>
        <v>301.6</v>
      </c>
    </row>
    <row r="689">
      <c r="A689" s="883">
        <f>IFERROR(__xludf.DUMMYFUNCTION("""COMPUTED_VALUE"""),45996.0)</f>
        <v>45996</v>
      </c>
      <c r="B689" s="786">
        <f>IFERROR(__xludf.DUMMYFUNCTION("""COMPUTED_VALUE"""),8014776.0)</f>
        <v>8014776</v>
      </c>
      <c r="C689" s="786" t="str">
        <f>IFERROR(__xludf.DUMMYFUNCTION("""COMPUTED_VALUE"""),"Albuquerque, NM, 87105")</f>
        <v>Albuquerque, NM, 87105</v>
      </c>
      <c r="D689" s="786" t="str">
        <f>IFERROR(__xludf.DUMMYFUNCTION("""COMPUTED_VALUE"""),"Monrovia, MD, 21770")</f>
        <v>Monrovia, MD, 21770</v>
      </c>
      <c r="E689" s="884">
        <f>IFERROR(__xludf.DUMMYFUNCTION("""COMPUTED_VALUE"""),3800.0)</f>
        <v>3800</v>
      </c>
      <c r="F689" s="783">
        <v>0.88</v>
      </c>
      <c r="G689" s="782">
        <f t="shared" si="33"/>
        <v>3344</v>
      </c>
      <c r="H689" s="283"/>
      <c r="I689" s="780">
        <f>IFERROR(__xludf.DUMMYFUNCTION("""COMPUTED_VALUE"""),45996.0)</f>
        <v>45996</v>
      </c>
      <c r="J689" s="781">
        <f>IFERROR(__xludf.DUMMYFUNCTION("""COMPUTED_VALUE"""),8014776.0)</f>
        <v>8014776</v>
      </c>
      <c r="K689" s="781" t="str">
        <f>IFERROR(__xludf.DUMMYFUNCTION("""COMPUTED_VALUE"""),"Albuquerque, NM, 87105")</f>
        <v>Albuquerque, NM, 87105</v>
      </c>
      <c r="L689" s="781" t="str">
        <f>IFERROR(__xludf.DUMMYFUNCTION("""COMPUTED_VALUE"""),"Monrovia, MD, 21770")</f>
        <v>Monrovia, MD, 21770</v>
      </c>
      <c r="M689" s="880">
        <f>IFERROR(__xludf.DUMMYFUNCTION("""COMPUTED_VALUE"""),1827.0)</f>
        <v>1827</v>
      </c>
      <c r="N689" s="781">
        <v>0.65</v>
      </c>
      <c r="O689" s="782">
        <f t="shared" si="34"/>
        <v>1187.55</v>
      </c>
    </row>
    <row r="690">
      <c r="A690" s="785"/>
      <c r="B690" s="786"/>
      <c r="C690" s="786"/>
      <c r="D690" s="786"/>
      <c r="E690" s="785"/>
      <c r="F690" s="787"/>
      <c r="G690" s="788"/>
      <c r="H690" s="283"/>
      <c r="I690" s="785"/>
      <c r="J690" s="786"/>
      <c r="K690" s="786"/>
      <c r="L690" s="786"/>
      <c r="M690" s="785"/>
      <c r="N690" s="787"/>
      <c r="O690" s="789"/>
    </row>
    <row r="691">
      <c r="A691" s="785"/>
      <c r="B691" s="786"/>
      <c r="C691" s="786"/>
      <c r="D691" s="786"/>
      <c r="E691" s="785"/>
      <c r="F691" s="787"/>
      <c r="G691" s="788"/>
      <c r="H691" s="283"/>
      <c r="I691" s="785"/>
      <c r="J691" s="786"/>
      <c r="K691" s="786"/>
      <c r="L691" s="786"/>
      <c r="M691" s="785"/>
      <c r="N691" s="787"/>
      <c r="O691" s="789"/>
      <c r="T691" s="29"/>
      <c r="U691" s="918"/>
    </row>
    <row r="692">
      <c r="A692" s="785"/>
      <c r="B692" s="786"/>
      <c r="C692" s="786"/>
      <c r="D692" s="786"/>
      <c r="E692" s="785"/>
      <c r="F692" s="787"/>
      <c r="G692" s="788"/>
      <c r="H692" s="283"/>
      <c r="I692" s="785"/>
      <c r="J692" s="786"/>
      <c r="K692" s="786"/>
      <c r="L692" s="786"/>
      <c r="M692" s="785"/>
      <c r="N692" s="787"/>
      <c r="O692" s="789"/>
      <c r="T692" s="29"/>
      <c r="U692" s="918"/>
    </row>
    <row r="693">
      <c r="A693" s="790" t="s">
        <v>711</v>
      </c>
      <c r="B693" s="791"/>
      <c r="C693" s="791"/>
      <c r="D693" s="792"/>
      <c r="E693" s="793">
        <f>SUM(E687:E692)</f>
        <v>8100</v>
      </c>
      <c r="F693" s="794"/>
      <c r="G693" s="793">
        <f>SUM(G687:G692)</f>
        <v>7128</v>
      </c>
      <c r="H693" s="283"/>
      <c r="I693" s="790" t="s">
        <v>711</v>
      </c>
      <c r="J693" s="791"/>
      <c r="K693" s="791"/>
      <c r="L693" s="792"/>
      <c r="M693" s="877">
        <f>SUM(M687:M692)</f>
        <v>3905</v>
      </c>
      <c r="N693" s="794"/>
      <c r="O693" s="793">
        <f>SUM(O687:O692)</f>
        <v>2538.25</v>
      </c>
      <c r="T693" s="29"/>
      <c r="U693" s="918"/>
    </row>
    <row r="694">
      <c r="A694" s="796"/>
      <c r="D694" s="798"/>
      <c r="G694" s="799"/>
      <c r="H694" s="283"/>
      <c r="I694" s="796"/>
      <c r="L694" s="798"/>
      <c r="O694" s="799"/>
      <c r="T694" s="29"/>
      <c r="U694" s="918"/>
    </row>
    <row r="695">
      <c r="A695" s="800" t="s">
        <v>712</v>
      </c>
      <c r="B695" s="801"/>
      <c r="C695" s="802"/>
      <c r="G695" s="799"/>
      <c r="H695" s="283"/>
      <c r="I695" s="800" t="s">
        <v>712</v>
      </c>
      <c r="J695" s="803"/>
      <c r="K695" s="804"/>
      <c r="O695" s="799"/>
      <c r="T695" s="29"/>
      <c r="U695" s="918"/>
    </row>
    <row r="696">
      <c r="A696" s="902" t="s">
        <v>1194</v>
      </c>
      <c r="B696" s="806"/>
      <c r="C696" s="807">
        <v>250.0</v>
      </c>
      <c r="G696" s="799"/>
      <c r="H696" s="283"/>
      <c r="I696" s="902" t="s">
        <v>1194</v>
      </c>
      <c r="J696" s="808"/>
      <c r="K696" s="903">
        <v>250.0</v>
      </c>
      <c r="O696" s="799"/>
      <c r="T696" s="29"/>
      <c r="U696" s="918"/>
    </row>
    <row r="697">
      <c r="A697" s="868"/>
      <c r="B697" s="774"/>
      <c r="C697" s="816"/>
      <c r="G697" s="799"/>
      <c r="H697" s="283"/>
      <c r="I697" s="868"/>
      <c r="J697" s="774"/>
      <c r="K697" s="816"/>
      <c r="O697" s="799"/>
      <c r="T697" s="29"/>
      <c r="U697" s="918"/>
    </row>
    <row r="698">
      <c r="A698" s="815"/>
      <c r="B698" s="792"/>
      <c r="C698" s="816"/>
      <c r="G698" s="799"/>
      <c r="H698" s="283"/>
      <c r="I698" s="815"/>
      <c r="J698" s="792"/>
      <c r="K698" s="816"/>
      <c r="O698" s="799"/>
      <c r="T698" s="29"/>
      <c r="U698" s="918"/>
    </row>
    <row r="699">
      <c r="A699" s="817"/>
      <c r="B699" s="774"/>
      <c r="C699" s="818"/>
      <c r="G699" s="799"/>
      <c r="H699" s="283"/>
      <c r="I699" s="817"/>
      <c r="J699" s="774"/>
      <c r="K699" s="818"/>
      <c r="O699" s="799"/>
      <c r="T699" s="29"/>
      <c r="U699" s="918"/>
    </row>
    <row r="700">
      <c r="A700" s="817"/>
      <c r="B700" s="792"/>
      <c r="C700" s="818"/>
      <c r="G700" s="799"/>
      <c r="H700" s="283"/>
      <c r="I700" s="817"/>
      <c r="J700" s="792"/>
      <c r="K700" s="818"/>
      <c r="O700" s="799"/>
      <c r="T700" s="29"/>
      <c r="U700" s="918"/>
    </row>
    <row r="701">
      <c r="A701" s="821" t="s">
        <v>714</v>
      </c>
      <c r="B701" s="822"/>
      <c r="C701" s="823">
        <f>SUM(C696:C700)</f>
        <v>250</v>
      </c>
      <c r="G701" s="799"/>
      <c r="H701" s="283"/>
      <c r="I701" s="821" t="s">
        <v>714</v>
      </c>
      <c r="J701" s="826"/>
      <c r="K701" s="823">
        <f>SUM(K696:K700)</f>
        <v>250</v>
      </c>
      <c r="O701" s="799"/>
      <c r="T701" s="29"/>
      <c r="U701" s="918"/>
    </row>
    <row r="702">
      <c r="A702" s="828"/>
      <c r="C702" s="829"/>
      <c r="G702" s="799"/>
      <c r="H702" s="283"/>
      <c r="I702" s="828"/>
      <c r="K702" s="829"/>
      <c r="O702" s="799"/>
      <c r="T702" s="29"/>
      <c r="U702" s="918"/>
    </row>
    <row r="703">
      <c r="A703" s="830" t="s">
        <v>715</v>
      </c>
      <c r="B703" s="831"/>
      <c r="C703" s="832"/>
      <c r="G703" s="799"/>
      <c r="H703" s="283"/>
      <c r="I703" s="833" t="s">
        <v>715</v>
      </c>
      <c r="J703" s="834"/>
      <c r="K703" s="835"/>
      <c r="O703" s="799"/>
      <c r="T703" s="29"/>
      <c r="U703" s="918"/>
    </row>
    <row r="704">
      <c r="A704" s="836" t="s">
        <v>716</v>
      </c>
      <c r="B704" s="837"/>
      <c r="C704" s="838">
        <v>150.0</v>
      </c>
      <c r="G704" s="799"/>
      <c r="H704" s="283"/>
      <c r="I704" s="839"/>
      <c r="J704" s="840"/>
      <c r="K704" s="841"/>
      <c r="O704" s="799"/>
      <c r="T704" s="29"/>
      <c r="U704" s="918"/>
    </row>
    <row r="705">
      <c r="A705" s="842" t="s">
        <v>717</v>
      </c>
      <c r="B705" s="843"/>
      <c r="C705" s="844">
        <v>400.0</v>
      </c>
      <c r="D705" s="891"/>
      <c r="E705" s="845" t="s">
        <v>1182</v>
      </c>
      <c r="G705" s="846">
        <f>G693+C701-C710</f>
        <v>3876.2</v>
      </c>
      <c r="H705" s="283"/>
      <c r="I705" s="847"/>
      <c r="J705" s="848"/>
      <c r="K705" s="849"/>
      <c r="L705" s="248"/>
      <c r="M705" s="845" t="s">
        <v>1183</v>
      </c>
      <c r="O705" s="846">
        <f>O693+K701-K710</f>
        <v>2788.25</v>
      </c>
      <c r="Q705" s="669"/>
      <c r="T705" s="29"/>
      <c r="U705" s="918"/>
    </row>
    <row r="706">
      <c r="A706" s="836" t="s">
        <v>718</v>
      </c>
      <c r="B706" s="837"/>
      <c r="C706" s="838">
        <v>200.0</v>
      </c>
      <c r="D706" s="892"/>
      <c r="G706" s="799"/>
      <c r="H706" s="283"/>
      <c r="I706" s="847"/>
      <c r="J706" s="848"/>
      <c r="K706" s="849"/>
      <c r="O706" s="799"/>
      <c r="T706" s="29"/>
      <c r="U706" s="918"/>
    </row>
    <row r="707">
      <c r="A707" s="842" t="s">
        <v>656</v>
      </c>
      <c r="B707" s="843"/>
      <c r="C707" s="844">
        <f>IFERROR(__xludf.DUMMYFUNCTION("FILTER($C$4:$C$30,$B$4:$B$30=E685)"),2751.8)</f>
        <v>2751.8</v>
      </c>
      <c r="D707" s="891"/>
      <c r="G707" s="799"/>
      <c r="H707" s="283"/>
      <c r="I707" s="847"/>
      <c r="J707" s="848"/>
      <c r="K707" s="849"/>
      <c r="O707" s="799"/>
      <c r="T707" s="29"/>
      <c r="U707" s="918"/>
    </row>
    <row r="708">
      <c r="A708" s="850" t="s">
        <v>1184</v>
      </c>
      <c r="B708" s="851"/>
      <c r="C708" s="852"/>
      <c r="D708" s="919"/>
      <c r="G708" s="799"/>
      <c r="H708" s="283"/>
      <c r="I708" s="847"/>
      <c r="J708" s="848"/>
      <c r="K708" s="849"/>
      <c r="M708" s="248"/>
      <c r="O708" s="799"/>
      <c r="T708" s="29"/>
      <c r="U708" s="918"/>
    </row>
    <row r="709">
      <c r="A709" s="904" t="s">
        <v>1207</v>
      </c>
      <c r="B709" s="905"/>
      <c r="C709" s="906"/>
      <c r="D709" s="920"/>
      <c r="E709" s="248"/>
      <c r="F709" s="248"/>
      <c r="G709" s="797"/>
      <c r="H709" s="283"/>
      <c r="I709" s="847"/>
      <c r="J709" s="848"/>
      <c r="K709" s="849"/>
      <c r="O709" s="799"/>
      <c r="T709" s="29"/>
      <c r="U709" s="918"/>
    </row>
    <row r="710">
      <c r="A710" s="853" t="s">
        <v>721</v>
      </c>
      <c r="B710" s="854"/>
      <c r="C710" s="855">
        <f>SUM(C704:C709)</f>
        <v>3501.8</v>
      </c>
      <c r="D710" s="248"/>
      <c r="E710" s="248"/>
      <c r="F710" s="248"/>
      <c r="G710" s="797"/>
      <c r="H710" s="283"/>
      <c r="I710" s="853" t="s">
        <v>721</v>
      </c>
      <c r="J710" s="854"/>
      <c r="K710" s="855">
        <f>SUM(K704:K709)</f>
        <v>0</v>
      </c>
      <c r="O710" s="799"/>
      <c r="T710" s="29"/>
      <c r="U710" s="918"/>
    </row>
    <row r="711">
      <c r="A711" s="856"/>
      <c r="B711" s="857"/>
      <c r="C711" s="857"/>
      <c r="D711" s="894"/>
      <c r="E711" s="894"/>
      <c r="F711" s="894"/>
      <c r="G711" s="921"/>
      <c r="H711" s="283"/>
      <c r="I711" s="856"/>
      <c r="J711" s="857"/>
      <c r="K711" s="857"/>
      <c r="L711" s="857"/>
      <c r="M711" s="857"/>
      <c r="N711" s="857"/>
      <c r="O711" s="808"/>
      <c r="T711" s="29"/>
      <c r="U711" s="918"/>
    </row>
    <row r="712">
      <c r="T712" s="29"/>
      <c r="U712" s="918"/>
    </row>
    <row r="713">
      <c r="T713" s="29"/>
      <c r="U713" s="918"/>
    </row>
    <row r="714">
      <c r="A714" s="769"/>
      <c r="B714" s="770"/>
      <c r="C714" s="770"/>
      <c r="D714" s="771" t="s">
        <v>700</v>
      </c>
      <c r="E714" s="772" t="str">
        <f>E125</f>
        <v>12.01.2025-12.07.2025</v>
      </c>
      <c r="F714" s="773"/>
      <c r="G714" s="774"/>
      <c r="H714" s="305">
        <v>20.0</v>
      </c>
      <c r="I714" s="769"/>
      <c r="J714" s="770"/>
      <c r="K714" s="770"/>
      <c r="L714" s="771" t="s">
        <v>700</v>
      </c>
      <c r="M714" s="772" t="str">
        <f>E125</f>
        <v>12.01.2025-12.07.2025</v>
      </c>
      <c r="N714" s="773"/>
      <c r="O714" s="774"/>
      <c r="T714" s="29"/>
      <c r="U714" s="918"/>
    </row>
    <row r="715">
      <c r="A715" s="775"/>
      <c r="D715" s="771" t="s">
        <v>702</v>
      </c>
      <c r="E715" s="772" t="s">
        <v>1208</v>
      </c>
      <c r="F715" s="773"/>
      <c r="G715" s="774"/>
      <c r="H715" s="283"/>
      <c r="I715" s="775"/>
      <c r="L715" s="771" t="s">
        <v>351</v>
      </c>
      <c r="M715" s="772" t="str">
        <f t="array" ref="M715">XLOOKUP(M716,$L$1:$L$121,$K$1:$K$121)</f>
        <v>FENEL EDME</v>
      </c>
      <c r="N715" s="773"/>
      <c r="O715" s="774"/>
      <c r="T715" s="29"/>
      <c r="U715" s="918"/>
    </row>
    <row r="716">
      <c r="A716" s="775"/>
      <c r="D716" s="771" t="s">
        <v>703</v>
      </c>
      <c r="E716" s="772">
        <v>3881.0</v>
      </c>
      <c r="F716" s="773"/>
      <c r="G716" s="774"/>
      <c r="H716" s="858"/>
      <c r="I716" s="775"/>
      <c r="L716" s="771" t="s">
        <v>703</v>
      </c>
      <c r="M716" s="772">
        <f>E716</f>
        <v>3881</v>
      </c>
      <c r="N716" s="773"/>
      <c r="O716" s="774"/>
      <c r="P716" s="777"/>
      <c r="T716" s="29"/>
      <c r="U716" s="918"/>
    </row>
    <row r="717">
      <c r="A717" s="779" t="s">
        <v>704</v>
      </c>
      <c r="B717" s="779" t="s">
        <v>5</v>
      </c>
      <c r="C717" s="779" t="s">
        <v>6</v>
      </c>
      <c r="D717" s="779" t="s">
        <v>7</v>
      </c>
      <c r="E717" s="779" t="s">
        <v>8</v>
      </c>
      <c r="F717" s="779" t="s">
        <v>706</v>
      </c>
      <c r="G717" s="779" t="s">
        <v>707</v>
      </c>
      <c r="H717" s="34"/>
      <c r="I717" s="779" t="s">
        <v>704</v>
      </c>
      <c r="J717" s="779" t="s">
        <v>5</v>
      </c>
      <c r="K717" s="779" t="s">
        <v>6</v>
      </c>
      <c r="L717" s="779" t="s">
        <v>7</v>
      </c>
      <c r="M717" s="779" t="s">
        <v>1178</v>
      </c>
      <c r="N717" s="779" t="s">
        <v>839</v>
      </c>
      <c r="O717" s="779" t="s">
        <v>707</v>
      </c>
      <c r="T717" s="29"/>
      <c r="U717" s="918"/>
    </row>
    <row r="718">
      <c r="A718" s="780">
        <f>IFERROR(__xludf.DUMMYFUNCTION("FILTER($D$3:$H$121,$L$3:$L$121=E716)"),45995.0)</f>
        <v>45995</v>
      </c>
      <c r="B718" s="781">
        <f>IFERROR(__xludf.DUMMYFUNCTION("""COMPUTED_VALUE"""),5.3576857E8)</f>
        <v>535768570</v>
      </c>
      <c r="C718" s="781" t="str">
        <f>IFERROR(__xludf.DUMMYFUNCTION("""COMPUTED_VALUE"""),"Fall River, MA, 02720")</f>
        <v>Fall River, MA, 02720</v>
      </c>
      <c r="D718" s="781" t="str">
        <f>IFERROR(__xludf.DUMMYFUNCTION("""COMPUTED_VALUE"""),"South Fulton, GA, 30349")</f>
        <v>South Fulton, GA, 30349</v>
      </c>
      <c r="E718" s="782">
        <f>IFERROR(__xludf.DUMMYFUNCTION("""COMPUTED_VALUE"""),2800.0)</f>
        <v>2800</v>
      </c>
      <c r="F718" s="783">
        <v>0.88</v>
      </c>
      <c r="G718" s="782">
        <f t="shared" ref="G718:G722" si="35">E718*F718</f>
        <v>2464</v>
      </c>
      <c r="H718" s="283"/>
      <c r="I718" s="780">
        <f>IFERROR(__xludf.DUMMYFUNCTION("FILTER($D$3:$G$121,$L$3:$L$121=M716)"),45995.0)</f>
        <v>45995</v>
      </c>
      <c r="J718" s="781">
        <f>IFERROR(__xludf.DUMMYFUNCTION("""COMPUTED_VALUE"""),5.3576857E8)</f>
        <v>535768570</v>
      </c>
      <c r="K718" s="781" t="str">
        <f>IFERROR(__xludf.DUMMYFUNCTION("""COMPUTED_VALUE"""),"Fall River, MA, 02720")</f>
        <v>Fall River, MA, 02720</v>
      </c>
      <c r="L718" s="781" t="str">
        <f>IFERROR(__xludf.DUMMYFUNCTION("""COMPUTED_VALUE"""),"South Fulton, GA, 30349")</f>
        <v>South Fulton, GA, 30349</v>
      </c>
      <c r="M718" s="896">
        <f>IFERROR(__xludf.DUMMYFUNCTION("FILTER($I$3:$I$121,$L$3:$L$121=M716)"),1130.0)</f>
        <v>1130</v>
      </c>
      <c r="N718" s="781">
        <v>0.65</v>
      </c>
      <c r="O718" s="782">
        <f t="shared" ref="O718:O722" si="36">M718*N718</f>
        <v>734.5</v>
      </c>
      <c r="T718" s="922"/>
      <c r="U718" s="923"/>
    </row>
    <row r="719">
      <c r="A719" s="780">
        <f>IFERROR(__xludf.DUMMYFUNCTION("""COMPUTED_VALUE"""),45997.0)</f>
        <v>45997</v>
      </c>
      <c r="B719" s="781">
        <f>IFERROR(__xludf.DUMMYFUNCTION("""COMPUTED_VALUE"""),8036247.0)</f>
        <v>8036247</v>
      </c>
      <c r="C719" s="781" t="str">
        <f>IFERROR(__xludf.DUMMYFUNCTION("""COMPUTED_VALUE"""),"Lyons, GA, 30436")</f>
        <v>Lyons, GA, 30436</v>
      </c>
      <c r="D719" s="781" t="str">
        <f>IFERROR(__xludf.DUMMYFUNCTION("""COMPUTED_VALUE"""),"Town of Lancaster, NY, 14086")</f>
        <v>Town of Lancaster, NY, 14086</v>
      </c>
      <c r="E719" s="782">
        <f>IFERROR(__xludf.DUMMYFUNCTION("""COMPUTED_VALUE"""),0.0)</f>
        <v>0</v>
      </c>
      <c r="F719" s="783">
        <v>0.88</v>
      </c>
      <c r="G719" s="782">
        <f t="shared" si="35"/>
        <v>0</v>
      </c>
      <c r="H719" s="283"/>
      <c r="I719" s="780">
        <f>IFERROR(__xludf.DUMMYFUNCTION("""COMPUTED_VALUE"""),45997.0)</f>
        <v>45997</v>
      </c>
      <c r="J719" s="781">
        <f>IFERROR(__xludf.DUMMYFUNCTION("""COMPUTED_VALUE"""),8036247.0)</f>
        <v>8036247</v>
      </c>
      <c r="K719" s="781" t="str">
        <f>IFERROR(__xludf.DUMMYFUNCTION("""COMPUTED_VALUE"""),"Lyons, GA, 30436")</f>
        <v>Lyons, GA, 30436</v>
      </c>
      <c r="L719" s="781" t="str">
        <f>IFERROR(__xludf.DUMMYFUNCTION("""COMPUTED_VALUE"""),"Town of Lancaster, NY, 14086")</f>
        <v>Town of Lancaster, NY, 14086</v>
      </c>
      <c r="M719" s="896">
        <f>IFERROR(__xludf.DUMMYFUNCTION("""COMPUTED_VALUE"""),0.0)</f>
        <v>0</v>
      </c>
      <c r="N719" s="781">
        <v>0.65</v>
      </c>
      <c r="O719" s="782">
        <f t="shared" si="36"/>
        <v>0</v>
      </c>
    </row>
    <row r="720">
      <c r="A720" s="785"/>
      <c r="B720" s="786"/>
      <c r="C720" s="786"/>
      <c r="D720" s="786"/>
      <c r="E720" s="785"/>
      <c r="F720" s="783">
        <v>0.88</v>
      </c>
      <c r="G720" s="782">
        <f t="shared" si="35"/>
        <v>0</v>
      </c>
      <c r="H720" s="283"/>
      <c r="I720" s="780"/>
      <c r="J720" s="781"/>
      <c r="K720" s="781"/>
      <c r="L720" s="781"/>
      <c r="M720" s="880"/>
      <c r="N720" s="781">
        <v>0.65</v>
      </c>
      <c r="O720" s="782">
        <f t="shared" si="36"/>
        <v>0</v>
      </c>
    </row>
    <row r="721">
      <c r="A721" s="785"/>
      <c r="B721" s="786"/>
      <c r="C721" s="786"/>
      <c r="D721" s="786"/>
      <c r="E721" s="785"/>
      <c r="F721" s="783">
        <v>0.88</v>
      </c>
      <c r="G721" s="782">
        <f t="shared" si="35"/>
        <v>0</v>
      </c>
      <c r="H721" s="283"/>
      <c r="I721" s="969"/>
      <c r="J721" s="882"/>
      <c r="K721" s="882"/>
      <c r="L721" s="882"/>
      <c r="M721" s="925"/>
      <c r="N721" s="781">
        <v>0.65</v>
      </c>
      <c r="O721" s="782">
        <f t="shared" si="36"/>
        <v>0</v>
      </c>
    </row>
    <row r="722">
      <c r="A722" s="785"/>
      <c r="B722" s="786"/>
      <c r="C722" s="786"/>
      <c r="D722" s="786"/>
      <c r="E722" s="785"/>
      <c r="F722" s="783">
        <v>0.88</v>
      </c>
      <c r="G722" s="782">
        <f t="shared" si="35"/>
        <v>0</v>
      </c>
      <c r="H722" s="283"/>
      <c r="I722" s="969"/>
      <c r="J722" s="882"/>
      <c r="K722" s="882"/>
      <c r="L722" s="882"/>
      <c r="M722" s="925"/>
      <c r="N722" s="781">
        <v>0.65</v>
      </c>
      <c r="O722" s="782">
        <f t="shared" si="36"/>
        <v>0</v>
      </c>
    </row>
    <row r="723">
      <c r="A723" s="785"/>
      <c r="B723" s="786"/>
      <c r="C723" s="786"/>
      <c r="D723" s="786"/>
      <c r="E723" s="785"/>
      <c r="F723" s="787"/>
      <c r="G723" s="788"/>
      <c r="H723" s="283"/>
      <c r="I723" s="785"/>
      <c r="J723" s="786"/>
      <c r="K723" s="786"/>
      <c r="L723" s="786"/>
      <c r="M723" s="785"/>
      <c r="N723" s="787"/>
      <c r="O723" s="789"/>
    </row>
    <row r="724">
      <c r="A724" s="790" t="s">
        <v>711</v>
      </c>
      <c r="B724" s="791"/>
      <c r="C724" s="791"/>
      <c r="D724" s="792"/>
      <c r="E724" s="793">
        <f>SUM(E718:E723)</f>
        <v>2800</v>
      </c>
      <c r="F724" s="794"/>
      <c r="G724" s="793">
        <f>SUM(G718:G723)</f>
        <v>2464</v>
      </c>
      <c r="H724" s="283"/>
      <c r="I724" s="790" t="s">
        <v>711</v>
      </c>
      <c r="J724" s="791"/>
      <c r="K724" s="791"/>
      <c r="L724" s="792"/>
      <c r="M724" s="877">
        <f>SUM(M718:M723)</f>
        <v>1130</v>
      </c>
      <c r="N724" s="794"/>
      <c r="O724" s="793">
        <f>SUM(O718:O723)</f>
        <v>734.5</v>
      </c>
    </row>
    <row r="725">
      <c r="A725" s="796"/>
      <c r="D725" s="798"/>
      <c r="G725" s="799"/>
      <c r="H725" s="283"/>
      <c r="I725" s="796"/>
      <c r="L725" s="798"/>
      <c r="O725" s="799"/>
    </row>
    <row r="726">
      <c r="A726" s="800" t="s">
        <v>712</v>
      </c>
      <c r="B726" s="801"/>
      <c r="C726" s="802"/>
      <c r="G726" s="799"/>
      <c r="H726" s="283"/>
      <c r="I726" s="800" t="s">
        <v>712</v>
      </c>
      <c r="J726" s="803"/>
      <c r="K726" s="804"/>
      <c r="O726" s="799"/>
    </row>
    <row r="727">
      <c r="A727" s="902"/>
      <c r="B727" s="806"/>
      <c r="C727" s="807"/>
      <c r="G727" s="799"/>
      <c r="H727" s="283"/>
      <c r="I727" s="902" t="s">
        <v>1194</v>
      </c>
      <c r="J727" s="808"/>
      <c r="K727" s="903">
        <v>250.0</v>
      </c>
      <c r="O727" s="799"/>
    </row>
    <row r="728">
      <c r="A728" s="813"/>
      <c r="B728" s="898"/>
      <c r="C728" s="926"/>
      <c r="G728" s="799"/>
      <c r="H728" s="283"/>
      <c r="I728" s="868"/>
      <c r="J728" s="774"/>
      <c r="K728" s="816"/>
      <c r="O728" s="799"/>
    </row>
    <row r="729">
      <c r="A729" s="815"/>
      <c r="B729" s="792"/>
      <c r="C729" s="816"/>
      <c r="G729" s="799"/>
      <c r="H729" s="283"/>
      <c r="I729" s="815"/>
      <c r="J729" s="792"/>
      <c r="K729" s="816"/>
      <c r="O729" s="799"/>
    </row>
    <row r="730">
      <c r="A730" s="817"/>
      <c r="B730" s="774"/>
      <c r="C730" s="818"/>
      <c r="G730" s="799"/>
      <c r="H730" s="283"/>
      <c r="I730" s="817"/>
      <c r="J730" s="774"/>
      <c r="K730" s="818"/>
      <c r="O730" s="799"/>
    </row>
    <row r="731">
      <c r="A731" s="817"/>
      <c r="B731" s="792"/>
      <c r="C731" s="818"/>
      <c r="G731" s="799"/>
      <c r="H731" s="283"/>
      <c r="I731" s="817"/>
      <c r="J731" s="792"/>
      <c r="K731" s="818"/>
      <c r="O731" s="799"/>
    </row>
    <row r="732">
      <c r="A732" s="821" t="s">
        <v>714</v>
      </c>
      <c r="B732" s="822"/>
      <c r="C732" s="823">
        <f>SUM(C727:C731)</f>
        <v>0</v>
      </c>
      <c r="G732" s="799"/>
      <c r="H732" s="283"/>
      <c r="I732" s="821" t="s">
        <v>714</v>
      </c>
      <c r="J732" s="826"/>
      <c r="K732" s="823">
        <f>SUM(K727:K731)</f>
        <v>250</v>
      </c>
      <c r="O732" s="799"/>
    </row>
    <row r="733">
      <c r="A733" s="828"/>
      <c r="C733" s="829"/>
      <c r="G733" s="799"/>
      <c r="H733" s="283"/>
      <c r="I733" s="828"/>
      <c r="K733" s="829"/>
      <c r="O733" s="799"/>
    </row>
    <row r="734">
      <c r="A734" s="830" t="s">
        <v>715</v>
      </c>
      <c r="B734" s="831"/>
      <c r="C734" s="832"/>
      <c r="G734" s="799"/>
      <c r="H734" s="283"/>
      <c r="I734" s="833" t="s">
        <v>715</v>
      </c>
      <c r="J734" s="834"/>
      <c r="K734" s="835"/>
      <c r="O734" s="799"/>
    </row>
    <row r="735">
      <c r="A735" s="836" t="s">
        <v>716</v>
      </c>
      <c r="B735" s="837"/>
      <c r="C735" s="838">
        <v>150.0</v>
      </c>
      <c r="G735" s="799"/>
      <c r="H735" s="283"/>
      <c r="I735" s="839"/>
      <c r="J735" s="840"/>
      <c r="K735" s="841"/>
      <c r="O735" s="799"/>
    </row>
    <row r="736">
      <c r="A736" s="842" t="s">
        <v>717</v>
      </c>
      <c r="B736" s="843"/>
      <c r="C736" s="844">
        <v>400.0</v>
      </c>
      <c r="D736" s="248"/>
      <c r="E736" s="845" t="s">
        <v>1182</v>
      </c>
      <c r="G736" s="846">
        <f>G724+C732-C741</f>
        <v>922.52</v>
      </c>
      <c r="H736" s="283"/>
      <c r="I736" s="847"/>
      <c r="J736" s="848"/>
      <c r="K736" s="849"/>
      <c r="L736" s="248"/>
      <c r="M736" s="845" t="s">
        <v>1183</v>
      </c>
      <c r="O736" s="846">
        <f>O724+K732-K741</f>
        <v>984.5</v>
      </c>
    </row>
    <row r="737">
      <c r="A737" s="836" t="s">
        <v>718</v>
      </c>
      <c r="B737" s="837"/>
      <c r="C737" s="838"/>
      <c r="G737" s="799"/>
      <c r="H737" s="283"/>
      <c r="I737" s="847"/>
      <c r="J737" s="848"/>
      <c r="K737" s="849"/>
      <c r="O737" s="799"/>
    </row>
    <row r="738">
      <c r="A738" s="842" t="s">
        <v>656</v>
      </c>
      <c r="B738" s="843"/>
      <c r="C738" s="844">
        <f>IFERROR(__xludf.DUMMYFUNCTION("FILTER($C$4:$C$30,$B$4:$B$30=E716)"),991.48)</f>
        <v>991.48</v>
      </c>
      <c r="G738" s="799"/>
      <c r="H738" s="283"/>
      <c r="I738" s="847"/>
      <c r="J738" s="848"/>
      <c r="K738" s="849"/>
      <c r="O738" s="799"/>
    </row>
    <row r="739">
      <c r="A739" s="850" t="s">
        <v>1184</v>
      </c>
      <c r="B739" s="851"/>
      <c r="C739" s="852"/>
      <c r="E739" s="248"/>
      <c r="G739" s="799"/>
      <c r="H739" s="283"/>
      <c r="I739" s="847"/>
      <c r="J739" s="848"/>
      <c r="K739" s="849"/>
      <c r="M739" s="248"/>
      <c r="O739" s="799"/>
    </row>
    <row r="740">
      <c r="A740" s="847"/>
      <c r="B740" s="848"/>
      <c r="C740" s="849"/>
      <c r="G740" s="799"/>
      <c r="H740" s="283"/>
      <c r="I740" s="847"/>
      <c r="J740" s="848"/>
      <c r="K740" s="849"/>
      <c r="O740" s="799"/>
    </row>
    <row r="741">
      <c r="A741" s="853" t="s">
        <v>721</v>
      </c>
      <c r="B741" s="854"/>
      <c r="C741" s="855">
        <f>SUM(C735:C740)</f>
        <v>1541.48</v>
      </c>
      <c r="G741" s="799"/>
      <c r="H741" s="283"/>
      <c r="I741" s="853" t="s">
        <v>721</v>
      </c>
      <c r="J741" s="854"/>
      <c r="K741" s="855">
        <f>SUM(K735:K740)</f>
        <v>0</v>
      </c>
      <c r="O741" s="799"/>
    </row>
    <row r="742">
      <c r="A742" s="856"/>
      <c r="B742" s="857"/>
      <c r="C742" s="857"/>
      <c r="D742" s="857"/>
      <c r="E742" s="857"/>
      <c r="F742" s="857"/>
      <c r="G742" s="808"/>
      <c r="H742" s="283"/>
      <c r="I742" s="856"/>
      <c r="J742" s="857"/>
      <c r="K742" s="857"/>
      <c r="L742" s="857"/>
      <c r="M742" s="857"/>
      <c r="N742" s="857"/>
      <c r="O742" s="808"/>
    </row>
    <row r="743">
      <c r="A743" s="199"/>
      <c r="B743" s="199"/>
      <c r="C743" s="199"/>
      <c r="D743" s="248"/>
      <c r="E743" s="248"/>
      <c r="F743" s="248"/>
      <c r="G743" s="248"/>
      <c r="H743" s="283"/>
      <c r="I743" s="199"/>
      <c r="J743" s="199"/>
      <c r="K743" s="199"/>
      <c r="L743" s="248"/>
      <c r="M743" s="248"/>
      <c r="N743" s="248"/>
      <c r="O743" s="248"/>
    </row>
    <row r="744">
      <c r="A744" s="199"/>
      <c r="B744" s="199"/>
      <c r="C744" s="199"/>
      <c r="D744" s="248"/>
      <c r="E744" s="248"/>
      <c r="F744" s="248"/>
      <c r="G744" s="248"/>
      <c r="H744" s="283"/>
      <c r="I744" s="199"/>
      <c r="J744" s="199"/>
      <c r="K744" s="199"/>
      <c r="L744" s="248"/>
      <c r="M744" s="248"/>
      <c r="N744" s="248"/>
      <c r="O744" s="248"/>
    </row>
    <row r="745">
      <c r="A745" s="769"/>
      <c r="B745" s="770"/>
      <c r="C745" s="770"/>
      <c r="D745" s="771" t="s">
        <v>700</v>
      </c>
      <c r="E745" s="772" t="str">
        <f>E125</f>
        <v>12.01.2025-12.07.2025</v>
      </c>
      <c r="F745" s="773"/>
      <c r="G745" s="774"/>
      <c r="H745" s="305">
        <v>21.0</v>
      </c>
      <c r="I745" s="769"/>
      <c r="J745" s="770"/>
      <c r="K745" s="770"/>
      <c r="L745" s="771" t="s">
        <v>700</v>
      </c>
      <c r="M745" s="772" t="str">
        <f>E125</f>
        <v>12.01.2025-12.07.2025</v>
      </c>
      <c r="N745" s="773"/>
      <c r="O745" s="774"/>
    </row>
    <row r="746">
      <c r="A746" s="775"/>
      <c r="D746" s="771" t="s">
        <v>702</v>
      </c>
      <c r="E746" s="772" t="s">
        <v>825</v>
      </c>
      <c r="F746" s="773"/>
      <c r="G746" s="774"/>
      <c r="H746" s="283"/>
      <c r="I746" s="775"/>
      <c r="L746" s="771" t="s">
        <v>351</v>
      </c>
      <c r="M746" s="772" t="str">
        <f t="array" ref="M746">XLOOKUP(M747,$L$1:$L$121,$K$1:$K$121)</f>
        <v>MARVIN CREARY</v>
      </c>
      <c r="N746" s="773"/>
      <c r="O746" s="774"/>
    </row>
    <row r="747">
      <c r="A747" s="775"/>
      <c r="D747" s="771" t="s">
        <v>703</v>
      </c>
      <c r="E747" s="772">
        <v>3866.0</v>
      </c>
      <c r="F747" s="773"/>
      <c r="G747" s="774"/>
      <c r="H747" s="858"/>
      <c r="I747" s="775"/>
      <c r="L747" s="771" t="s">
        <v>703</v>
      </c>
      <c r="M747" s="772">
        <f>E747</f>
        <v>3866</v>
      </c>
      <c r="N747" s="773"/>
      <c r="O747" s="774"/>
      <c r="P747" s="777"/>
    </row>
    <row r="748">
      <c r="A748" s="779" t="s">
        <v>704</v>
      </c>
      <c r="B748" s="779" t="s">
        <v>5</v>
      </c>
      <c r="C748" s="779" t="s">
        <v>6</v>
      </c>
      <c r="D748" s="779" t="s">
        <v>7</v>
      </c>
      <c r="E748" s="779" t="s">
        <v>8</v>
      </c>
      <c r="F748" s="779" t="s">
        <v>706</v>
      </c>
      <c r="G748" s="779" t="s">
        <v>707</v>
      </c>
      <c r="H748" s="34"/>
      <c r="I748" s="779" t="s">
        <v>704</v>
      </c>
      <c r="J748" s="779" t="s">
        <v>5</v>
      </c>
      <c r="K748" s="779" t="s">
        <v>6</v>
      </c>
      <c r="L748" s="779" t="s">
        <v>7</v>
      </c>
      <c r="M748" s="779" t="s">
        <v>1178</v>
      </c>
      <c r="N748" s="779" t="s">
        <v>839</v>
      </c>
      <c r="O748" s="779" t="s">
        <v>707</v>
      </c>
    </row>
    <row r="749">
      <c r="A749" s="780">
        <f>IFERROR(__xludf.DUMMYFUNCTION("FILTER($D$3:$H$121,$L$3:$L$121=E747)"),45992.0)</f>
        <v>45992</v>
      </c>
      <c r="B749" s="781">
        <f>IFERROR(__xludf.DUMMYFUNCTION("""COMPUTED_VALUE"""),5.35451199E8)</f>
        <v>535451199</v>
      </c>
      <c r="C749" s="781" t="str">
        <f>IFERROR(__xludf.DUMMYFUNCTION("""COMPUTED_VALUE"""),"Plainfield, IN, 46168")</f>
        <v>Plainfield, IN, 46168</v>
      </c>
      <c r="D749" s="781" t="str">
        <f>IFERROR(__xludf.DUMMYFUNCTION("""COMPUTED_VALUE"""),"Orlando, FL, 32824")</f>
        <v>Orlando, FL, 32824</v>
      </c>
      <c r="E749" s="782">
        <f>IFERROR(__xludf.DUMMYFUNCTION("""COMPUTED_VALUE"""),3025.0)</f>
        <v>3025</v>
      </c>
      <c r="F749" s="783">
        <v>0.88</v>
      </c>
      <c r="G749" s="782">
        <f t="shared" ref="G749:G751" si="37">E749*F749</f>
        <v>2662</v>
      </c>
      <c r="H749" s="283"/>
      <c r="I749" s="780">
        <f>IFERROR(__xludf.DUMMYFUNCTION("FILTER($D$3:$G$121,$L$3:$L$121=M747)"),45992.0)</f>
        <v>45992</v>
      </c>
      <c r="J749" s="781">
        <f>IFERROR(__xludf.DUMMYFUNCTION("""COMPUTED_VALUE"""),5.35451199E8)</f>
        <v>535451199</v>
      </c>
      <c r="K749" s="781" t="str">
        <f>IFERROR(__xludf.DUMMYFUNCTION("""COMPUTED_VALUE"""),"Plainfield, IN, 46168")</f>
        <v>Plainfield, IN, 46168</v>
      </c>
      <c r="L749" s="781" t="str">
        <f>IFERROR(__xludf.DUMMYFUNCTION("""COMPUTED_VALUE"""),"Orlando, FL, 32824")</f>
        <v>Orlando, FL, 32824</v>
      </c>
      <c r="M749" s="896">
        <f>IFERROR(__xludf.DUMMYFUNCTION("FILTER($I$3:$I$121,$L$3:$L$121=M747)"),1034.0)</f>
        <v>1034</v>
      </c>
      <c r="N749" s="781">
        <v>0.65</v>
      </c>
      <c r="O749" s="782">
        <f t="shared" ref="O749:O751" si="38">M749*N749</f>
        <v>672.1</v>
      </c>
    </row>
    <row r="750">
      <c r="A750" s="780"/>
      <c r="B750" s="781"/>
      <c r="C750" s="781"/>
      <c r="D750" s="781"/>
      <c r="E750" s="782"/>
      <c r="F750" s="783">
        <v>0.88</v>
      </c>
      <c r="G750" s="782">
        <f t="shared" si="37"/>
        <v>0</v>
      </c>
      <c r="H750" s="283"/>
      <c r="I750" s="780"/>
      <c r="J750" s="781"/>
      <c r="K750" s="781"/>
      <c r="L750" s="781"/>
      <c r="M750" s="880"/>
      <c r="N750" s="781">
        <v>0.65</v>
      </c>
      <c r="O750" s="782">
        <f t="shared" si="38"/>
        <v>0</v>
      </c>
    </row>
    <row r="751">
      <c r="A751" s="785"/>
      <c r="B751" s="786"/>
      <c r="C751" s="786"/>
      <c r="D751" s="786"/>
      <c r="E751" s="785"/>
      <c r="F751" s="783">
        <v>0.88</v>
      </c>
      <c r="G751" s="782">
        <f t="shared" si="37"/>
        <v>0</v>
      </c>
      <c r="H751" s="283"/>
      <c r="I751" s="780"/>
      <c r="J751" s="781"/>
      <c r="K751" s="781"/>
      <c r="L751" s="781"/>
      <c r="M751" s="880"/>
      <c r="N751" s="781">
        <v>0.65</v>
      </c>
      <c r="O751" s="782">
        <f t="shared" si="38"/>
        <v>0</v>
      </c>
    </row>
    <row r="752">
      <c r="A752" s="785"/>
      <c r="B752" s="786"/>
      <c r="C752" s="786"/>
      <c r="D752" s="786"/>
      <c r="E752" s="785"/>
      <c r="F752" s="787"/>
      <c r="G752" s="788"/>
      <c r="H752" s="283"/>
      <c r="I752" s="785"/>
      <c r="J752" s="786"/>
      <c r="K752" s="786"/>
      <c r="L752" s="786"/>
      <c r="M752" s="785"/>
      <c r="N752" s="787"/>
      <c r="O752" s="789"/>
    </row>
    <row r="753">
      <c r="A753" s="785"/>
      <c r="B753" s="786"/>
      <c r="C753" s="786"/>
      <c r="D753" s="786"/>
      <c r="E753" s="785"/>
      <c r="F753" s="787"/>
      <c r="G753" s="788"/>
      <c r="H753" s="283"/>
      <c r="I753" s="785"/>
      <c r="J753" s="786"/>
      <c r="K753" s="786"/>
      <c r="L753" s="786"/>
      <c r="M753" s="785"/>
      <c r="N753" s="787"/>
      <c r="O753" s="789"/>
    </row>
    <row r="754">
      <c r="A754" s="785"/>
      <c r="B754" s="786"/>
      <c r="C754" s="786"/>
      <c r="D754" s="786"/>
      <c r="E754" s="785"/>
      <c r="F754" s="787"/>
      <c r="G754" s="788"/>
      <c r="H754" s="283"/>
      <c r="I754" s="785"/>
      <c r="J754" s="786"/>
      <c r="K754" s="786"/>
      <c r="L754" s="786"/>
      <c r="M754" s="785"/>
      <c r="N754" s="787"/>
      <c r="O754" s="789"/>
    </row>
    <row r="755">
      <c r="A755" s="790" t="s">
        <v>711</v>
      </c>
      <c r="B755" s="791"/>
      <c r="C755" s="791"/>
      <c r="D755" s="792"/>
      <c r="E755" s="793">
        <f>SUM(E749:E754)</f>
        <v>3025</v>
      </c>
      <c r="F755" s="794"/>
      <c r="G755" s="793">
        <f>SUM(G749:G754)</f>
        <v>2662</v>
      </c>
      <c r="H755" s="283"/>
      <c r="I755" s="790" t="s">
        <v>711</v>
      </c>
      <c r="J755" s="791"/>
      <c r="K755" s="791"/>
      <c r="L755" s="792"/>
      <c r="M755" s="877">
        <f>SUM(M749:M754)</f>
        <v>1034</v>
      </c>
      <c r="N755" s="794"/>
      <c r="O755" s="793">
        <f>SUM(O749:O754)</f>
        <v>672.1</v>
      </c>
    </row>
    <row r="756">
      <c r="A756" s="796"/>
      <c r="D756" s="798"/>
      <c r="G756" s="799"/>
      <c r="H756" s="283"/>
      <c r="I756" s="796"/>
      <c r="L756" s="798"/>
      <c r="O756" s="799"/>
    </row>
    <row r="757">
      <c r="A757" s="800" t="s">
        <v>712</v>
      </c>
      <c r="B757" s="801"/>
      <c r="C757" s="802"/>
      <c r="G757" s="799"/>
      <c r="H757" s="283"/>
      <c r="I757" s="800" t="s">
        <v>712</v>
      </c>
      <c r="J757" s="803"/>
      <c r="K757" s="804"/>
      <c r="O757" s="799"/>
    </row>
    <row r="758">
      <c r="A758" s="902"/>
      <c r="B758" s="806"/>
      <c r="C758" s="807"/>
      <c r="G758" s="799"/>
      <c r="H758" s="283"/>
      <c r="I758" s="902" t="s">
        <v>1194</v>
      </c>
      <c r="J758" s="808"/>
      <c r="K758" s="903">
        <v>250.0</v>
      </c>
      <c r="O758" s="799"/>
    </row>
    <row r="759">
      <c r="A759" s="868"/>
      <c r="B759" s="774"/>
      <c r="C759" s="816"/>
      <c r="G759" s="799"/>
      <c r="H759" s="283"/>
      <c r="I759" s="868"/>
      <c r="J759" s="774"/>
      <c r="K759" s="816"/>
      <c r="O759" s="799"/>
    </row>
    <row r="760">
      <c r="A760" s="815"/>
      <c r="B760" s="792"/>
      <c r="C760" s="816"/>
      <c r="G760" s="799"/>
      <c r="H760" s="283"/>
      <c r="I760" s="815"/>
      <c r="J760" s="792"/>
      <c r="K760" s="816"/>
      <c r="O760" s="799"/>
    </row>
    <row r="761">
      <c r="A761" s="817"/>
      <c r="B761" s="774"/>
      <c r="C761" s="818"/>
      <c r="G761" s="799"/>
      <c r="H761" s="283"/>
      <c r="I761" s="817"/>
      <c r="J761" s="774"/>
      <c r="K761" s="818"/>
      <c r="O761" s="799"/>
    </row>
    <row r="762">
      <c r="A762" s="817"/>
      <c r="B762" s="792"/>
      <c r="C762" s="818"/>
      <c r="G762" s="799"/>
      <c r="H762" s="283"/>
      <c r="I762" s="817"/>
      <c r="J762" s="792"/>
      <c r="K762" s="818"/>
      <c r="O762" s="799"/>
    </row>
    <row r="763">
      <c r="A763" s="821" t="s">
        <v>714</v>
      </c>
      <c r="B763" s="822"/>
      <c r="C763" s="823">
        <f>SUM(C758:C762)</f>
        <v>0</v>
      </c>
      <c r="G763" s="799"/>
      <c r="H763" s="283"/>
      <c r="I763" s="821" t="s">
        <v>714</v>
      </c>
      <c r="J763" s="826"/>
      <c r="K763" s="827"/>
      <c r="O763" s="799"/>
    </row>
    <row r="764">
      <c r="A764" s="828"/>
      <c r="C764" s="829"/>
      <c r="G764" s="799"/>
      <c r="H764" s="283"/>
      <c r="I764" s="828"/>
      <c r="K764" s="829"/>
      <c r="O764" s="799"/>
    </row>
    <row r="765">
      <c r="A765" s="830" t="s">
        <v>715</v>
      </c>
      <c r="B765" s="831"/>
      <c r="C765" s="832"/>
      <c r="G765" s="799"/>
      <c r="H765" s="283"/>
      <c r="I765" s="833" t="s">
        <v>715</v>
      </c>
      <c r="J765" s="834"/>
      <c r="K765" s="835"/>
      <c r="O765" s="799"/>
      <c r="Q765" s="669"/>
    </row>
    <row r="766">
      <c r="A766" s="836" t="s">
        <v>716</v>
      </c>
      <c r="B766" s="837"/>
      <c r="C766" s="838">
        <v>100.0</v>
      </c>
      <c r="G766" s="799"/>
      <c r="H766" s="283"/>
      <c r="I766" s="839"/>
      <c r="J766" s="840"/>
      <c r="K766" s="841"/>
      <c r="O766" s="799"/>
    </row>
    <row r="767">
      <c r="A767" s="842" t="s">
        <v>717</v>
      </c>
      <c r="B767" s="843"/>
      <c r="C767" s="844">
        <v>400.0</v>
      </c>
      <c r="D767" s="891"/>
      <c r="E767" s="845" t="s">
        <v>1182</v>
      </c>
      <c r="G767" s="846">
        <f>G755+C763-C772</f>
        <v>1207.65</v>
      </c>
      <c r="H767" s="283"/>
      <c r="I767" s="847"/>
      <c r="J767" s="848"/>
      <c r="K767" s="849"/>
      <c r="L767" s="248"/>
      <c r="M767" s="845" t="s">
        <v>1183</v>
      </c>
      <c r="O767" s="846">
        <f>O755+K763-K772</f>
        <v>672.1</v>
      </c>
    </row>
    <row r="768">
      <c r="A768" s="836" t="s">
        <v>718</v>
      </c>
      <c r="B768" s="837"/>
      <c r="C768" s="838">
        <v>200.0</v>
      </c>
      <c r="D768" s="892"/>
      <c r="G768" s="799"/>
      <c r="H768" s="283"/>
      <c r="I768" s="847"/>
      <c r="J768" s="848"/>
      <c r="K768" s="849"/>
      <c r="O768" s="799"/>
    </row>
    <row r="769">
      <c r="A769" s="842" t="s">
        <v>656</v>
      </c>
      <c r="B769" s="843"/>
      <c r="C769" s="844">
        <f>IFERROR(__xludf.DUMMYFUNCTION("FILTER($C$4:$C$30,$B$4:$B$30=E747)"),754.35)</f>
        <v>754.35</v>
      </c>
      <c r="D769" s="891"/>
      <c r="G769" s="799"/>
      <c r="H769" s="283"/>
      <c r="I769" s="847"/>
      <c r="J769" s="848"/>
      <c r="K769" s="849"/>
      <c r="O769" s="799"/>
    </row>
    <row r="770">
      <c r="A770" s="850" t="s">
        <v>1184</v>
      </c>
      <c r="B770" s="851"/>
      <c r="C770" s="852"/>
      <c r="D770" s="917"/>
      <c r="E770" s="248"/>
      <c r="G770" s="799"/>
      <c r="H770" s="283"/>
      <c r="I770" s="847"/>
      <c r="J770" s="848"/>
      <c r="K770" s="849"/>
      <c r="M770" s="248"/>
      <c r="O770" s="799"/>
    </row>
    <row r="771">
      <c r="A771" s="904" t="s">
        <v>807</v>
      </c>
      <c r="B771" s="905"/>
      <c r="C771" s="906"/>
      <c r="D771" s="927"/>
      <c r="G771" s="799"/>
      <c r="H771" s="283"/>
      <c r="I771" s="847"/>
      <c r="J771" s="848"/>
      <c r="K771" s="849"/>
      <c r="O771" s="799"/>
    </row>
    <row r="772">
      <c r="A772" s="853" t="s">
        <v>721</v>
      </c>
      <c r="B772" s="854"/>
      <c r="C772" s="855">
        <f>SUM(C766:C771)</f>
        <v>1454.35</v>
      </c>
      <c r="D772" s="248"/>
      <c r="G772" s="799"/>
      <c r="H772" s="283"/>
      <c r="I772" s="853" t="s">
        <v>721</v>
      </c>
      <c r="J772" s="854"/>
      <c r="K772" s="855"/>
      <c r="O772" s="799"/>
    </row>
    <row r="773">
      <c r="A773" s="856"/>
      <c r="B773" s="857"/>
      <c r="C773" s="857"/>
      <c r="D773" s="894"/>
      <c r="E773" s="857"/>
      <c r="F773" s="857"/>
      <c r="G773" s="808"/>
      <c r="H773" s="283"/>
      <c r="I773" s="856"/>
      <c r="J773" s="857"/>
      <c r="K773" s="857"/>
      <c r="L773" s="857"/>
      <c r="M773" s="857"/>
      <c r="N773" s="857"/>
      <c r="O773" s="808"/>
    </row>
    <row r="774">
      <c r="A774" s="199"/>
      <c r="B774" s="199"/>
      <c r="C774" s="199"/>
      <c r="D774" s="248"/>
      <c r="E774" s="248"/>
      <c r="F774" s="248"/>
      <c r="G774" s="248"/>
      <c r="H774" s="283"/>
      <c r="I774" s="199"/>
      <c r="J774" s="199"/>
      <c r="K774" s="199"/>
      <c r="L774" s="248"/>
      <c r="M774" s="248"/>
      <c r="N774" s="248"/>
      <c r="O774" s="248"/>
    </row>
    <row r="775">
      <c r="A775" s="199"/>
      <c r="B775" s="199"/>
      <c r="C775" s="199"/>
      <c r="D775" s="248"/>
      <c r="E775" s="248"/>
      <c r="F775" s="248"/>
      <c r="G775" s="248"/>
      <c r="H775" s="283"/>
      <c r="I775" s="199"/>
      <c r="J775" s="199"/>
      <c r="K775" s="199"/>
      <c r="L775" s="248"/>
      <c r="M775" s="248"/>
      <c r="N775" s="248"/>
      <c r="O775" s="248"/>
    </row>
    <row r="776">
      <c r="A776" s="981" t="s">
        <v>1436</v>
      </c>
      <c r="B776" s="770"/>
      <c r="C776" s="770"/>
      <c r="D776" s="771" t="s">
        <v>700</v>
      </c>
      <c r="E776" s="772" t="str">
        <f>E125</f>
        <v>12.01.2025-12.07.2025</v>
      </c>
      <c r="F776" s="773"/>
      <c r="G776" s="774"/>
      <c r="H776" s="305">
        <v>22.0</v>
      </c>
      <c r="I776" s="769"/>
      <c r="J776" s="770"/>
      <c r="K776" s="770"/>
      <c r="L776" s="771" t="s">
        <v>700</v>
      </c>
      <c r="M776" s="772" t="str">
        <f>E125</f>
        <v>12.01.2025-12.07.2025</v>
      </c>
      <c r="N776" s="773"/>
      <c r="O776" s="774"/>
    </row>
    <row r="777">
      <c r="A777" s="775"/>
      <c r="D777" s="771" t="s">
        <v>702</v>
      </c>
      <c r="E777" s="772" t="s">
        <v>869</v>
      </c>
      <c r="F777" s="773"/>
      <c r="G777" s="774"/>
      <c r="H777" s="283"/>
      <c r="I777" s="775"/>
      <c r="L777" s="771" t="s">
        <v>351</v>
      </c>
      <c r="M777" s="772" t="str">
        <f t="array" ref="M777">XLOOKUP(M778,$L$1:$L$121,$K$1:$K$121)</f>
        <v>WILLIE HAMPTON ANDERSON</v>
      </c>
      <c r="N777" s="773"/>
      <c r="O777" s="774"/>
    </row>
    <row r="778">
      <c r="A778" s="775"/>
      <c r="D778" s="771" t="s">
        <v>703</v>
      </c>
      <c r="E778" s="772">
        <v>2675.0</v>
      </c>
      <c r="F778" s="773"/>
      <c r="G778" s="774"/>
      <c r="H778" s="858"/>
      <c r="I778" s="775"/>
      <c r="L778" s="771" t="s">
        <v>703</v>
      </c>
      <c r="M778" s="772">
        <f>E778</f>
        <v>2675</v>
      </c>
      <c r="N778" s="773"/>
      <c r="O778" s="774"/>
      <c r="P778" s="777"/>
    </row>
    <row r="779">
      <c r="A779" s="779" t="s">
        <v>704</v>
      </c>
      <c r="B779" s="779" t="s">
        <v>5</v>
      </c>
      <c r="C779" s="779" t="s">
        <v>6</v>
      </c>
      <c r="D779" s="779" t="s">
        <v>7</v>
      </c>
      <c r="E779" s="779" t="s">
        <v>8</v>
      </c>
      <c r="F779" s="779" t="s">
        <v>706</v>
      </c>
      <c r="G779" s="779" t="s">
        <v>707</v>
      </c>
      <c r="H779" s="34"/>
      <c r="I779" s="779" t="s">
        <v>704</v>
      </c>
      <c r="J779" s="779" t="s">
        <v>5</v>
      </c>
      <c r="K779" s="779" t="s">
        <v>6</v>
      </c>
      <c r="L779" s="779" t="s">
        <v>7</v>
      </c>
      <c r="M779" s="779" t="s">
        <v>1178</v>
      </c>
      <c r="N779" s="779" t="s">
        <v>839</v>
      </c>
      <c r="O779" s="779" t="s">
        <v>707</v>
      </c>
    </row>
    <row r="780">
      <c r="A780" s="780">
        <f>IFERROR(__xludf.DUMMYFUNCTION("FILTER($D$3:$H$121,$L$3:$L$121=E778)"),45998.0)</f>
        <v>45998</v>
      </c>
      <c r="B780" s="781">
        <f>IFERROR(__xludf.DUMMYFUNCTION("""COMPUTED_VALUE"""),2916519.0)</f>
        <v>2916519</v>
      </c>
      <c r="C780" s="781" t="str">
        <f>IFERROR(__xludf.DUMMYFUNCTION("""COMPUTED_VALUE"""),"Plant City, FL, 33566")</f>
        <v>Plant City, FL, 33566</v>
      </c>
      <c r="D780" s="781" t="str">
        <f>IFERROR(__xludf.DUMMYFUNCTION("""COMPUTED_VALUE"""),"Flatonia, TX, 78941")</f>
        <v>Flatonia, TX, 78941</v>
      </c>
      <c r="E780" s="782">
        <f>IFERROR(__xludf.DUMMYFUNCTION("""COMPUTED_VALUE"""),1500.0)</f>
        <v>1500</v>
      </c>
      <c r="F780" s="783">
        <v>0.88</v>
      </c>
      <c r="G780" s="782">
        <f t="shared" ref="G780:G784" si="39">E780*F780</f>
        <v>1320</v>
      </c>
      <c r="H780" s="283"/>
      <c r="I780" s="780">
        <f>IFERROR(__xludf.DUMMYFUNCTION("FILTER($D$3:$G$121,$L$3:$L$121=M778)"),45998.0)</f>
        <v>45998</v>
      </c>
      <c r="J780" s="781">
        <f>IFERROR(__xludf.DUMMYFUNCTION("""COMPUTED_VALUE"""),2916519.0)</f>
        <v>2916519</v>
      </c>
      <c r="K780" s="781" t="str">
        <f>IFERROR(__xludf.DUMMYFUNCTION("""COMPUTED_VALUE"""),"Plant City, FL, 33566")</f>
        <v>Plant City, FL, 33566</v>
      </c>
      <c r="L780" s="781" t="str">
        <f>IFERROR(__xludf.DUMMYFUNCTION("""COMPUTED_VALUE"""),"Flatonia, TX, 78941")</f>
        <v>Flatonia, TX, 78941</v>
      </c>
      <c r="M780" s="880">
        <f>IFERROR(__xludf.DUMMYFUNCTION("FILTER($I$3:$I$121,$L$3:$L$121=M778)"),1119.0)</f>
        <v>1119</v>
      </c>
      <c r="N780" s="781">
        <v>0.65</v>
      </c>
      <c r="O780" s="782">
        <f t="shared" ref="O780:O784" si="40">M780*N780</f>
        <v>727.35</v>
      </c>
    </row>
    <row r="781">
      <c r="A781" s="780"/>
      <c r="B781" s="781"/>
      <c r="C781" s="781"/>
      <c r="D781" s="781"/>
      <c r="E781" s="782"/>
      <c r="F781" s="783">
        <v>0.88</v>
      </c>
      <c r="G781" s="782">
        <f t="shared" si="39"/>
        <v>0</v>
      </c>
      <c r="H781" s="283"/>
      <c r="I781" s="780"/>
      <c r="J781" s="781"/>
      <c r="K781" s="781"/>
      <c r="L781" s="781"/>
      <c r="M781" s="896"/>
      <c r="N781" s="781">
        <v>0.65</v>
      </c>
      <c r="O781" s="782">
        <f t="shared" si="40"/>
        <v>0</v>
      </c>
    </row>
    <row r="782">
      <c r="A782" s="785"/>
      <c r="B782" s="786"/>
      <c r="C782" s="786"/>
      <c r="D782" s="786"/>
      <c r="E782" s="785"/>
      <c r="F782" s="783">
        <v>0.88</v>
      </c>
      <c r="G782" s="782">
        <f t="shared" si="39"/>
        <v>0</v>
      </c>
      <c r="H782" s="283"/>
      <c r="I782" s="780"/>
      <c r="J782" s="781"/>
      <c r="K782" s="781"/>
      <c r="L782" s="781"/>
      <c r="M782" s="880"/>
      <c r="N782" s="781">
        <v>0.65</v>
      </c>
      <c r="O782" s="782">
        <f t="shared" si="40"/>
        <v>0</v>
      </c>
    </row>
    <row r="783">
      <c r="A783" s="785"/>
      <c r="B783" s="786"/>
      <c r="C783" s="786"/>
      <c r="D783" s="786"/>
      <c r="E783" s="785"/>
      <c r="F783" s="783">
        <v>0.88</v>
      </c>
      <c r="G783" s="782">
        <f t="shared" si="39"/>
        <v>0</v>
      </c>
      <c r="H783" s="283"/>
      <c r="I783" s="785"/>
      <c r="J783" s="786"/>
      <c r="K783" s="786"/>
      <c r="L783" s="786"/>
      <c r="M783" s="785"/>
      <c r="N783" s="781">
        <v>0.65</v>
      </c>
      <c r="O783" s="782">
        <f t="shared" si="40"/>
        <v>0</v>
      </c>
    </row>
    <row r="784">
      <c r="A784" s="785"/>
      <c r="B784" s="786"/>
      <c r="C784" s="786"/>
      <c r="D784" s="786"/>
      <c r="E784" s="785"/>
      <c r="F784" s="783">
        <v>0.88</v>
      </c>
      <c r="G784" s="782">
        <f t="shared" si="39"/>
        <v>0</v>
      </c>
      <c r="H784" s="283"/>
      <c r="I784" s="785"/>
      <c r="J784" s="786"/>
      <c r="K784" s="786"/>
      <c r="L784" s="786"/>
      <c r="M784" s="785"/>
      <c r="N784" s="781">
        <v>0.65</v>
      </c>
      <c r="O784" s="782">
        <f t="shared" si="40"/>
        <v>0</v>
      </c>
    </row>
    <row r="785">
      <c r="A785" s="785"/>
      <c r="B785" s="786"/>
      <c r="C785" s="786"/>
      <c r="D785" s="786"/>
      <c r="E785" s="785"/>
      <c r="F785" s="787"/>
      <c r="G785" s="788"/>
      <c r="H785" s="283"/>
      <c r="I785" s="785"/>
      <c r="J785" s="786"/>
      <c r="K785" s="786"/>
      <c r="L785" s="786"/>
      <c r="M785" s="785"/>
      <c r="N785" s="787"/>
      <c r="O785" s="789"/>
    </row>
    <row r="786">
      <c r="A786" s="790" t="s">
        <v>711</v>
      </c>
      <c r="B786" s="791"/>
      <c r="C786" s="791"/>
      <c r="D786" s="792"/>
      <c r="E786" s="793">
        <f>SUM(E780:E785)</f>
        <v>1500</v>
      </c>
      <c r="F786" s="794"/>
      <c r="G786" s="793">
        <f>SUM(G780:G785)</f>
        <v>1320</v>
      </c>
      <c r="H786" s="283"/>
      <c r="I786" s="790" t="s">
        <v>711</v>
      </c>
      <c r="J786" s="791"/>
      <c r="K786" s="791"/>
      <c r="L786" s="792"/>
      <c r="M786" s="877">
        <f>SUM(M780:M785)</f>
        <v>1119</v>
      </c>
      <c r="N786" s="794"/>
      <c r="O786" s="793">
        <f>SUM(O780:O785)</f>
        <v>727.35</v>
      </c>
      <c r="Q786" s="669"/>
    </row>
    <row r="787">
      <c r="A787" s="796"/>
      <c r="D787" s="798"/>
      <c r="G787" s="799"/>
      <c r="H787" s="283"/>
      <c r="I787" s="796"/>
      <c r="L787" s="798"/>
      <c r="O787" s="799"/>
    </row>
    <row r="788">
      <c r="A788" s="800" t="s">
        <v>712</v>
      </c>
      <c r="B788" s="801"/>
      <c r="C788" s="802"/>
      <c r="G788" s="799"/>
      <c r="H788" s="283"/>
      <c r="I788" s="800" t="s">
        <v>712</v>
      </c>
      <c r="J788" s="803"/>
      <c r="K788" s="804"/>
      <c r="O788" s="799"/>
    </row>
    <row r="789">
      <c r="A789" s="902"/>
      <c r="B789" s="806"/>
      <c r="C789" s="807"/>
      <c r="G789" s="799"/>
      <c r="H789" s="283"/>
      <c r="I789" s="902"/>
      <c r="J789" s="808"/>
      <c r="K789" s="903"/>
      <c r="O789" s="799"/>
    </row>
    <row r="790">
      <c r="A790" s="868"/>
      <c r="B790" s="774"/>
      <c r="C790" s="816"/>
      <c r="G790" s="799"/>
      <c r="H790" s="283"/>
      <c r="I790" s="868"/>
      <c r="J790" s="774"/>
      <c r="K790" s="816"/>
      <c r="O790" s="799"/>
    </row>
    <row r="791">
      <c r="A791" s="815"/>
      <c r="B791" s="792"/>
      <c r="C791" s="816"/>
      <c r="G791" s="799"/>
      <c r="H791" s="283"/>
      <c r="I791" s="815"/>
      <c r="J791" s="792"/>
      <c r="K791" s="816"/>
      <c r="O791" s="799"/>
    </row>
    <row r="792">
      <c r="A792" s="817"/>
      <c r="B792" s="774"/>
      <c r="C792" s="818"/>
      <c r="G792" s="799"/>
      <c r="H792" s="283"/>
      <c r="I792" s="817"/>
      <c r="J792" s="774"/>
      <c r="K792" s="818"/>
      <c r="O792" s="799"/>
    </row>
    <row r="793">
      <c r="A793" s="817"/>
      <c r="B793" s="792"/>
      <c r="C793" s="818"/>
      <c r="G793" s="799"/>
      <c r="H793" s="283"/>
      <c r="I793" s="817"/>
      <c r="J793" s="792"/>
      <c r="K793" s="818"/>
      <c r="O793" s="799"/>
    </row>
    <row r="794">
      <c r="A794" s="821" t="s">
        <v>714</v>
      </c>
      <c r="B794" s="822"/>
      <c r="C794" s="823">
        <f>SUM(C789:C793)</f>
        <v>0</v>
      </c>
      <c r="G794" s="799"/>
      <c r="H794" s="283"/>
      <c r="I794" s="821" t="s">
        <v>714</v>
      </c>
      <c r="J794" s="826"/>
      <c r="K794" s="823">
        <f>SUM(K789:K793)</f>
        <v>0</v>
      </c>
      <c r="O794" s="799"/>
    </row>
    <row r="795">
      <c r="A795" s="828"/>
      <c r="C795" s="829"/>
      <c r="G795" s="799"/>
      <c r="H795" s="283"/>
      <c r="I795" s="828"/>
      <c r="K795" s="829"/>
      <c r="O795" s="799"/>
    </row>
    <row r="796">
      <c r="A796" s="830" t="s">
        <v>715</v>
      </c>
      <c r="B796" s="831"/>
      <c r="C796" s="832"/>
      <c r="G796" s="799"/>
      <c r="H796" s="283"/>
      <c r="I796" s="833" t="s">
        <v>715</v>
      </c>
      <c r="J796" s="834"/>
      <c r="K796" s="835"/>
      <c r="O796" s="799"/>
    </row>
    <row r="797">
      <c r="A797" s="836" t="s">
        <v>716</v>
      </c>
      <c r="B797" s="837"/>
      <c r="C797" s="982">
        <v>100.0</v>
      </c>
      <c r="G797" s="799"/>
      <c r="H797" s="283"/>
      <c r="I797" s="839"/>
      <c r="J797" s="840"/>
      <c r="K797" s="841"/>
      <c r="O797" s="799"/>
    </row>
    <row r="798">
      <c r="A798" s="842" t="s">
        <v>717</v>
      </c>
      <c r="B798" s="843"/>
      <c r="C798" s="844">
        <v>400.0</v>
      </c>
      <c r="D798" s="891"/>
      <c r="E798" s="845" t="s">
        <v>1182</v>
      </c>
      <c r="G798" s="846">
        <f>G786+C794-C803</f>
        <v>12.78</v>
      </c>
      <c r="H798" s="283"/>
      <c r="I798" s="847"/>
      <c r="J798" s="848"/>
      <c r="K798" s="849"/>
      <c r="L798" s="248"/>
      <c r="M798" s="845" t="s">
        <v>1183</v>
      </c>
      <c r="O798" s="846">
        <f>O786+K794-K803</f>
        <v>727.35</v>
      </c>
    </row>
    <row r="799">
      <c r="A799" s="836" t="s">
        <v>718</v>
      </c>
      <c r="B799" s="837"/>
      <c r="C799" s="838">
        <v>200.0</v>
      </c>
      <c r="D799" s="892"/>
      <c r="G799" s="799"/>
      <c r="H799" s="283"/>
      <c r="I799" s="847"/>
      <c r="J799" s="848"/>
      <c r="K799" s="849"/>
      <c r="O799" s="799"/>
    </row>
    <row r="800">
      <c r="A800" s="842" t="s">
        <v>656</v>
      </c>
      <c r="B800" s="843"/>
      <c r="C800" s="844">
        <f>IFERROR(__xludf.DUMMYFUNCTION("FILTER($C$4:$C$30,$B$4:$B$30=E778)"),607.22)</f>
        <v>607.22</v>
      </c>
      <c r="D800" s="891"/>
      <c r="G800" s="799"/>
      <c r="H800" s="283"/>
      <c r="I800" s="847"/>
      <c r="J800" s="848"/>
      <c r="K800" s="849"/>
      <c r="O800" s="799"/>
    </row>
    <row r="801">
      <c r="A801" s="850" t="s">
        <v>1184</v>
      </c>
      <c r="B801" s="851"/>
      <c r="C801" s="852"/>
      <c r="D801" s="930"/>
      <c r="E801" s="248"/>
      <c r="G801" s="799"/>
      <c r="H801" s="283"/>
      <c r="I801" s="847"/>
      <c r="J801" s="848"/>
      <c r="K801" s="849"/>
      <c r="M801" s="248"/>
      <c r="O801" s="799"/>
    </row>
    <row r="802">
      <c r="A802" s="914"/>
      <c r="B802" s="905"/>
      <c r="C802" s="906"/>
      <c r="D802" s="931"/>
      <c r="G802" s="799"/>
      <c r="H802" s="283"/>
      <c r="I802" s="847"/>
      <c r="J802" s="848"/>
      <c r="K802" s="849"/>
      <c r="O802" s="799"/>
    </row>
    <row r="803">
      <c r="A803" s="853" t="s">
        <v>721</v>
      </c>
      <c r="B803" s="854"/>
      <c r="C803" s="855">
        <f>SUM(C797:C802)</f>
        <v>1307.22</v>
      </c>
      <c r="D803" s="248"/>
      <c r="G803" s="799"/>
      <c r="H803" s="283"/>
      <c r="I803" s="853" t="s">
        <v>721</v>
      </c>
      <c r="J803" s="854"/>
      <c r="K803" s="855">
        <f>SUM(K797:K802)</f>
        <v>0</v>
      </c>
      <c r="O803" s="799"/>
    </row>
    <row r="804">
      <c r="A804" s="856"/>
      <c r="B804" s="857"/>
      <c r="C804" s="857"/>
      <c r="D804" s="894"/>
      <c r="E804" s="857"/>
      <c r="F804" s="857"/>
      <c r="G804" s="808"/>
      <c r="H804" s="283"/>
      <c r="I804" s="856"/>
      <c r="J804" s="857"/>
      <c r="K804" s="857"/>
      <c r="L804" s="857"/>
      <c r="M804" s="857"/>
      <c r="N804" s="857"/>
      <c r="O804" s="808"/>
    </row>
    <row r="805">
      <c r="A805" s="199"/>
      <c r="B805" s="199"/>
      <c r="C805" s="199"/>
      <c r="D805" s="248"/>
      <c r="E805" s="248"/>
      <c r="F805" s="248"/>
      <c r="G805" s="248"/>
      <c r="H805" s="283"/>
      <c r="I805" s="199"/>
      <c r="J805" s="199"/>
      <c r="K805" s="199"/>
      <c r="L805" s="248"/>
      <c r="M805" s="248"/>
      <c r="N805" s="248"/>
      <c r="O805" s="248"/>
    </row>
    <row r="806">
      <c r="A806" s="199"/>
      <c r="B806" s="199"/>
      <c r="C806" s="199"/>
      <c r="D806" s="248"/>
      <c r="E806" s="248"/>
      <c r="F806" s="248"/>
      <c r="G806" s="248"/>
      <c r="H806" s="283"/>
      <c r="I806" s="199"/>
      <c r="J806" s="199"/>
      <c r="K806" s="199"/>
      <c r="L806" s="248"/>
      <c r="M806" s="248"/>
      <c r="N806" s="248"/>
      <c r="O806" s="248"/>
    </row>
    <row r="807">
      <c r="A807" s="769"/>
      <c r="B807" s="770"/>
      <c r="C807" s="770"/>
      <c r="D807" s="771" t="s">
        <v>700</v>
      </c>
      <c r="E807" s="772" t="str">
        <f>E125</f>
        <v>12.01.2025-12.07.2025</v>
      </c>
      <c r="F807" s="773"/>
      <c r="G807" s="774"/>
      <c r="H807" s="305">
        <v>23.0</v>
      </c>
      <c r="I807" s="769"/>
      <c r="J807" s="770"/>
      <c r="K807" s="770"/>
      <c r="L807" s="771" t="s">
        <v>700</v>
      </c>
      <c r="M807" s="772" t="str">
        <f>E125</f>
        <v>12.01.2025-12.07.2025</v>
      </c>
      <c r="N807" s="773"/>
      <c r="O807" s="774"/>
    </row>
    <row r="808">
      <c r="A808" s="775"/>
      <c r="D808" s="771" t="s">
        <v>702</v>
      </c>
      <c r="E808" s="772" t="s">
        <v>1214</v>
      </c>
      <c r="F808" s="773"/>
      <c r="G808" s="774"/>
      <c r="H808" s="283"/>
      <c r="I808" s="775"/>
      <c r="L808" s="771" t="s">
        <v>351</v>
      </c>
      <c r="M808" s="772" t="str">
        <f t="array" ref="M808">XLOOKUP(M809,$L$1:$L$121,$K$1:$K$121)</f>
        <v>CLAUDY VALMOND</v>
      </c>
      <c r="N808" s="773"/>
      <c r="O808" s="774"/>
    </row>
    <row r="809">
      <c r="A809" s="775"/>
      <c r="D809" s="771" t="s">
        <v>703</v>
      </c>
      <c r="E809" s="772">
        <v>6339.0</v>
      </c>
      <c r="F809" s="773"/>
      <c r="G809" s="774"/>
      <c r="H809" s="858"/>
      <c r="I809" s="775"/>
      <c r="L809" s="771" t="s">
        <v>703</v>
      </c>
      <c r="M809" s="772">
        <f>E809</f>
        <v>6339</v>
      </c>
      <c r="N809" s="773"/>
      <c r="O809" s="774"/>
      <c r="P809" s="777"/>
    </row>
    <row r="810">
      <c r="A810" s="779" t="s">
        <v>704</v>
      </c>
      <c r="B810" s="779" t="s">
        <v>5</v>
      </c>
      <c r="C810" s="779" t="s">
        <v>6</v>
      </c>
      <c r="D810" s="779" t="s">
        <v>7</v>
      </c>
      <c r="E810" s="779" t="s">
        <v>8</v>
      </c>
      <c r="F810" s="779" t="s">
        <v>706</v>
      </c>
      <c r="G810" s="779" t="s">
        <v>707</v>
      </c>
      <c r="H810" s="34"/>
      <c r="I810" s="779" t="s">
        <v>704</v>
      </c>
      <c r="J810" s="779" t="s">
        <v>5</v>
      </c>
      <c r="K810" s="779" t="s">
        <v>6</v>
      </c>
      <c r="L810" s="779" t="s">
        <v>7</v>
      </c>
      <c r="M810" s="779" t="s">
        <v>1178</v>
      </c>
      <c r="N810" s="779" t="s">
        <v>839</v>
      </c>
      <c r="O810" s="779" t="s">
        <v>707</v>
      </c>
    </row>
    <row r="811">
      <c r="A811" s="780">
        <f>IFERROR(__xludf.DUMMYFUNCTION("FILTER($D$3:$H$121,$L$3:$L$121=E809)"),45993.0)</f>
        <v>45993</v>
      </c>
      <c r="B811" s="781">
        <f>IFERROR(__xludf.DUMMYFUNCTION("""COMPUTED_VALUE"""),5.35741795E8)</f>
        <v>535741795</v>
      </c>
      <c r="C811" s="781" t="str">
        <f>IFERROR(__xludf.DUMMYFUNCTION("""COMPUTED_VALUE"""),"Clinton, SC, 29325")</f>
        <v>Clinton, SC, 29325</v>
      </c>
      <c r="D811" s="781" t="str">
        <f>IFERROR(__xludf.DUMMYFUNCTION("""COMPUTED_VALUE"""),", NY, 12831")</f>
        <v>, NY, 12831</v>
      </c>
      <c r="E811" s="782">
        <f>IFERROR(__xludf.DUMMYFUNCTION("""COMPUTED_VALUE"""),2670.0)</f>
        <v>2670</v>
      </c>
      <c r="F811" s="783">
        <v>0.88</v>
      </c>
      <c r="G811" s="782">
        <f t="shared" ref="G811:G813" si="41">E811*F811</f>
        <v>2349.6</v>
      </c>
      <c r="H811" s="283"/>
      <c r="I811" s="780">
        <f>IFERROR(__xludf.DUMMYFUNCTION("FILTER($D$3:$G$121,$L$3:$L$121=M809)"),45993.0)</f>
        <v>45993</v>
      </c>
      <c r="J811" s="781">
        <f>IFERROR(__xludf.DUMMYFUNCTION("""COMPUTED_VALUE"""),5.35741795E8)</f>
        <v>535741795</v>
      </c>
      <c r="K811" s="781" t="str">
        <f>IFERROR(__xludf.DUMMYFUNCTION("""COMPUTED_VALUE"""),"Clinton, SC, 29325")</f>
        <v>Clinton, SC, 29325</v>
      </c>
      <c r="L811" s="781" t="str">
        <f>IFERROR(__xludf.DUMMYFUNCTION("""COMPUTED_VALUE"""),", NY, 12831")</f>
        <v>, NY, 12831</v>
      </c>
      <c r="M811" s="896">
        <f>IFERROR(__xludf.DUMMYFUNCTION("FILTER($I$3:$I$121,$L$3:$L$121=M809)"),1130.0)</f>
        <v>1130</v>
      </c>
      <c r="N811" s="781">
        <v>0.65</v>
      </c>
      <c r="O811" s="782">
        <f t="shared" ref="O811:O813" si="42">M811*N811</f>
        <v>734.5</v>
      </c>
    </row>
    <row r="812">
      <c r="A812" s="780">
        <f>IFERROR(__xludf.DUMMYFUNCTION("""COMPUTED_VALUE"""),45995.0)</f>
        <v>45995</v>
      </c>
      <c r="B812" s="781">
        <f>IFERROR(__xludf.DUMMYFUNCTION("""COMPUTED_VALUE"""),6.5333448E7)</f>
        <v>65333448</v>
      </c>
      <c r="C812" s="781" t="str">
        <f>IFERROR(__xludf.DUMMYFUNCTION("""COMPUTED_VALUE"""),"City of Amsterdam, NY, 12010")</f>
        <v>City of Amsterdam, NY, 12010</v>
      </c>
      <c r="D812" s="781" t="str">
        <f>IFERROR(__xludf.DUMMYFUNCTION("""COMPUTED_VALUE"""),"New Bedford, MA, 02744")</f>
        <v>New Bedford, MA, 02744</v>
      </c>
      <c r="E812" s="782">
        <f>IFERROR(__xludf.DUMMYFUNCTION("""COMPUTED_VALUE"""),1200.0)</f>
        <v>1200</v>
      </c>
      <c r="F812" s="783">
        <v>0.88</v>
      </c>
      <c r="G812" s="782">
        <f t="shared" si="41"/>
        <v>1056</v>
      </c>
      <c r="H812" s="283"/>
      <c r="I812" s="780">
        <f>IFERROR(__xludf.DUMMYFUNCTION("""COMPUTED_VALUE"""),45995.0)</f>
        <v>45995</v>
      </c>
      <c r="J812" s="781">
        <f>IFERROR(__xludf.DUMMYFUNCTION("""COMPUTED_VALUE"""),6.5333448E7)</f>
        <v>65333448</v>
      </c>
      <c r="K812" s="781" t="str">
        <f>IFERROR(__xludf.DUMMYFUNCTION("""COMPUTED_VALUE"""),"City of Amsterdam, NY, 12010")</f>
        <v>City of Amsterdam, NY, 12010</v>
      </c>
      <c r="L812" s="781" t="str">
        <f>IFERROR(__xludf.DUMMYFUNCTION("""COMPUTED_VALUE"""),"New Bedford, MA, 02744")</f>
        <v>New Bedford, MA, 02744</v>
      </c>
      <c r="M812" s="896">
        <f>IFERROR(__xludf.DUMMYFUNCTION("""COMPUTED_VALUE"""),282.0)</f>
        <v>282</v>
      </c>
      <c r="N812" s="781">
        <v>0.65</v>
      </c>
      <c r="O812" s="782">
        <f t="shared" si="42"/>
        <v>183.3</v>
      </c>
    </row>
    <row r="813">
      <c r="A813" s="883">
        <f>IFERROR(__xludf.DUMMYFUNCTION("""COMPUTED_VALUE"""),45995.0)</f>
        <v>45995</v>
      </c>
      <c r="B813" s="786" t="str">
        <f>IFERROR(__xludf.DUMMYFUNCTION("""COMPUTED_VALUE"""),"53702-26")</f>
        <v>53702-26</v>
      </c>
      <c r="C813" s="786" t="str">
        <f>IFERROR(__xludf.DUMMYFUNCTION("""COMPUTED_VALUE"""),"City of Schenectady, NY, 12305")</f>
        <v>City of Schenectady, NY, 12305</v>
      </c>
      <c r="D813" s="786" t="str">
        <f>IFERROR(__xludf.DUMMYFUNCTION("""COMPUTED_VALUE"""),"Princeton, WV, 24740")</f>
        <v>Princeton, WV, 24740</v>
      </c>
      <c r="E813" s="884">
        <f>IFERROR(__xludf.DUMMYFUNCTION("""COMPUTED_VALUE"""),0.0)</f>
        <v>0</v>
      </c>
      <c r="F813" s="783">
        <v>0.88</v>
      </c>
      <c r="G813" s="782">
        <f t="shared" si="41"/>
        <v>0</v>
      </c>
      <c r="H813" s="283"/>
      <c r="I813" s="780">
        <f>IFERROR(__xludf.DUMMYFUNCTION("""COMPUTED_VALUE"""),45995.0)</f>
        <v>45995</v>
      </c>
      <c r="J813" s="781" t="str">
        <f>IFERROR(__xludf.DUMMYFUNCTION("""COMPUTED_VALUE"""),"53702-26")</f>
        <v>53702-26</v>
      </c>
      <c r="K813" s="781" t="str">
        <f>IFERROR(__xludf.DUMMYFUNCTION("""COMPUTED_VALUE"""),"City of Schenectady, NY, 12305")</f>
        <v>City of Schenectady, NY, 12305</v>
      </c>
      <c r="L813" s="781" t="str">
        <f>IFERROR(__xludf.DUMMYFUNCTION("""COMPUTED_VALUE"""),"Princeton, WV, 24740")</f>
        <v>Princeton, WV, 24740</v>
      </c>
      <c r="M813" s="880">
        <f>IFERROR(__xludf.DUMMYFUNCTION("""COMPUTED_VALUE"""),0.0)</f>
        <v>0</v>
      </c>
      <c r="N813" s="781">
        <v>0.65</v>
      </c>
      <c r="O813" s="782">
        <f t="shared" si="42"/>
        <v>0</v>
      </c>
    </row>
    <row r="814">
      <c r="A814" s="883">
        <f>IFERROR(__xludf.DUMMYFUNCTION("""COMPUTED_VALUE"""),45996.0)</f>
        <v>45996</v>
      </c>
      <c r="B814" s="786" t="str">
        <f>IFERROR(__xludf.DUMMYFUNCTION("""COMPUTED_VALUE"""),"356479-0")</f>
        <v>356479-0</v>
      </c>
      <c r="C814" s="786" t="str">
        <f>IFERROR(__xludf.DUMMYFUNCTION("""COMPUTED_VALUE"""),"Ware, MA, 01082")</f>
        <v>Ware, MA, 01082</v>
      </c>
      <c r="D814" s="786" t="str">
        <f>IFERROR(__xludf.DUMMYFUNCTION("""COMPUTED_VALUE"""),"Boca Raton, FL, 33487")</f>
        <v>Boca Raton, FL, 33487</v>
      </c>
      <c r="E814" s="884">
        <f>IFERROR(__xludf.DUMMYFUNCTION("""COMPUTED_VALUE"""),3200.0)</f>
        <v>3200</v>
      </c>
      <c r="F814" s="787"/>
      <c r="G814" s="788"/>
      <c r="H814" s="283"/>
      <c r="I814" s="883">
        <f>IFERROR(__xludf.DUMMYFUNCTION("""COMPUTED_VALUE"""),45996.0)</f>
        <v>45996</v>
      </c>
      <c r="J814" s="786" t="str">
        <f>IFERROR(__xludf.DUMMYFUNCTION("""COMPUTED_VALUE"""),"356479-0")</f>
        <v>356479-0</v>
      </c>
      <c r="K814" s="786" t="str">
        <f>IFERROR(__xludf.DUMMYFUNCTION("""COMPUTED_VALUE"""),"Ware, MA, 01082")</f>
        <v>Ware, MA, 01082</v>
      </c>
      <c r="L814" s="786" t="str">
        <f>IFERROR(__xludf.DUMMYFUNCTION("""COMPUTED_VALUE"""),"Boca Raton, FL, 33487")</f>
        <v>Boca Raton, FL, 33487</v>
      </c>
      <c r="M814" s="880">
        <f>IFERROR(__xludf.DUMMYFUNCTION("""COMPUTED_VALUE"""),1519.0)</f>
        <v>1519</v>
      </c>
      <c r="N814" s="787"/>
      <c r="O814" s="789"/>
    </row>
    <row r="815">
      <c r="A815" s="785"/>
      <c r="B815" s="786"/>
      <c r="C815" s="786"/>
      <c r="D815" s="786"/>
      <c r="E815" s="785"/>
      <c r="F815" s="787"/>
      <c r="G815" s="788"/>
      <c r="H815" s="283"/>
      <c r="I815" s="785"/>
      <c r="J815" s="786"/>
      <c r="K815" s="786"/>
      <c r="L815" s="786"/>
      <c r="M815" s="785"/>
      <c r="N815" s="787"/>
      <c r="O815" s="789"/>
    </row>
    <row r="816">
      <c r="A816" s="785"/>
      <c r="B816" s="786"/>
      <c r="C816" s="786"/>
      <c r="D816" s="786"/>
      <c r="E816" s="785"/>
      <c r="F816" s="787"/>
      <c r="G816" s="788"/>
      <c r="H816" s="283"/>
      <c r="I816" s="785"/>
      <c r="J816" s="786"/>
      <c r="K816" s="786"/>
      <c r="L816" s="786"/>
      <c r="M816" s="785"/>
      <c r="N816" s="787"/>
      <c r="O816" s="789"/>
    </row>
    <row r="817">
      <c r="A817" s="790" t="s">
        <v>711</v>
      </c>
      <c r="B817" s="791"/>
      <c r="C817" s="791"/>
      <c r="D817" s="792"/>
      <c r="E817" s="793">
        <f>SUM(E811:E816)</f>
        <v>7070</v>
      </c>
      <c r="F817" s="794"/>
      <c r="G817" s="793">
        <f>SUM(G811:G816)</f>
        <v>3405.6</v>
      </c>
      <c r="H817" s="283"/>
      <c r="I817" s="790" t="s">
        <v>711</v>
      </c>
      <c r="J817" s="791"/>
      <c r="K817" s="791"/>
      <c r="L817" s="792"/>
      <c r="M817" s="877">
        <f>SUM(M811:M816)</f>
        <v>2931</v>
      </c>
      <c r="N817" s="794"/>
      <c r="O817" s="793">
        <f>SUM(O811:O816)</f>
        <v>917.8</v>
      </c>
      <c r="Q817" s="669"/>
    </row>
    <row r="818">
      <c r="A818" s="796"/>
      <c r="D818" s="798"/>
      <c r="G818" s="799"/>
      <c r="H818" s="283"/>
      <c r="I818" s="796"/>
      <c r="L818" s="798"/>
      <c r="O818" s="799"/>
    </row>
    <row r="819">
      <c r="A819" s="800" t="s">
        <v>712</v>
      </c>
      <c r="B819" s="801"/>
      <c r="C819" s="802"/>
      <c r="G819" s="799"/>
      <c r="H819" s="283"/>
      <c r="I819" s="800" t="s">
        <v>712</v>
      </c>
      <c r="J819" s="803"/>
      <c r="K819" s="804"/>
      <c r="O819" s="799"/>
    </row>
    <row r="820">
      <c r="A820" s="902"/>
      <c r="B820" s="806"/>
      <c r="C820" s="807"/>
      <c r="G820" s="799"/>
      <c r="H820" s="283"/>
      <c r="I820" s="902"/>
      <c r="J820" s="808"/>
      <c r="K820" s="903"/>
      <c r="O820" s="799"/>
    </row>
    <row r="821">
      <c r="A821" s="868"/>
      <c r="B821" s="774"/>
      <c r="C821" s="816"/>
      <c r="G821" s="799"/>
      <c r="H821" s="283"/>
      <c r="I821" s="868"/>
      <c r="J821" s="774"/>
      <c r="K821" s="816"/>
      <c r="O821" s="799"/>
    </row>
    <row r="822">
      <c r="A822" s="815"/>
      <c r="B822" s="792"/>
      <c r="C822" s="816"/>
      <c r="G822" s="799"/>
      <c r="H822" s="283"/>
      <c r="I822" s="815"/>
      <c r="J822" s="792"/>
      <c r="K822" s="816"/>
      <c r="O822" s="799"/>
    </row>
    <row r="823">
      <c r="A823" s="817"/>
      <c r="B823" s="774"/>
      <c r="C823" s="818"/>
      <c r="G823" s="799"/>
      <c r="H823" s="283"/>
      <c r="I823" s="817"/>
      <c r="J823" s="774"/>
      <c r="K823" s="818"/>
      <c r="O823" s="799"/>
    </row>
    <row r="824">
      <c r="A824" s="817"/>
      <c r="B824" s="792"/>
      <c r="C824" s="818"/>
      <c r="G824" s="799"/>
      <c r="H824" s="283"/>
      <c r="I824" s="817"/>
      <c r="J824" s="792"/>
      <c r="K824" s="818"/>
      <c r="O824" s="799"/>
    </row>
    <row r="825">
      <c r="A825" s="821" t="s">
        <v>714</v>
      </c>
      <c r="B825" s="822"/>
      <c r="C825" s="823">
        <f>SUM(C820:C824)</f>
        <v>0</v>
      </c>
      <c r="G825" s="799"/>
      <c r="H825" s="283"/>
      <c r="I825" s="821" t="s">
        <v>714</v>
      </c>
      <c r="J825" s="826"/>
      <c r="K825" s="823">
        <f>SUM(K820:K824)</f>
        <v>0</v>
      </c>
      <c r="O825" s="799"/>
    </row>
    <row r="826">
      <c r="A826" s="828"/>
      <c r="C826" s="829"/>
      <c r="G826" s="799"/>
      <c r="H826" s="283"/>
      <c r="I826" s="828"/>
      <c r="K826" s="829"/>
      <c r="O826" s="799"/>
    </row>
    <row r="827">
      <c r="A827" s="830" t="s">
        <v>715</v>
      </c>
      <c r="B827" s="831"/>
      <c r="C827" s="832"/>
      <c r="G827" s="799"/>
      <c r="H827" s="283"/>
      <c r="I827" s="833" t="s">
        <v>715</v>
      </c>
      <c r="J827" s="834"/>
      <c r="K827" s="835"/>
      <c r="O827" s="799"/>
    </row>
    <row r="828">
      <c r="A828" s="836" t="s">
        <v>716</v>
      </c>
      <c r="B828" s="837"/>
      <c r="C828" s="838">
        <v>150.0</v>
      </c>
      <c r="G828" s="799"/>
      <c r="H828" s="283"/>
      <c r="I828" s="839"/>
      <c r="J828" s="840"/>
      <c r="K828" s="841"/>
      <c r="O828" s="799"/>
    </row>
    <row r="829">
      <c r="A829" s="842" t="s">
        <v>717</v>
      </c>
      <c r="B829" s="843"/>
      <c r="C829" s="844">
        <v>400.0</v>
      </c>
      <c r="D829" s="891"/>
      <c r="E829" s="845" t="s">
        <v>1182</v>
      </c>
      <c r="G829" s="846">
        <f>G817+C825-C834</f>
        <v>454.61</v>
      </c>
      <c r="H829" s="283"/>
      <c r="I829" s="847"/>
      <c r="J829" s="848"/>
      <c r="K829" s="849"/>
      <c r="L829" s="248"/>
      <c r="M829" s="845" t="s">
        <v>1183</v>
      </c>
      <c r="O829" s="846">
        <f>O817+K825-K834</f>
        <v>917.8</v>
      </c>
    </row>
    <row r="830">
      <c r="A830" s="836" t="s">
        <v>718</v>
      </c>
      <c r="B830" s="837"/>
      <c r="C830" s="838"/>
      <c r="D830" s="892"/>
      <c r="G830" s="799"/>
      <c r="H830" s="283"/>
      <c r="I830" s="847"/>
      <c r="J830" s="848"/>
      <c r="K830" s="849"/>
      <c r="O830" s="799"/>
    </row>
    <row r="831">
      <c r="A831" s="842" t="s">
        <v>656</v>
      </c>
      <c r="B831" s="843"/>
      <c r="C831" s="844">
        <f>IFERROR(__xludf.DUMMYFUNCTION("FILTER($C$4:$C$30,$B$4:$B$30=E809)"),2400.99)</f>
        <v>2400.99</v>
      </c>
      <c r="D831" s="891"/>
      <c r="G831" s="799"/>
      <c r="H831" s="283"/>
      <c r="I831" s="847"/>
      <c r="J831" s="848"/>
      <c r="K831" s="849"/>
      <c r="O831" s="799"/>
    </row>
    <row r="832">
      <c r="A832" s="850" t="s">
        <v>1184</v>
      </c>
      <c r="B832" s="851"/>
      <c r="C832" s="852"/>
      <c r="D832" s="930"/>
      <c r="E832" s="248"/>
      <c r="G832" s="799"/>
      <c r="H832" s="283"/>
      <c r="I832" s="847"/>
      <c r="J832" s="848"/>
      <c r="K832" s="849"/>
      <c r="M832" s="248"/>
      <c r="O832" s="799"/>
    </row>
    <row r="833">
      <c r="A833" s="847"/>
      <c r="B833" s="848"/>
      <c r="C833" s="849"/>
      <c r="D833" s="248"/>
      <c r="G833" s="799"/>
      <c r="H833" s="283"/>
      <c r="I833" s="847"/>
      <c r="J833" s="848"/>
      <c r="K833" s="849"/>
      <c r="O833" s="799"/>
    </row>
    <row r="834">
      <c r="A834" s="853" t="s">
        <v>721</v>
      </c>
      <c r="B834" s="854"/>
      <c r="C834" s="855">
        <f>SUM(C828:C833)</f>
        <v>2950.99</v>
      </c>
      <c r="D834" s="248"/>
      <c r="G834" s="799"/>
      <c r="H834" s="283"/>
      <c r="I834" s="853" t="s">
        <v>721</v>
      </c>
      <c r="J834" s="854"/>
      <c r="K834" s="855">
        <f>SUM(K828:K833)</f>
        <v>0</v>
      </c>
      <c r="O834" s="799"/>
    </row>
    <row r="835">
      <c r="A835" s="856"/>
      <c r="B835" s="857"/>
      <c r="C835" s="857"/>
      <c r="D835" s="894"/>
      <c r="E835" s="857"/>
      <c r="F835" s="857"/>
      <c r="G835" s="808"/>
      <c r="H835" s="283"/>
      <c r="I835" s="856"/>
      <c r="J835" s="857"/>
      <c r="K835" s="857"/>
      <c r="L835" s="857"/>
      <c r="M835" s="857"/>
      <c r="N835" s="857"/>
      <c r="O835" s="808"/>
    </row>
    <row r="836">
      <c r="A836" s="199"/>
      <c r="B836" s="199"/>
      <c r="C836" s="199"/>
      <c r="D836" s="248"/>
      <c r="E836" s="248"/>
      <c r="F836" s="248"/>
      <c r="G836" s="248"/>
      <c r="H836" s="283"/>
      <c r="I836" s="199"/>
      <c r="J836" s="199"/>
      <c r="K836" s="199"/>
      <c r="L836" s="248"/>
      <c r="M836" s="248"/>
      <c r="N836" s="248"/>
      <c r="O836" s="248"/>
    </row>
    <row r="837">
      <c r="A837" s="199"/>
      <c r="B837" s="199"/>
      <c r="C837" s="199"/>
      <c r="D837" s="248"/>
      <c r="E837" s="248"/>
      <c r="F837" s="248"/>
      <c r="G837" s="248"/>
      <c r="H837" s="283"/>
      <c r="I837" s="199"/>
      <c r="J837" s="199"/>
      <c r="K837" s="199"/>
      <c r="L837" s="248"/>
      <c r="M837" s="248"/>
      <c r="N837" s="248"/>
      <c r="O837" s="248"/>
    </row>
    <row r="838">
      <c r="A838" s="769"/>
      <c r="B838" s="770"/>
      <c r="C838" s="770"/>
      <c r="D838" s="771" t="s">
        <v>700</v>
      </c>
      <c r="E838" s="772" t="str">
        <f>E125</f>
        <v>12.01.2025-12.07.2025</v>
      </c>
      <c r="F838" s="773"/>
      <c r="G838" s="774"/>
      <c r="H838" s="305">
        <v>24.0</v>
      </c>
      <c r="I838" s="769"/>
      <c r="J838" s="770"/>
      <c r="K838" s="770"/>
      <c r="L838" s="771" t="s">
        <v>700</v>
      </c>
      <c r="M838" s="772" t="str">
        <f>E125</f>
        <v>12.01.2025-12.07.2025</v>
      </c>
      <c r="N838" s="773"/>
      <c r="O838" s="774"/>
    </row>
    <row r="839">
      <c r="A839" s="775"/>
      <c r="D839" s="771" t="s">
        <v>702</v>
      </c>
      <c r="E839" s="772" t="s">
        <v>819</v>
      </c>
      <c r="F839" s="773"/>
      <c r="G839" s="774"/>
      <c r="H839" s="283"/>
      <c r="I839" s="775"/>
      <c r="L839" s="771" t="s">
        <v>351</v>
      </c>
      <c r="M839" s="772" t="str">
        <f t="array" ref="M839">XLOOKUP(M840,$L$1:$L$121,$K$1:$K$121)</f>
        <v>LAWRENCE DANIEL MARTIN</v>
      </c>
      <c r="N839" s="773"/>
      <c r="O839" s="774"/>
    </row>
    <row r="840">
      <c r="A840" s="775"/>
      <c r="D840" s="771" t="s">
        <v>703</v>
      </c>
      <c r="E840" s="772">
        <v>6813.0</v>
      </c>
      <c r="F840" s="773"/>
      <c r="G840" s="774"/>
      <c r="H840" s="858"/>
      <c r="I840" s="775"/>
      <c r="L840" s="771" t="s">
        <v>703</v>
      </c>
      <c r="M840" s="772">
        <f>E840</f>
        <v>6813</v>
      </c>
      <c r="N840" s="773"/>
      <c r="O840" s="774"/>
      <c r="P840" s="777"/>
    </row>
    <row r="841">
      <c r="A841" s="779" t="s">
        <v>704</v>
      </c>
      <c r="B841" s="779" t="s">
        <v>5</v>
      </c>
      <c r="C841" s="779" t="s">
        <v>6</v>
      </c>
      <c r="D841" s="779" t="s">
        <v>7</v>
      </c>
      <c r="E841" s="779" t="s">
        <v>8</v>
      </c>
      <c r="F841" s="779" t="s">
        <v>706</v>
      </c>
      <c r="G841" s="779" t="s">
        <v>707</v>
      </c>
      <c r="H841" s="34"/>
      <c r="I841" s="779" t="s">
        <v>704</v>
      </c>
      <c r="J841" s="779" t="s">
        <v>5</v>
      </c>
      <c r="K841" s="779" t="s">
        <v>6</v>
      </c>
      <c r="L841" s="779" t="s">
        <v>7</v>
      </c>
      <c r="M841" s="779" t="s">
        <v>1178</v>
      </c>
      <c r="N841" s="779" t="s">
        <v>839</v>
      </c>
      <c r="O841" s="779" t="s">
        <v>707</v>
      </c>
    </row>
    <row r="842">
      <c r="A842" s="780">
        <f>IFERROR(__xludf.DUMMYFUNCTION("FILTER($D$3:$H$121,$L$3:$L$121=E840)"),45992.0)</f>
        <v>45992</v>
      </c>
      <c r="B842" s="781">
        <f>IFERROR(__xludf.DUMMYFUNCTION("""COMPUTED_VALUE"""),5.36090795E8)</f>
        <v>536090795</v>
      </c>
      <c r="C842" s="781" t="str">
        <f>IFERROR(__xludf.DUMMYFUNCTION("""COMPUTED_VALUE"""),"Lysander New Community, NY, 13027")</f>
        <v>Lysander New Community, NY, 13027</v>
      </c>
      <c r="D842" s="781" t="str">
        <f>IFERROR(__xludf.DUMMYFUNCTION("""COMPUTED_VALUE"""),"Jacksonville, FL, 32218")</f>
        <v>Jacksonville, FL, 32218</v>
      </c>
      <c r="E842" s="782">
        <f>IFERROR(__xludf.DUMMYFUNCTION("""COMPUTED_VALUE"""),2500.0)</f>
        <v>2500</v>
      </c>
      <c r="F842" s="783">
        <v>0.88</v>
      </c>
      <c r="G842" s="782">
        <f t="shared" ref="G842:G844" si="43">E842*F842</f>
        <v>2200</v>
      </c>
      <c r="H842" s="283"/>
      <c r="I842" s="780">
        <f>IFERROR(__xludf.DUMMYFUNCTION("FILTER($D$3:$G$121,$L$3:$L$121=M840)"),45992.0)</f>
        <v>45992</v>
      </c>
      <c r="J842" s="781">
        <f>IFERROR(__xludf.DUMMYFUNCTION("""COMPUTED_VALUE"""),5.36090795E8)</f>
        <v>536090795</v>
      </c>
      <c r="K842" s="781" t="str">
        <f>IFERROR(__xludf.DUMMYFUNCTION("""COMPUTED_VALUE"""),"Lysander New Community, NY, 13027")</f>
        <v>Lysander New Community, NY, 13027</v>
      </c>
      <c r="L842" s="781" t="str">
        <f>IFERROR(__xludf.DUMMYFUNCTION("""COMPUTED_VALUE"""),"Jacksonville, FL, 32218")</f>
        <v>Jacksonville, FL, 32218</v>
      </c>
      <c r="M842" s="880">
        <f>IFERROR(__xludf.DUMMYFUNCTION("FILTER($I$3:$I$121,$L$3:$L$121=M840)"),1107.0)</f>
        <v>1107</v>
      </c>
      <c r="N842" s="781">
        <v>0.65</v>
      </c>
      <c r="O842" s="782">
        <f t="shared" ref="O842:O844" si="44">M842*N842</f>
        <v>719.55</v>
      </c>
    </row>
    <row r="843">
      <c r="A843" s="780">
        <f>IFERROR(__xludf.DUMMYFUNCTION("""COMPUTED_VALUE"""),45995.0)</f>
        <v>45995</v>
      </c>
      <c r="B843" s="781" t="str">
        <f>IFERROR(__xludf.DUMMYFUNCTION("""COMPUTED_VALUE"""),"152946-KL")</f>
        <v>152946-KL</v>
      </c>
      <c r="C843" s="781" t="str">
        <f>IFERROR(__xludf.DUMMYFUNCTION("""COMPUTED_VALUE"""),"Statesboro, GA,")</f>
        <v>Statesboro, GA,</v>
      </c>
      <c r="D843" s="781" t="str">
        <f>IFERROR(__xludf.DUMMYFUNCTION("""COMPUTED_VALUE"""),"Orlando, FL,")</f>
        <v>Orlando, FL,</v>
      </c>
      <c r="E843" s="782">
        <f>IFERROR(__xludf.DUMMYFUNCTION("""COMPUTED_VALUE"""),675.0)</f>
        <v>675</v>
      </c>
      <c r="F843" s="783">
        <v>0.88</v>
      </c>
      <c r="G843" s="782">
        <f t="shared" si="43"/>
        <v>594</v>
      </c>
      <c r="H843" s="283"/>
      <c r="I843" s="780">
        <f>IFERROR(__xludf.DUMMYFUNCTION("""COMPUTED_VALUE"""),45995.0)</f>
        <v>45995</v>
      </c>
      <c r="J843" s="781" t="str">
        <f>IFERROR(__xludf.DUMMYFUNCTION("""COMPUTED_VALUE"""),"152946-KL")</f>
        <v>152946-KL</v>
      </c>
      <c r="K843" s="781" t="str">
        <f>IFERROR(__xludf.DUMMYFUNCTION("""COMPUTED_VALUE"""),"Statesboro, GA,")</f>
        <v>Statesboro, GA,</v>
      </c>
      <c r="L843" s="781" t="str">
        <f>IFERROR(__xludf.DUMMYFUNCTION("""COMPUTED_VALUE"""),"Orlando, FL,")</f>
        <v>Orlando, FL,</v>
      </c>
      <c r="M843" s="896">
        <f>IFERROR(__xludf.DUMMYFUNCTION("""COMPUTED_VALUE"""),369.0)</f>
        <v>369</v>
      </c>
      <c r="N843" s="781">
        <v>0.65</v>
      </c>
      <c r="O843" s="782">
        <f t="shared" si="44"/>
        <v>239.85</v>
      </c>
    </row>
    <row r="844">
      <c r="A844" s="785"/>
      <c r="B844" s="786"/>
      <c r="C844" s="786"/>
      <c r="D844" s="786"/>
      <c r="E844" s="785"/>
      <c r="F844" s="783">
        <v>0.88</v>
      </c>
      <c r="G844" s="782">
        <f t="shared" si="43"/>
        <v>0</v>
      </c>
      <c r="H844" s="283"/>
      <c r="I844" s="780"/>
      <c r="J844" s="781"/>
      <c r="K844" s="781"/>
      <c r="L844" s="781"/>
      <c r="M844" s="880"/>
      <c r="N844" s="781">
        <v>0.65</v>
      </c>
      <c r="O844" s="782">
        <f t="shared" si="44"/>
        <v>0</v>
      </c>
    </row>
    <row r="845">
      <c r="A845" s="785"/>
      <c r="B845" s="786"/>
      <c r="C845" s="786"/>
      <c r="D845" s="786"/>
      <c r="E845" s="785"/>
      <c r="F845" s="787"/>
      <c r="G845" s="788"/>
      <c r="H845" s="283"/>
      <c r="I845" s="785"/>
      <c r="J845" s="786"/>
      <c r="K845" s="786"/>
      <c r="L845" s="786"/>
      <c r="M845" s="785"/>
      <c r="N845" s="787"/>
      <c r="O845" s="789"/>
    </row>
    <row r="846">
      <c r="A846" s="785"/>
      <c r="B846" s="786"/>
      <c r="C846" s="786"/>
      <c r="D846" s="786"/>
      <c r="E846" s="785"/>
      <c r="F846" s="787"/>
      <c r="G846" s="788"/>
      <c r="H846" s="283"/>
      <c r="I846" s="785"/>
      <c r="J846" s="786"/>
      <c r="K846" s="786"/>
      <c r="L846" s="786"/>
      <c r="M846" s="785"/>
      <c r="N846" s="787"/>
      <c r="O846" s="789"/>
    </row>
    <row r="847">
      <c r="A847" s="785"/>
      <c r="B847" s="786"/>
      <c r="C847" s="786"/>
      <c r="D847" s="786"/>
      <c r="E847" s="785"/>
      <c r="F847" s="787"/>
      <c r="G847" s="788"/>
      <c r="H847" s="283"/>
      <c r="I847" s="785"/>
      <c r="J847" s="786"/>
      <c r="K847" s="786"/>
      <c r="L847" s="786"/>
      <c r="M847" s="785"/>
      <c r="N847" s="787"/>
      <c r="O847" s="789"/>
    </row>
    <row r="848">
      <c r="A848" s="790" t="s">
        <v>711</v>
      </c>
      <c r="B848" s="791"/>
      <c r="C848" s="791"/>
      <c r="D848" s="792"/>
      <c r="E848" s="793">
        <f>SUM(E842:E847)</f>
        <v>3175</v>
      </c>
      <c r="F848" s="794"/>
      <c r="G848" s="793">
        <f>SUM(G842:G847)</f>
        <v>2794</v>
      </c>
      <c r="H848" s="283"/>
      <c r="I848" s="790" t="s">
        <v>711</v>
      </c>
      <c r="J848" s="791"/>
      <c r="K848" s="791"/>
      <c r="L848" s="792"/>
      <c r="M848" s="877">
        <f>SUM(M842:M847)</f>
        <v>1476</v>
      </c>
      <c r="N848" s="794"/>
      <c r="O848" s="793">
        <f>SUM(O842:O847)</f>
        <v>959.4</v>
      </c>
      <c r="Q848" s="669"/>
    </row>
    <row r="849">
      <c r="A849" s="796"/>
      <c r="D849" s="798"/>
      <c r="G849" s="799"/>
      <c r="H849" s="283"/>
      <c r="I849" s="796"/>
      <c r="L849" s="798"/>
      <c r="M849" s="798"/>
      <c r="N849" s="798"/>
      <c r="O849" s="878"/>
    </row>
    <row r="850">
      <c r="A850" s="800" t="s">
        <v>712</v>
      </c>
      <c r="B850" s="801"/>
      <c r="C850" s="802"/>
      <c r="G850" s="799"/>
      <c r="H850" s="283"/>
      <c r="I850" s="800" t="s">
        <v>712</v>
      </c>
      <c r="J850" s="803"/>
      <c r="K850" s="804"/>
      <c r="L850" s="798"/>
      <c r="M850" s="798"/>
      <c r="N850" s="798"/>
      <c r="O850" s="878"/>
    </row>
    <row r="851">
      <c r="A851" s="902"/>
      <c r="B851" s="806"/>
      <c r="C851" s="807"/>
      <c r="G851" s="799"/>
      <c r="H851" s="283"/>
      <c r="I851" s="902"/>
      <c r="J851" s="808"/>
      <c r="K851" s="903"/>
      <c r="L851" s="798"/>
      <c r="M851" s="798"/>
      <c r="N851" s="798"/>
      <c r="O851" s="878"/>
    </row>
    <row r="852">
      <c r="A852" s="813"/>
      <c r="B852" s="898"/>
      <c r="C852" s="926"/>
      <c r="G852" s="799"/>
      <c r="H852" s="283"/>
      <c r="I852" s="868"/>
      <c r="J852" s="774"/>
      <c r="K852" s="816"/>
      <c r="L852" s="798"/>
      <c r="M852" s="798"/>
      <c r="N852" s="798"/>
      <c r="O852" s="878"/>
    </row>
    <row r="853">
      <c r="A853" s="815"/>
      <c r="B853" s="792"/>
      <c r="C853" s="816"/>
      <c r="G853" s="799"/>
      <c r="H853" s="283"/>
      <c r="I853" s="815"/>
      <c r="J853" s="792"/>
      <c r="K853" s="816"/>
      <c r="L853" s="798"/>
      <c r="M853" s="798"/>
      <c r="N853" s="798"/>
      <c r="O853" s="878"/>
    </row>
    <row r="854">
      <c r="A854" s="817"/>
      <c r="B854" s="774"/>
      <c r="C854" s="818"/>
      <c r="G854" s="799"/>
      <c r="H854" s="283"/>
      <c r="I854" s="817"/>
      <c r="J854" s="774"/>
      <c r="K854" s="818"/>
      <c r="L854" s="798"/>
      <c r="M854" s="798"/>
      <c r="N854" s="798"/>
      <c r="O854" s="878"/>
    </row>
    <row r="855">
      <c r="A855" s="817"/>
      <c r="B855" s="792"/>
      <c r="C855" s="818"/>
      <c r="G855" s="799"/>
      <c r="H855" s="283"/>
      <c r="I855" s="817"/>
      <c r="J855" s="792"/>
      <c r="K855" s="818"/>
      <c r="L855" s="798"/>
      <c r="M855" s="798"/>
      <c r="N855" s="798"/>
      <c r="O855" s="878"/>
    </row>
    <row r="856">
      <c r="A856" s="821" t="s">
        <v>714</v>
      </c>
      <c r="B856" s="822"/>
      <c r="C856" s="823">
        <f>SUM(C851:C855)</f>
        <v>0</v>
      </c>
      <c r="G856" s="799"/>
      <c r="H856" s="283"/>
      <c r="I856" s="821" t="s">
        <v>714</v>
      </c>
      <c r="J856" s="826"/>
      <c r="K856" s="827">
        <f>SUM(K851:K855)</f>
        <v>0</v>
      </c>
      <c r="L856" s="798"/>
      <c r="M856" s="798"/>
      <c r="N856" s="798"/>
      <c r="O856" s="878"/>
    </row>
    <row r="857">
      <c r="A857" s="828"/>
      <c r="C857" s="829"/>
      <c r="G857" s="799"/>
      <c r="H857" s="283"/>
      <c r="I857" s="828"/>
      <c r="K857" s="829"/>
      <c r="L857" s="798"/>
      <c r="M857" s="798"/>
      <c r="N857" s="798"/>
      <c r="O857" s="878"/>
    </row>
    <row r="858">
      <c r="A858" s="830" t="s">
        <v>715</v>
      </c>
      <c r="B858" s="831"/>
      <c r="C858" s="832"/>
      <c r="G858" s="799"/>
      <c r="H858" s="283"/>
      <c r="I858" s="833" t="s">
        <v>715</v>
      </c>
      <c r="J858" s="834"/>
      <c r="K858" s="835"/>
      <c r="L858" s="932"/>
      <c r="M858" s="798"/>
      <c r="N858" s="798"/>
      <c r="O858" s="878"/>
    </row>
    <row r="859">
      <c r="A859" s="836" t="s">
        <v>716</v>
      </c>
      <c r="B859" s="837"/>
      <c r="C859" s="838">
        <v>150.0</v>
      </c>
      <c r="G859" s="799"/>
      <c r="H859" s="283"/>
      <c r="I859" s="889" t="s">
        <v>1218</v>
      </c>
      <c r="J859" s="851"/>
      <c r="K859" s="852">
        <v>220.0</v>
      </c>
      <c r="L859" s="983" t="s">
        <v>1219</v>
      </c>
      <c r="M859" s="798"/>
      <c r="N859" s="798"/>
      <c r="O859" s="878"/>
    </row>
    <row r="860">
      <c r="A860" s="842" t="s">
        <v>717</v>
      </c>
      <c r="B860" s="843"/>
      <c r="C860" s="844">
        <v>400.0</v>
      </c>
      <c r="D860" s="248"/>
      <c r="E860" s="845" t="s">
        <v>1182</v>
      </c>
      <c r="G860" s="846">
        <f>G848+C856-C865</f>
        <v>1166.89</v>
      </c>
      <c r="H860" s="283"/>
      <c r="I860" s="847"/>
      <c r="J860" s="848"/>
      <c r="K860" s="849"/>
      <c r="L860" s="248"/>
      <c r="M860" s="845" t="s">
        <v>1183</v>
      </c>
      <c r="O860" s="846">
        <f>O848+K856-K865</f>
        <v>739.4</v>
      </c>
    </row>
    <row r="861">
      <c r="A861" s="836" t="s">
        <v>718</v>
      </c>
      <c r="B861" s="837"/>
      <c r="C861" s="838"/>
      <c r="G861" s="799"/>
      <c r="H861" s="283"/>
      <c r="I861" s="847"/>
      <c r="J861" s="848"/>
      <c r="K861" s="849"/>
      <c r="O861" s="799"/>
    </row>
    <row r="862">
      <c r="A862" s="842" t="s">
        <v>656</v>
      </c>
      <c r="B862" s="843"/>
      <c r="C862" s="844">
        <f>IFERROR(__xludf.DUMMYFUNCTION("FILTER($C$4:$C$30,$B$4:$B$30=E840)"),1077.11)</f>
        <v>1077.11</v>
      </c>
      <c r="G862" s="799"/>
      <c r="H862" s="283"/>
      <c r="I862" s="847"/>
      <c r="J862" s="848"/>
      <c r="K862" s="849"/>
      <c r="O862" s="799"/>
    </row>
    <row r="863">
      <c r="A863" s="850" t="s">
        <v>1184</v>
      </c>
      <c r="B863" s="851"/>
      <c r="C863" s="852"/>
      <c r="E863" s="248"/>
      <c r="G863" s="799"/>
      <c r="H863" s="283"/>
      <c r="I863" s="847"/>
      <c r="J863" s="848"/>
      <c r="K863" s="849"/>
      <c r="M863" s="248"/>
      <c r="O863" s="799"/>
    </row>
    <row r="864">
      <c r="A864" s="904" t="s">
        <v>887</v>
      </c>
      <c r="B864" s="905"/>
      <c r="C864" s="906"/>
      <c r="G864" s="799"/>
      <c r="H864" s="283"/>
      <c r="I864" s="847"/>
      <c r="J864" s="848"/>
      <c r="K864" s="849"/>
      <c r="O864" s="799"/>
    </row>
    <row r="865">
      <c r="A865" s="853" t="s">
        <v>721</v>
      </c>
      <c r="B865" s="854"/>
      <c r="C865" s="855">
        <f>SUM(C859:C864)</f>
        <v>1627.11</v>
      </c>
      <c r="G865" s="799"/>
      <c r="H865" s="283"/>
      <c r="I865" s="853" t="s">
        <v>721</v>
      </c>
      <c r="J865" s="854"/>
      <c r="K865" s="855">
        <f>SUM(K859:K863)</f>
        <v>220</v>
      </c>
      <c r="O865" s="799"/>
    </row>
    <row r="866">
      <c r="A866" s="856"/>
      <c r="B866" s="857"/>
      <c r="C866" s="857"/>
      <c r="D866" s="857"/>
      <c r="E866" s="857"/>
      <c r="F866" s="857"/>
      <c r="G866" s="808"/>
      <c r="H866" s="283"/>
      <c r="I866" s="856"/>
      <c r="J866" s="857"/>
      <c r="K866" s="857"/>
      <c r="L866" s="857"/>
      <c r="M866" s="857"/>
      <c r="N866" s="857"/>
      <c r="O866" s="808"/>
    </row>
    <row r="867">
      <c r="A867" s="199"/>
      <c r="B867" s="199"/>
      <c r="C867" s="199"/>
      <c r="D867" s="248"/>
      <c r="E867" s="248"/>
      <c r="F867" s="248"/>
      <c r="G867" s="248"/>
      <c r="H867" s="283"/>
      <c r="I867" s="199"/>
      <c r="J867" s="199"/>
      <c r="K867" s="199"/>
      <c r="L867" s="248"/>
      <c r="M867" s="248"/>
      <c r="N867" s="248"/>
      <c r="O867" s="248"/>
    </row>
    <row r="868">
      <c r="A868" s="199"/>
      <c r="B868" s="199"/>
      <c r="C868" s="199"/>
      <c r="D868" s="248"/>
      <c r="E868" s="248"/>
      <c r="F868" s="248"/>
      <c r="G868" s="248"/>
      <c r="H868" s="283"/>
      <c r="I868" s="199"/>
      <c r="J868" s="199"/>
      <c r="K868" s="199"/>
      <c r="L868" s="248"/>
      <c r="M868" s="248"/>
      <c r="N868" s="248"/>
      <c r="O868" s="248"/>
    </row>
    <row r="869">
      <c r="A869" s="769"/>
      <c r="B869" s="770"/>
      <c r="C869" s="770"/>
      <c r="D869" s="771" t="s">
        <v>700</v>
      </c>
      <c r="E869" s="772" t="str">
        <f>E125</f>
        <v>12.01.2025-12.07.2025</v>
      </c>
      <c r="F869" s="773"/>
      <c r="G869" s="774"/>
      <c r="H869" s="305">
        <v>25.0</v>
      </c>
      <c r="I869" s="769"/>
      <c r="J869" s="770"/>
      <c r="K869" s="770"/>
      <c r="L869" s="771" t="s">
        <v>700</v>
      </c>
      <c r="M869" s="772" t="str">
        <f>E125</f>
        <v>12.01.2025-12.07.2025</v>
      </c>
      <c r="N869" s="773"/>
      <c r="O869" s="774"/>
    </row>
    <row r="870">
      <c r="A870" s="775"/>
      <c r="D870" s="771" t="s">
        <v>702</v>
      </c>
      <c r="E870" s="772" t="s">
        <v>783</v>
      </c>
      <c r="F870" s="773"/>
      <c r="G870" s="774"/>
      <c r="H870" s="283"/>
      <c r="I870" s="775"/>
      <c r="L870" s="771" t="s">
        <v>351</v>
      </c>
      <c r="M870" s="772" t="str">
        <f t="array" ref="M870">XLOOKUP(M871,$L$1:$L$121,$K$1:$K$121)</f>
        <v>KIMBERLY MONIQUE SOWELL</v>
      </c>
      <c r="N870" s="773"/>
      <c r="O870" s="774"/>
    </row>
    <row r="871">
      <c r="A871" s="775"/>
      <c r="D871" s="771" t="s">
        <v>703</v>
      </c>
      <c r="E871" s="772">
        <v>6338.0</v>
      </c>
      <c r="F871" s="773"/>
      <c r="G871" s="774"/>
      <c r="H871" s="858"/>
      <c r="I871" s="775"/>
      <c r="L871" s="771" t="s">
        <v>703</v>
      </c>
      <c r="M871" s="772">
        <f>E871</f>
        <v>6338</v>
      </c>
      <c r="N871" s="773"/>
      <c r="O871" s="774"/>
      <c r="P871" s="859"/>
    </row>
    <row r="872">
      <c r="A872" s="779" t="s">
        <v>704</v>
      </c>
      <c r="B872" s="779" t="s">
        <v>5</v>
      </c>
      <c r="C872" s="779" t="s">
        <v>6</v>
      </c>
      <c r="D872" s="779" t="s">
        <v>7</v>
      </c>
      <c r="E872" s="779" t="s">
        <v>8</v>
      </c>
      <c r="F872" s="779" t="s">
        <v>706</v>
      </c>
      <c r="G872" s="779" t="s">
        <v>707</v>
      </c>
      <c r="H872" s="34"/>
      <c r="I872" s="779" t="s">
        <v>704</v>
      </c>
      <c r="J872" s="779" t="s">
        <v>5</v>
      </c>
      <c r="K872" s="779" t="s">
        <v>6</v>
      </c>
      <c r="L872" s="779" t="s">
        <v>7</v>
      </c>
      <c r="M872" s="779" t="s">
        <v>1178</v>
      </c>
      <c r="N872" s="779" t="s">
        <v>839</v>
      </c>
      <c r="O872" s="779" t="s">
        <v>707</v>
      </c>
    </row>
    <row r="873">
      <c r="A873" s="780">
        <f>IFERROR(__xludf.DUMMYFUNCTION("FILTER($D$3:$H$121,$L$3:$L$121=E871)"),45992.0)</f>
        <v>45992</v>
      </c>
      <c r="B873" s="781">
        <f>IFERROR(__xludf.DUMMYFUNCTION("""COMPUTED_VALUE"""),6.5179348E7)</f>
        <v>65179348</v>
      </c>
      <c r="C873" s="781" t="str">
        <f>IFERROR(__xludf.DUMMYFUNCTION("""COMPUTED_VALUE"""),"La Porte, TX, 77571")</f>
        <v>La Porte, TX, 77571</v>
      </c>
      <c r="D873" s="781" t="str">
        <f>IFERROR(__xludf.DUMMYFUNCTION("""COMPUTED_VALUE"""),"Naugatuck, CT, 06770")</f>
        <v>Naugatuck, CT, 06770</v>
      </c>
      <c r="E873" s="782">
        <f>IFERROR(__xludf.DUMMYFUNCTION("""COMPUTED_VALUE"""),3300.0)</f>
        <v>3300</v>
      </c>
      <c r="F873" s="783">
        <v>0.88</v>
      </c>
      <c r="G873" s="782">
        <f t="shared" ref="G873:G875" si="45">E873*F873</f>
        <v>2904</v>
      </c>
      <c r="H873" s="283"/>
      <c r="I873" s="780">
        <f>IFERROR(__xludf.DUMMYFUNCTION("FILTER($D$3:$G$121,$L$3:$L$121=M871)"),45992.0)</f>
        <v>45992</v>
      </c>
      <c r="J873" s="781">
        <f>IFERROR(__xludf.DUMMYFUNCTION("""COMPUTED_VALUE"""),6.5179348E7)</f>
        <v>65179348</v>
      </c>
      <c r="K873" s="781" t="str">
        <f>IFERROR(__xludf.DUMMYFUNCTION("""COMPUTED_VALUE"""),"La Porte, TX, 77571")</f>
        <v>La Porte, TX, 77571</v>
      </c>
      <c r="L873" s="781" t="str">
        <f>IFERROR(__xludf.DUMMYFUNCTION("""COMPUTED_VALUE"""),"Naugatuck, CT, 06770")</f>
        <v>Naugatuck, CT, 06770</v>
      </c>
      <c r="M873" s="896">
        <f>IFERROR(__xludf.DUMMYFUNCTION("FILTER($I$3:$I$121,$L$3:$L$121=M871)"),1742.0)</f>
        <v>1742</v>
      </c>
      <c r="N873" s="781">
        <v>0.65</v>
      </c>
      <c r="O873" s="782">
        <f t="shared" ref="O873:O875" si="46">M873*N873</f>
        <v>1132.3</v>
      </c>
    </row>
    <row r="874">
      <c r="A874" s="780">
        <f>IFERROR(__xludf.DUMMYFUNCTION("""COMPUTED_VALUE"""),45994.0)</f>
        <v>45994</v>
      </c>
      <c r="B874" s="781">
        <f>IFERROR(__xludf.DUMMYFUNCTION("""COMPUTED_VALUE"""),2802238.0)</f>
        <v>2802238</v>
      </c>
      <c r="C874" s="781" t="str">
        <f>IFERROR(__xludf.DUMMYFUNCTION("""COMPUTED_VALUE"""),"Tamaqua, PA, 18252")</f>
        <v>Tamaqua, PA, 18252</v>
      </c>
      <c r="D874" s="781" t="str">
        <f>IFERROR(__xludf.DUMMYFUNCTION("""COMPUTED_VALUE"""),"Dundalk, MD, 21222")</f>
        <v>Dundalk, MD, 21222</v>
      </c>
      <c r="E874" s="782">
        <f>IFERROR(__xludf.DUMMYFUNCTION("""COMPUTED_VALUE"""),700.0)</f>
        <v>700</v>
      </c>
      <c r="F874" s="783">
        <v>0.88</v>
      </c>
      <c r="G874" s="782">
        <f t="shared" si="45"/>
        <v>616</v>
      </c>
      <c r="H874" s="283"/>
      <c r="I874" s="780">
        <f>IFERROR(__xludf.DUMMYFUNCTION("""COMPUTED_VALUE"""),45994.0)</f>
        <v>45994</v>
      </c>
      <c r="J874" s="781">
        <f>IFERROR(__xludf.DUMMYFUNCTION("""COMPUTED_VALUE"""),2802238.0)</f>
        <v>2802238</v>
      </c>
      <c r="K874" s="781" t="str">
        <f>IFERROR(__xludf.DUMMYFUNCTION("""COMPUTED_VALUE"""),"Tamaqua, PA, 18252")</f>
        <v>Tamaqua, PA, 18252</v>
      </c>
      <c r="L874" s="781" t="str">
        <f>IFERROR(__xludf.DUMMYFUNCTION("""COMPUTED_VALUE"""),"Dundalk, MD, 21222")</f>
        <v>Dundalk, MD, 21222</v>
      </c>
      <c r="M874" s="980">
        <f>IFERROR(__xludf.DUMMYFUNCTION("""COMPUTED_VALUE"""),270.0)</f>
        <v>270</v>
      </c>
      <c r="N874" s="781">
        <v>0.65</v>
      </c>
      <c r="O874" s="782">
        <f t="shared" si="46"/>
        <v>175.5</v>
      </c>
    </row>
    <row r="875">
      <c r="A875" s="883">
        <f>IFERROR(__xludf.DUMMYFUNCTION("""COMPUTED_VALUE"""),45995.0)</f>
        <v>45995</v>
      </c>
      <c r="B875" s="786">
        <f>IFERROR(__xludf.DUMMYFUNCTION("""COMPUTED_VALUE"""),5570975.0)</f>
        <v>5570975</v>
      </c>
      <c r="C875" s="786" t="str">
        <f>IFERROR(__xludf.DUMMYFUNCTION("""COMPUTED_VALUE"""),"S CHESTERFLD, VA, 23834")</f>
        <v>S CHESTERFLD, VA, 23834</v>
      </c>
      <c r="D875" s="786" t="str">
        <f>IFERROR(__xludf.DUMMYFUNCTION("""COMPUTED_VALUE"""),"Lathrop, CA, 95330")</f>
        <v>Lathrop, CA, 95330</v>
      </c>
      <c r="E875" s="884">
        <f>IFERROR(__xludf.DUMMYFUNCTION("""COMPUTED_VALUE"""),5400.0)</f>
        <v>5400</v>
      </c>
      <c r="F875" s="783">
        <v>0.88</v>
      </c>
      <c r="G875" s="782">
        <f t="shared" si="45"/>
        <v>4752</v>
      </c>
      <c r="H875" s="283"/>
      <c r="I875" s="780">
        <f>IFERROR(__xludf.DUMMYFUNCTION("""COMPUTED_VALUE"""),45995.0)</f>
        <v>45995</v>
      </c>
      <c r="J875" s="781">
        <f>IFERROR(__xludf.DUMMYFUNCTION("""COMPUTED_VALUE"""),5570975.0)</f>
        <v>5570975</v>
      </c>
      <c r="K875" s="781" t="str">
        <f>IFERROR(__xludf.DUMMYFUNCTION("""COMPUTED_VALUE"""),"S CHESTERFLD, VA, 23834")</f>
        <v>S CHESTERFLD, VA, 23834</v>
      </c>
      <c r="L875" s="781" t="str">
        <f>IFERROR(__xludf.DUMMYFUNCTION("""COMPUTED_VALUE"""),"Lathrop, CA, 95330")</f>
        <v>Lathrop, CA, 95330</v>
      </c>
      <c r="M875" s="880">
        <f>IFERROR(__xludf.DUMMYFUNCTION("""COMPUTED_VALUE"""),2927.0)</f>
        <v>2927</v>
      </c>
      <c r="N875" s="781">
        <v>0.65</v>
      </c>
      <c r="O875" s="782">
        <f t="shared" si="46"/>
        <v>1902.55</v>
      </c>
    </row>
    <row r="876">
      <c r="A876" s="964"/>
      <c r="B876" s="960"/>
      <c r="C876" s="960"/>
      <c r="D876" s="960"/>
      <c r="E876" s="964"/>
      <c r="F876" s="965"/>
      <c r="G876" s="984"/>
      <c r="H876" s="283"/>
      <c r="I876" s="964"/>
      <c r="J876" s="960"/>
      <c r="K876" s="960"/>
      <c r="L876" s="960"/>
      <c r="M876" s="964"/>
      <c r="N876" s="965"/>
      <c r="O876" s="966"/>
    </row>
    <row r="877">
      <c r="A877" s="785"/>
      <c r="B877" s="786"/>
      <c r="C877" s="786"/>
      <c r="D877" s="786"/>
      <c r="E877" s="785"/>
      <c r="F877" s="787"/>
      <c r="G877" s="788"/>
      <c r="H877" s="283"/>
      <c r="I877" s="785"/>
      <c r="J877" s="786"/>
      <c r="K877" s="786"/>
      <c r="L877" s="786"/>
      <c r="M877" s="785"/>
      <c r="N877" s="787"/>
      <c r="O877" s="789"/>
    </row>
    <row r="878">
      <c r="A878" s="785"/>
      <c r="B878" s="786"/>
      <c r="C878" s="786"/>
      <c r="D878" s="786"/>
      <c r="E878" s="785"/>
      <c r="F878" s="787"/>
      <c r="G878" s="788"/>
      <c r="H878" s="283"/>
      <c r="I878" s="785"/>
      <c r="J878" s="786"/>
      <c r="K878" s="786"/>
      <c r="L878" s="786"/>
      <c r="M878" s="785"/>
      <c r="N878" s="787"/>
      <c r="O878" s="789"/>
    </row>
    <row r="879">
      <c r="A879" s="790" t="s">
        <v>711</v>
      </c>
      <c r="B879" s="791"/>
      <c r="C879" s="791"/>
      <c r="D879" s="792"/>
      <c r="E879" s="793">
        <f>SUM(E873:E878)</f>
        <v>9400</v>
      </c>
      <c r="F879" s="794"/>
      <c r="G879" s="793">
        <f>SUM(G873:G878)</f>
        <v>8272</v>
      </c>
      <c r="H879" s="283"/>
      <c r="I879" s="790" t="s">
        <v>711</v>
      </c>
      <c r="J879" s="791"/>
      <c r="K879" s="791"/>
      <c r="L879" s="792"/>
      <c r="M879" s="877">
        <f>SUM(M873:M878)</f>
        <v>4939</v>
      </c>
      <c r="N879" s="794"/>
      <c r="O879" s="793">
        <f>SUM(O873:O878)</f>
        <v>3210.35</v>
      </c>
    </row>
    <row r="880">
      <c r="A880" s="796"/>
      <c r="D880" s="798"/>
      <c r="G880" s="799"/>
      <c r="H880" s="283"/>
      <c r="I880" s="796"/>
      <c r="L880" s="798"/>
      <c r="O880" s="799"/>
    </row>
    <row r="881">
      <c r="A881" s="800" t="s">
        <v>712</v>
      </c>
      <c r="B881" s="801"/>
      <c r="C881" s="802"/>
      <c r="G881" s="799"/>
      <c r="H881" s="283"/>
      <c r="I881" s="800" t="s">
        <v>712</v>
      </c>
      <c r="J881" s="803"/>
      <c r="K881" s="804"/>
      <c r="O881" s="799"/>
    </row>
    <row r="882">
      <c r="A882" s="902"/>
      <c r="B882" s="806"/>
      <c r="C882" s="807"/>
      <c r="G882" s="799"/>
      <c r="H882" s="283"/>
      <c r="I882" s="902"/>
      <c r="J882" s="808"/>
      <c r="K882" s="903"/>
      <c r="O882" s="799"/>
    </row>
    <row r="883">
      <c r="A883" s="868"/>
      <c r="B883" s="774"/>
      <c r="C883" s="816"/>
      <c r="G883" s="799"/>
      <c r="H883" s="283"/>
      <c r="I883" s="868"/>
      <c r="J883" s="774"/>
      <c r="K883" s="816"/>
      <c r="O883" s="799"/>
    </row>
    <row r="884">
      <c r="A884" s="815"/>
      <c r="B884" s="792"/>
      <c r="C884" s="816"/>
      <c r="G884" s="799"/>
      <c r="H884" s="283"/>
      <c r="I884" s="815"/>
      <c r="J884" s="792"/>
      <c r="K884" s="816"/>
      <c r="O884" s="799"/>
    </row>
    <row r="885">
      <c r="A885" s="817"/>
      <c r="B885" s="774"/>
      <c r="C885" s="818"/>
      <c r="G885" s="799"/>
      <c r="H885" s="283"/>
      <c r="I885" s="817"/>
      <c r="J885" s="774"/>
      <c r="K885" s="818"/>
      <c r="O885" s="799"/>
    </row>
    <row r="886">
      <c r="A886" s="817"/>
      <c r="B886" s="792"/>
      <c r="C886" s="818"/>
      <c r="G886" s="799"/>
      <c r="H886" s="283"/>
      <c r="I886" s="817"/>
      <c r="J886" s="792"/>
      <c r="K886" s="818"/>
      <c r="O886" s="799"/>
    </row>
    <row r="887">
      <c r="A887" s="821" t="s">
        <v>714</v>
      </c>
      <c r="B887" s="822"/>
      <c r="C887" s="823">
        <f>SUM(C882:C886)</f>
        <v>0</v>
      </c>
      <c r="G887" s="799"/>
      <c r="H887" s="283"/>
      <c r="I887" s="821" t="s">
        <v>714</v>
      </c>
      <c r="J887" s="826"/>
      <c r="K887" s="827">
        <f>SUM(K882:K886)</f>
        <v>0</v>
      </c>
      <c r="O887" s="799"/>
    </row>
    <row r="888">
      <c r="A888" s="828"/>
      <c r="C888" s="829"/>
      <c r="G888" s="799"/>
      <c r="H888" s="283"/>
      <c r="I888" s="828"/>
      <c r="K888" s="829"/>
      <c r="O888" s="799"/>
    </row>
    <row r="889">
      <c r="A889" s="830" t="s">
        <v>715</v>
      </c>
      <c r="B889" s="831"/>
      <c r="C889" s="832"/>
      <c r="G889" s="799"/>
      <c r="H889" s="283"/>
      <c r="I889" s="833" t="s">
        <v>715</v>
      </c>
      <c r="J889" s="834"/>
      <c r="K889" s="835"/>
      <c r="O889" s="799"/>
      <c r="Q889" s="669"/>
    </row>
    <row r="890">
      <c r="A890" s="836" t="s">
        <v>716</v>
      </c>
      <c r="B890" s="837"/>
      <c r="C890" s="838">
        <v>150.0</v>
      </c>
      <c r="G890" s="799"/>
      <c r="H890" s="283"/>
      <c r="I890" s="839"/>
      <c r="J890" s="840"/>
      <c r="K890" s="841"/>
      <c r="O890" s="799"/>
    </row>
    <row r="891">
      <c r="A891" s="842" t="s">
        <v>717</v>
      </c>
      <c r="B891" s="843"/>
      <c r="C891" s="844">
        <v>400.0</v>
      </c>
      <c r="D891" s="891"/>
      <c r="E891" s="845" t="s">
        <v>1182</v>
      </c>
      <c r="G891" s="846">
        <f>G879+C887-C896</f>
        <v>2024.96</v>
      </c>
      <c r="H891" s="283"/>
      <c r="I891" s="847"/>
      <c r="J891" s="848"/>
      <c r="K891" s="849"/>
      <c r="L891" s="248"/>
      <c r="M891" s="845" t="s">
        <v>1183</v>
      </c>
      <c r="O891" s="846">
        <f>O879+K887-K896</f>
        <v>3210.35</v>
      </c>
    </row>
    <row r="892">
      <c r="A892" s="836" t="s">
        <v>718</v>
      </c>
      <c r="B892" s="837"/>
      <c r="C892" s="838"/>
      <c r="D892" s="892"/>
      <c r="G892" s="799"/>
      <c r="H892" s="283"/>
      <c r="I892" s="847"/>
      <c r="J892" s="848"/>
      <c r="K892" s="849"/>
      <c r="O892" s="799"/>
    </row>
    <row r="893">
      <c r="A893" s="842" t="s">
        <v>656</v>
      </c>
      <c r="B893" s="843"/>
      <c r="C893" s="844">
        <f>IFERROR(__xludf.DUMMYFUNCTION("FILTER($C$4:$C$30,$B$4:$B$30=E871)"),3346.01)</f>
        <v>3346.01</v>
      </c>
      <c r="D893" s="891"/>
      <c r="G893" s="799"/>
      <c r="H893" s="283"/>
      <c r="I893" s="847"/>
      <c r="J893" s="848"/>
      <c r="K893" s="849"/>
      <c r="O893" s="799"/>
    </row>
    <row r="894">
      <c r="A894" s="850" t="s">
        <v>1184</v>
      </c>
      <c r="B894" s="851"/>
      <c r="C894" s="985">
        <v>744.62</v>
      </c>
      <c r="D894" s="986" t="s">
        <v>1220</v>
      </c>
      <c r="E894" s="248"/>
      <c r="G894" s="799"/>
      <c r="H894" s="283"/>
      <c r="I894" s="847"/>
      <c r="J894" s="848"/>
      <c r="K894" s="849"/>
      <c r="M894" s="248"/>
      <c r="O894" s="799"/>
    </row>
    <row r="895">
      <c r="A895" s="904" t="s">
        <v>1207</v>
      </c>
      <c r="B895" s="905"/>
      <c r="C895" s="985">
        <v>1606.41</v>
      </c>
      <c r="D895" s="987"/>
      <c r="G895" s="799"/>
      <c r="H895" s="283"/>
      <c r="I895" s="847"/>
      <c r="J895" s="848"/>
      <c r="K895" s="849"/>
      <c r="O895" s="799"/>
    </row>
    <row r="896">
      <c r="A896" s="853" t="s">
        <v>721</v>
      </c>
      <c r="B896" s="854"/>
      <c r="C896" s="855">
        <f>SUM(C890:C895)</f>
        <v>6247.04</v>
      </c>
      <c r="D896" s="248"/>
      <c r="G896" s="799"/>
      <c r="H896" s="283"/>
      <c r="I896" s="853" t="s">
        <v>721</v>
      </c>
      <c r="J896" s="854"/>
      <c r="K896" s="855"/>
      <c r="O896" s="799"/>
    </row>
    <row r="897">
      <c r="A897" s="856"/>
      <c r="B897" s="857"/>
      <c r="C897" s="857"/>
      <c r="D897" s="894"/>
      <c r="E897" s="857"/>
      <c r="F897" s="857"/>
      <c r="G897" s="808"/>
      <c r="H897" s="283"/>
      <c r="I897" s="856"/>
      <c r="J897" s="857"/>
      <c r="K897" s="857"/>
      <c r="L897" s="857"/>
      <c r="M897" s="857"/>
      <c r="N897" s="857"/>
      <c r="O897" s="808"/>
    </row>
    <row r="898">
      <c r="A898" s="199"/>
      <c r="B898" s="199"/>
      <c r="C898" s="199"/>
      <c r="D898" s="248"/>
      <c r="E898" s="248"/>
      <c r="F898" s="248"/>
      <c r="G898" s="248"/>
      <c r="H898" s="283"/>
      <c r="I898" s="199"/>
      <c r="J898" s="199"/>
      <c r="K898" s="199"/>
      <c r="L898" s="248"/>
      <c r="M898" s="248"/>
      <c r="N898" s="248"/>
      <c r="O898" s="248"/>
    </row>
    <row r="899">
      <c r="A899" s="199"/>
      <c r="B899" s="199"/>
      <c r="C899" s="199"/>
      <c r="D899" s="248"/>
      <c r="E899" s="248"/>
      <c r="F899" s="248"/>
      <c r="G899" s="248"/>
      <c r="H899" s="283"/>
      <c r="I899" s="199"/>
      <c r="J899" s="199"/>
      <c r="K899" s="199"/>
      <c r="L899" s="248"/>
      <c r="M899" s="248"/>
      <c r="N899" s="248"/>
      <c r="O899" s="248"/>
    </row>
    <row r="900">
      <c r="A900" s="769"/>
      <c r="B900" s="770"/>
      <c r="C900" s="770"/>
      <c r="D900" s="771" t="s">
        <v>700</v>
      </c>
      <c r="E900" s="772" t="str">
        <f>E125</f>
        <v>12.01.2025-12.07.2025</v>
      </c>
      <c r="F900" s="773"/>
      <c r="G900" s="774"/>
      <c r="H900" s="305">
        <v>26.0</v>
      </c>
      <c r="I900" s="769"/>
      <c r="J900" s="770"/>
      <c r="K900" s="770"/>
      <c r="L900" s="771" t="s">
        <v>700</v>
      </c>
      <c r="M900" s="772" t="str">
        <f>E125</f>
        <v>12.01.2025-12.07.2025</v>
      </c>
      <c r="N900" s="773"/>
      <c r="O900" s="774"/>
    </row>
    <row r="901">
      <c r="A901" s="775"/>
      <c r="D901" s="771" t="s">
        <v>702</v>
      </c>
      <c r="E901" s="772" t="str">
        <f t="array" ref="E901">XLOOKUP(E902,$Q$972:$Q$1008,$R$972:$R$1008)</f>
        <v>Nationwide LLC</v>
      </c>
      <c r="F901" s="773"/>
      <c r="G901" s="774"/>
      <c r="H901" s="283"/>
      <c r="I901" s="775"/>
      <c r="L901" s="771" t="s">
        <v>351</v>
      </c>
      <c r="M901" s="772" t="str">
        <f t="array" ref="M901">XLOOKUP(M902,$L$1:$L$121,$K$1:$K$121)</f>
        <v>EMMANUEL MULLER</v>
      </c>
      <c r="N901" s="773"/>
      <c r="O901" s="774"/>
    </row>
    <row r="902">
      <c r="A902" s="775"/>
      <c r="D902" s="771" t="s">
        <v>703</v>
      </c>
      <c r="E902" s="772">
        <v>9617.0</v>
      </c>
      <c r="F902" s="773"/>
      <c r="G902" s="774"/>
      <c r="H902" s="858"/>
      <c r="I902" s="775"/>
      <c r="L902" s="771" t="s">
        <v>703</v>
      </c>
      <c r="M902" s="772">
        <f>E902</f>
        <v>9617</v>
      </c>
      <c r="N902" s="773"/>
      <c r="O902" s="774"/>
      <c r="P902" s="859"/>
    </row>
    <row r="903">
      <c r="A903" s="779" t="s">
        <v>704</v>
      </c>
      <c r="B903" s="779" t="s">
        <v>5</v>
      </c>
      <c r="C903" s="779" t="s">
        <v>6</v>
      </c>
      <c r="D903" s="779" t="s">
        <v>7</v>
      </c>
      <c r="E903" s="779" t="s">
        <v>8</v>
      </c>
      <c r="F903" s="779" t="s">
        <v>706</v>
      </c>
      <c r="G903" s="779" t="s">
        <v>707</v>
      </c>
      <c r="H903" s="34"/>
      <c r="I903" s="779" t="s">
        <v>704</v>
      </c>
      <c r="J903" s="779" t="s">
        <v>5</v>
      </c>
      <c r="K903" s="779" t="s">
        <v>6</v>
      </c>
      <c r="L903" s="779" t="s">
        <v>7</v>
      </c>
      <c r="M903" s="779" t="s">
        <v>1178</v>
      </c>
      <c r="N903" s="779" t="s">
        <v>839</v>
      </c>
      <c r="O903" s="779" t="s">
        <v>707</v>
      </c>
    </row>
    <row r="904">
      <c r="A904" s="780">
        <f>IFERROR(__xludf.DUMMYFUNCTION("FILTER($D$3:$H$121,$L$3:$L$121=E902)"),45992.0)</f>
        <v>45992</v>
      </c>
      <c r="B904" s="781">
        <f>IFERROR(__xludf.DUMMYFUNCTION("""COMPUTED_VALUE"""),5.36051627E8)</f>
        <v>536051627</v>
      </c>
      <c r="C904" s="781" t="str">
        <f>IFERROR(__xludf.DUMMYFUNCTION("""COMPUTED_VALUE"""),"Essex, MD, 21221")</f>
        <v>Essex, MD, 21221</v>
      </c>
      <c r="D904" s="781" t="str">
        <f>IFERROR(__xludf.DUMMYFUNCTION("""COMPUTED_VALUE"""),"Cicero, IL, 60155")</f>
        <v>Cicero, IL, 60155</v>
      </c>
      <c r="E904" s="782">
        <f>IFERROR(__xludf.DUMMYFUNCTION("""COMPUTED_VALUE"""),1200.0)</f>
        <v>1200</v>
      </c>
      <c r="F904" s="783">
        <v>0.88</v>
      </c>
      <c r="G904" s="782">
        <f t="shared" ref="G904:G905" si="47">E904*F904</f>
        <v>1056</v>
      </c>
      <c r="H904" s="283"/>
      <c r="I904" s="780">
        <f>IFERROR(__xludf.DUMMYFUNCTION("FILTER($D$3:$G$121,$L$3:$L$121=M902)"),45992.0)</f>
        <v>45992</v>
      </c>
      <c r="J904" s="781">
        <f>IFERROR(__xludf.DUMMYFUNCTION("""COMPUTED_VALUE"""),5.36051627E8)</f>
        <v>536051627</v>
      </c>
      <c r="K904" s="781" t="str">
        <f>IFERROR(__xludf.DUMMYFUNCTION("""COMPUTED_VALUE"""),"Essex, MD, 21221")</f>
        <v>Essex, MD, 21221</v>
      </c>
      <c r="L904" s="781" t="str">
        <f>IFERROR(__xludf.DUMMYFUNCTION("""COMPUTED_VALUE"""),"Cicero, IL, 60155")</f>
        <v>Cicero, IL, 60155</v>
      </c>
      <c r="M904" s="980">
        <f>IFERROR(__xludf.DUMMYFUNCTION("FILTER($I$3:$I$121,$L$3:$L$121=M902)"),792.0)</f>
        <v>792</v>
      </c>
      <c r="N904" s="781">
        <v>0.65</v>
      </c>
      <c r="O904" s="782">
        <f t="shared" ref="O904:O905" si="48">M904*N904</f>
        <v>514.8</v>
      </c>
    </row>
    <row r="905">
      <c r="A905" s="780">
        <f>IFERROR(__xludf.DUMMYFUNCTION("""COMPUTED_VALUE"""),45994.0)</f>
        <v>45994</v>
      </c>
      <c r="B905" s="781">
        <f>IFERROR(__xludf.DUMMYFUNCTION("""COMPUTED_VALUE"""),5.3602887E8)</f>
        <v>536028870</v>
      </c>
      <c r="C905" s="781" t="str">
        <f>IFERROR(__xludf.DUMMYFUNCTION("""COMPUTED_VALUE"""),"City of Berlin, WI, 54923")</f>
        <v>City of Berlin, WI, 54923</v>
      </c>
      <c r="D905" s="781" t="str">
        <f>IFERROR(__xludf.DUMMYFUNCTION("""COMPUTED_VALUE"""),"Winter Haven, FL, 33880")</f>
        <v>Winter Haven, FL, 33880</v>
      </c>
      <c r="E905" s="782">
        <f>IFERROR(__xludf.DUMMYFUNCTION("""COMPUTED_VALUE"""),4300.0)</f>
        <v>4300</v>
      </c>
      <c r="F905" s="783">
        <v>0.88</v>
      </c>
      <c r="G905" s="782">
        <f t="shared" si="47"/>
        <v>3784</v>
      </c>
      <c r="H905" s="283"/>
      <c r="I905" s="780">
        <f>IFERROR(__xludf.DUMMYFUNCTION("""COMPUTED_VALUE"""),45994.0)</f>
        <v>45994</v>
      </c>
      <c r="J905" s="781">
        <f>IFERROR(__xludf.DUMMYFUNCTION("""COMPUTED_VALUE"""),5.3602887E8)</f>
        <v>536028870</v>
      </c>
      <c r="K905" s="781" t="str">
        <f>IFERROR(__xludf.DUMMYFUNCTION("""COMPUTED_VALUE"""),"City of Berlin, WI, 54923")</f>
        <v>City of Berlin, WI, 54923</v>
      </c>
      <c r="L905" s="781" t="str">
        <f>IFERROR(__xludf.DUMMYFUNCTION("""COMPUTED_VALUE"""),"Winter Haven, FL, 33880")</f>
        <v>Winter Haven, FL, 33880</v>
      </c>
      <c r="M905" s="880">
        <f>IFERROR(__xludf.DUMMYFUNCTION("""COMPUTED_VALUE"""),1558.0)</f>
        <v>1558</v>
      </c>
      <c r="N905" s="781">
        <v>0.65</v>
      </c>
      <c r="O905" s="782">
        <f t="shared" si="48"/>
        <v>1012.7</v>
      </c>
    </row>
    <row r="906">
      <c r="A906" s="785"/>
      <c r="B906" s="786"/>
      <c r="C906" s="786"/>
      <c r="D906" s="786"/>
      <c r="E906" s="785"/>
      <c r="F906" s="787"/>
      <c r="G906" s="788"/>
      <c r="H906" s="283"/>
      <c r="I906" s="780"/>
      <c r="J906" s="781"/>
      <c r="K906" s="781"/>
      <c r="L906" s="781"/>
      <c r="M906" s="880"/>
      <c r="N906" s="781"/>
      <c r="O906" s="782"/>
    </row>
    <row r="907">
      <c r="A907" s="785"/>
      <c r="B907" s="786"/>
      <c r="C907" s="786"/>
      <c r="D907" s="786"/>
      <c r="E907" s="785"/>
      <c r="F907" s="787"/>
      <c r="G907" s="788"/>
      <c r="H907" s="283"/>
      <c r="I907" s="785"/>
      <c r="J907" s="786"/>
      <c r="K907" s="786"/>
      <c r="L907" s="786"/>
      <c r="M907" s="785"/>
      <c r="N907" s="787"/>
      <c r="O907" s="789"/>
    </row>
    <row r="908">
      <c r="A908" s="785"/>
      <c r="B908" s="786"/>
      <c r="C908" s="786"/>
      <c r="D908" s="786"/>
      <c r="E908" s="785"/>
      <c r="F908" s="787"/>
      <c r="G908" s="788"/>
      <c r="H908" s="283"/>
      <c r="I908" s="785"/>
      <c r="J908" s="786"/>
      <c r="K908" s="786"/>
      <c r="L908" s="786"/>
      <c r="M908" s="785"/>
      <c r="N908" s="787"/>
      <c r="O908" s="789"/>
    </row>
    <row r="909">
      <c r="A909" s="785"/>
      <c r="B909" s="786"/>
      <c r="C909" s="786"/>
      <c r="D909" s="786"/>
      <c r="E909" s="785"/>
      <c r="F909" s="787"/>
      <c r="G909" s="788"/>
      <c r="H909" s="283"/>
      <c r="I909" s="785"/>
      <c r="J909" s="786"/>
      <c r="K909" s="786"/>
      <c r="L909" s="786"/>
      <c r="M909" s="785"/>
      <c r="N909" s="787"/>
      <c r="O909" s="789"/>
    </row>
    <row r="910">
      <c r="A910" s="790" t="s">
        <v>711</v>
      </c>
      <c r="B910" s="791"/>
      <c r="C910" s="791"/>
      <c r="D910" s="792"/>
      <c r="E910" s="793">
        <f>SUM(E904:E909)</f>
        <v>5500</v>
      </c>
      <c r="F910" s="794"/>
      <c r="G910" s="793">
        <f>SUM(G904:G909)</f>
        <v>4840</v>
      </c>
      <c r="H910" s="283"/>
      <c r="I910" s="790" t="s">
        <v>711</v>
      </c>
      <c r="J910" s="791"/>
      <c r="K910" s="791"/>
      <c r="L910" s="792"/>
      <c r="M910" s="877">
        <f>SUM(M904:M909)</f>
        <v>2350</v>
      </c>
      <c r="N910" s="794"/>
      <c r="O910" s="793">
        <f>SUM(O904:O909)</f>
        <v>1527.5</v>
      </c>
    </row>
    <row r="911">
      <c r="A911" s="796"/>
      <c r="D911" s="798"/>
      <c r="G911" s="799"/>
      <c r="H911" s="283"/>
      <c r="I911" s="796"/>
      <c r="L911" s="798"/>
      <c r="O911" s="799"/>
    </row>
    <row r="912">
      <c r="A912" s="800" t="s">
        <v>712</v>
      </c>
      <c r="B912" s="801"/>
      <c r="C912" s="802"/>
      <c r="G912" s="799"/>
      <c r="H912" s="283"/>
      <c r="I912" s="800" t="s">
        <v>712</v>
      </c>
      <c r="J912" s="803"/>
      <c r="K912" s="804"/>
      <c r="O912" s="799"/>
    </row>
    <row r="913">
      <c r="A913" s="867"/>
      <c r="B913" s="808"/>
      <c r="C913" s="809"/>
      <c r="G913" s="799"/>
      <c r="H913" s="283"/>
      <c r="I913" s="867"/>
      <c r="J913" s="808"/>
      <c r="K913" s="809"/>
      <c r="O913" s="799"/>
    </row>
    <row r="914">
      <c r="A914" s="868"/>
      <c r="B914" s="774"/>
      <c r="C914" s="816"/>
      <c r="G914" s="799"/>
      <c r="H914" s="283"/>
      <c r="I914" s="868"/>
      <c r="J914" s="774"/>
      <c r="K914" s="816"/>
      <c r="O914" s="799"/>
    </row>
    <row r="915">
      <c r="A915" s="815"/>
      <c r="B915" s="792"/>
      <c r="C915" s="816"/>
      <c r="G915" s="799"/>
      <c r="H915" s="283"/>
      <c r="I915" s="815"/>
      <c r="J915" s="792"/>
      <c r="K915" s="816"/>
      <c r="O915" s="799"/>
    </row>
    <row r="916">
      <c r="A916" s="817"/>
      <c r="B916" s="774"/>
      <c r="C916" s="818"/>
      <c r="G916" s="799"/>
      <c r="H916" s="283"/>
      <c r="I916" s="817"/>
      <c r="J916" s="774"/>
      <c r="K916" s="818"/>
      <c r="O916" s="799"/>
    </row>
    <row r="917">
      <c r="A917" s="817"/>
      <c r="B917" s="792"/>
      <c r="C917" s="818"/>
      <c r="G917" s="799"/>
      <c r="H917" s="283"/>
      <c r="I917" s="817"/>
      <c r="J917" s="792"/>
      <c r="K917" s="818"/>
      <c r="O917" s="799"/>
    </row>
    <row r="918">
      <c r="A918" s="821" t="s">
        <v>714</v>
      </c>
      <c r="B918" s="822"/>
      <c r="C918" s="823">
        <f>SUM(C913:C917)</f>
        <v>0</v>
      </c>
      <c r="G918" s="799"/>
      <c r="H918" s="283"/>
      <c r="I918" s="821" t="s">
        <v>714</v>
      </c>
      <c r="J918" s="826"/>
      <c r="K918" s="827"/>
      <c r="O918" s="799"/>
    </row>
    <row r="919">
      <c r="A919" s="828"/>
      <c r="C919" s="829"/>
      <c r="G919" s="799"/>
      <c r="H919" s="283"/>
      <c r="I919" s="828"/>
      <c r="K919" s="829"/>
      <c r="O919" s="799"/>
    </row>
    <row r="920">
      <c r="A920" s="830" t="s">
        <v>715</v>
      </c>
      <c r="B920" s="831"/>
      <c r="C920" s="832"/>
      <c r="G920" s="799"/>
      <c r="H920" s="283"/>
      <c r="I920" s="833" t="s">
        <v>715</v>
      </c>
      <c r="J920" s="834"/>
      <c r="K920" s="835"/>
      <c r="O920" s="799"/>
    </row>
    <row r="921">
      <c r="A921" s="836" t="s">
        <v>716</v>
      </c>
      <c r="B921" s="837"/>
      <c r="C921" s="838">
        <v>150.0</v>
      </c>
      <c r="G921" s="799"/>
      <c r="H921" s="283"/>
      <c r="I921" s="839"/>
      <c r="J921" s="840"/>
      <c r="K921" s="841"/>
      <c r="O921" s="799"/>
    </row>
    <row r="922">
      <c r="A922" s="842" t="s">
        <v>717</v>
      </c>
      <c r="B922" s="843"/>
      <c r="C922" s="844">
        <v>400.0</v>
      </c>
      <c r="D922" s="248"/>
      <c r="E922" s="845" t="s">
        <v>1182</v>
      </c>
      <c r="G922" s="846" t="str">
        <f>G910+C918-C927</f>
        <v>#N/A</v>
      </c>
      <c r="H922" s="283"/>
      <c r="I922" s="847"/>
      <c r="J922" s="848"/>
      <c r="K922" s="849"/>
      <c r="L922" s="248"/>
      <c r="M922" s="845" t="s">
        <v>1183</v>
      </c>
      <c r="O922" s="846">
        <f>O910+K918-K927</f>
        <v>1527.5</v>
      </c>
    </row>
    <row r="923">
      <c r="A923" s="836" t="s">
        <v>718</v>
      </c>
      <c r="B923" s="837"/>
      <c r="C923" s="838">
        <v>200.0</v>
      </c>
      <c r="G923" s="799"/>
      <c r="H923" s="283"/>
      <c r="I923" s="847"/>
      <c r="J923" s="848"/>
      <c r="K923" s="849"/>
      <c r="O923" s="799"/>
    </row>
    <row r="924">
      <c r="A924" s="842" t="s">
        <v>656</v>
      </c>
      <c r="B924" s="843"/>
      <c r="C924" s="844" t="str">
        <f>IFERROR(__xludf.DUMMYFUNCTION("FILTER($C$4:$C$30,$B$4:$B$30=E902)"),"#N/A")</f>
        <v>#N/A</v>
      </c>
      <c r="G924" s="799"/>
      <c r="H924" s="283"/>
      <c r="I924" s="847"/>
      <c r="J924" s="848"/>
      <c r="K924" s="849"/>
      <c r="O924" s="799"/>
    </row>
    <row r="925">
      <c r="A925" s="850" t="s">
        <v>1184</v>
      </c>
      <c r="B925" s="851"/>
      <c r="C925" s="852"/>
      <c r="E925" s="248"/>
      <c r="G925" s="799"/>
      <c r="H925" s="283"/>
      <c r="I925" s="847"/>
      <c r="J925" s="848"/>
      <c r="K925" s="849"/>
      <c r="M925" s="248"/>
      <c r="O925" s="799"/>
    </row>
    <row r="926">
      <c r="A926" s="847"/>
      <c r="B926" s="848"/>
      <c r="C926" s="849"/>
      <c r="G926" s="799"/>
      <c r="H926" s="283"/>
      <c r="I926" s="847"/>
      <c r="J926" s="848"/>
      <c r="K926" s="849"/>
      <c r="O926" s="799"/>
    </row>
    <row r="927">
      <c r="A927" s="853" t="s">
        <v>721</v>
      </c>
      <c r="B927" s="854"/>
      <c r="C927" s="855" t="str">
        <f>SUM(C921:C926)</f>
        <v>#N/A</v>
      </c>
      <c r="G927" s="799"/>
      <c r="H927" s="283"/>
      <c r="I927" s="853" t="s">
        <v>721</v>
      </c>
      <c r="J927" s="854"/>
      <c r="K927" s="855"/>
      <c r="O927" s="799"/>
    </row>
    <row r="928">
      <c r="A928" s="856"/>
      <c r="B928" s="857"/>
      <c r="C928" s="857"/>
      <c r="D928" s="857"/>
      <c r="E928" s="857"/>
      <c r="F928" s="857"/>
      <c r="G928" s="808"/>
      <c r="H928" s="283"/>
      <c r="I928" s="856"/>
      <c r="J928" s="857"/>
      <c r="K928" s="857"/>
      <c r="L928" s="857"/>
      <c r="M928" s="857"/>
      <c r="N928" s="857"/>
      <c r="O928" s="808"/>
    </row>
    <row r="929">
      <c r="A929" s="199"/>
      <c r="B929" s="199"/>
      <c r="C929" s="199"/>
      <c r="D929" s="248"/>
      <c r="E929" s="248"/>
      <c r="F929" s="248"/>
      <c r="G929" s="248"/>
      <c r="H929" s="283"/>
      <c r="I929" s="199"/>
      <c r="J929" s="199"/>
      <c r="K929" s="199"/>
      <c r="L929" s="248"/>
      <c r="M929" s="248"/>
      <c r="N929" s="248"/>
      <c r="O929" s="248"/>
    </row>
    <row r="930">
      <c r="A930" s="199"/>
      <c r="B930" s="199"/>
      <c r="C930" s="199"/>
      <c r="D930" s="248"/>
      <c r="E930" s="248"/>
      <c r="F930" s="248"/>
      <c r="G930" s="248"/>
      <c r="H930" s="283"/>
      <c r="I930" s="199"/>
      <c r="J930" s="199"/>
      <c r="K930" s="199"/>
      <c r="L930" s="248"/>
      <c r="M930" s="248"/>
      <c r="N930" s="248"/>
      <c r="O930" s="248"/>
    </row>
    <row r="931">
      <c r="A931" s="769"/>
      <c r="B931" s="770"/>
      <c r="C931" s="770"/>
      <c r="D931" s="771" t="s">
        <v>700</v>
      </c>
      <c r="E931" s="772" t="str">
        <f>E125</f>
        <v>12.01.2025-12.07.2025</v>
      </c>
      <c r="F931" s="773"/>
      <c r="G931" s="774"/>
      <c r="H931" s="305">
        <v>27.0</v>
      </c>
      <c r="I931" s="769"/>
      <c r="J931" s="770"/>
      <c r="K931" s="770"/>
      <c r="L931" s="771" t="s">
        <v>700</v>
      </c>
      <c r="M931" s="772" t="str">
        <f>E125</f>
        <v>12.01.2025-12.07.2025</v>
      </c>
      <c r="N931" s="773"/>
      <c r="O931" s="774"/>
    </row>
    <row r="932">
      <c r="A932" s="775"/>
      <c r="D932" s="771" t="s">
        <v>702</v>
      </c>
      <c r="E932" s="772" t="str">
        <f t="array" ref="E932">XLOOKUP(E933,$Q$972:$Q$1008,$R$972:$R$1008)</f>
        <v>US Ela Logistic LLC</v>
      </c>
      <c r="F932" s="773"/>
      <c r="G932" s="774"/>
      <c r="H932" s="283"/>
      <c r="I932" s="775"/>
      <c r="L932" s="771" t="s">
        <v>351</v>
      </c>
      <c r="M932" s="772" t="str">
        <f t="array" ref="M932">XLOOKUP(M933,$L$1:$L$121,$K$1:$K$121)</f>
        <v>ANTOINE EMMANUEL</v>
      </c>
      <c r="N932" s="773"/>
      <c r="O932" s="774"/>
    </row>
    <row r="933">
      <c r="A933" s="775"/>
      <c r="D933" s="771" t="s">
        <v>703</v>
      </c>
      <c r="E933" s="772">
        <v>3403.0</v>
      </c>
      <c r="F933" s="773"/>
      <c r="G933" s="774"/>
      <c r="H933" s="858"/>
      <c r="I933" s="775"/>
      <c r="L933" s="771" t="s">
        <v>703</v>
      </c>
      <c r="M933" s="772">
        <f>E933</f>
        <v>3403</v>
      </c>
      <c r="N933" s="773"/>
      <c r="O933" s="774"/>
      <c r="P933" s="777"/>
    </row>
    <row r="934">
      <c r="A934" s="779" t="s">
        <v>704</v>
      </c>
      <c r="B934" s="779" t="s">
        <v>5</v>
      </c>
      <c r="C934" s="779" t="s">
        <v>6</v>
      </c>
      <c r="D934" s="779" t="s">
        <v>7</v>
      </c>
      <c r="E934" s="779" t="s">
        <v>8</v>
      </c>
      <c r="F934" s="779" t="s">
        <v>706</v>
      </c>
      <c r="G934" s="779" t="s">
        <v>707</v>
      </c>
      <c r="H934" s="34"/>
      <c r="I934" s="779" t="s">
        <v>704</v>
      </c>
      <c r="J934" s="779" t="s">
        <v>5</v>
      </c>
      <c r="K934" s="779" t="s">
        <v>6</v>
      </c>
      <c r="L934" s="779" t="s">
        <v>7</v>
      </c>
      <c r="M934" s="779" t="s">
        <v>1178</v>
      </c>
      <c r="N934" s="779" t="s">
        <v>839</v>
      </c>
      <c r="O934" s="779" t="s">
        <v>707</v>
      </c>
    </row>
    <row r="935">
      <c r="A935" s="780">
        <f>IFERROR(__xludf.DUMMYFUNCTION("FILTER($D$3:$H$121,$L$3:$L$121=E933)"),45995.0)</f>
        <v>45995</v>
      </c>
      <c r="B935" s="781">
        <f>IFERROR(__xludf.DUMMYFUNCTION("""COMPUTED_VALUE"""),123519.0)</f>
        <v>123519</v>
      </c>
      <c r="C935" s="781" t="str">
        <f>IFERROR(__xludf.DUMMYFUNCTION("""COMPUTED_VALUE"""),"Palm River-Clair Mel, FL, 33619")</f>
        <v>Palm River-Clair Mel, FL, 33619</v>
      </c>
      <c r="D935" s="781" t="str">
        <f>IFERROR(__xludf.DUMMYFUNCTION("""COMPUTED_VALUE"""),"Woodbridge Township, NJ, 07001")</f>
        <v>Woodbridge Township, NJ, 07001</v>
      </c>
      <c r="E935" s="782">
        <f>IFERROR(__xludf.DUMMYFUNCTION("""COMPUTED_VALUE"""),2100.0)</f>
        <v>2100</v>
      </c>
      <c r="F935" s="783">
        <v>0.88</v>
      </c>
      <c r="G935" s="782">
        <f t="shared" ref="G935:G936" si="49">E935*F935</f>
        <v>1848</v>
      </c>
      <c r="H935" s="283"/>
      <c r="I935" s="780">
        <f>IFERROR(__xludf.DUMMYFUNCTION("FILTER($D$3:$G$121,$L$3:$L$121=M933)"),45995.0)</f>
        <v>45995</v>
      </c>
      <c r="J935" s="781">
        <f>IFERROR(__xludf.DUMMYFUNCTION("""COMPUTED_VALUE"""),123519.0)</f>
        <v>123519</v>
      </c>
      <c r="K935" s="781" t="str">
        <f>IFERROR(__xludf.DUMMYFUNCTION("""COMPUTED_VALUE"""),"Palm River-Clair Mel, FL, 33619")</f>
        <v>Palm River-Clair Mel, FL, 33619</v>
      </c>
      <c r="L935" s="781" t="str">
        <f>IFERROR(__xludf.DUMMYFUNCTION("""COMPUTED_VALUE"""),"Woodbridge Township, NJ, 07001")</f>
        <v>Woodbridge Township, NJ, 07001</v>
      </c>
      <c r="M935" s="880">
        <f>IFERROR(__xludf.DUMMYFUNCTION("FILTER($I$3:$I$121,$L$3:$L$121=M933)"),1203.0)</f>
        <v>1203</v>
      </c>
      <c r="N935" s="781">
        <v>0.6</v>
      </c>
      <c r="O935" s="782">
        <f t="shared" ref="O935:O936" si="50">M935*N935</f>
        <v>721.8</v>
      </c>
    </row>
    <row r="936">
      <c r="A936" s="780">
        <f>IFERROR(__xludf.DUMMYFUNCTION("""COMPUTED_VALUE"""),45996.0)</f>
        <v>45996</v>
      </c>
      <c r="B936" s="781">
        <f>IFERROR(__xludf.DUMMYFUNCTION("""COMPUTED_VALUE"""),2184372.0)</f>
        <v>2184372</v>
      </c>
      <c r="C936" s="781" t="str">
        <f>IFERROR(__xludf.DUMMYFUNCTION("""COMPUTED_VALUE"""),"Quarryville, PA, 17566")</f>
        <v>Quarryville, PA, 17566</v>
      </c>
      <c r="D936" s="781" t="str">
        <f>IFERROR(__xludf.DUMMYFUNCTION("""COMPUTED_VALUE"""),"Springfield, MO, 65802")</f>
        <v>Springfield, MO, 65802</v>
      </c>
      <c r="E936" s="782">
        <f>IFERROR(__xludf.DUMMYFUNCTION("""COMPUTED_VALUE"""),2350.0)</f>
        <v>2350</v>
      </c>
      <c r="F936" s="783">
        <v>0.88</v>
      </c>
      <c r="G936" s="782">
        <f t="shared" si="49"/>
        <v>2068</v>
      </c>
      <c r="H936" s="283"/>
      <c r="I936" s="780">
        <f>IFERROR(__xludf.DUMMYFUNCTION("""COMPUTED_VALUE"""),45996.0)</f>
        <v>45996</v>
      </c>
      <c r="J936" s="781">
        <f>IFERROR(__xludf.DUMMYFUNCTION("""COMPUTED_VALUE"""),2184372.0)</f>
        <v>2184372</v>
      </c>
      <c r="K936" s="781" t="str">
        <f>IFERROR(__xludf.DUMMYFUNCTION("""COMPUTED_VALUE"""),"Quarryville, PA, 17566")</f>
        <v>Quarryville, PA, 17566</v>
      </c>
      <c r="L936" s="781" t="str">
        <f>IFERROR(__xludf.DUMMYFUNCTION("""COMPUTED_VALUE"""),"Springfield, MO, 65802")</f>
        <v>Springfield, MO, 65802</v>
      </c>
      <c r="M936" s="880">
        <f>IFERROR(__xludf.DUMMYFUNCTION("""COMPUTED_VALUE"""),1184.0)</f>
        <v>1184</v>
      </c>
      <c r="N936" s="781">
        <v>0.6</v>
      </c>
      <c r="O936" s="782">
        <f t="shared" si="50"/>
        <v>710.4</v>
      </c>
    </row>
    <row r="937">
      <c r="A937" s="785"/>
      <c r="B937" s="786"/>
      <c r="C937" s="786"/>
      <c r="D937" s="786"/>
      <c r="E937" s="785"/>
      <c r="F937" s="787"/>
      <c r="G937" s="788"/>
      <c r="H937" s="283"/>
      <c r="I937" s="780"/>
      <c r="J937" s="781"/>
      <c r="K937" s="781"/>
      <c r="L937" s="781"/>
      <c r="M937" s="880"/>
      <c r="N937" s="781"/>
      <c r="O937" s="782"/>
    </row>
    <row r="938">
      <c r="A938" s="785"/>
      <c r="B938" s="786"/>
      <c r="C938" s="786"/>
      <c r="D938" s="786"/>
      <c r="E938" s="785"/>
      <c r="F938" s="787"/>
      <c r="G938" s="788"/>
      <c r="H938" s="283"/>
      <c r="I938" s="785"/>
      <c r="J938" s="786"/>
      <c r="K938" s="786"/>
      <c r="L938" s="786"/>
      <c r="M938" s="785"/>
      <c r="N938" s="787"/>
      <c r="O938" s="789"/>
    </row>
    <row r="939">
      <c r="A939" s="785"/>
      <c r="B939" s="786"/>
      <c r="C939" s="786"/>
      <c r="D939" s="786"/>
      <c r="E939" s="785"/>
      <c r="F939" s="787"/>
      <c r="G939" s="788"/>
      <c r="H939" s="283"/>
      <c r="I939" s="785"/>
      <c r="J939" s="786"/>
      <c r="K939" s="786"/>
      <c r="L939" s="786"/>
      <c r="M939" s="785"/>
      <c r="N939" s="787"/>
      <c r="O939" s="789"/>
    </row>
    <row r="940">
      <c r="A940" s="785"/>
      <c r="B940" s="786"/>
      <c r="C940" s="786"/>
      <c r="D940" s="786"/>
      <c r="E940" s="785"/>
      <c r="F940" s="787"/>
      <c r="G940" s="788"/>
      <c r="H940" s="283"/>
      <c r="I940" s="785"/>
      <c r="J940" s="786"/>
      <c r="K940" s="786"/>
      <c r="L940" s="786"/>
      <c r="M940" s="785"/>
      <c r="N940" s="787"/>
      <c r="O940" s="789"/>
    </row>
    <row r="941">
      <c r="A941" s="790" t="s">
        <v>711</v>
      </c>
      <c r="B941" s="791"/>
      <c r="C941" s="791"/>
      <c r="D941" s="792"/>
      <c r="E941" s="793">
        <f>SUM(E935:E940)</f>
        <v>4450</v>
      </c>
      <c r="F941" s="794"/>
      <c r="G941" s="793">
        <f>SUM(G935:G940)</f>
        <v>3916</v>
      </c>
      <c r="H941" s="283"/>
      <c r="I941" s="790" t="s">
        <v>711</v>
      </c>
      <c r="J941" s="791"/>
      <c r="K941" s="791"/>
      <c r="L941" s="792"/>
      <c r="M941" s="877">
        <f>SUM(M935:M940)</f>
        <v>2387</v>
      </c>
      <c r="N941" s="794"/>
      <c r="O941" s="793">
        <f>SUM(O935:O940)</f>
        <v>1432.2</v>
      </c>
    </row>
    <row r="942">
      <c r="A942" s="796"/>
      <c r="D942" s="798"/>
      <c r="G942" s="799"/>
      <c r="H942" s="283"/>
      <c r="I942" s="796"/>
      <c r="L942" s="798"/>
      <c r="O942" s="799"/>
    </row>
    <row r="943">
      <c r="A943" s="800" t="s">
        <v>712</v>
      </c>
      <c r="B943" s="801"/>
      <c r="C943" s="802"/>
      <c r="G943" s="799"/>
      <c r="H943" s="283"/>
      <c r="I943" s="800" t="s">
        <v>712</v>
      </c>
      <c r="J943" s="803"/>
      <c r="K943" s="804"/>
      <c r="O943" s="799"/>
    </row>
    <row r="944">
      <c r="A944" s="867"/>
      <c r="B944" s="808"/>
      <c r="C944" s="809"/>
      <c r="G944" s="799"/>
      <c r="H944" s="283"/>
      <c r="I944" s="867"/>
      <c r="J944" s="808"/>
      <c r="K944" s="809"/>
      <c r="O944" s="799"/>
    </row>
    <row r="945">
      <c r="A945" s="868"/>
      <c r="B945" s="774"/>
      <c r="C945" s="816"/>
      <c r="G945" s="799"/>
      <c r="H945" s="283"/>
      <c r="I945" s="868"/>
      <c r="J945" s="774"/>
      <c r="K945" s="816"/>
      <c r="O945" s="799"/>
    </row>
    <row r="946">
      <c r="A946" s="815"/>
      <c r="B946" s="792"/>
      <c r="C946" s="816"/>
      <c r="G946" s="799"/>
      <c r="H946" s="283"/>
      <c r="I946" s="815"/>
      <c r="J946" s="792"/>
      <c r="K946" s="816"/>
      <c r="O946" s="799"/>
    </row>
    <row r="947">
      <c r="A947" s="817"/>
      <c r="B947" s="774"/>
      <c r="C947" s="818"/>
      <c r="G947" s="799"/>
      <c r="H947" s="283"/>
      <c r="I947" s="817"/>
      <c r="J947" s="774"/>
      <c r="K947" s="818"/>
      <c r="O947" s="799"/>
    </row>
    <row r="948">
      <c r="A948" s="817"/>
      <c r="B948" s="792"/>
      <c r="C948" s="818"/>
      <c r="G948" s="799"/>
      <c r="H948" s="283"/>
      <c r="I948" s="817"/>
      <c r="J948" s="792"/>
      <c r="K948" s="818"/>
      <c r="O948" s="799"/>
    </row>
    <row r="949">
      <c r="A949" s="821" t="s">
        <v>714</v>
      </c>
      <c r="B949" s="822"/>
      <c r="C949" s="823">
        <f>SUM(C944:C948)</f>
        <v>0</v>
      </c>
      <c r="G949" s="799"/>
      <c r="H949" s="283"/>
      <c r="I949" s="821" t="s">
        <v>714</v>
      </c>
      <c r="J949" s="826"/>
      <c r="K949" s="827"/>
      <c r="O949" s="799"/>
    </row>
    <row r="950">
      <c r="A950" s="828"/>
      <c r="C950" s="829"/>
      <c r="G950" s="799"/>
      <c r="H950" s="283"/>
      <c r="I950" s="828"/>
      <c r="K950" s="829"/>
      <c r="O950" s="799"/>
    </row>
    <row r="951">
      <c r="A951" s="830" t="s">
        <v>715</v>
      </c>
      <c r="B951" s="831"/>
      <c r="C951" s="832"/>
      <c r="G951" s="799"/>
      <c r="H951" s="283"/>
      <c r="I951" s="833" t="s">
        <v>715</v>
      </c>
      <c r="J951" s="834"/>
      <c r="K951" s="835"/>
      <c r="O951" s="799"/>
    </row>
    <row r="952">
      <c r="A952" s="836" t="s">
        <v>716</v>
      </c>
      <c r="B952" s="837"/>
      <c r="C952" s="838">
        <v>150.0</v>
      </c>
      <c r="G952" s="799"/>
      <c r="H952" s="283"/>
      <c r="I952" s="839"/>
      <c r="J952" s="840"/>
      <c r="K952" s="841"/>
      <c r="O952" s="799"/>
    </row>
    <row r="953">
      <c r="A953" s="842" t="s">
        <v>717</v>
      </c>
      <c r="B953" s="843"/>
      <c r="C953" s="844">
        <v>400.0</v>
      </c>
      <c r="D953" s="248"/>
      <c r="E953" s="845" t="s">
        <v>1182</v>
      </c>
      <c r="G953" s="846">
        <f>G941+C949-C958</f>
        <v>1651.23</v>
      </c>
      <c r="H953" s="283"/>
      <c r="I953" s="847"/>
      <c r="J953" s="848"/>
      <c r="K953" s="849"/>
      <c r="L953" s="248"/>
      <c r="M953" s="845" t="s">
        <v>1183</v>
      </c>
      <c r="O953" s="846">
        <f>O941+K949-K958</f>
        <v>1432.2</v>
      </c>
    </row>
    <row r="954">
      <c r="A954" s="836" t="s">
        <v>718</v>
      </c>
      <c r="B954" s="837"/>
      <c r="C954" s="838">
        <v>200.0</v>
      </c>
      <c r="G954" s="799"/>
      <c r="H954" s="283"/>
      <c r="I954" s="847"/>
      <c r="J954" s="848"/>
      <c r="K954" s="849"/>
      <c r="O954" s="799"/>
    </row>
    <row r="955">
      <c r="A955" s="842" t="s">
        <v>656</v>
      </c>
      <c r="B955" s="843"/>
      <c r="C955" s="844">
        <f>IFERROR(__xludf.DUMMYFUNCTION("FILTER($C$4:$C$30,$B$4:$B$30=E933)"),1514.77)</f>
        <v>1514.77</v>
      </c>
      <c r="G955" s="799"/>
      <c r="H955" s="283"/>
      <c r="I955" s="847"/>
      <c r="J955" s="848"/>
      <c r="K955" s="849"/>
      <c r="O955" s="799"/>
    </row>
    <row r="956">
      <c r="A956" s="850" t="s">
        <v>1184</v>
      </c>
      <c r="B956" s="851"/>
      <c r="C956" s="852"/>
      <c r="E956" s="248"/>
      <c r="G956" s="799"/>
      <c r="H956" s="283"/>
      <c r="I956" s="847"/>
      <c r="J956" s="848"/>
      <c r="K956" s="849"/>
      <c r="M956" s="248"/>
      <c r="O956" s="799"/>
    </row>
    <row r="957">
      <c r="A957" s="847"/>
      <c r="B957" s="848"/>
      <c r="C957" s="849"/>
      <c r="G957" s="799"/>
      <c r="H957" s="283"/>
      <c r="I957" s="847"/>
      <c r="J957" s="848"/>
      <c r="K957" s="849"/>
      <c r="O957" s="799"/>
    </row>
    <row r="958">
      <c r="A958" s="853" t="s">
        <v>721</v>
      </c>
      <c r="B958" s="854"/>
      <c r="C958" s="855">
        <f>SUM(C952:C957)</f>
        <v>2264.77</v>
      </c>
      <c r="G958" s="799"/>
      <c r="H958" s="283"/>
      <c r="I958" s="853" t="s">
        <v>721</v>
      </c>
      <c r="J958" s="854"/>
      <c r="K958" s="855"/>
      <c r="O958" s="799"/>
    </row>
    <row r="959">
      <c r="A959" s="856"/>
      <c r="B959" s="857"/>
      <c r="C959" s="857"/>
      <c r="D959" s="857"/>
      <c r="E959" s="857"/>
      <c r="F959" s="857"/>
      <c r="G959" s="808"/>
      <c r="H959" s="283"/>
      <c r="I959" s="856"/>
      <c r="J959" s="857"/>
      <c r="K959" s="857"/>
      <c r="L959" s="857"/>
      <c r="M959" s="857"/>
      <c r="N959" s="857"/>
      <c r="O959" s="808"/>
    </row>
    <row r="960">
      <c r="A960" s="199"/>
      <c r="B960" s="199"/>
      <c r="C960" s="199"/>
      <c r="D960" s="248"/>
      <c r="E960" s="248"/>
      <c r="F960" s="248"/>
      <c r="G960" s="248"/>
      <c r="H960" s="283"/>
      <c r="I960" s="199"/>
      <c r="J960" s="199"/>
      <c r="K960" s="199"/>
      <c r="L960" s="248"/>
      <c r="M960" s="248"/>
      <c r="N960" s="248"/>
      <c r="O960" s="248"/>
    </row>
    <row r="961">
      <c r="A961" s="199"/>
      <c r="B961" s="199"/>
      <c r="C961" s="199"/>
      <c r="D961" s="248"/>
      <c r="E961" s="248"/>
      <c r="F961" s="248"/>
      <c r="G961" s="248"/>
      <c r="H961" s="283"/>
      <c r="I961" s="199"/>
      <c r="J961" s="199"/>
      <c r="K961" s="199"/>
      <c r="L961" s="248"/>
      <c r="M961" s="248"/>
      <c r="N961" s="248"/>
      <c r="O961" s="248"/>
    </row>
    <row r="962">
      <c r="A962" s="769"/>
      <c r="B962" s="770"/>
      <c r="C962" s="770"/>
      <c r="D962" s="771" t="s">
        <v>700</v>
      </c>
      <c r="E962" s="772" t="str">
        <f>E156</f>
        <v>12.01.2025-12.07.2025</v>
      </c>
      <c r="F962" s="773"/>
      <c r="G962" s="774"/>
      <c r="H962" s="305">
        <v>28.0</v>
      </c>
      <c r="I962" s="769"/>
      <c r="J962" s="770"/>
      <c r="K962" s="770"/>
      <c r="L962" s="771" t="s">
        <v>700</v>
      </c>
      <c r="M962" s="772" t="str">
        <f>E156</f>
        <v>12.01.2025-12.07.2025</v>
      </c>
      <c r="N962" s="773"/>
      <c r="O962" s="774"/>
    </row>
    <row r="963">
      <c r="A963" s="775"/>
      <c r="D963" s="771" t="s">
        <v>702</v>
      </c>
      <c r="E963" s="772" t="str">
        <f t="array" ref="E963">XLOOKUP(E964,$Q$972:$Q$1008,$R$972:$R$1008)</f>
        <v>EDT Logistics LLC</v>
      </c>
      <c r="F963" s="773"/>
      <c r="G963" s="774"/>
      <c r="H963" s="283"/>
      <c r="I963" s="775"/>
      <c r="L963" s="771" t="s">
        <v>351</v>
      </c>
      <c r="M963" s="772" t="str">
        <f t="array" ref="M963">XLOOKUP(M964,$L$1:$L$121,$K$1:$K$121)</f>
        <v>BEN BELLAH BELISCAR</v>
      </c>
      <c r="N963" s="773"/>
      <c r="O963" s="774"/>
    </row>
    <row r="964">
      <c r="A964" s="775"/>
      <c r="D964" s="771" t="s">
        <v>703</v>
      </c>
      <c r="E964" s="772">
        <v>2932.0</v>
      </c>
      <c r="F964" s="773"/>
      <c r="G964" s="774"/>
      <c r="H964" s="858"/>
      <c r="I964" s="775"/>
      <c r="L964" s="771" t="s">
        <v>703</v>
      </c>
      <c r="M964" s="772">
        <f>E964</f>
        <v>2932</v>
      </c>
      <c r="N964" s="773"/>
      <c r="O964" s="774"/>
      <c r="P964" s="859"/>
    </row>
    <row r="965">
      <c r="A965" s="779" t="s">
        <v>704</v>
      </c>
      <c r="B965" s="779" t="s">
        <v>5</v>
      </c>
      <c r="C965" s="779" t="s">
        <v>6</v>
      </c>
      <c r="D965" s="779" t="s">
        <v>7</v>
      </c>
      <c r="E965" s="779" t="s">
        <v>8</v>
      </c>
      <c r="F965" s="779" t="s">
        <v>706</v>
      </c>
      <c r="G965" s="779" t="s">
        <v>707</v>
      </c>
      <c r="H965" s="34"/>
      <c r="I965" s="779" t="s">
        <v>704</v>
      </c>
      <c r="J965" s="779" t="s">
        <v>5</v>
      </c>
      <c r="K965" s="779" t="s">
        <v>6</v>
      </c>
      <c r="L965" s="779" t="s">
        <v>7</v>
      </c>
      <c r="M965" s="779" t="s">
        <v>1178</v>
      </c>
      <c r="N965" s="779" t="s">
        <v>839</v>
      </c>
      <c r="O965" s="779" t="s">
        <v>707</v>
      </c>
    </row>
    <row r="966">
      <c r="A966" s="780">
        <f>IFERROR(__xludf.DUMMYFUNCTION("FILTER($D$3:$H$121,$L$3:$L$121=E964)"),45992.0)</f>
        <v>45992</v>
      </c>
      <c r="B966" s="781">
        <f>IFERROR(__xludf.DUMMYFUNCTION("""COMPUTED_VALUE"""),2.0740576E7)</f>
        <v>20740576</v>
      </c>
      <c r="C966" s="781" t="str">
        <f>IFERROR(__xludf.DUMMYFUNCTION("""COMPUTED_VALUE"""),"Jacksonville, FL, 32218")</f>
        <v>Jacksonville, FL, 32218</v>
      </c>
      <c r="D966" s="781" t="str">
        <f>IFERROR(__xludf.DUMMYFUNCTION("""COMPUTED_VALUE"""),"North Bellport, NY, 11713")</f>
        <v>North Bellport, NY, 11713</v>
      </c>
      <c r="E966" s="782">
        <f>IFERROR(__xludf.DUMMYFUNCTION("""COMPUTED_VALUE"""),2100.0)</f>
        <v>2100</v>
      </c>
      <c r="F966" s="783">
        <v>0.88</v>
      </c>
      <c r="G966" s="782">
        <f t="shared" ref="G966:G967" si="51">E966*F966</f>
        <v>1848</v>
      </c>
      <c r="H966" s="283"/>
      <c r="I966" s="780">
        <f>IFERROR(__xludf.DUMMYFUNCTION("FILTER($D$3:$G$121,$L$3:$L$121=M964)"),45992.0)</f>
        <v>45992</v>
      </c>
      <c r="J966" s="781">
        <f>IFERROR(__xludf.DUMMYFUNCTION("""COMPUTED_VALUE"""),2.0740576E7)</f>
        <v>20740576</v>
      </c>
      <c r="K966" s="781" t="str">
        <f>IFERROR(__xludf.DUMMYFUNCTION("""COMPUTED_VALUE"""),"Jacksonville, FL, 32218")</f>
        <v>Jacksonville, FL, 32218</v>
      </c>
      <c r="L966" s="781" t="str">
        <f>IFERROR(__xludf.DUMMYFUNCTION("""COMPUTED_VALUE"""),"North Bellport, NY, 11713")</f>
        <v>North Bellport, NY, 11713</v>
      </c>
      <c r="M966" s="980">
        <f>IFERROR(__xludf.DUMMYFUNCTION("FILTER($I$3:$I$121,$L$3:$L$121=M964)"),1310.17)</f>
        <v>1310.17</v>
      </c>
      <c r="N966" s="781">
        <v>0.6</v>
      </c>
      <c r="O966" s="782">
        <f t="shared" ref="O966:O967" si="52">M966*N966</f>
        <v>786.102</v>
      </c>
    </row>
    <row r="967">
      <c r="A967" s="780">
        <f>IFERROR(__xludf.DUMMYFUNCTION("""COMPUTED_VALUE"""),45994.0)</f>
        <v>45994</v>
      </c>
      <c r="B967" s="781">
        <f>IFERROR(__xludf.DUMMYFUNCTION("""COMPUTED_VALUE"""),5.36886547E8)</f>
        <v>536886547</v>
      </c>
      <c r="C967" s="781" t="str">
        <f>IFERROR(__xludf.DUMMYFUNCTION("""COMPUTED_VALUE"""),"Syosset, NY, 11791")</f>
        <v>Syosset, NY, 11791</v>
      </c>
      <c r="D967" s="781" t="str">
        <f>IFERROR(__xludf.DUMMYFUNCTION("""COMPUTED_VALUE"""),"Boca Raton, FL, 33487")</f>
        <v>Boca Raton, FL, 33487</v>
      </c>
      <c r="E967" s="782">
        <f>IFERROR(__xludf.DUMMYFUNCTION("""COMPUTED_VALUE"""),3250.0)</f>
        <v>3250</v>
      </c>
      <c r="F967" s="783">
        <v>0.88</v>
      </c>
      <c r="G967" s="782">
        <f t="shared" si="51"/>
        <v>2860</v>
      </c>
      <c r="H967" s="283"/>
      <c r="I967" s="780">
        <f>IFERROR(__xludf.DUMMYFUNCTION("""COMPUTED_VALUE"""),45994.0)</f>
        <v>45994</v>
      </c>
      <c r="J967" s="781">
        <f>IFERROR(__xludf.DUMMYFUNCTION("""COMPUTED_VALUE"""),5.36886547E8)</f>
        <v>536886547</v>
      </c>
      <c r="K967" s="781" t="str">
        <f>IFERROR(__xludf.DUMMYFUNCTION("""COMPUTED_VALUE"""),"Syosset, NY, 11791")</f>
        <v>Syosset, NY, 11791</v>
      </c>
      <c r="L967" s="781" t="str">
        <f>IFERROR(__xludf.DUMMYFUNCTION("""COMPUTED_VALUE"""),"Boca Raton, FL, 33487")</f>
        <v>Boca Raton, FL, 33487</v>
      </c>
      <c r="M967" s="880">
        <f>IFERROR(__xludf.DUMMYFUNCTION("""COMPUTED_VALUE"""),1310.0)</f>
        <v>1310</v>
      </c>
      <c r="N967" s="781">
        <v>0.6</v>
      </c>
      <c r="O967" s="782">
        <f t="shared" si="52"/>
        <v>786</v>
      </c>
    </row>
    <row r="968">
      <c r="A968" s="785"/>
      <c r="B968" s="786"/>
      <c r="C968" s="786"/>
      <c r="D968" s="786"/>
      <c r="E968" s="785"/>
      <c r="F968" s="787"/>
      <c r="G968" s="788"/>
      <c r="H968" s="283"/>
      <c r="I968" s="780"/>
      <c r="J968" s="781"/>
      <c r="K968" s="781"/>
      <c r="L968" s="781"/>
      <c r="M968" s="880"/>
      <c r="N968" s="781"/>
      <c r="O968" s="782"/>
    </row>
    <row r="969">
      <c r="A969" s="785"/>
      <c r="B969" s="786"/>
      <c r="C969" s="786"/>
      <c r="D969" s="786"/>
      <c r="E969" s="785"/>
      <c r="F969" s="787"/>
      <c r="G969" s="788"/>
      <c r="H969" s="283"/>
      <c r="I969" s="785"/>
      <c r="J969" s="786"/>
      <c r="K969" s="786"/>
      <c r="L969" s="786"/>
      <c r="M969" s="785"/>
      <c r="N969" s="787"/>
      <c r="O969" s="789"/>
    </row>
    <row r="970">
      <c r="A970" s="785"/>
      <c r="B970" s="786"/>
      <c r="C970" s="786"/>
      <c r="D970" s="786"/>
      <c r="E970" s="785"/>
      <c r="F970" s="787"/>
      <c r="G970" s="788"/>
      <c r="H970" s="283"/>
      <c r="I970" s="785"/>
      <c r="J970" s="786"/>
      <c r="K970" s="786"/>
      <c r="L970" s="786"/>
      <c r="M970" s="785"/>
      <c r="N970" s="787"/>
      <c r="O970" s="789"/>
    </row>
    <row r="971">
      <c r="A971" s="785"/>
      <c r="B971" s="786"/>
      <c r="C971" s="786"/>
      <c r="D971" s="786"/>
      <c r="E971" s="785"/>
      <c r="F971" s="787"/>
      <c r="G971" s="788"/>
      <c r="H971" s="283"/>
      <c r="I971" s="785"/>
      <c r="J971" s="786"/>
      <c r="K971" s="786"/>
      <c r="L971" s="786"/>
      <c r="M971" s="785"/>
      <c r="N971" s="787"/>
      <c r="O971" s="789"/>
    </row>
    <row r="972">
      <c r="A972" s="790" t="s">
        <v>711</v>
      </c>
      <c r="B972" s="791"/>
      <c r="C972" s="791"/>
      <c r="D972" s="792"/>
      <c r="E972" s="793">
        <f>SUM(E966:E971)</f>
        <v>5350</v>
      </c>
      <c r="F972" s="794"/>
      <c r="G972" s="793">
        <f>SUM(G966:G971)</f>
        <v>4708</v>
      </c>
      <c r="H972" s="283"/>
      <c r="I972" s="790" t="s">
        <v>711</v>
      </c>
      <c r="J972" s="791"/>
      <c r="K972" s="791"/>
      <c r="L972" s="792"/>
      <c r="M972" s="877">
        <f>SUM(M966:M971)</f>
        <v>2620.17</v>
      </c>
      <c r="N972" s="794"/>
      <c r="O972" s="793">
        <f>SUM(O966:O971)</f>
        <v>1572.102</v>
      </c>
      <c r="Q972" s="934">
        <v>2319.0</v>
      </c>
      <c r="R972" s="935" t="s">
        <v>660</v>
      </c>
      <c r="S972" s="936"/>
    </row>
    <row r="973">
      <c r="A973" s="796"/>
      <c r="D973" s="798"/>
      <c r="G973" s="799"/>
      <c r="H973" s="283"/>
      <c r="I973" s="796"/>
      <c r="L973" s="798"/>
      <c r="O973" s="799"/>
      <c r="Q973" s="937">
        <v>9308.0</v>
      </c>
      <c r="R973" s="938" t="s">
        <v>660</v>
      </c>
      <c r="S973" s="759"/>
    </row>
    <row r="974">
      <c r="A974" s="800" t="s">
        <v>712</v>
      </c>
      <c r="B974" s="801"/>
      <c r="C974" s="802"/>
      <c r="G974" s="799"/>
      <c r="H974" s="283"/>
      <c r="I974" s="800" t="s">
        <v>712</v>
      </c>
      <c r="J974" s="803"/>
      <c r="K974" s="804"/>
      <c r="O974" s="799"/>
      <c r="Q974" s="937">
        <v>6960.0</v>
      </c>
      <c r="R974" s="938" t="s">
        <v>660</v>
      </c>
      <c r="S974" s="759"/>
    </row>
    <row r="975">
      <c r="A975" s="867"/>
      <c r="B975" s="808"/>
      <c r="C975" s="809"/>
      <c r="G975" s="799"/>
      <c r="H975" s="283"/>
      <c r="I975" s="867"/>
      <c r="J975" s="808"/>
      <c r="K975" s="809"/>
      <c r="O975" s="799"/>
      <c r="Q975" s="937">
        <v>5653.0</v>
      </c>
      <c r="R975" s="938" t="s">
        <v>660</v>
      </c>
      <c r="S975" s="759"/>
    </row>
    <row r="976">
      <c r="A976" s="868"/>
      <c r="B976" s="774"/>
      <c r="C976" s="816"/>
      <c r="G976" s="799"/>
      <c r="H976" s="283"/>
      <c r="I976" s="868"/>
      <c r="J976" s="774"/>
      <c r="K976" s="816"/>
      <c r="O976" s="799"/>
      <c r="Q976" s="937">
        <v>7048.0</v>
      </c>
      <c r="R976" s="938" t="s">
        <v>660</v>
      </c>
      <c r="S976" s="759"/>
    </row>
    <row r="977">
      <c r="A977" s="815"/>
      <c r="B977" s="792"/>
      <c r="C977" s="816"/>
      <c r="G977" s="799"/>
      <c r="H977" s="283"/>
      <c r="I977" s="815"/>
      <c r="J977" s="792"/>
      <c r="K977" s="816"/>
      <c r="O977" s="799"/>
      <c r="Q977" s="937">
        <v>9309.0</v>
      </c>
      <c r="R977" s="938" t="s">
        <v>660</v>
      </c>
      <c r="S977" s="759"/>
    </row>
    <row r="978">
      <c r="A978" s="817"/>
      <c r="B978" s="774"/>
      <c r="C978" s="818"/>
      <c r="G978" s="799"/>
      <c r="H978" s="283"/>
      <c r="I978" s="817"/>
      <c r="J978" s="774"/>
      <c r="K978" s="818"/>
      <c r="O978" s="799"/>
      <c r="Q978" s="937">
        <v>8136.0</v>
      </c>
      <c r="R978" s="938" t="s">
        <v>660</v>
      </c>
      <c r="S978" s="759"/>
    </row>
    <row r="979">
      <c r="A979" s="817"/>
      <c r="B979" s="792"/>
      <c r="C979" s="818"/>
      <c r="G979" s="799"/>
      <c r="H979" s="283"/>
      <c r="I979" s="817"/>
      <c r="J979" s="792"/>
      <c r="K979" s="818"/>
      <c r="O979" s="799"/>
      <c r="Q979" s="937">
        <v>5490.0</v>
      </c>
      <c r="R979" s="938" t="s">
        <v>660</v>
      </c>
      <c r="S979" s="759"/>
    </row>
    <row r="980">
      <c r="A980" s="821" t="s">
        <v>714</v>
      </c>
      <c r="B980" s="822"/>
      <c r="C980" s="823">
        <f>SUM(C975:C979)</f>
        <v>0</v>
      </c>
      <c r="G980" s="799"/>
      <c r="H980" s="283"/>
      <c r="I980" s="821" t="s">
        <v>714</v>
      </c>
      <c r="J980" s="826"/>
      <c r="K980" s="827"/>
      <c r="O980" s="799"/>
      <c r="Q980" s="937">
        <v>7607.0</v>
      </c>
      <c r="R980" s="938" t="s">
        <v>660</v>
      </c>
      <c r="S980" s="759"/>
    </row>
    <row r="981">
      <c r="A981" s="828"/>
      <c r="C981" s="829"/>
      <c r="G981" s="799"/>
      <c r="H981" s="283"/>
      <c r="I981" s="828"/>
      <c r="K981" s="829"/>
      <c r="O981" s="799"/>
      <c r="Q981" s="939" t="s">
        <v>431</v>
      </c>
      <c r="R981" s="940" t="s">
        <v>664</v>
      </c>
      <c r="S981" s="759"/>
    </row>
    <row r="982">
      <c r="A982" s="830" t="s">
        <v>715</v>
      </c>
      <c r="B982" s="831"/>
      <c r="C982" s="832"/>
      <c r="G982" s="799"/>
      <c r="H982" s="283"/>
      <c r="I982" s="833" t="s">
        <v>715</v>
      </c>
      <c r="J982" s="834"/>
      <c r="K982" s="835"/>
      <c r="O982" s="799"/>
      <c r="Q982" s="937">
        <v>7265.0</v>
      </c>
      <c r="R982" s="940" t="s">
        <v>664</v>
      </c>
      <c r="S982" s="759"/>
    </row>
    <row r="983">
      <c r="A983" s="836" t="s">
        <v>716</v>
      </c>
      <c r="B983" s="837"/>
      <c r="C983" s="838">
        <v>150.0</v>
      </c>
      <c r="G983" s="799"/>
      <c r="H983" s="283"/>
      <c r="I983" s="839"/>
      <c r="J983" s="840"/>
      <c r="K983" s="841"/>
      <c r="O983" s="799"/>
      <c r="Q983" s="937">
        <v>3819.0</v>
      </c>
      <c r="R983" s="940" t="s">
        <v>664</v>
      </c>
      <c r="S983" s="759"/>
    </row>
    <row r="984">
      <c r="A984" s="842" t="s">
        <v>717</v>
      </c>
      <c r="B984" s="843"/>
      <c r="C984" s="844">
        <v>400.0</v>
      </c>
      <c r="D984" s="248"/>
      <c r="E984" s="845" t="s">
        <v>1182</v>
      </c>
      <c r="G984" s="846">
        <f>G972+C980-C989</f>
        <v>2858.47</v>
      </c>
      <c r="H984" s="283"/>
      <c r="I984" s="847"/>
      <c r="J984" s="848"/>
      <c r="K984" s="849"/>
      <c r="L984" s="248"/>
      <c r="M984" s="845" t="s">
        <v>1183</v>
      </c>
      <c r="O984" s="846">
        <f>O972+K980-K989</f>
        <v>1572.102</v>
      </c>
      <c r="Q984" s="937">
        <v>9348.0</v>
      </c>
      <c r="R984" s="940" t="s">
        <v>664</v>
      </c>
      <c r="S984" s="759"/>
    </row>
    <row r="985">
      <c r="A985" s="836" t="s">
        <v>718</v>
      </c>
      <c r="B985" s="837"/>
      <c r="C985" s="838">
        <v>200.0</v>
      </c>
      <c r="G985" s="799"/>
      <c r="H985" s="283"/>
      <c r="I985" s="847"/>
      <c r="J985" s="848"/>
      <c r="K985" s="849"/>
      <c r="O985" s="799"/>
      <c r="Q985" s="937">
        <v>7807.0</v>
      </c>
      <c r="R985" s="940" t="s">
        <v>665</v>
      </c>
      <c r="S985" s="759"/>
    </row>
    <row r="986">
      <c r="A986" s="842" t="s">
        <v>656</v>
      </c>
      <c r="B986" s="843"/>
      <c r="C986" s="844">
        <f>IFERROR(__xludf.DUMMYFUNCTION("FILTER($C$4:$C$30,$B$4:$B$30=E964)"),1099.53)</f>
        <v>1099.53</v>
      </c>
      <c r="G986" s="799"/>
      <c r="H986" s="283"/>
      <c r="I986" s="847"/>
      <c r="J986" s="848"/>
      <c r="K986" s="849"/>
      <c r="O986" s="799"/>
      <c r="Q986" s="937">
        <v>8479.0</v>
      </c>
      <c r="R986" s="940" t="s">
        <v>666</v>
      </c>
      <c r="S986" s="759"/>
    </row>
    <row r="987">
      <c r="A987" s="850" t="s">
        <v>1184</v>
      </c>
      <c r="B987" s="851"/>
      <c r="C987" s="852"/>
      <c r="E987" s="248"/>
      <c r="G987" s="799"/>
      <c r="H987" s="283"/>
      <c r="I987" s="847"/>
      <c r="J987" s="848"/>
      <c r="K987" s="849"/>
      <c r="M987" s="248"/>
      <c r="O987" s="799"/>
      <c r="Q987" s="937">
        <v>9617.0</v>
      </c>
      <c r="R987" s="940" t="s">
        <v>673</v>
      </c>
      <c r="S987" s="759"/>
    </row>
    <row r="988">
      <c r="A988" s="847"/>
      <c r="B988" s="848"/>
      <c r="C988" s="849"/>
      <c r="G988" s="799"/>
      <c r="H988" s="283"/>
      <c r="I988" s="847"/>
      <c r="J988" s="848"/>
      <c r="K988" s="849"/>
      <c r="O988" s="799"/>
      <c r="Q988" s="937">
        <v>2693.0</v>
      </c>
      <c r="R988" s="940" t="s">
        <v>674</v>
      </c>
      <c r="S988" s="759"/>
    </row>
    <row r="989">
      <c r="A989" s="853" t="s">
        <v>721</v>
      </c>
      <c r="B989" s="854"/>
      <c r="C989" s="855">
        <f>SUM(C983:C988)</f>
        <v>1849.53</v>
      </c>
      <c r="G989" s="799"/>
      <c r="H989" s="283"/>
      <c r="I989" s="853" t="s">
        <v>721</v>
      </c>
      <c r="J989" s="854"/>
      <c r="K989" s="855"/>
      <c r="O989" s="799"/>
      <c r="Q989" s="937">
        <v>3403.0</v>
      </c>
      <c r="R989" s="940" t="s">
        <v>674</v>
      </c>
      <c r="S989" s="759"/>
    </row>
    <row r="990">
      <c r="A990" s="856"/>
      <c r="B990" s="857"/>
      <c r="C990" s="857"/>
      <c r="D990" s="857"/>
      <c r="E990" s="857"/>
      <c r="F990" s="857"/>
      <c r="G990" s="808"/>
      <c r="H990" s="283"/>
      <c r="I990" s="856"/>
      <c r="J990" s="857"/>
      <c r="K990" s="857"/>
      <c r="L990" s="857"/>
      <c r="M990" s="857"/>
      <c r="N990" s="857"/>
      <c r="O990" s="808"/>
      <c r="Q990" s="937">
        <v>9334.0</v>
      </c>
      <c r="R990" s="940" t="s">
        <v>675</v>
      </c>
      <c r="S990" s="759"/>
    </row>
    <row r="991">
      <c r="A991" s="199"/>
      <c r="B991" s="199"/>
      <c r="C991" s="199"/>
      <c r="D991" s="248"/>
      <c r="E991" s="248"/>
      <c r="F991" s="248"/>
      <c r="G991" s="248"/>
      <c r="H991" s="283"/>
      <c r="I991" s="199"/>
      <c r="J991" s="199"/>
      <c r="K991" s="199"/>
      <c r="L991" s="248"/>
      <c r="M991" s="248"/>
      <c r="N991" s="248"/>
      <c r="O991" s="248"/>
      <c r="Q991" s="937">
        <v>2890.0</v>
      </c>
      <c r="R991" s="940" t="s">
        <v>676</v>
      </c>
      <c r="S991" s="759"/>
    </row>
    <row r="992">
      <c r="A992" s="199"/>
      <c r="B992" s="199"/>
      <c r="C992" s="199"/>
      <c r="D992" s="248"/>
      <c r="E992" s="248"/>
      <c r="F992" s="248"/>
      <c r="G992" s="248"/>
      <c r="H992" s="283"/>
      <c r="I992" s="199"/>
      <c r="J992" s="199"/>
      <c r="K992" s="199"/>
      <c r="L992" s="248"/>
      <c r="M992" s="248"/>
      <c r="N992" s="248"/>
      <c r="O992" s="248"/>
      <c r="Q992" s="937">
        <v>2316.0</v>
      </c>
      <c r="R992" s="940" t="s">
        <v>676</v>
      </c>
      <c r="S992" s="759"/>
    </row>
    <row r="993">
      <c r="A993" s="769"/>
      <c r="B993" s="770"/>
      <c r="C993" s="770"/>
      <c r="D993" s="771" t="s">
        <v>700</v>
      </c>
      <c r="E993" s="772" t="str">
        <f>E187</f>
        <v>12.01.2025-12.07.2025</v>
      </c>
      <c r="F993" s="773"/>
      <c r="G993" s="774"/>
      <c r="H993" s="305">
        <v>29.0</v>
      </c>
      <c r="I993" s="769"/>
      <c r="J993" s="770"/>
      <c r="K993" s="770"/>
      <c r="L993" s="771" t="s">
        <v>700</v>
      </c>
      <c r="M993" s="772" t="str">
        <f>E187</f>
        <v>12.01.2025-12.07.2025</v>
      </c>
      <c r="N993" s="773"/>
      <c r="O993" s="774"/>
      <c r="Q993" s="937">
        <v>1002.0</v>
      </c>
      <c r="R993" s="940" t="s">
        <v>678</v>
      </c>
      <c r="S993" s="759"/>
    </row>
    <row r="994">
      <c r="A994" s="775"/>
      <c r="D994" s="771" t="s">
        <v>702</v>
      </c>
      <c r="E994" s="772" t="str">
        <f t="array" ref="E994">XLOOKUP(E995,$Q$972:$Q$1008,$R$972:$R$1008)</f>
        <v>Activ Logistics LLC</v>
      </c>
      <c r="F994" s="773"/>
      <c r="G994" s="774"/>
      <c r="H994" s="283"/>
      <c r="I994" s="775"/>
      <c r="L994" s="771" t="s">
        <v>351</v>
      </c>
      <c r="M994" s="772" t="str">
        <f t="array" ref="M994">XLOOKUP(M995,$L$1:$L$121,$K$1:$K$121)</f>
        <v>KEMAL ISA DAGBOLEN</v>
      </c>
      <c r="N994" s="773"/>
      <c r="O994" s="774"/>
      <c r="Q994" s="939" t="s">
        <v>1221</v>
      </c>
      <c r="R994" s="940" t="s">
        <v>679</v>
      </c>
      <c r="S994" s="759"/>
    </row>
    <row r="995">
      <c r="A995" s="775"/>
      <c r="D995" s="771" t="s">
        <v>703</v>
      </c>
      <c r="E995" s="772">
        <v>8775.0</v>
      </c>
      <c r="F995" s="773"/>
      <c r="G995" s="774"/>
      <c r="H995" s="858"/>
      <c r="I995" s="775"/>
      <c r="L995" s="771" t="s">
        <v>703</v>
      </c>
      <c r="M995" s="772">
        <f>E995</f>
        <v>8775</v>
      </c>
      <c r="N995" s="773"/>
      <c r="O995" s="774"/>
      <c r="P995" s="777"/>
      <c r="Q995" s="939" t="s">
        <v>540</v>
      </c>
      <c r="R995" s="940" t="s">
        <v>679</v>
      </c>
      <c r="S995" s="759"/>
    </row>
    <row r="996">
      <c r="A996" s="779" t="s">
        <v>704</v>
      </c>
      <c r="B996" s="779" t="s">
        <v>5</v>
      </c>
      <c r="C996" s="779" t="s">
        <v>6</v>
      </c>
      <c r="D996" s="779" t="s">
        <v>7</v>
      </c>
      <c r="E996" s="779" t="s">
        <v>8</v>
      </c>
      <c r="F996" s="779" t="s">
        <v>706</v>
      </c>
      <c r="G996" s="779" t="s">
        <v>707</v>
      </c>
      <c r="H996" s="34"/>
      <c r="I996" s="779" t="s">
        <v>704</v>
      </c>
      <c r="J996" s="779" t="s">
        <v>5</v>
      </c>
      <c r="K996" s="779" t="s">
        <v>6</v>
      </c>
      <c r="L996" s="779" t="s">
        <v>7</v>
      </c>
      <c r="M996" s="779" t="s">
        <v>1178</v>
      </c>
      <c r="N996" s="779" t="s">
        <v>839</v>
      </c>
      <c r="O996" s="779" t="s">
        <v>707</v>
      </c>
      <c r="Q996" s="937">
        <v>2932.0</v>
      </c>
      <c r="R996" s="940" t="s">
        <v>680</v>
      </c>
      <c r="S996" s="759"/>
    </row>
    <row r="997">
      <c r="A997" s="780">
        <f>IFERROR(__xludf.DUMMYFUNCTION("FILTER($D$3:$H$121,$L$3:$L$121=E995)"),45993.0)</f>
        <v>45993</v>
      </c>
      <c r="B997" s="781">
        <f>IFERROR(__xludf.DUMMYFUNCTION("""COMPUTED_VALUE"""),2177024.0)</f>
        <v>2177024</v>
      </c>
      <c r="C997" s="781" t="str">
        <f>IFERROR(__xludf.DUMMYFUNCTION("""COMPUTED_VALUE"""),"Pooler, GA, 31322")</f>
        <v>Pooler, GA, 31322</v>
      </c>
      <c r="D997" s="781" t="str">
        <f>IFERROR(__xludf.DUMMYFUNCTION("""COMPUTED_VALUE"""),"McCalla, AL, 35111")</f>
        <v>McCalla, AL, 35111</v>
      </c>
      <c r="E997" s="782">
        <f>IFERROR(__xludf.DUMMYFUNCTION("""COMPUTED_VALUE"""),1200.0)</f>
        <v>1200</v>
      </c>
      <c r="F997" s="783">
        <v>0.88</v>
      </c>
      <c r="G997" s="782">
        <f t="shared" ref="G997:G998" si="53">E997*F997</f>
        <v>1056</v>
      </c>
      <c r="H997" s="283"/>
      <c r="I997" s="780">
        <f>IFERROR(__xludf.DUMMYFUNCTION("FILTER($D$3:$G$121,$L$3:$L$121=M995)"),45993.0)</f>
        <v>45993</v>
      </c>
      <c r="J997" s="781">
        <f>IFERROR(__xludf.DUMMYFUNCTION("""COMPUTED_VALUE"""),2177024.0)</f>
        <v>2177024</v>
      </c>
      <c r="K997" s="781" t="str">
        <f>IFERROR(__xludf.DUMMYFUNCTION("""COMPUTED_VALUE"""),"Pooler, GA, 31322")</f>
        <v>Pooler, GA, 31322</v>
      </c>
      <c r="L997" s="781" t="str">
        <f>IFERROR(__xludf.DUMMYFUNCTION("""COMPUTED_VALUE"""),"McCalla, AL, 35111")</f>
        <v>McCalla, AL, 35111</v>
      </c>
      <c r="M997" s="880">
        <f>IFERROR(__xludf.DUMMYFUNCTION("FILTER($I$3:$I$121,$L$3:$L$121=M995)"),537.0)</f>
        <v>537</v>
      </c>
      <c r="N997" s="781">
        <v>0.6</v>
      </c>
      <c r="O997" s="782">
        <f t="shared" ref="O997:O998" si="54">M997*N997</f>
        <v>322.2</v>
      </c>
      <c r="Q997" s="937">
        <v>2774.0</v>
      </c>
      <c r="R997" s="940" t="s">
        <v>680</v>
      </c>
      <c r="S997" s="759"/>
    </row>
    <row r="998">
      <c r="A998" s="780">
        <f>IFERROR(__xludf.DUMMYFUNCTION("""COMPUTED_VALUE"""),45994.0)</f>
        <v>45994</v>
      </c>
      <c r="B998" s="781">
        <f>IFERROR(__xludf.DUMMYFUNCTION("""COMPUTED_VALUE"""),5.36450046E8)</f>
        <v>536450046</v>
      </c>
      <c r="C998" s="781" t="str">
        <f>IFERROR(__xludf.DUMMYFUNCTION("""COMPUTED_VALUE"""),"Columbus, MS, 39701")</f>
        <v>Columbus, MS, 39701</v>
      </c>
      <c r="D998" s="781" t="str">
        <f>IFERROR(__xludf.DUMMYFUNCTION("""COMPUTED_VALUE"""),"PORT WENTWRTH, GA, 31407")</f>
        <v>PORT WENTWRTH, GA, 31407</v>
      </c>
      <c r="E998" s="782">
        <f>IFERROR(__xludf.DUMMYFUNCTION("""COMPUTED_VALUE"""),1500.0)</f>
        <v>1500</v>
      </c>
      <c r="F998" s="783">
        <v>0.88</v>
      </c>
      <c r="G998" s="782">
        <f t="shared" si="53"/>
        <v>1320</v>
      </c>
      <c r="H998" s="283"/>
      <c r="I998" s="780">
        <f>IFERROR(__xludf.DUMMYFUNCTION("""COMPUTED_VALUE"""),45994.0)</f>
        <v>45994</v>
      </c>
      <c r="J998" s="781">
        <f>IFERROR(__xludf.DUMMYFUNCTION("""COMPUTED_VALUE"""),5.36450046E8)</f>
        <v>536450046</v>
      </c>
      <c r="K998" s="781" t="str">
        <f>IFERROR(__xludf.DUMMYFUNCTION("""COMPUTED_VALUE"""),"Columbus, MS, 39701")</f>
        <v>Columbus, MS, 39701</v>
      </c>
      <c r="L998" s="781" t="str">
        <f>IFERROR(__xludf.DUMMYFUNCTION("""COMPUTED_VALUE"""),"PORT WENTWRTH, GA, 31407")</f>
        <v>PORT WENTWRTH, GA, 31407</v>
      </c>
      <c r="M998" s="880">
        <f>IFERROR(__xludf.DUMMYFUNCTION("""COMPUTED_VALUE"""),607.0)</f>
        <v>607</v>
      </c>
      <c r="N998" s="781">
        <v>0.6</v>
      </c>
      <c r="O998" s="782">
        <f t="shared" si="54"/>
        <v>364.2</v>
      </c>
      <c r="Q998" s="939" t="s">
        <v>973</v>
      </c>
      <c r="R998" s="940" t="s">
        <v>680</v>
      </c>
      <c r="S998" s="759"/>
    </row>
    <row r="999">
      <c r="A999" s="785"/>
      <c r="B999" s="786"/>
      <c r="C999" s="786"/>
      <c r="D999" s="786"/>
      <c r="E999" s="785"/>
      <c r="F999" s="787"/>
      <c r="G999" s="788"/>
      <c r="H999" s="283"/>
      <c r="I999" s="780"/>
      <c r="J999" s="781"/>
      <c r="K999" s="781"/>
      <c r="L999" s="781"/>
      <c r="M999" s="880"/>
      <c r="N999" s="781"/>
      <c r="O999" s="782"/>
      <c r="Q999" s="937">
        <v>3301.0</v>
      </c>
      <c r="R999" s="940" t="s">
        <v>682</v>
      </c>
      <c r="S999" s="759"/>
    </row>
    <row r="1000">
      <c r="A1000" s="785"/>
      <c r="B1000" s="786"/>
      <c r="C1000" s="786"/>
      <c r="D1000" s="786"/>
      <c r="E1000" s="785"/>
      <c r="F1000" s="787"/>
      <c r="G1000" s="788"/>
      <c r="H1000" s="283"/>
      <c r="I1000" s="785"/>
      <c r="J1000" s="786"/>
      <c r="K1000" s="786"/>
      <c r="L1000" s="786"/>
      <c r="M1000" s="785"/>
      <c r="N1000" s="787"/>
      <c r="O1000" s="789"/>
      <c r="Q1000" s="939" t="s">
        <v>513</v>
      </c>
      <c r="R1000" s="940" t="s">
        <v>683</v>
      </c>
      <c r="S1000" s="759"/>
    </row>
    <row r="1001">
      <c r="A1001" s="785"/>
      <c r="B1001" s="786"/>
      <c r="C1001" s="786"/>
      <c r="D1001" s="786"/>
      <c r="E1001" s="785"/>
      <c r="F1001" s="787"/>
      <c r="G1001" s="788"/>
      <c r="H1001" s="283"/>
      <c r="I1001" s="785"/>
      <c r="J1001" s="786"/>
      <c r="K1001" s="786"/>
      <c r="L1001" s="786"/>
      <c r="M1001" s="785"/>
      <c r="N1001" s="787"/>
      <c r="O1001" s="789"/>
      <c r="Q1001" s="937">
        <v>2653.0</v>
      </c>
      <c r="R1001" s="943" t="s">
        <v>802</v>
      </c>
      <c r="S1001" s="759"/>
    </row>
    <row r="1002">
      <c r="A1002" s="785"/>
      <c r="B1002" s="786"/>
      <c r="C1002" s="786"/>
      <c r="D1002" s="786"/>
      <c r="E1002" s="785"/>
      <c r="F1002" s="787"/>
      <c r="G1002" s="788"/>
      <c r="H1002" s="283"/>
      <c r="I1002" s="785"/>
      <c r="J1002" s="786"/>
      <c r="K1002" s="786"/>
      <c r="L1002" s="786"/>
      <c r="M1002" s="785"/>
      <c r="N1002" s="787"/>
      <c r="O1002" s="789"/>
      <c r="Q1002" s="937"/>
      <c r="R1002" s="940"/>
      <c r="S1002" s="759"/>
    </row>
    <row r="1003">
      <c r="A1003" s="790" t="s">
        <v>711</v>
      </c>
      <c r="B1003" s="791"/>
      <c r="C1003" s="791"/>
      <c r="D1003" s="792"/>
      <c r="E1003" s="793">
        <f>SUM(E997:E1002)</f>
        <v>2700</v>
      </c>
      <c r="F1003" s="794"/>
      <c r="G1003" s="793">
        <f>SUM(G997:G1002)</f>
        <v>2376</v>
      </c>
      <c r="H1003" s="283"/>
      <c r="I1003" s="790" t="s">
        <v>711</v>
      </c>
      <c r="J1003" s="791"/>
      <c r="K1003" s="791"/>
      <c r="L1003" s="792"/>
      <c r="M1003" s="877">
        <f>SUM(M997:M1002)</f>
        <v>1144</v>
      </c>
      <c r="N1003" s="794"/>
      <c r="O1003" s="793">
        <f>SUM(O997:O1002)</f>
        <v>686.4</v>
      </c>
      <c r="Q1003" s="937"/>
      <c r="R1003" s="940"/>
      <c r="S1003" s="759"/>
    </row>
    <row r="1004">
      <c r="A1004" s="796"/>
      <c r="D1004" s="798"/>
      <c r="G1004" s="799"/>
      <c r="H1004" s="283"/>
      <c r="I1004" s="796"/>
      <c r="L1004" s="798"/>
      <c r="O1004" s="799"/>
      <c r="Q1004" s="937"/>
      <c r="R1004" s="940"/>
      <c r="S1004" s="759"/>
    </row>
    <row r="1005">
      <c r="A1005" s="800" t="s">
        <v>712</v>
      </c>
      <c r="B1005" s="801"/>
      <c r="C1005" s="802"/>
      <c r="G1005" s="799"/>
      <c r="H1005" s="283"/>
      <c r="I1005" s="800" t="s">
        <v>712</v>
      </c>
      <c r="J1005" s="803"/>
      <c r="K1005" s="804"/>
      <c r="O1005" s="799"/>
      <c r="Q1005" s="937">
        <v>2516.0</v>
      </c>
      <c r="R1005" s="940" t="s">
        <v>684</v>
      </c>
      <c r="S1005" s="759"/>
    </row>
    <row r="1006">
      <c r="A1006" s="867"/>
      <c r="B1006" s="808"/>
      <c r="C1006" s="809"/>
      <c r="G1006" s="799"/>
      <c r="H1006" s="283"/>
      <c r="I1006" s="867"/>
      <c r="J1006" s="808"/>
      <c r="K1006" s="809"/>
      <c r="O1006" s="799"/>
      <c r="Q1006" s="939" t="s">
        <v>982</v>
      </c>
      <c r="R1006" s="940" t="s">
        <v>684</v>
      </c>
      <c r="S1006" s="759"/>
    </row>
    <row r="1007">
      <c r="A1007" s="868"/>
      <c r="B1007" s="774"/>
      <c r="C1007" s="816"/>
      <c r="G1007" s="799"/>
      <c r="H1007" s="283"/>
      <c r="I1007" s="868"/>
      <c r="J1007" s="774"/>
      <c r="K1007" s="816"/>
      <c r="O1007" s="799"/>
      <c r="Q1007" s="937">
        <v>6643.0</v>
      </c>
      <c r="R1007" s="940" t="s">
        <v>197</v>
      </c>
      <c r="S1007" s="759"/>
    </row>
    <row r="1008">
      <c r="A1008" s="815"/>
      <c r="B1008" s="792"/>
      <c r="C1008" s="816"/>
      <c r="G1008" s="799"/>
      <c r="H1008" s="283"/>
      <c r="I1008" s="815"/>
      <c r="J1008" s="792"/>
      <c r="K1008" s="816"/>
      <c r="O1008" s="799"/>
      <c r="Q1008" s="941">
        <v>8775.0</v>
      </c>
      <c r="R1008" s="988" t="s">
        <v>694</v>
      </c>
      <c r="S1008" s="768"/>
    </row>
    <row r="1009">
      <c r="A1009" s="817"/>
      <c r="B1009" s="774"/>
      <c r="C1009" s="818"/>
      <c r="G1009" s="799"/>
      <c r="H1009" s="283"/>
      <c r="I1009" s="817"/>
      <c r="J1009" s="774"/>
      <c r="K1009" s="818"/>
      <c r="O1009" s="799"/>
    </row>
    <row r="1010">
      <c r="A1010" s="817"/>
      <c r="B1010" s="792"/>
      <c r="C1010" s="818"/>
      <c r="G1010" s="799"/>
      <c r="H1010" s="283"/>
      <c r="I1010" s="817"/>
      <c r="J1010" s="792"/>
      <c r="K1010" s="818"/>
      <c r="O1010" s="799"/>
    </row>
    <row r="1011">
      <c r="A1011" s="821" t="s">
        <v>714</v>
      </c>
      <c r="B1011" s="822"/>
      <c r="C1011" s="823">
        <f>SUM(C1006:C1010)</f>
        <v>0</v>
      </c>
      <c r="G1011" s="799"/>
      <c r="H1011" s="283"/>
      <c r="I1011" s="821" t="s">
        <v>714</v>
      </c>
      <c r="J1011" s="826"/>
      <c r="K1011" s="827"/>
      <c r="O1011" s="799"/>
    </row>
    <row r="1012">
      <c r="A1012" s="828"/>
      <c r="C1012" s="829"/>
      <c r="G1012" s="799"/>
      <c r="H1012" s="283"/>
      <c r="I1012" s="828"/>
      <c r="K1012" s="829"/>
      <c r="O1012" s="799"/>
    </row>
    <row r="1013">
      <c r="A1013" s="830" t="s">
        <v>715</v>
      </c>
      <c r="B1013" s="831"/>
      <c r="C1013" s="832"/>
      <c r="G1013" s="799"/>
      <c r="H1013" s="283"/>
      <c r="I1013" s="833" t="s">
        <v>715</v>
      </c>
      <c r="J1013" s="834"/>
      <c r="K1013" s="835"/>
      <c r="O1013" s="799"/>
    </row>
    <row r="1014">
      <c r="A1014" s="836" t="s">
        <v>716</v>
      </c>
      <c r="B1014" s="837"/>
      <c r="C1014" s="838">
        <v>150.0</v>
      </c>
      <c r="G1014" s="799"/>
      <c r="H1014" s="283"/>
      <c r="I1014" s="839"/>
      <c r="J1014" s="840"/>
      <c r="K1014" s="841"/>
      <c r="O1014" s="799"/>
    </row>
    <row r="1015">
      <c r="A1015" s="842" t="s">
        <v>717</v>
      </c>
      <c r="B1015" s="843"/>
      <c r="C1015" s="844">
        <v>400.0</v>
      </c>
      <c r="D1015" s="248"/>
      <c r="E1015" s="845" t="s">
        <v>1182</v>
      </c>
      <c r="G1015" s="846">
        <f>G1003+C1011-C1020</f>
        <v>1116.41</v>
      </c>
      <c r="H1015" s="283"/>
      <c r="I1015" s="847"/>
      <c r="J1015" s="848"/>
      <c r="K1015" s="849"/>
      <c r="L1015" s="248"/>
      <c r="M1015" s="845" t="s">
        <v>1183</v>
      </c>
      <c r="O1015" s="846">
        <f>O1003+K1011-K1020</f>
        <v>686.4</v>
      </c>
    </row>
    <row r="1016">
      <c r="A1016" s="836" t="s">
        <v>718</v>
      </c>
      <c r="B1016" s="837"/>
      <c r="C1016" s="838">
        <v>200.0</v>
      </c>
      <c r="G1016" s="799"/>
      <c r="H1016" s="283"/>
      <c r="I1016" s="847"/>
      <c r="J1016" s="848"/>
      <c r="K1016" s="849"/>
      <c r="O1016" s="799"/>
    </row>
    <row r="1017">
      <c r="A1017" s="842" t="s">
        <v>656</v>
      </c>
      <c r="B1017" s="843"/>
      <c r="C1017" s="844">
        <f>IFERROR(__xludf.DUMMYFUNCTION("FILTER($C$4:$C$30,$B$4:$B$30=E995)"),509.59)</f>
        <v>509.59</v>
      </c>
      <c r="G1017" s="799"/>
      <c r="H1017" s="283"/>
      <c r="I1017" s="847"/>
      <c r="J1017" s="848"/>
      <c r="K1017" s="849"/>
      <c r="O1017" s="799"/>
    </row>
    <row r="1018">
      <c r="A1018" s="850" t="s">
        <v>1184</v>
      </c>
      <c r="B1018" s="851"/>
      <c r="C1018" s="852"/>
      <c r="E1018" s="248"/>
      <c r="G1018" s="799"/>
      <c r="H1018" s="283"/>
      <c r="I1018" s="847"/>
      <c r="J1018" s="848"/>
      <c r="K1018" s="849"/>
      <c r="M1018" s="248"/>
      <c r="O1018" s="799"/>
    </row>
    <row r="1019">
      <c r="A1019" s="847"/>
      <c r="B1019" s="848"/>
      <c r="C1019" s="849"/>
      <c r="G1019" s="799"/>
      <c r="H1019" s="283"/>
      <c r="I1019" s="847"/>
      <c r="J1019" s="848"/>
      <c r="K1019" s="849"/>
      <c r="O1019" s="799"/>
    </row>
    <row r="1020">
      <c r="A1020" s="853" t="s">
        <v>721</v>
      </c>
      <c r="B1020" s="854"/>
      <c r="C1020" s="855">
        <f>SUM(C1014:C1019)</f>
        <v>1259.59</v>
      </c>
      <c r="G1020" s="799"/>
      <c r="H1020" s="283"/>
      <c r="I1020" s="853" t="s">
        <v>721</v>
      </c>
      <c r="J1020" s="854"/>
      <c r="K1020" s="855"/>
      <c r="O1020" s="799"/>
    </row>
    <row r="1021">
      <c r="A1021" s="856"/>
      <c r="B1021" s="857"/>
      <c r="C1021" s="857"/>
      <c r="D1021" s="857"/>
      <c r="E1021" s="857"/>
      <c r="F1021" s="857"/>
      <c r="G1021" s="808"/>
      <c r="H1021" s="283"/>
      <c r="I1021" s="856"/>
      <c r="J1021" s="857"/>
      <c r="K1021" s="857"/>
      <c r="L1021" s="857"/>
      <c r="M1021" s="857"/>
      <c r="N1021" s="857"/>
      <c r="O1021" s="808"/>
    </row>
    <row r="1022">
      <c r="A1022" s="199"/>
      <c r="B1022" s="989"/>
      <c r="C1022" s="990"/>
      <c r="D1022" s="990"/>
      <c r="E1022" s="991"/>
      <c r="G1022" s="248"/>
      <c r="H1022" s="283"/>
      <c r="I1022" s="199"/>
      <c r="J1022" s="199"/>
      <c r="K1022" s="199"/>
      <c r="L1022" s="248"/>
      <c r="M1022" s="248"/>
      <c r="N1022" s="248"/>
      <c r="O1022" s="248"/>
    </row>
    <row r="1023">
      <c r="A1023" s="199"/>
      <c r="B1023" s="989"/>
      <c r="C1023" s="990"/>
      <c r="D1023" s="990"/>
      <c r="E1023" s="991"/>
      <c r="G1023" s="248"/>
      <c r="H1023" s="283"/>
      <c r="I1023" s="199"/>
      <c r="J1023" s="199"/>
      <c r="K1023" s="199"/>
      <c r="L1023" s="248"/>
      <c r="M1023" s="248"/>
      <c r="N1023" s="248"/>
      <c r="O1023" s="248"/>
    </row>
    <row r="1024">
      <c r="A1024" s="981" t="s">
        <v>1436</v>
      </c>
      <c r="B1024" s="770"/>
      <c r="C1024" s="770"/>
      <c r="D1024" s="771" t="s">
        <v>700</v>
      </c>
      <c r="E1024" s="772" t="str">
        <f>E218</f>
        <v>12.01.2025-12.07.2025</v>
      </c>
      <c r="F1024" s="773"/>
      <c r="G1024" s="774"/>
      <c r="H1024" s="305">
        <v>30.0</v>
      </c>
      <c r="I1024" s="769"/>
      <c r="J1024" s="770"/>
      <c r="K1024" s="770"/>
      <c r="L1024" s="771" t="s">
        <v>700</v>
      </c>
      <c r="M1024" s="772" t="str">
        <f>E218</f>
        <v>12.01.2025-12.07.2025</v>
      </c>
      <c r="N1024" s="773"/>
      <c r="O1024" s="774"/>
    </row>
    <row r="1025">
      <c r="A1025" s="775"/>
      <c r="D1025" s="771" t="s">
        <v>702</v>
      </c>
      <c r="E1025" s="772" t="str">
        <f t="array" ref="E1025">XLOOKUP(E1026,$Q$972:$Q$1008,$R$972:$R$1008)</f>
        <v>Velox Limo LLC</v>
      </c>
      <c r="F1025" s="773"/>
      <c r="G1025" s="774"/>
      <c r="H1025" s="283"/>
      <c r="I1025" s="775"/>
      <c r="L1025" s="771" t="s">
        <v>351</v>
      </c>
      <c r="M1025" s="772" t="str">
        <f t="array" ref="M1025">XLOOKUP(M1026,$L$1:$L$121,$K$1:$K$121)</f>
        <v>LOUIS JUSTE EMMANUEL</v>
      </c>
      <c r="N1025" s="773"/>
      <c r="O1025" s="774"/>
    </row>
    <row r="1026">
      <c r="A1026" s="775"/>
      <c r="D1026" s="771" t="s">
        <v>703</v>
      </c>
      <c r="E1026" s="772">
        <v>2653.0</v>
      </c>
      <c r="F1026" s="773"/>
      <c r="G1026" s="774"/>
      <c r="H1026" s="858"/>
      <c r="I1026" s="775"/>
      <c r="L1026" s="771" t="s">
        <v>703</v>
      </c>
      <c r="M1026" s="772">
        <f>E1026</f>
        <v>2653</v>
      </c>
      <c r="N1026" s="773"/>
      <c r="O1026" s="774"/>
      <c r="P1026" s="777"/>
    </row>
    <row r="1027">
      <c r="A1027" s="779" t="s">
        <v>704</v>
      </c>
      <c r="B1027" s="779" t="s">
        <v>5</v>
      </c>
      <c r="C1027" s="779" t="s">
        <v>6</v>
      </c>
      <c r="D1027" s="779" t="s">
        <v>7</v>
      </c>
      <c r="E1027" s="779" t="s">
        <v>8</v>
      </c>
      <c r="F1027" s="779" t="s">
        <v>706</v>
      </c>
      <c r="G1027" s="779" t="s">
        <v>707</v>
      </c>
      <c r="H1027" s="34"/>
      <c r="I1027" s="779" t="s">
        <v>704</v>
      </c>
      <c r="J1027" s="779" t="s">
        <v>5</v>
      </c>
      <c r="K1027" s="779" t="s">
        <v>6</v>
      </c>
      <c r="L1027" s="779" t="s">
        <v>7</v>
      </c>
      <c r="M1027" s="779" t="s">
        <v>1178</v>
      </c>
      <c r="N1027" s="779" t="s">
        <v>839</v>
      </c>
      <c r="O1027" s="779" t="s">
        <v>707</v>
      </c>
    </row>
    <row r="1028">
      <c r="A1028" s="780">
        <f>IFERROR(__xludf.DUMMYFUNCTION("FILTER($D$3:$H$121,$L$3:$L$121=E1026)"),45992.0)</f>
        <v>45992</v>
      </c>
      <c r="B1028" s="781">
        <f>IFERROR(__xludf.DUMMYFUNCTION("""COMPUTED_VALUE"""),756363.0)</f>
        <v>756363</v>
      </c>
      <c r="C1028" s="781" t="str">
        <f>IFERROR(__xludf.DUMMYFUNCTION("""COMPUTED_VALUE"""),"Orlando, FL, 32824")</f>
        <v>Orlando, FL, 32824</v>
      </c>
      <c r="D1028" s="781" t="str">
        <f>IFERROR(__xludf.DUMMYFUNCTION("""COMPUTED_VALUE"""),"Blasdell, NY, 14219")</f>
        <v>Blasdell, NY, 14219</v>
      </c>
      <c r="E1028" s="782">
        <f>IFERROR(__xludf.DUMMYFUNCTION("""COMPUTED_VALUE"""),150.0)</f>
        <v>150</v>
      </c>
      <c r="F1028" s="783">
        <v>0.88</v>
      </c>
      <c r="G1028" s="782">
        <f t="shared" ref="G1028:G1030" si="55">E1028*F1028</f>
        <v>132</v>
      </c>
      <c r="H1028" s="283"/>
      <c r="I1028" s="780">
        <f>IFERROR(__xludf.DUMMYFUNCTION("FILTER($D$3:$G$121,$L$3:$L$121=M1026)"),45992.0)</f>
        <v>45992</v>
      </c>
      <c r="J1028" s="781">
        <f>IFERROR(__xludf.DUMMYFUNCTION("""COMPUTED_VALUE"""),756363.0)</f>
        <v>756363</v>
      </c>
      <c r="K1028" s="781" t="str">
        <f>IFERROR(__xludf.DUMMYFUNCTION("""COMPUTED_VALUE"""),"Orlando, FL, 32824")</f>
        <v>Orlando, FL, 32824</v>
      </c>
      <c r="L1028" s="781" t="str">
        <f>IFERROR(__xludf.DUMMYFUNCTION("""COMPUTED_VALUE"""),"Blasdell, NY, 14219")</f>
        <v>Blasdell, NY, 14219</v>
      </c>
      <c r="M1028" s="880">
        <f>IFERROR(__xludf.DUMMYFUNCTION("FILTER($I$3:$I$121,$L$3:$L$121=M1026)"),0.0)</f>
        <v>0</v>
      </c>
      <c r="N1028" s="781">
        <v>0.6</v>
      </c>
      <c r="O1028" s="782">
        <f t="shared" ref="O1028:O1030" si="56">M1028*N1028</f>
        <v>0</v>
      </c>
    </row>
    <row r="1029">
      <c r="A1029" s="780">
        <f>IFERROR(__xludf.DUMMYFUNCTION("""COMPUTED_VALUE"""),45993.0)</f>
        <v>45993</v>
      </c>
      <c r="B1029" s="781">
        <f>IFERROR(__xludf.DUMMYFUNCTION("""COMPUTED_VALUE"""),5.36231347E8)</f>
        <v>536231347</v>
      </c>
      <c r="C1029" s="781" t="str">
        <f>IFERROR(__xludf.DUMMYFUNCTION("""COMPUTED_VALUE"""),"Albany, GA, 31705")</f>
        <v>Albany, GA, 31705</v>
      </c>
      <c r="D1029" s="781" t="str">
        <f>IFERROR(__xludf.DUMMYFUNCTION("""COMPUTED_VALUE"""),"Dartmouth, MA, 02747")</f>
        <v>Dartmouth, MA, 02747</v>
      </c>
      <c r="E1029" s="782">
        <f>IFERROR(__xludf.DUMMYFUNCTION("""COMPUTED_VALUE"""),2475.0)</f>
        <v>2475</v>
      </c>
      <c r="F1029" s="783">
        <v>0.88</v>
      </c>
      <c r="G1029" s="782">
        <f t="shared" si="55"/>
        <v>2178</v>
      </c>
      <c r="H1029" s="283"/>
      <c r="I1029" s="780">
        <f>IFERROR(__xludf.DUMMYFUNCTION("""COMPUTED_VALUE"""),45993.0)</f>
        <v>45993</v>
      </c>
      <c r="J1029" s="781">
        <f>IFERROR(__xludf.DUMMYFUNCTION("""COMPUTED_VALUE"""),5.36231347E8)</f>
        <v>536231347</v>
      </c>
      <c r="K1029" s="781" t="str">
        <f>IFERROR(__xludf.DUMMYFUNCTION("""COMPUTED_VALUE"""),"Albany, GA, 31705")</f>
        <v>Albany, GA, 31705</v>
      </c>
      <c r="L1029" s="781" t="str">
        <f>IFERROR(__xludf.DUMMYFUNCTION("""COMPUTED_VALUE"""),"Dartmouth, MA, 02747")</f>
        <v>Dartmouth, MA, 02747</v>
      </c>
      <c r="M1029" s="880">
        <f>IFERROR(__xludf.DUMMYFUNCTION("""COMPUTED_VALUE"""),1480.0)</f>
        <v>1480</v>
      </c>
      <c r="N1029" s="781">
        <v>0.6</v>
      </c>
      <c r="O1029" s="782">
        <f t="shared" si="56"/>
        <v>888</v>
      </c>
    </row>
    <row r="1030">
      <c r="A1030" s="883">
        <f>IFERROR(__xludf.DUMMYFUNCTION("""COMPUTED_VALUE"""),45995.0)</f>
        <v>45995</v>
      </c>
      <c r="B1030" s="786" t="str">
        <f>IFERROR(__xludf.DUMMYFUNCTION("""COMPUTED_VALUE"""),"356475-0")</f>
        <v>356475-0</v>
      </c>
      <c r="C1030" s="786" t="str">
        <f>IFERROR(__xludf.DUMMYFUNCTION("""COMPUTED_VALUE"""),"Ware, MA, 01082")</f>
        <v>Ware, MA, 01082</v>
      </c>
      <c r="D1030" s="786" t="str">
        <f>IFERROR(__xludf.DUMMYFUNCTION("""COMPUTED_VALUE"""),"Columbia, TN, 38401")</f>
        <v>Columbia, TN, 38401</v>
      </c>
      <c r="E1030" s="884">
        <f>IFERROR(__xludf.DUMMYFUNCTION("""COMPUTED_VALUE"""),2100.0)</f>
        <v>2100</v>
      </c>
      <c r="F1030" s="783">
        <v>0.88</v>
      </c>
      <c r="G1030" s="782">
        <f t="shared" si="55"/>
        <v>1848</v>
      </c>
      <c r="H1030" s="283"/>
      <c r="I1030" s="780">
        <f>IFERROR(__xludf.DUMMYFUNCTION("""COMPUTED_VALUE"""),45995.0)</f>
        <v>45995</v>
      </c>
      <c r="J1030" s="781" t="str">
        <f>IFERROR(__xludf.DUMMYFUNCTION("""COMPUTED_VALUE"""),"356475-0")</f>
        <v>356475-0</v>
      </c>
      <c r="K1030" s="781" t="str">
        <f>IFERROR(__xludf.DUMMYFUNCTION("""COMPUTED_VALUE"""),"Ware, MA, 01082")</f>
        <v>Ware, MA, 01082</v>
      </c>
      <c r="L1030" s="781" t="str">
        <f>IFERROR(__xludf.DUMMYFUNCTION("""COMPUTED_VALUE"""),"Columbia, TN, 38401")</f>
        <v>Columbia, TN, 38401</v>
      </c>
      <c r="M1030" s="880">
        <f>IFERROR(__xludf.DUMMYFUNCTION("""COMPUTED_VALUE"""),1236.0)</f>
        <v>1236</v>
      </c>
      <c r="N1030" s="781">
        <v>0.6</v>
      </c>
      <c r="O1030" s="782">
        <f t="shared" si="56"/>
        <v>741.6</v>
      </c>
    </row>
    <row r="1031">
      <c r="A1031" s="785"/>
      <c r="B1031" s="786"/>
      <c r="C1031" s="786"/>
      <c r="D1031" s="786"/>
      <c r="E1031" s="785"/>
      <c r="F1031" s="783"/>
      <c r="G1031" s="788"/>
      <c r="H1031" s="283"/>
      <c r="I1031" s="785"/>
      <c r="J1031" s="786"/>
      <c r="K1031" s="786"/>
      <c r="L1031" s="786"/>
      <c r="M1031" s="785"/>
      <c r="N1031" s="787"/>
      <c r="O1031" s="789"/>
    </row>
    <row r="1032">
      <c r="A1032" s="785"/>
      <c r="B1032" s="786"/>
      <c r="C1032" s="786"/>
      <c r="D1032" s="786"/>
      <c r="E1032" s="785"/>
      <c r="F1032" s="787"/>
      <c r="G1032" s="788"/>
      <c r="H1032" s="283"/>
      <c r="I1032" s="785"/>
      <c r="J1032" s="786"/>
      <c r="K1032" s="786"/>
      <c r="L1032" s="786"/>
      <c r="M1032" s="785"/>
      <c r="N1032" s="787"/>
      <c r="O1032" s="789"/>
    </row>
    <row r="1033">
      <c r="A1033" s="785"/>
      <c r="B1033" s="786"/>
      <c r="C1033" s="786"/>
      <c r="D1033" s="786"/>
      <c r="E1033" s="785"/>
      <c r="F1033" s="787"/>
      <c r="G1033" s="788"/>
      <c r="H1033" s="283"/>
      <c r="I1033" s="785"/>
      <c r="J1033" s="786"/>
      <c r="K1033" s="786"/>
      <c r="L1033" s="786"/>
      <c r="M1033" s="785"/>
      <c r="N1033" s="787"/>
      <c r="O1033" s="789"/>
    </row>
    <row r="1034">
      <c r="A1034" s="790" t="s">
        <v>711</v>
      </c>
      <c r="B1034" s="791"/>
      <c r="C1034" s="791"/>
      <c r="D1034" s="792"/>
      <c r="E1034" s="793">
        <f>SUM(E1028:E1033)</f>
        <v>4725</v>
      </c>
      <c r="F1034" s="794"/>
      <c r="G1034" s="793">
        <f>SUM(G1028:G1033)</f>
        <v>4158</v>
      </c>
      <c r="H1034" s="283"/>
      <c r="I1034" s="790" t="s">
        <v>711</v>
      </c>
      <c r="J1034" s="791"/>
      <c r="K1034" s="791"/>
      <c r="L1034" s="792"/>
      <c r="M1034" s="877">
        <f>SUM(M1028:M1033)</f>
        <v>2716</v>
      </c>
      <c r="N1034" s="794"/>
      <c r="O1034" s="793">
        <f>SUM(O1028:O1033)</f>
        <v>1629.6</v>
      </c>
    </row>
    <row r="1035">
      <c r="A1035" s="796"/>
      <c r="D1035" s="798"/>
      <c r="G1035" s="799"/>
      <c r="H1035" s="283"/>
      <c r="I1035" s="796"/>
      <c r="L1035" s="798"/>
      <c r="O1035" s="799"/>
    </row>
    <row r="1036">
      <c r="A1036" s="800" t="s">
        <v>712</v>
      </c>
      <c r="B1036" s="801"/>
      <c r="C1036" s="802"/>
      <c r="G1036" s="799"/>
      <c r="H1036" s="283"/>
      <c r="I1036" s="800" t="s">
        <v>712</v>
      </c>
      <c r="J1036" s="803"/>
      <c r="K1036" s="804"/>
      <c r="O1036" s="799"/>
    </row>
    <row r="1037">
      <c r="A1037" s="867"/>
      <c r="B1037" s="808"/>
      <c r="C1037" s="809"/>
      <c r="G1037" s="799"/>
      <c r="H1037" s="283"/>
      <c r="I1037" s="867"/>
      <c r="J1037" s="808"/>
      <c r="K1037" s="809"/>
      <c r="O1037" s="799"/>
    </row>
    <row r="1038">
      <c r="A1038" s="868"/>
      <c r="B1038" s="774"/>
      <c r="C1038" s="816"/>
      <c r="G1038" s="799"/>
      <c r="H1038" s="283"/>
      <c r="I1038" s="868"/>
      <c r="J1038" s="774"/>
      <c r="K1038" s="816"/>
      <c r="O1038" s="799"/>
    </row>
    <row r="1039">
      <c r="A1039" s="815"/>
      <c r="B1039" s="792"/>
      <c r="C1039" s="816"/>
      <c r="G1039" s="799"/>
      <c r="H1039" s="283"/>
      <c r="I1039" s="815"/>
      <c r="J1039" s="792"/>
      <c r="K1039" s="816"/>
      <c r="O1039" s="799"/>
    </row>
    <row r="1040">
      <c r="A1040" s="817"/>
      <c r="B1040" s="774"/>
      <c r="C1040" s="818"/>
      <c r="G1040" s="799"/>
      <c r="H1040" s="283"/>
      <c r="I1040" s="817"/>
      <c r="J1040" s="774"/>
      <c r="K1040" s="818"/>
      <c r="O1040" s="799"/>
    </row>
    <row r="1041">
      <c r="A1041" s="817"/>
      <c r="B1041" s="792"/>
      <c r="C1041" s="818"/>
      <c r="G1041" s="799"/>
      <c r="H1041" s="283"/>
      <c r="I1041" s="817"/>
      <c r="J1041" s="792"/>
      <c r="K1041" s="818"/>
      <c r="O1041" s="799"/>
    </row>
    <row r="1042">
      <c r="A1042" s="821" t="s">
        <v>714</v>
      </c>
      <c r="B1042" s="822"/>
      <c r="C1042" s="823">
        <f>SUM(C1037:C1041)</f>
        <v>0</v>
      </c>
      <c r="G1042" s="799"/>
      <c r="H1042" s="283"/>
      <c r="I1042" s="821" t="s">
        <v>714</v>
      </c>
      <c r="J1042" s="826"/>
      <c r="K1042" s="827"/>
      <c r="O1042" s="799"/>
    </row>
    <row r="1043">
      <c r="A1043" s="828"/>
      <c r="C1043" s="829"/>
      <c r="G1043" s="799"/>
      <c r="H1043" s="283"/>
      <c r="I1043" s="828"/>
      <c r="K1043" s="829"/>
      <c r="O1043" s="799"/>
    </row>
    <row r="1044">
      <c r="A1044" s="830" t="s">
        <v>715</v>
      </c>
      <c r="B1044" s="831"/>
      <c r="C1044" s="832"/>
      <c r="G1044" s="799"/>
      <c r="H1044" s="283"/>
      <c r="I1044" s="833" t="s">
        <v>715</v>
      </c>
      <c r="J1044" s="834"/>
      <c r="K1044" s="835"/>
      <c r="O1044" s="799"/>
    </row>
    <row r="1045">
      <c r="A1045" s="836" t="s">
        <v>716</v>
      </c>
      <c r="B1045" s="837"/>
      <c r="C1045" s="838">
        <v>150.0</v>
      </c>
      <c r="G1045" s="799"/>
      <c r="H1045" s="283"/>
      <c r="I1045" s="839"/>
      <c r="J1045" s="840"/>
      <c r="K1045" s="841"/>
      <c r="O1045" s="799"/>
    </row>
    <row r="1046">
      <c r="A1046" s="842" t="s">
        <v>717</v>
      </c>
      <c r="B1046" s="843"/>
      <c r="C1046" s="844">
        <v>400.0</v>
      </c>
      <c r="D1046" s="248"/>
      <c r="E1046" s="845" t="s">
        <v>1182</v>
      </c>
      <c r="G1046" s="846">
        <f>G1034+C1042-C1051</f>
        <v>1415.5</v>
      </c>
      <c r="H1046" s="283"/>
      <c r="I1046" s="847"/>
      <c r="J1046" s="848"/>
      <c r="K1046" s="849"/>
      <c r="L1046" s="248"/>
      <c r="M1046" s="845" t="s">
        <v>1183</v>
      </c>
      <c r="O1046" s="846">
        <f>O1034+K1042-K1051</f>
        <v>1629.6</v>
      </c>
    </row>
    <row r="1047">
      <c r="A1047" s="836" t="s">
        <v>718</v>
      </c>
      <c r="B1047" s="837"/>
      <c r="C1047" s="838">
        <v>200.0</v>
      </c>
      <c r="G1047" s="799"/>
      <c r="H1047" s="283"/>
      <c r="I1047" s="847"/>
      <c r="J1047" s="848"/>
      <c r="K1047" s="849"/>
      <c r="O1047" s="799"/>
    </row>
    <row r="1048">
      <c r="A1048" s="842" t="s">
        <v>656</v>
      </c>
      <c r="B1048" s="843"/>
      <c r="C1048" s="844">
        <f>IFERROR(__xludf.DUMMYFUNCTION("FILTER($C$4:$C$30,$B$4:$B$30=E1026)"),1992.5)</f>
        <v>1992.5</v>
      </c>
      <c r="G1048" s="799"/>
      <c r="H1048" s="283"/>
      <c r="I1048" s="847"/>
      <c r="J1048" s="848"/>
      <c r="K1048" s="849"/>
      <c r="O1048" s="799"/>
    </row>
    <row r="1049">
      <c r="A1049" s="850" t="s">
        <v>1184</v>
      </c>
      <c r="B1049" s="851"/>
      <c r="C1049" s="852"/>
      <c r="E1049" s="248"/>
      <c r="G1049" s="799"/>
      <c r="H1049" s="283"/>
      <c r="I1049" s="847"/>
      <c r="J1049" s="848"/>
      <c r="K1049" s="849"/>
      <c r="M1049" s="248"/>
      <c r="O1049" s="799"/>
    </row>
    <row r="1050">
      <c r="A1050" s="847"/>
      <c r="B1050" s="848"/>
      <c r="C1050" s="849"/>
      <c r="G1050" s="799"/>
      <c r="H1050" s="283"/>
      <c r="I1050" s="847"/>
      <c r="J1050" s="848"/>
      <c r="K1050" s="849"/>
      <c r="O1050" s="799"/>
    </row>
    <row r="1051">
      <c r="A1051" s="853" t="s">
        <v>721</v>
      </c>
      <c r="B1051" s="854"/>
      <c r="C1051" s="855">
        <f>SUM(C1045:C1050)</f>
        <v>2742.5</v>
      </c>
      <c r="G1051" s="799"/>
      <c r="H1051" s="283"/>
      <c r="I1051" s="853" t="s">
        <v>721</v>
      </c>
      <c r="J1051" s="854"/>
      <c r="K1051" s="855"/>
      <c r="O1051" s="799"/>
    </row>
    <row r="1052">
      <c r="A1052" s="856"/>
      <c r="B1052" s="857"/>
      <c r="C1052" s="857"/>
      <c r="D1052" s="857"/>
      <c r="E1052" s="857"/>
      <c r="F1052" s="857"/>
      <c r="G1052" s="808"/>
      <c r="H1052" s="283"/>
      <c r="I1052" s="856"/>
      <c r="J1052" s="857"/>
      <c r="K1052" s="857"/>
      <c r="L1052" s="857"/>
      <c r="M1052" s="857"/>
      <c r="N1052" s="857"/>
      <c r="O1052" s="808"/>
    </row>
    <row r="1053">
      <c r="A1053" s="199"/>
      <c r="B1053" s="199"/>
      <c r="C1053" s="199"/>
      <c r="D1053" s="248"/>
      <c r="E1053" s="248"/>
      <c r="F1053" s="248"/>
      <c r="G1053" s="248"/>
      <c r="H1053" s="283"/>
      <c r="I1053" s="199"/>
      <c r="J1053" s="199"/>
      <c r="K1053" s="199"/>
      <c r="L1053" s="248"/>
      <c r="M1053" s="248"/>
      <c r="N1053" s="248"/>
      <c r="O1053" s="248"/>
    </row>
    <row r="1054">
      <c r="A1054" s="199"/>
      <c r="B1054" s="199"/>
      <c r="C1054" s="199"/>
      <c r="D1054" s="248"/>
      <c r="E1054" s="248"/>
      <c r="F1054" s="248"/>
      <c r="G1054" s="248"/>
      <c r="H1054" s="283"/>
      <c r="I1054" s="199"/>
      <c r="J1054" s="199"/>
      <c r="K1054" s="199"/>
      <c r="L1054" s="248"/>
      <c r="M1054" s="248"/>
      <c r="N1054" s="248"/>
      <c r="O1054" s="248"/>
    </row>
    <row r="1055">
      <c r="A1055" s="769"/>
      <c r="B1055" s="770"/>
      <c r="C1055" s="770"/>
      <c r="D1055" s="771" t="s">
        <v>700</v>
      </c>
      <c r="E1055" s="772" t="str">
        <f>E249</f>
        <v>12.01.2025-12.07.2025</v>
      </c>
      <c r="F1055" s="773"/>
      <c r="G1055" s="774"/>
      <c r="H1055" s="305">
        <v>31.0</v>
      </c>
      <c r="I1055" s="769"/>
      <c r="J1055" s="770"/>
      <c r="K1055" s="770"/>
      <c r="L1055" s="771" t="s">
        <v>700</v>
      </c>
      <c r="M1055" s="772" t="str">
        <f>E249</f>
        <v>12.01.2025-12.07.2025</v>
      </c>
      <c r="N1055" s="773"/>
      <c r="O1055" s="774"/>
    </row>
    <row r="1056">
      <c r="A1056" s="775"/>
      <c r="D1056" s="771" t="s">
        <v>702</v>
      </c>
      <c r="E1056" s="772" t="str">
        <f t="array" ref="E1056">XLOOKUP(E1057,$Q$972:$Q$1008,$R$972:$R$1008)</f>
        <v>Apex Turk Transport LLC</v>
      </c>
      <c r="F1056" s="773"/>
      <c r="G1056" s="774"/>
      <c r="H1056" s="283"/>
      <c r="I1056" s="775"/>
      <c r="L1056" s="771" t="s">
        <v>351</v>
      </c>
      <c r="M1056" s="772" t="str">
        <f t="array" ref="M1056">XLOOKUP(M1057,$L$1:$L$121,$K$1:$K$121)</f>
        <v>JAVEN PETERSON</v>
      </c>
      <c r="N1056" s="773"/>
      <c r="O1056" s="774"/>
    </row>
    <row r="1057">
      <c r="A1057" s="775"/>
      <c r="D1057" s="771" t="s">
        <v>703</v>
      </c>
      <c r="E1057" s="778" t="s">
        <v>1221</v>
      </c>
      <c r="F1057" s="773"/>
      <c r="G1057" s="774"/>
      <c r="H1057" s="858"/>
      <c r="I1057" s="775"/>
      <c r="L1057" s="771" t="s">
        <v>703</v>
      </c>
      <c r="M1057" s="772" t="str">
        <f>E1057</f>
        <v>0515</v>
      </c>
      <c r="N1057" s="773"/>
      <c r="O1057" s="774"/>
      <c r="P1057" s="777"/>
    </row>
    <row r="1058">
      <c r="A1058" s="779" t="s">
        <v>704</v>
      </c>
      <c r="B1058" s="779" t="s">
        <v>5</v>
      </c>
      <c r="C1058" s="779" t="s">
        <v>6</v>
      </c>
      <c r="D1058" s="779" t="s">
        <v>7</v>
      </c>
      <c r="E1058" s="779" t="s">
        <v>8</v>
      </c>
      <c r="F1058" s="779" t="s">
        <v>706</v>
      </c>
      <c r="G1058" s="779" t="s">
        <v>707</v>
      </c>
      <c r="H1058" s="34"/>
      <c r="I1058" s="779" t="s">
        <v>704</v>
      </c>
      <c r="J1058" s="779" t="s">
        <v>5</v>
      </c>
      <c r="K1058" s="779" t="s">
        <v>6</v>
      </c>
      <c r="L1058" s="779" t="s">
        <v>7</v>
      </c>
      <c r="M1058" s="779" t="s">
        <v>1178</v>
      </c>
      <c r="N1058" s="779" t="s">
        <v>839</v>
      </c>
      <c r="O1058" s="779" t="s">
        <v>707</v>
      </c>
    </row>
    <row r="1059">
      <c r="A1059" s="780">
        <f>IFERROR(__xludf.DUMMYFUNCTION("FILTER($D$3:$H$121,$L$3:$L$121=E1057)"),45996.0)</f>
        <v>45996</v>
      </c>
      <c r="B1059" s="781">
        <f>IFERROR(__xludf.DUMMYFUNCTION("""COMPUTED_VALUE"""),1190112.0)</f>
        <v>1190112</v>
      </c>
      <c r="C1059" s="781" t="str">
        <f>IFERROR(__xludf.DUMMYFUNCTION("""COMPUTED_VALUE"""),"Springfield, OH, 45502")</f>
        <v>Springfield, OH, 45502</v>
      </c>
      <c r="D1059" s="781" t="str">
        <f>IFERROR(__xludf.DUMMYFUNCTION("""COMPUTED_VALUE"""),"Royal Palm Beach, FL, 33411")</f>
        <v>Royal Palm Beach, FL, 33411</v>
      </c>
      <c r="E1059" s="782">
        <f>IFERROR(__xludf.DUMMYFUNCTION("""COMPUTED_VALUE"""),3400.0)</f>
        <v>3400</v>
      </c>
      <c r="F1059" s="783">
        <v>0.88</v>
      </c>
      <c r="G1059" s="782">
        <f t="shared" ref="G1059:G1060" si="57">E1059*F1059</f>
        <v>2992</v>
      </c>
      <c r="H1059" s="283"/>
      <c r="I1059" s="780">
        <f>IFERROR(__xludf.DUMMYFUNCTION("FILTER($D$3:$G$121,$L$3:$L$121=M1057)"),45996.0)</f>
        <v>45996</v>
      </c>
      <c r="J1059" s="781">
        <f>IFERROR(__xludf.DUMMYFUNCTION("""COMPUTED_VALUE"""),1190112.0)</f>
        <v>1190112</v>
      </c>
      <c r="K1059" s="781" t="str">
        <f>IFERROR(__xludf.DUMMYFUNCTION("""COMPUTED_VALUE"""),"Springfield, OH, 45502")</f>
        <v>Springfield, OH, 45502</v>
      </c>
      <c r="L1059" s="781" t="str">
        <f>IFERROR(__xludf.DUMMYFUNCTION("""COMPUTED_VALUE"""),"Royal Palm Beach, FL, 33411")</f>
        <v>Royal Palm Beach, FL, 33411</v>
      </c>
      <c r="M1059" s="880">
        <f>IFERROR(__xludf.DUMMYFUNCTION("FILTER($I$3:$I$121,$L$3:$L$121=M1057)"),1171.0)</f>
        <v>1171</v>
      </c>
      <c r="N1059" s="781">
        <v>0.6</v>
      </c>
      <c r="O1059" s="782">
        <f t="shared" ref="O1059:O1060" si="58">M1059*N1059</f>
        <v>702.6</v>
      </c>
    </row>
    <row r="1060">
      <c r="A1060" s="780">
        <f>IFERROR(__xludf.DUMMYFUNCTION("""COMPUTED_VALUE"""),45998.0)</f>
        <v>45998</v>
      </c>
      <c r="B1060" s="781">
        <f>IFERROR(__xludf.DUMMYFUNCTION("""COMPUTED_VALUE"""),1.26221601E8)</f>
        <v>126221601</v>
      </c>
      <c r="C1060" s="781" t="str">
        <f>IFERROR(__xludf.DUMMYFUNCTION("""COMPUTED_VALUE"""),"Jupiter, FL, 33478")</f>
        <v>Jupiter, FL, 33478</v>
      </c>
      <c r="D1060" s="781" t="str">
        <f>IFERROR(__xludf.DUMMYFUNCTION("""COMPUTED_VALUE"""),"Ocala, FL, 34482")</f>
        <v>Ocala, FL, 34482</v>
      </c>
      <c r="E1060" s="782">
        <f>IFERROR(__xludf.DUMMYFUNCTION("""COMPUTED_VALUE"""),450.0)</f>
        <v>450</v>
      </c>
      <c r="F1060" s="783">
        <v>0.88</v>
      </c>
      <c r="G1060" s="782">
        <f t="shared" si="57"/>
        <v>396</v>
      </c>
      <c r="H1060" s="283"/>
      <c r="I1060" s="780">
        <f>IFERROR(__xludf.DUMMYFUNCTION("""COMPUTED_VALUE"""),45998.0)</f>
        <v>45998</v>
      </c>
      <c r="J1060" s="781">
        <f>IFERROR(__xludf.DUMMYFUNCTION("""COMPUTED_VALUE"""),1.26221601E8)</f>
        <v>126221601</v>
      </c>
      <c r="K1060" s="781" t="str">
        <f>IFERROR(__xludf.DUMMYFUNCTION("""COMPUTED_VALUE"""),"Jupiter, FL, 33478")</f>
        <v>Jupiter, FL, 33478</v>
      </c>
      <c r="L1060" s="781" t="str">
        <f>IFERROR(__xludf.DUMMYFUNCTION("""COMPUTED_VALUE"""),"Ocala, FL, 34482")</f>
        <v>Ocala, FL, 34482</v>
      </c>
      <c r="M1060" s="880">
        <f>IFERROR(__xludf.DUMMYFUNCTION("""COMPUTED_VALUE"""),247.0)</f>
        <v>247</v>
      </c>
      <c r="N1060" s="781">
        <v>0.6</v>
      </c>
      <c r="O1060" s="782">
        <f t="shared" si="58"/>
        <v>148.2</v>
      </c>
    </row>
    <row r="1061">
      <c r="A1061" s="785"/>
      <c r="B1061" s="786"/>
      <c r="C1061" s="786"/>
      <c r="D1061" s="786"/>
      <c r="E1061" s="785"/>
      <c r="F1061" s="787"/>
      <c r="G1061" s="788"/>
      <c r="H1061" s="283"/>
      <c r="I1061" s="780"/>
      <c r="J1061" s="781"/>
      <c r="K1061" s="781"/>
      <c r="L1061" s="781"/>
      <c r="M1061" s="880"/>
      <c r="N1061" s="781"/>
      <c r="O1061" s="782"/>
    </row>
    <row r="1062">
      <c r="A1062" s="785"/>
      <c r="B1062" s="786"/>
      <c r="C1062" s="786"/>
      <c r="D1062" s="786"/>
      <c r="E1062" s="785"/>
      <c r="F1062" s="787"/>
      <c r="G1062" s="788"/>
      <c r="H1062" s="283"/>
      <c r="I1062" s="785"/>
      <c r="J1062" s="786"/>
      <c r="K1062" s="786"/>
      <c r="L1062" s="786"/>
      <c r="M1062" s="785"/>
      <c r="N1062" s="787"/>
      <c r="O1062" s="789"/>
    </row>
    <row r="1063">
      <c r="A1063" s="785"/>
      <c r="B1063" s="786"/>
      <c r="C1063" s="786"/>
      <c r="D1063" s="786"/>
      <c r="E1063" s="785"/>
      <c r="F1063" s="787"/>
      <c r="G1063" s="788"/>
      <c r="H1063" s="283"/>
      <c r="I1063" s="785"/>
      <c r="J1063" s="786"/>
      <c r="K1063" s="786"/>
      <c r="L1063" s="786"/>
      <c r="M1063" s="785"/>
      <c r="N1063" s="787"/>
      <c r="O1063" s="789"/>
    </row>
    <row r="1064">
      <c r="A1064" s="785"/>
      <c r="B1064" s="786"/>
      <c r="C1064" s="786"/>
      <c r="D1064" s="786"/>
      <c r="E1064" s="785"/>
      <c r="F1064" s="787"/>
      <c r="G1064" s="788"/>
      <c r="H1064" s="283"/>
      <c r="I1064" s="785"/>
      <c r="J1064" s="786"/>
      <c r="K1064" s="786"/>
      <c r="L1064" s="786"/>
      <c r="M1064" s="785"/>
      <c r="N1064" s="787"/>
      <c r="O1064" s="789"/>
    </row>
    <row r="1065">
      <c r="A1065" s="790" t="s">
        <v>711</v>
      </c>
      <c r="B1065" s="791"/>
      <c r="C1065" s="791"/>
      <c r="D1065" s="792"/>
      <c r="E1065" s="793">
        <f>SUM(E1059:E1064)</f>
        <v>3850</v>
      </c>
      <c r="F1065" s="794"/>
      <c r="G1065" s="793">
        <f>SUM(G1059:G1064)</f>
        <v>3388</v>
      </c>
      <c r="H1065" s="283"/>
      <c r="I1065" s="790" t="s">
        <v>711</v>
      </c>
      <c r="J1065" s="791"/>
      <c r="K1065" s="791"/>
      <c r="L1065" s="792"/>
      <c r="M1065" s="877">
        <f>SUM(M1059:M1064)</f>
        <v>1418</v>
      </c>
      <c r="N1065" s="794"/>
      <c r="O1065" s="793">
        <f>SUM(O1059:O1064)</f>
        <v>850.8</v>
      </c>
    </row>
    <row r="1066">
      <c r="A1066" s="796"/>
      <c r="D1066" s="798"/>
      <c r="G1066" s="799"/>
      <c r="H1066" s="283"/>
      <c r="I1066" s="796"/>
      <c r="L1066" s="798"/>
      <c r="O1066" s="799"/>
    </row>
    <row r="1067">
      <c r="A1067" s="800" t="s">
        <v>712</v>
      </c>
      <c r="B1067" s="801"/>
      <c r="C1067" s="802"/>
      <c r="G1067" s="799"/>
      <c r="H1067" s="283"/>
      <c r="I1067" s="800" t="s">
        <v>712</v>
      </c>
      <c r="J1067" s="803"/>
      <c r="K1067" s="804"/>
      <c r="O1067" s="799"/>
    </row>
    <row r="1068">
      <c r="A1068" s="867"/>
      <c r="B1068" s="808"/>
      <c r="C1068" s="809"/>
      <c r="G1068" s="799"/>
      <c r="H1068" s="283"/>
      <c r="I1068" s="867"/>
      <c r="J1068" s="808"/>
      <c r="K1068" s="809"/>
      <c r="O1068" s="799"/>
    </row>
    <row r="1069">
      <c r="A1069" s="868"/>
      <c r="B1069" s="774"/>
      <c r="C1069" s="816"/>
      <c r="G1069" s="799"/>
      <c r="H1069" s="283"/>
      <c r="I1069" s="868"/>
      <c r="J1069" s="774"/>
      <c r="K1069" s="816"/>
      <c r="O1069" s="799"/>
    </row>
    <row r="1070">
      <c r="A1070" s="815"/>
      <c r="B1070" s="792"/>
      <c r="C1070" s="816"/>
      <c r="G1070" s="799"/>
      <c r="H1070" s="283"/>
      <c r="I1070" s="815"/>
      <c r="J1070" s="792"/>
      <c r="K1070" s="816"/>
      <c r="O1070" s="799"/>
    </row>
    <row r="1071">
      <c r="A1071" s="817"/>
      <c r="B1071" s="774"/>
      <c r="C1071" s="818"/>
      <c r="G1071" s="799"/>
      <c r="H1071" s="283"/>
      <c r="I1071" s="817"/>
      <c r="J1071" s="774"/>
      <c r="K1071" s="818"/>
      <c r="O1071" s="799"/>
    </row>
    <row r="1072">
      <c r="A1072" s="817"/>
      <c r="B1072" s="792"/>
      <c r="C1072" s="818"/>
      <c r="G1072" s="799"/>
      <c r="H1072" s="283"/>
      <c r="I1072" s="817"/>
      <c r="J1072" s="792"/>
      <c r="K1072" s="818"/>
      <c r="O1072" s="799"/>
    </row>
    <row r="1073">
      <c r="A1073" s="821" t="s">
        <v>714</v>
      </c>
      <c r="B1073" s="822"/>
      <c r="C1073" s="823">
        <f>SUM(C1068:C1072)</f>
        <v>0</v>
      </c>
      <c r="G1073" s="799"/>
      <c r="H1073" s="283"/>
      <c r="I1073" s="821" t="s">
        <v>714</v>
      </c>
      <c r="J1073" s="826"/>
      <c r="K1073" s="827"/>
      <c r="O1073" s="799"/>
    </row>
    <row r="1074">
      <c r="A1074" s="828"/>
      <c r="C1074" s="829"/>
      <c r="G1074" s="799"/>
      <c r="H1074" s="283"/>
      <c r="I1074" s="828"/>
      <c r="K1074" s="829"/>
      <c r="O1074" s="799"/>
    </row>
    <row r="1075">
      <c r="A1075" s="830" t="s">
        <v>715</v>
      </c>
      <c r="B1075" s="831"/>
      <c r="C1075" s="832"/>
      <c r="G1075" s="799"/>
      <c r="H1075" s="283"/>
      <c r="I1075" s="833" t="s">
        <v>715</v>
      </c>
      <c r="J1075" s="834"/>
      <c r="K1075" s="835"/>
      <c r="O1075" s="799"/>
    </row>
    <row r="1076">
      <c r="A1076" s="836" t="s">
        <v>716</v>
      </c>
      <c r="B1076" s="837"/>
      <c r="C1076" s="838">
        <v>150.0</v>
      </c>
      <c r="G1076" s="799"/>
      <c r="H1076" s="283"/>
      <c r="I1076" s="839"/>
      <c r="J1076" s="840"/>
      <c r="K1076" s="841"/>
      <c r="O1076" s="799"/>
    </row>
    <row r="1077">
      <c r="A1077" s="842" t="s">
        <v>717</v>
      </c>
      <c r="B1077" s="843"/>
      <c r="C1077" s="844">
        <v>400.0</v>
      </c>
      <c r="D1077" s="248"/>
      <c r="E1077" s="845" t="s">
        <v>1182</v>
      </c>
      <c r="G1077" s="846">
        <f>G1065+C1073-C1082</f>
        <v>1717.76</v>
      </c>
      <c r="H1077" s="283"/>
      <c r="I1077" s="847"/>
      <c r="J1077" s="848"/>
      <c r="K1077" s="849"/>
      <c r="L1077" s="248"/>
      <c r="M1077" s="845" t="s">
        <v>1183</v>
      </c>
      <c r="O1077" s="846">
        <f>O1065+K1073-K1082</f>
        <v>850.8</v>
      </c>
    </row>
    <row r="1078">
      <c r="A1078" s="836" t="s">
        <v>718</v>
      </c>
      <c r="B1078" s="837"/>
      <c r="C1078" s="838">
        <v>200.0</v>
      </c>
      <c r="G1078" s="799"/>
      <c r="H1078" s="283"/>
      <c r="I1078" s="847"/>
      <c r="J1078" s="848"/>
      <c r="K1078" s="849"/>
      <c r="O1078" s="799"/>
    </row>
    <row r="1079">
      <c r="A1079" s="842" t="s">
        <v>656</v>
      </c>
      <c r="B1079" s="843"/>
      <c r="C1079" s="844">
        <f>IFERROR(__xludf.DUMMYFUNCTION("FILTER($C$4:$C$30,$B$4:$B$30=E1057)"),920.24)</f>
        <v>920.24</v>
      </c>
      <c r="G1079" s="799"/>
      <c r="H1079" s="283"/>
      <c r="I1079" s="847"/>
      <c r="J1079" s="848"/>
      <c r="K1079" s="849"/>
      <c r="O1079" s="799"/>
    </row>
    <row r="1080">
      <c r="A1080" s="850" t="s">
        <v>1184</v>
      </c>
      <c r="B1080" s="851"/>
      <c r="C1080" s="852"/>
      <c r="E1080" s="248"/>
      <c r="G1080" s="799"/>
      <c r="H1080" s="283"/>
      <c r="I1080" s="847"/>
      <c r="J1080" s="848"/>
      <c r="K1080" s="849"/>
      <c r="M1080" s="248"/>
      <c r="O1080" s="799"/>
    </row>
    <row r="1081">
      <c r="A1081" s="847"/>
      <c r="B1081" s="848"/>
      <c r="C1081" s="849"/>
      <c r="G1081" s="799"/>
      <c r="H1081" s="283"/>
      <c r="I1081" s="847"/>
      <c r="J1081" s="848"/>
      <c r="K1081" s="849"/>
      <c r="O1081" s="799"/>
    </row>
    <row r="1082">
      <c r="A1082" s="853" t="s">
        <v>721</v>
      </c>
      <c r="B1082" s="854"/>
      <c r="C1082" s="855">
        <f>SUM(C1076:C1081)</f>
        <v>1670.24</v>
      </c>
      <c r="G1082" s="799"/>
      <c r="H1082" s="283"/>
      <c r="I1082" s="853" t="s">
        <v>721</v>
      </c>
      <c r="J1082" s="854"/>
      <c r="K1082" s="855"/>
      <c r="O1082" s="799"/>
    </row>
    <row r="1083">
      <c r="A1083" s="856"/>
      <c r="B1083" s="857"/>
      <c r="C1083" s="857"/>
      <c r="D1083" s="857"/>
      <c r="E1083" s="857"/>
      <c r="F1083" s="857"/>
      <c r="G1083" s="808"/>
      <c r="H1083" s="283"/>
      <c r="I1083" s="856"/>
      <c r="J1083" s="857"/>
      <c r="K1083" s="857"/>
      <c r="L1083" s="857"/>
      <c r="M1083" s="857"/>
      <c r="N1083" s="857"/>
      <c r="O1083" s="808"/>
    </row>
    <row r="1084">
      <c r="A1084" s="199"/>
      <c r="B1084" s="199"/>
      <c r="C1084" s="199"/>
      <c r="D1084" s="248"/>
      <c r="E1084" s="248"/>
      <c r="F1084" s="248"/>
      <c r="G1084" s="248"/>
      <c r="H1084" s="283"/>
      <c r="I1084" s="199"/>
      <c r="J1084" s="199"/>
      <c r="K1084" s="199"/>
      <c r="L1084" s="248"/>
      <c r="M1084" s="248"/>
      <c r="N1084" s="248"/>
      <c r="O1084" s="248"/>
    </row>
    <row r="1085">
      <c r="A1085" s="199"/>
      <c r="B1085" s="199"/>
      <c r="C1085" s="199"/>
      <c r="D1085" s="248"/>
      <c r="E1085" s="248"/>
      <c r="F1085" s="248"/>
      <c r="G1085" s="248"/>
      <c r="H1085" s="283"/>
      <c r="I1085" s="199"/>
      <c r="J1085" s="199"/>
      <c r="K1085" s="199"/>
      <c r="L1085" s="248"/>
      <c r="M1085" s="248"/>
      <c r="N1085" s="248"/>
      <c r="O1085" s="248"/>
    </row>
    <row r="1086">
      <c r="A1086" s="769"/>
      <c r="B1086" s="770"/>
      <c r="C1086" s="770"/>
      <c r="D1086" s="771" t="s">
        <v>700</v>
      </c>
      <c r="E1086" s="772" t="str">
        <f>E280</f>
        <v>12.01.2025-12.07.2025</v>
      </c>
      <c r="F1086" s="773"/>
      <c r="G1086" s="774"/>
      <c r="H1086" s="305">
        <v>32.0</v>
      </c>
      <c r="I1086" s="769"/>
      <c r="J1086" s="770"/>
      <c r="K1086" s="770"/>
      <c r="L1086" s="771" t="s">
        <v>700</v>
      </c>
      <c r="M1086" s="772" t="str">
        <f>E280</f>
        <v>12.01.2025-12.07.2025</v>
      </c>
      <c r="N1086" s="773"/>
      <c r="O1086" s="774"/>
    </row>
    <row r="1087">
      <c r="A1087" s="775"/>
      <c r="D1087" s="771" t="s">
        <v>702</v>
      </c>
      <c r="E1087" s="772" t="str">
        <f t="array" ref="E1087">XLOOKUP(E1088,$Q$972:$Q$1008,$R$972:$R$1008)</f>
        <v>Arba Express LLC</v>
      </c>
      <c r="F1087" s="773"/>
      <c r="G1087" s="774"/>
      <c r="H1087" s="283"/>
      <c r="I1087" s="775"/>
      <c r="L1087" s="771" t="s">
        <v>351</v>
      </c>
      <c r="M1087" s="772" t="str">
        <f t="array" ref="M1087">XLOOKUP(M1088,$L$1:$L$121,$K$1:$K$121)</f>
        <v>ROUDELINE ZEPHIRIN</v>
      </c>
      <c r="N1087" s="773"/>
      <c r="O1087" s="774"/>
    </row>
    <row r="1088">
      <c r="A1088" s="775"/>
      <c r="D1088" s="771" t="s">
        <v>703</v>
      </c>
      <c r="E1088" s="772">
        <v>6960.0</v>
      </c>
      <c r="F1088" s="773"/>
      <c r="G1088" s="774"/>
      <c r="H1088" s="858"/>
      <c r="I1088" s="775"/>
      <c r="L1088" s="771" t="s">
        <v>703</v>
      </c>
      <c r="M1088" s="772">
        <f>E1088</f>
        <v>6960</v>
      </c>
      <c r="N1088" s="773"/>
      <c r="O1088" s="774"/>
      <c r="P1088" s="777"/>
    </row>
    <row r="1089">
      <c r="A1089" s="779" t="s">
        <v>704</v>
      </c>
      <c r="B1089" s="779" t="s">
        <v>5</v>
      </c>
      <c r="C1089" s="779" t="s">
        <v>6</v>
      </c>
      <c r="D1089" s="779" t="s">
        <v>7</v>
      </c>
      <c r="E1089" s="779" t="s">
        <v>8</v>
      </c>
      <c r="F1089" s="779" t="s">
        <v>706</v>
      </c>
      <c r="G1089" s="779" t="s">
        <v>707</v>
      </c>
      <c r="H1089" s="34"/>
      <c r="I1089" s="779" t="s">
        <v>704</v>
      </c>
      <c r="J1089" s="779" t="s">
        <v>5</v>
      </c>
      <c r="K1089" s="779" t="s">
        <v>6</v>
      </c>
      <c r="L1089" s="779" t="s">
        <v>7</v>
      </c>
      <c r="M1089" s="779" t="s">
        <v>1178</v>
      </c>
      <c r="N1089" s="779" t="s">
        <v>839</v>
      </c>
      <c r="O1089" s="779" t="s">
        <v>707</v>
      </c>
    </row>
    <row r="1090">
      <c r="A1090" s="780">
        <f>IFERROR(__xludf.DUMMYFUNCTION("FILTER($D$3:$H$121,$L$3:$L$121=E1088)"),45994.0)</f>
        <v>45994</v>
      </c>
      <c r="B1090" s="781">
        <f>IFERROR(__xludf.DUMMYFUNCTION("""COMPUTED_VALUE"""),1768827.0)</f>
        <v>1768827</v>
      </c>
      <c r="C1090" s="781" t="str">
        <f>IFERROR(__xludf.DUMMYFUNCTION("""COMPUTED_VALUE"""),"Mebane, NC, 27302")</f>
        <v>Mebane, NC, 27302</v>
      </c>
      <c r="D1090" s="781" t="str">
        <f>IFERROR(__xludf.DUMMYFUNCTION("""COMPUTED_VALUE"""),"Abilene, TX, 79602")</f>
        <v>Abilene, TX, 79602</v>
      </c>
      <c r="E1090" s="782">
        <f>IFERROR(__xludf.DUMMYFUNCTION("""COMPUTED_VALUE"""),2900.0)</f>
        <v>2900</v>
      </c>
      <c r="F1090" s="783">
        <v>0.88</v>
      </c>
      <c r="G1090" s="782">
        <f t="shared" ref="G1090:G1092" si="59">E1090*F1090</f>
        <v>2552</v>
      </c>
      <c r="H1090" s="283"/>
      <c r="I1090" s="780">
        <f>IFERROR(__xludf.DUMMYFUNCTION("FILTER($D$3:$G$121,$L$3:$L$121=M1088)"),45994.0)</f>
        <v>45994</v>
      </c>
      <c r="J1090" s="781">
        <f>IFERROR(__xludf.DUMMYFUNCTION("""COMPUTED_VALUE"""),1768827.0)</f>
        <v>1768827</v>
      </c>
      <c r="K1090" s="781" t="str">
        <f>IFERROR(__xludf.DUMMYFUNCTION("""COMPUTED_VALUE"""),"Mebane, NC, 27302")</f>
        <v>Mebane, NC, 27302</v>
      </c>
      <c r="L1090" s="781" t="str">
        <f>IFERROR(__xludf.DUMMYFUNCTION("""COMPUTED_VALUE"""),"Abilene, TX, 79602")</f>
        <v>Abilene, TX, 79602</v>
      </c>
      <c r="M1090" s="880">
        <f>IFERROR(__xludf.DUMMYFUNCTION("FILTER($I$3:$I$121,$L$3:$L$121=M1088)"),1386.0)</f>
        <v>1386</v>
      </c>
      <c r="N1090" s="781">
        <v>0.6</v>
      </c>
      <c r="O1090" s="782">
        <f t="shared" ref="O1090:O1092" si="60">M1090*N1090</f>
        <v>831.6</v>
      </c>
    </row>
    <row r="1091">
      <c r="A1091" s="780">
        <f>IFERROR(__xludf.DUMMYFUNCTION("""COMPUTED_VALUE"""),45995.0)</f>
        <v>45995</v>
      </c>
      <c r="B1091" s="781">
        <f>IFERROR(__xludf.DUMMYFUNCTION("""COMPUTED_VALUE"""),4226036.0)</f>
        <v>4226036</v>
      </c>
      <c r="C1091" s="781" t="str">
        <f>IFERROR(__xludf.DUMMYFUNCTION("""COMPUTED_VALUE"""),"Austin, TX, 78754")</f>
        <v>Austin, TX, 78754</v>
      </c>
      <c r="D1091" s="781" t="str">
        <f>IFERROR(__xludf.DUMMYFUNCTION("""COMPUTED_VALUE"""),"Jersey City, NJ, 07097")</f>
        <v>Jersey City, NJ, 07097</v>
      </c>
      <c r="E1091" s="782">
        <f>IFERROR(__xludf.DUMMYFUNCTION("""COMPUTED_VALUE"""),4500.0)</f>
        <v>4500</v>
      </c>
      <c r="F1091" s="783">
        <v>0.88</v>
      </c>
      <c r="G1091" s="782">
        <f t="shared" si="59"/>
        <v>3960</v>
      </c>
      <c r="H1091" s="283"/>
      <c r="I1091" s="780">
        <f>IFERROR(__xludf.DUMMYFUNCTION("""COMPUTED_VALUE"""),45995.0)</f>
        <v>45995</v>
      </c>
      <c r="J1091" s="781">
        <f>IFERROR(__xludf.DUMMYFUNCTION("""COMPUTED_VALUE"""),4226036.0)</f>
        <v>4226036</v>
      </c>
      <c r="K1091" s="781" t="str">
        <f>IFERROR(__xludf.DUMMYFUNCTION("""COMPUTED_VALUE"""),"Austin, TX, 78754")</f>
        <v>Austin, TX, 78754</v>
      </c>
      <c r="L1091" s="781" t="str">
        <f>IFERROR(__xludf.DUMMYFUNCTION("""COMPUTED_VALUE"""),"Jersey City, NJ, 07097")</f>
        <v>Jersey City, NJ, 07097</v>
      </c>
      <c r="M1091" s="880">
        <f>IFERROR(__xludf.DUMMYFUNCTION("""COMPUTED_VALUE"""),1956.0)</f>
        <v>1956</v>
      </c>
      <c r="N1091" s="781">
        <v>0.6</v>
      </c>
      <c r="O1091" s="782">
        <f t="shared" si="60"/>
        <v>1173.6</v>
      </c>
    </row>
    <row r="1092">
      <c r="A1092" s="883">
        <f>IFERROR(__xludf.DUMMYFUNCTION("""COMPUTED_VALUE"""),45998.0)</f>
        <v>45998</v>
      </c>
      <c r="B1092" s="786">
        <f>IFERROR(__xludf.DUMMYFUNCTION("""COMPUTED_VALUE"""),2420747.0)</f>
        <v>2420747</v>
      </c>
      <c r="C1092" s="786" t="str">
        <f>IFERROR(__xludf.DUMMYFUNCTION("""COMPUTED_VALUE"""),"Philadelphia, PA, 19116")</f>
        <v>Philadelphia, PA, 19116</v>
      </c>
      <c r="D1092" s="786" t="str">
        <f>IFERROR(__xludf.DUMMYFUNCTION("""COMPUTED_VALUE"""),"Gastonia, NC, 28054")</f>
        <v>Gastonia, NC, 28054</v>
      </c>
      <c r="E1092" s="884">
        <f>IFERROR(__xludf.DUMMYFUNCTION("""COMPUTED_VALUE"""),2100.0)</f>
        <v>2100</v>
      </c>
      <c r="F1092" s="783">
        <v>0.88</v>
      </c>
      <c r="G1092" s="782">
        <f t="shared" si="59"/>
        <v>1848</v>
      </c>
      <c r="H1092" s="283"/>
      <c r="I1092" s="780">
        <f>IFERROR(__xludf.DUMMYFUNCTION("""COMPUTED_VALUE"""),45998.0)</f>
        <v>45998</v>
      </c>
      <c r="J1092" s="781">
        <f>IFERROR(__xludf.DUMMYFUNCTION("""COMPUTED_VALUE"""),2420747.0)</f>
        <v>2420747</v>
      </c>
      <c r="K1092" s="781" t="str">
        <f>IFERROR(__xludf.DUMMYFUNCTION("""COMPUTED_VALUE"""),"Philadelphia, PA, 19116")</f>
        <v>Philadelphia, PA, 19116</v>
      </c>
      <c r="L1092" s="781" t="str">
        <f>IFERROR(__xludf.DUMMYFUNCTION("""COMPUTED_VALUE"""),"Gastonia, NC, 28054")</f>
        <v>Gastonia, NC, 28054</v>
      </c>
      <c r="M1092" s="880">
        <f>IFERROR(__xludf.DUMMYFUNCTION("""COMPUTED_VALUE"""),660.0)</f>
        <v>660</v>
      </c>
      <c r="N1092" s="781">
        <v>0.6</v>
      </c>
      <c r="O1092" s="782">
        <f t="shared" si="60"/>
        <v>396</v>
      </c>
    </row>
    <row r="1093">
      <c r="A1093" s="785"/>
      <c r="B1093" s="786"/>
      <c r="C1093" s="786"/>
      <c r="D1093" s="786"/>
      <c r="E1093" s="785"/>
      <c r="F1093" s="783"/>
      <c r="G1093" s="782"/>
      <c r="H1093" s="283"/>
      <c r="I1093" s="785"/>
      <c r="J1093" s="786"/>
      <c r="K1093" s="786"/>
      <c r="L1093" s="786"/>
      <c r="M1093" s="785"/>
      <c r="N1093" s="781"/>
      <c r="O1093" s="782"/>
    </row>
    <row r="1094">
      <c r="A1094" s="785"/>
      <c r="B1094" s="786"/>
      <c r="C1094" s="786"/>
      <c r="D1094" s="786"/>
      <c r="E1094" s="785"/>
      <c r="F1094" s="787"/>
      <c r="G1094" s="788"/>
      <c r="H1094" s="283"/>
      <c r="I1094" s="785"/>
      <c r="J1094" s="786"/>
      <c r="K1094" s="786"/>
      <c r="L1094" s="786"/>
      <c r="M1094" s="785"/>
      <c r="N1094" s="787"/>
      <c r="O1094" s="789"/>
    </row>
    <row r="1095">
      <c r="A1095" s="785"/>
      <c r="B1095" s="786"/>
      <c r="C1095" s="786"/>
      <c r="D1095" s="786"/>
      <c r="E1095" s="785"/>
      <c r="F1095" s="787"/>
      <c r="G1095" s="788"/>
      <c r="H1095" s="283"/>
      <c r="I1095" s="785"/>
      <c r="J1095" s="786"/>
      <c r="K1095" s="786"/>
      <c r="L1095" s="786"/>
      <c r="M1095" s="785"/>
      <c r="N1095" s="787"/>
      <c r="O1095" s="789"/>
    </row>
    <row r="1096">
      <c r="A1096" s="790" t="s">
        <v>711</v>
      </c>
      <c r="B1096" s="791"/>
      <c r="C1096" s="791"/>
      <c r="D1096" s="792"/>
      <c r="E1096" s="793">
        <f>SUM(E1090:E1095)</f>
        <v>9500</v>
      </c>
      <c r="F1096" s="794"/>
      <c r="G1096" s="793">
        <f>SUM(G1090:G1095)</f>
        <v>8360</v>
      </c>
      <c r="H1096" s="283"/>
      <c r="I1096" s="790" t="s">
        <v>711</v>
      </c>
      <c r="J1096" s="791"/>
      <c r="K1096" s="791"/>
      <c r="L1096" s="792"/>
      <c r="M1096" s="877">
        <f>SUM(M1090:M1095)</f>
        <v>4002</v>
      </c>
      <c r="N1096" s="794"/>
      <c r="O1096" s="793">
        <f>SUM(O1090:O1095)</f>
        <v>2401.2</v>
      </c>
    </row>
    <row r="1097">
      <c r="A1097" s="796"/>
      <c r="D1097" s="798"/>
      <c r="G1097" s="799"/>
      <c r="H1097" s="283"/>
      <c r="I1097" s="796"/>
      <c r="L1097" s="798"/>
      <c r="O1097" s="799"/>
    </row>
    <row r="1098">
      <c r="A1098" s="800" t="s">
        <v>712</v>
      </c>
      <c r="B1098" s="801"/>
      <c r="C1098" s="802"/>
      <c r="G1098" s="799"/>
      <c r="H1098" s="283"/>
      <c r="I1098" s="800" t="s">
        <v>712</v>
      </c>
      <c r="J1098" s="803"/>
      <c r="K1098" s="804"/>
      <c r="O1098" s="799"/>
    </row>
    <row r="1099">
      <c r="A1099" s="867"/>
      <c r="B1099" s="808"/>
      <c r="C1099" s="809"/>
      <c r="G1099" s="799"/>
      <c r="H1099" s="283"/>
      <c r="I1099" s="867"/>
      <c r="J1099" s="808"/>
      <c r="K1099" s="809"/>
      <c r="O1099" s="799"/>
    </row>
    <row r="1100">
      <c r="A1100" s="868"/>
      <c r="B1100" s="774"/>
      <c r="C1100" s="816"/>
      <c r="G1100" s="799"/>
      <c r="H1100" s="283"/>
      <c r="I1100" s="868"/>
      <c r="J1100" s="774"/>
      <c r="K1100" s="816"/>
      <c r="O1100" s="799"/>
    </row>
    <row r="1101">
      <c r="A1101" s="815"/>
      <c r="B1101" s="792"/>
      <c r="C1101" s="816"/>
      <c r="G1101" s="799"/>
      <c r="H1101" s="283"/>
      <c r="I1101" s="815"/>
      <c r="J1101" s="792"/>
      <c r="K1101" s="816"/>
      <c r="O1101" s="799"/>
    </row>
    <row r="1102">
      <c r="A1102" s="817"/>
      <c r="B1102" s="774"/>
      <c r="C1102" s="818"/>
      <c r="G1102" s="799"/>
      <c r="H1102" s="283"/>
      <c r="I1102" s="817"/>
      <c r="J1102" s="774"/>
      <c r="K1102" s="818"/>
      <c r="O1102" s="799"/>
    </row>
    <row r="1103">
      <c r="A1103" s="817"/>
      <c r="B1103" s="792"/>
      <c r="C1103" s="818"/>
      <c r="G1103" s="799"/>
      <c r="H1103" s="283"/>
      <c r="I1103" s="817"/>
      <c r="J1103" s="792"/>
      <c r="K1103" s="818"/>
      <c r="O1103" s="799"/>
    </row>
    <row r="1104">
      <c r="A1104" s="821" t="s">
        <v>714</v>
      </c>
      <c r="B1104" s="822"/>
      <c r="C1104" s="823">
        <f>SUM(C1099:C1103)</f>
        <v>0</v>
      </c>
      <c r="G1104" s="799"/>
      <c r="H1104" s="283"/>
      <c r="I1104" s="821" t="s">
        <v>714</v>
      </c>
      <c r="J1104" s="826"/>
      <c r="K1104" s="827"/>
      <c r="O1104" s="799"/>
    </row>
    <row r="1105">
      <c r="A1105" s="828"/>
      <c r="C1105" s="829"/>
      <c r="G1105" s="799"/>
      <c r="H1105" s="283"/>
      <c r="I1105" s="828"/>
      <c r="K1105" s="829"/>
      <c r="O1105" s="799"/>
    </row>
    <row r="1106">
      <c r="A1106" s="830" t="s">
        <v>715</v>
      </c>
      <c r="B1106" s="831"/>
      <c r="C1106" s="832"/>
      <c r="G1106" s="799"/>
      <c r="H1106" s="283"/>
      <c r="I1106" s="833" t="s">
        <v>715</v>
      </c>
      <c r="J1106" s="834"/>
      <c r="K1106" s="835"/>
      <c r="O1106" s="799"/>
    </row>
    <row r="1107">
      <c r="A1107" s="836" t="s">
        <v>716</v>
      </c>
      <c r="B1107" s="837"/>
      <c r="C1107" s="838">
        <v>150.0</v>
      </c>
      <c r="G1107" s="799"/>
      <c r="H1107" s="283"/>
      <c r="I1107" s="839"/>
      <c r="J1107" s="840"/>
      <c r="K1107" s="841"/>
      <c r="O1107" s="799"/>
    </row>
    <row r="1108">
      <c r="A1108" s="842" t="s">
        <v>717</v>
      </c>
      <c r="B1108" s="843"/>
      <c r="C1108" s="844">
        <v>400.0</v>
      </c>
      <c r="D1108" s="248"/>
      <c r="E1108" s="845" t="s">
        <v>1182</v>
      </c>
      <c r="G1108" s="846">
        <f>G1096+C1104-C1113</f>
        <v>5546.8</v>
      </c>
      <c r="H1108" s="283"/>
      <c r="I1108" s="847"/>
      <c r="J1108" s="848"/>
      <c r="K1108" s="849"/>
      <c r="L1108" s="248"/>
      <c r="M1108" s="845" t="s">
        <v>1183</v>
      </c>
      <c r="O1108" s="846">
        <f>O1096+K1104-K1113</f>
        <v>2401.2</v>
      </c>
    </row>
    <row r="1109">
      <c r="A1109" s="836" t="s">
        <v>718</v>
      </c>
      <c r="B1109" s="837"/>
      <c r="C1109" s="838">
        <v>200.0</v>
      </c>
      <c r="G1109" s="799"/>
      <c r="H1109" s="283"/>
      <c r="I1109" s="847"/>
      <c r="J1109" s="848"/>
      <c r="K1109" s="849"/>
      <c r="O1109" s="799"/>
    </row>
    <row r="1110">
      <c r="A1110" s="842" t="s">
        <v>656</v>
      </c>
      <c r="B1110" s="843"/>
      <c r="C1110" s="844">
        <f>IFERROR(__xludf.DUMMYFUNCTION("FILTER($C$4:$C$30,$B$4:$B$30=E1088)"),2063.2)</f>
        <v>2063.2</v>
      </c>
      <c r="G1110" s="799"/>
      <c r="H1110" s="283"/>
      <c r="I1110" s="847"/>
      <c r="J1110" s="848"/>
      <c r="K1110" s="849"/>
      <c r="O1110" s="799"/>
    </row>
    <row r="1111">
      <c r="A1111" s="850" t="s">
        <v>1184</v>
      </c>
      <c r="B1111" s="851"/>
      <c r="C1111" s="852"/>
      <c r="E1111" s="248"/>
      <c r="G1111" s="799"/>
      <c r="H1111" s="283"/>
      <c r="I1111" s="847"/>
      <c r="J1111" s="848"/>
      <c r="K1111" s="849"/>
      <c r="M1111" s="248"/>
      <c r="O1111" s="799"/>
    </row>
    <row r="1112">
      <c r="A1112" s="847"/>
      <c r="B1112" s="848"/>
      <c r="C1112" s="849"/>
      <c r="G1112" s="799"/>
      <c r="H1112" s="283"/>
      <c r="I1112" s="847"/>
      <c r="J1112" s="848"/>
      <c r="K1112" s="849"/>
      <c r="O1112" s="799"/>
    </row>
    <row r="1113">
      <c r="A1113" s="853" t="s">
        <v>721</v>
      </c>
      <c r="B1113" s="854"/>
      <c r="C1113" s="855">
        <f>SUM(C1107:C1112)</f>
        <v>2813.2</v>
      </c>
      <c r="G1113" s="799"/>
      <c r="H1113" s="283"/>
      <c r="I1113" s="853" t="s">
        <v>721</v>
      </c>
      <c r="J1113" s="854"/>
      <c r="K1113" s="855"/>
      <c r="O1113" s="799"/>
    </row>
    <row r="1114">
      <c r="A1114" s="856"/>
      <c r="B1114" s="857"/>
      <c r="C1114" s="857"/>
      <c r="D1114" s="857"/>
      <c r="E1114" s="857"/>
      <c r="F1114" s="857"/>
      <c r="G1114" s="808"/>
      <c r="H1114" s="283"/>
      <c r="I1114" s="856"/>
      <c r="J1114" s="857"/>
      <c r="K1114" s="857"/>
      <c r="L1114" s="857"/>
      <c r="M1114" s="857"/>
      <c r="N1114" s="857"/>
      <c r="O1114" s="808"/>
    </row>
    <row r="1115">
      <c r="A1115" s="199"/>
      <c r="B1115" s="199"/>
      <c r="C1115" s="199"/>
      <c r="D1115" s="248"/>
      <c r="E1115" s="248"/>
      <c r="F1115" s="248"/>
      <c r="G1115" s="248"/>
      <c r="H1115" s="283"/>
      <c r="I1115" s="199"/>
      <c r="J1115" s="199"/>
      <c r="K1115" s="199"/>
      <c r="L1115" s="248"/>
      <c r="M1115" s="248"/>
      <c r="N1115" s="248"/>
      <c r="O1115" s="248"/>
    </row>
    <row r="1116">
      <c r="A1116" s="199"/>
      <c r="B1116" s="199"/>
      <c r="C1116" s="199"/>
      <c r="D1116" s="248"/>
      <c r="E1116" s="248"/>
      <c r="F1116" s="248"/>
      <c r="G1116" s="248"/>
      <c r="H1116" s="283"/>
      <c r="I1116" s="199"/>
      <c r="J1116" s="199"/>
      <c r="K1116" s="199"/>
      <c r="L1116" s="248"/>
      <c r="M1116" s="248"/>
      <c r="N1116" s="248"/>
      <c r="O1116" s="248"/>
    </row>
    <row r="1117">
      <c r="A1117" s="769"/>
      <c r="B1117" s="770"/>
      <c r="C1117" s="770"/>
      <c r="D1117" s="771" t="s">
        <v>700</v>
      </c>
      <c r="E1117" s="772" t="str">
        <f>E311</f>
        <v>12.01.2025-12.07.2025</v>
      </c>
      <c r="F1117" s="773"/>
      <c r="G1117" s="774"/>
      <c r="H1117" s="305">
        <v>33.0</v>
      </c>
      <c r="I1117" s="769"/>
      <c r="J1117" s="770"/>
      <c r="K1117" s="770"/>
      <c r="L1117" s="771" t="s">
        <v>700</v>
      </c>
      <c r="M1117" s="772" t="str">
        <f>E311</f>
        <v>12.01.2025-12.07.2025</v>
      </c>
      <c r="N1117" s="773"/>
      <c r="O1117" s="774"/>
    </row>
    <row r="1118">
      <c r="A1118" s="775"/>
      <c r="D1118" s="771" t="s">
        <v>702</v>
      </c>
      <c r="E1118" s="772" t="str">
        <f t="array" ref="E1118">XLOOKUP(E1119,$Q$972:$Q$1008,$R$972:$R$1008)</f>
        <v>FERHAT BAL</v>
      </c>
      <c r="F1118" s="773"/>
      <c r="G1118" s="774"/>
      <c r="H1118" s="283"/>
      <c r="I1118" s="775"/>
      <c r="L1118" s="771" t="s">
        <v>351</v>
      </c>
      <c r="M1118" s="772" t="str">
        <f t="array" ref="M1118">XLOOKUP(M1119,$L$1:$L$121,$K$1:$K$121)</f>
        <v>FERHAT BAL</v>
      </c>
      <c r="N1118" s="773"/>
      <c r="O1118" s="774"/>
    </row>
    <row r="1119">
      <c r="A1119" s="775"/>
      <c r="D1119" s="771" t="s">
        <v>703</v>
      </c>
      <c r="E1119" s="772">
        <v>6643.0</v>
      </c>
      <c r="F1119" s="773"/>
      <c r="G1119" s="774"/>
      <c r="H1119" s="858"/>
      <c r="I1119" s="775"/>
      <c r="L1119" s="771" t="s">
        <v>703</v>
      </c>
      <c r="M1119" s="772">
        <f>E1119</f>
        <v>6643</v>
      </c>
      <c r="N1119" s="773"/>
      <c r="O1119" s="774"/>
      <c r="P1119" s="777"/>
    </row>
    <row r="1120">
      <c r="A1120" s="779" t="s">
        <v>704</v>
      </c>
      <c r="B1120" s="779" t="s">
        <v>5</v>
      </c>
      <c r="C1120" s="779" t="s">
        <v>6</v>
      </c>
      <c r="D1120" s="779" t="s">
        <v>7</v>
      </c>
      <c r="E1120" s="779" t="s">
        <v>8</v>
      </c>
      <c r="F1120" s="779" t="s">
        <v>706</v>
      </c>
      <c r="G1120" s="779" t="s">
        <v>707</v>
      </c>
      <c r="H1120" s="34"/>
      <c r="I1120" s="779" t="s">
        <v>704</v>
      </c>
      <c r="J1120" s="779" t="s">
        <v>5</v>
      </c>
      <c r="K1120" s="779" t="s">
        <v>6</v>
      </c>
      <c r="L1120" s="779" t="s">
        <v>7</v>
      </c>
      <c r="M1120" s="779" t="s">
        <v>1178</v>
      </c>
      <c r="N1120" s="779" t="s">
        <v>839</v>
      </c>
      <c r="O1120" s="779" t="s">
        <v>707</v>
      </c>
    </row>
    <row r="1121">
      <c r="A1121" s="780">
        <f>IFERROR(__xludf.DUMMYFUNCTION("FILTER($D$3:$H$121,$L$3:$L$121=E1119)"),45993.0)</f>
        <v>45993</v>
      </c>
      <c r="B1121" s="781">
        <f>IFERROR(__xludf.DUMMYFUNCTION("""COMPUTED_VALUE"""),2175513.0)</f>
        <v>2175513</v>
      </c>
      <c r="C1121" s="781" t="str">
        <f>IFERROR(__xludf.DUMMYFUNCTION("""COMPUTED_VALUE"""),"Byhalia, MS, 38611")</f>
        <v>Byhalia, MS, 38611</v>
      </c>
      <c r="D1121" s="781" t="str">
        <f>IFERROR(__xludf.DUMMYFUNCTION("""COMPUTED_VALUE"""),"Prattville, AL, 36067")</f>
        <v>Prattville, AL, 36067</v>
      </c>
      <c r="E1121" s="782">
        <f>IFERROR(__xludf.DUMMYFUNCTION("""COMPUTED_VALUE"""),1250.0)</f>
        <v>1250</v>
      </c>
      <c r="F1121" s="783">
        <v>0.88</v>
      </c>
      <c r="G1121" s="782">
        <f t="shared" ref="G1121:G1126" si="61">E1121*F1121</f>
        <v>1100</v>
      </c>
      <c r="H1121" s="283"/>
      <c r="I1121" s="780">
        <f>IFERROR(__xludf.DUMMYFUNCTION("FILTER($D$3:$G$121,$L$3:$L$121=M1119)"),45993.0)</f>
        <v>45993</v>
      </c>
      <c r="J1121" s="781">
        <f>IFERROR(__xludf.DUMMYFUNCTION("""COMPUTED_VALUE"""),2175513.0)</f>
        <v>2175513</v>
      </c>
      <c r="K1121" s="781" t="str">
        <f>IFERROR(__xludf.DUMMYFUNCTION("""COMPUTED_VALUE"""),"Byhalia, MS, 38611")</f>
        <v>Byhalia, MS, 38611</v>
      </c>
      <c r="L1121" s="781" t="str">
        <f>IFERROR(__xludf.DUMMYFUNCTION("""COMPUTED_VALUE"""),"Prattville, AL, 36067")</f>
        <v>Prattville, AL, 36067</v>
      </c>
      <c r="M1121" s="880">
        <f>IFERROR(__xludf.DUMMYFUNCTION("FILTER($I$3:$I$121,$L$3:$L$121=M1119)"),303.0)</f>
        <v>303</v>
      </c>
      <c r="N1121" s="781">
        <v>0.6</v>
      </c>
      <c r="O1121" s="782">
        <f t="shared" ref="O1121:O1126" si="62">M1121*N1121</f>
        <v>181.8</v>
      </c>
    </row>
    <row r="1122">
      <c r="A1122" s="780">
        <f>IFERROR(__xludf.DUMMYFUNCTION("""COMPUTED_VALUE"""),45993.0)</f>
        <v>45993</v>
      </c>
      <c r="B1122" s="781">
        <f>IFERROR(__xludf.DUMMYFUNCTION("""COMPUTED_VALUE"""),2182447.0)</f>
        <v>2182447</v>
      </c>
      <c r="C1122" s="781" t="str">
        <f>IFERROR(__xludf.DUMMYFUNCTION("""COMPUTED_VALUE"""),"Olive Branch, MS, 38654")</f>
        <v>Olive Branch, MS, 38654</v>
      </c>
      <c r="D1122" s="781" t="str">
        <f>IFERROR(__xludf.DUMMYFUNCTION("""COMPUTED_VALUE"""),"Cypress, TX, 77433")</f>
        <v>Cypress, TX, 77433</v>
      </c>
      <c r="E1122" s="782">
        <f>IFERROR(__xludf.DUMMYFUNCTION("""COMPUTED_VALUE"""),150.0)</f>
        <v>150</v>
      </c>
      <c r="F1122" s="783">
        <v>0.88</v>
      </c>
      <c r="G1122" s="782">
        <f t="shared" si="61"/>
        <v>132</v>
      </c>
      <c r="H1122" s="283"/>
      <c r="I1122" s="780">
        <f>IFERROR(__xludf.DUMMYFUNCTION("""COMPUTED_VALUE"""),45993.0)</f>
        <v>45993</v>
      </c>
      <c r="J1122" s="781">
        <f>IFERROR(__xludf.DUMMYFUNCTION("""COMPUTED_VALUE"""),2182447.0)</f>
        <v>2182447</v>
      </c>
      <c r="K1122" s="781" t="str">
        <f>IFERROR(__xludf.DUMMYFUNCTION("""COMPUTED_VALUE"""),"Olive Branch, MS, 38654")</f>
        <v>Olive Branch, MS, 38654</v>
      </c>
      <c r="L1122" s="781" t="str">
        <f>IFERROR(__xludf.DUMMYFUNCTION("""COMPUTED_VALUE"""),"Cypress, TX, 77433")</f>
        <v>Cypress, TX, 77433</v>
      </c>
      <c r="M1122" s="880">
        <f>IFERROR(__xludf.DUMMYFUNCTION("""COMPUTED_VALUE"""),88.0)</f>
        <v>88</v>
      </c>
      <c r="N1122" s="781">
        <v>0.6</v>
      </c>
      <c r="O1122" s="782">
        <f t="shared" si="62"/>
        <v>52.8</v>
      </c>
    </row>
    <row r="1123">
      <c r="A1123" s="883">
        <f>IFERROR(__xludf.DUMMYFUNCTION("""COMPUTED_VALUE"""),45994.0)</f>
        <v>45994</v>
      </c>
      <c r="B1123" s="786">
        <f>IFERROR(__xludf.DUMMYFUNCTION("""COMPUTED_VALUE"""),2891394.0)</f>
        <v>2891394</v>
      </c>
      <c r="C1123" s="786" t="str">
        <f>IFERROR(__xludf.DUMMYFUNCTION("""COMPUTED_VALUE"""),"Wetumpka, AL, 36092")</f>
        <v>Wetumpka, AL, 36092</v>
      </c>
      <c r="D1123" s="786" t="str">
        <f>IFERROR(__xludf.DUMMYFUNCTION("""COMPUTED_VALUE"""),"Memphis, TN, 38118")</f>
        <v>Memphis, TN, 38118</v>
      </c>
      <c r="E1123" s="884">
        <f>IFERROR(__xludf.DUMMYFUNCTION("""COMPUTED_VALUE"""),685.0)</f>
        <v>685</v>
      </c>
      <c r="F1123" s="783">
        <v>0.88</v>
      </c>
      <c r="G1123" s="782">
        <f t="shared" si="61"/>
        <v>602.8</v>
      </c>
      <c r="H1123" s="283"/>
      <c r="I1123" s="780">
        <f>IFERROR(__xludf.DUMMYFUNCTION("""COMPUTED_VALUE"""),45994.0)</f>
        <v>45994</v>
      </c>
      <c r="J1123" s="781">
        <f>IFERROR(__xludf.DUMMYFUNCTION("""COMPUTED_VALUE"""),2891394.0)</f>
        <v>2891394</v>
      </c>
      <c r="K1123" s="781" t="str">
        <f>IFERROR(__xludf.DUMMYFUNCTION("""COMPUTED_VALUE"""),"Wetumpka, AL, 36092")</f>
        <v>Wetumpka, AL, 36092</v>
      </c>
      <c r="L1123" s="781" t="str">
        <f>IFERROR(__xludf.DUMMYFUNCTION("""COMPUTED_VALUE"""),"Memphis, TN, 38118")</f>
        <v>Memphis, TN, 38118</v>
      </c>
      <c r="M1123" s="880">
        <f>IFERROR(__xludf.DUMMYFUNCTION("""COMPUTED_VALUE"""),337.0)</f>
        <v>337</v>
      </c>
      <c r="N1123" s="781">
        <v>0.6</v>
      </c>
      <c r="O1123" s="782">
        <f t="shared" si="62"/>
        <v>202.2</v>
      </c>
    </row>
    <row r="1124">
      <c r="A1124" s="883">
        <f>IFERROR(__xludf.DUMMYFUNCTION("""COMPUTED_VALUE"""),45995.0)</f>
        <v>45995</v>
      </c>
      <c r="B1124" s="786">
        <f>IFERROR(__xludf.DUMMYFUNCTION("""COMPUTED_VALUE"""),2183669.0)</f>
        <v>2183669</v>
      </c>
      <c r="C1124" s="786" t="str">
        <f>IFERROR(__xludf.DUMMYFUNCTION("""COMPUTED_VALUE"""),", MS, 38879")</f>
        <v>, MS, 38879</v>
      </c>
      <c r="D1124" s="786" t="str">
        <f>IFERROR(__xludf.DUMMYFUNCTION("""COMPUTED_VALUE"""),"Dallas, TX, 75232")</f>
        <v>Dallas, TX, 75232</v>
      </c>
      <c r="E1124" s="884">
        <f>IFERROR(__xludf.DUMMYFUNCTION("""COMPUTED_VALUE"""),1450.0)</f>
        <v>1450</v>
      </c>
      <c r="F1124" s="783">
        <v>0.88</v>
      </c>
      <c r="G1124" s="782">
        <f t="shared" si="61"/>
        <v>1276</v>
      </c>
      <c r="H1124" s="283"/>
      <c r="I1124" s="883">
        <f>IFERROR(__xludf.DUMMYFUNCTION("""COMPUTED_VALUE"""),45995.0)</f>
        <v>45995</v>
      </c>
      <c r="J1124" s="786">
        <f>IFERROR(__xludf.DUMMYFUNCTION("""COMPUTED_VALUE"""),2183669.0)</f>
        <v>2183669</v>
      </c>
      <c r="K1124" s="786" t="str">
        <f>IFERROR(__xludf.DUMMYFUNCTION("""COMPUTED_VALUE"""),", MS, 38879")</f>
        <v>, MS, 38879</v>
      </c>
      <c r="L1124" s="786" t="str">
        <f>IFERROR(__xludf.DUMMYFUNCTION("""COMPUTED_VALUE"""),"Dallas, TX, 75232")</f>
        <v>Dallas, TX, 75232</v>
      </c>
      <c r="M1124" s="880">
        <f>IFERROR(__xludf.DUMMYFUNCTION("""COMPUTED_VALUE"""),645.0)</f>
        <v>645</v>
      </c>
      <c r="N1124" s="781">
        <v>0.6</v>
      </c>
      <c r="O1124" s="782">
        <f t="shared" si="62"/>
        <v>387</v>
      </c>
    </row>
    <row r="1125">
      <c r="A1125" s="883">
        <f>IFERROR(__xludf.DUMMYFUNCTION("""COMPUTED_VALUE"""),45996.0)</f>
        <v>45996</v>
      </c>
      <c r="B1125" s="786">
        <f>IFERROR(__xludf.DUMMYFUNCTION("""COMPUTED_VALUE"""),2173184.0)</f>
        <v>2173184</v>
      </c>
      <c r="C1125" s="786" t="str">
        <f>IFERROR(__xludf.DUMMYFUNCTION("""COMPUTED_VALUE"""),"Byhalia, MS, 38611")</f>
        <v>Byhalia, MS, 38611</v>
      </c>
      <c r="D1125" s="786" t="str">
        <f>IFERROR(__xludf.DUMMYFUNCTION("""COMPUTED_VALUE"""),"Hanover, MD, 21076")</f>
        <v>Hanover, MD, 21076</v>
      </c>
      <c r="E1125" s="884">
        <f>IFERROR(__xludf.DUMMYFUNCTION("""COMPUTED_VALUE"""),3100.0)</f>
        <v>3100</v>
      </c>
      <c r="F1125" s="783">
        <v>0.88</v>
      </c>
      <c r="G1125" s="782">
        <f t="shared" si="61"/>
        <v>2728</v>
      </c>
      <c r="H1125" s="283"/>
      <c r="I1125" s="883">
        <f>IFERROR(__xludf.DUMMYFUNCTION("""COMPUTED_VALUE"""),45996.0)</f>
        <v>45996</v>
      </c>
      <c r="J1125" s="786">
        <f>IFERROR(__xludf.DUMMYFUNCTION("""COMPUTED_VALUE"""),2173184.0)</f>
        <v>2173184</v>
      </c>
      <c r="K1125" s="786" t="str">
        <f>IFERROR(__xludf.DUMMYFUNCTION("""COMPUTED_VALUE"""),"Byhalia, MS, 38611")</f>
        <v>Byhalia, MS, 38611</v>
      </c>
      <c r="L1125" s="786" t="str">
        <f>IFERROR(__xludf.DUMMYFUNCTION("""COMPUTED_VALUE"""),"Hanover, MD, 21076")</f>
        <v>Hanover, MD, 21076</v>
      </c>
      <c r="M1125" s="880">
        <f>IFERROR(__xludf.DUMMYFUNCTION("""COMPUTED_VALUE"""),951.0)</f>
        <v>951</v>
      </c>
      <c r="N1125" s="781">
        <v>0.6</v>
      </c>
      <c r="O1125" s="782">
        <f t="shared" si="62"/>
        <v>570.6</v>
      </c>
    </row>
    <row r="1126">
      <c r="A1126" s="883">
        <f>IFERROR(__xludf.DUMMYFUNCTION("""COMPUTED_VALUE"""),45996.0)</f>
        <v>45996</v>
      </c>
      <c r="B1126" s="786">
        <f>IFERROR(__xludf.DUMMYFUNCTION("""COMPUTED_VALUE"""),239576.0)</f>
        <v>239576</v>
      </c>
      <c r="C1126" s="786" t="str">
        <f>IFERROR(__xludf.DUMMYFUNCTION("""COMPUTED_VALUE"""),"Hawkins, TX, 75765")</f>
        <v>Hawkins, TX, 75765</v>
      </c>
      <c r="D1126" s="928" t="str">
        <f>IFERROR(__xludf.DUMMYFUNCTION("""COMPUTED_VALUE"""),"New Albany, MS, 38652")</f>
        <v>New Albany, MS, 38652</v>
      </c>
      <c r="E1126" s="884">
        <f>IFERROR(__xludf.DUMMYFUNCTION("""COMPUTED_VALUE"""),1200.0)</f>
        <v>1200</v>
      </c>
      <c r="F1126" s="783">
        <v>0.88</v>
      </c>
      <c r="G1126" s="782">
        <f t="shared" si="61"/>
        <v>1056</v>
      </c>
      <c r="H1126" s="283"/>
      <c r="I1126" s="883">
        <f>IFERROR(__xludf.DUMMYFUNCTION("""COMPUTED_VALUE"""),45996.0)</f>
        <v>45996</v>
      </c>
      <c r="J1126" s="786">
        <f>IFERROR(__xludf.DUMMYFUNCTION("""COMPUTED_VALUE"""),239576.0)</f>
        <v>239576</v>
      </c>
      <c r="K1126" s="786" t="str">
        <f>IFERROR(__xludf.DUMMYFUNCTION("""COMPUTED_VALUE"""),"Hawkins, TX, 75765")</f>
        <v>Hawkins, TX, 75765</v>
      </c>
      <c r="L1126" s="928" t="str">
        <f>IFERROR(__xludf.DUMMYFUNCTION("""COMPUTED_VALUE"""),"New Albany, MS, 38652")</f>
        <v>New Albany, MS, 38652</v>
      </c>
      <c r="M1126" s="880">
        <f>IFERROR(__xludf.DUMMYFUNCTION("""COMPUTED_VALUE"""),564.0)</f>
        <v>564</v>
      </c>
      <c r="N1126" s="781">
        <v>0.6</v>
      </c>
      <c r="O1126" s="782">
        <f t="shared" si="62"/>
        <v>338.4</v>
      </c>
    </row>
    <row r="1127">
      <c r="A1127" s="790" t="s">
        <v>711</v>
      </c>
      <c r="B1127" s="791"/>
      <c r="C1127" s="791"/>
      <c r="D1127" s="792"/>
      <c r="E1127" s="793">
        <f>SUM(E1121:E1126)</f>
        <v>7835</v>
      </c>
      <c r="F1127" s="794"/>
      <c r="G1127" s="793">
        <f>SUM(G1121:G1126)</f>
        <v>6894.8</v>
      </c>
      <c r="H1127" s="283"/>
      <c r="I1127" s="790" t="s">
        <v>711</v>
      </c>
      <c r="J1127" s="791"/>
      <c r="K1127" s="791"/>
      <c r="L1127" s="792"/>
      <c r="M1127" s="877">
        <f>SUM(M1121:M1126)</f>
        <v>2888</v>
      </c>
      <c r="N1127" s="794"/>
      <c r="O1127" s="793">
        <f>SUM(O1121:O1126)</f>
        <v>1732.8</v>
      </c>
    </row>
    <row r="1128">
      <c r="A1128" s="796"/>
      <c r="D1128" s="798"/>
      <c r="G1128" s="799"/>
      <c r="H1128" s="283"/>
      <c r="I1128" s="796"/>
      <c r="L1128" s="798"/>
      <c r="O1128" s="799"/>
    </row>
    <row r="1129">
      <c r="A1129" s="800" t="s">
        <v>712</v>
      </c>
      <c r="B1129" s="801"/>
      <c r="C1129" s="802"/>
      <c r="G1129" s="799"/>
      <c r="H1129" s="283"/>
      <c r="I1129" s="800" t="s">
        <v>712</v>
      </c>
      <c r="J1129" s="803"/>
      <c r="K1129" s="804"/>
      <c r="O1129" s="799"/>
    </row>
    <row r="1130">
      <c r="A1130" s="867"/>
      <c r="B1130" s="808"/>
      <c r="C1130" s="809"/>
      <c r="G1130" s="799"/>
      <c r="H1130" s="283"/>
      <c r="I1130" s="867"/>
      <c r="J1130" s="808"/>
      <c r="K1130" s="809"/>
      <c r="O1130" s="799"/>
    </row>
    <row r="1131">
      <c r="A1131" s="868"/>
      <c r="B1131" s="774"/>
      <c r="C1131" s="816"/>
      <c r="G1131" s="799"/>
      <c r="H1131" s="283"/>
      <c r="I1131" s="868"/>
      <c r="J1131" s="774"/>
      <c r="K1131" s="816"/>
      <c r="O1131" s="799"/>
    </row>
    <row r="1132">
      <c r="A1132" s="815"/>
      <c r="B1132" s="792"/>
      <c r="C1132" s="816"/>
      <c r="G1132" s="799"/>
      <c r="H1132" s="283"/>
      <c r="I1132" s="815"/>
      <c r="J1132" s="792"/>
      <c r="K1132" s="816"/>
      <c r="O1132" s="799"/>
    </row>
    <row r="1133">
      <c r="A1133" s="817"/>
      <c r="B1133" s="774"/>
      <c r="C1133" s="818"/>
      <c r="G1133" s="799"/>
      <c r="H1133" s="283"/>
      <c r="I1133" s="817"/>
      <c r="J1133" s="774"/>
      <c r="K1133" s="818"/>
      <c r="O1133" s="799"/>
    </row>
    <row r="1134">
      <c r="A1134" s="817"/>
      <c r="B1134" s="792"/>
      <c r="C1134" s="818"/>
      <c r="G1134" s="799"/>
      <c r="H1134" s="283"/>
      <c r="I1134" s="817"/>
      <c r="J1134" s="792"/>
      <c r="K1134" s="818"/>
      <c r="O1134" s="799"/>
    </row>
    <row r="1135">
      <c r="A1135" s="821" t="s">
        <v>714</v>
      </c>
      <c r="B1135" s="822"/>
      <c r="C1135" s="823">
        <f>SUM(C1130:C1134)</f>
        <v>0</v>
      </c>
      <c r="G1135" s="799"/>
      <c r="H1135" s="283"/>
      <c r="I1135" s="821" t="s">
        <v>714</v>
      </c>
      <c r="J1135" s="826"/>
      <c r="K1135" s="827"/>
      <c r="O1135" s="799"/>
    </row>
    <row r="1136">
      <c r="A1136" s="828"/>
      <c r="C1136" s="829"/>
      <c r="G1136" s="799"/>
      <c r="H1136" s="283"/>
      <c r="I1136" s="828"/>
      <c r="K1136" s="829"/>
      <c r="O1136" s="799"/>
    </row>
    <row r="1137">
      <c r="A1137" s="830" t="s">
        <v>715</v>
      </c>
      <c r="B1137" s="831"/>
      <c r="C1137" s="832"/>
      <c r="G1137" s="799"/>
      <c r="H1137" s="283"/>
      <c r="I1137" s="833" t="s">
        <v>715</v>
      </c>
      <c r="J1137" s="834"/>
      <c r="K1137" s="835"/>
      <c r="O1137" s="799"/>
    </row>
    <row r="1138">
      <c r="A1138" s="836" t="s">
        <v>716</v>
      </c>
      <c r="B1138" s="837"/>
      <c r="C1138" s="838">
        <v>150.0</v>
      </c>
      <c r="G1138" s="799"/>
      <c r="H1138" s="283"/>
      <c r="I1138" s="839"/>
      <c r="J1138" s="840"/>
      <c r="K1138" s="841"/>
      <c r="O1138" s="799"/>
    </row>
    <row r="1139">
      <c r="A1139" s="842" t="s">
        <v>717</v>
      </c>
      <c r="B1139" s="843"/>
      <c r="C1139" s="844">
        <v>400.0</v>
      </c>
      <c r="D1139" s="248"/>
      <c r="E1139" s="845" t="s">
        <v>1182</v>
      </c>
      <c r="G1139" s="846">
        <f>G1127+C1135-C1144</f>
        <v>4549.19</v>
      </c>
      <c r="H1139" s="283"/>
      <c r="I1139" s="847"/>
      <c r="J1139" s="848"/>
      <c r="K1139" s="849"/>
      <c r="L1139" s="248"/>
      <c r="M1139" s="845" t="s">
        <v>1183</v>
      </c>
      <c r="O1139" s="846">
        <f>O1127+K1135-K1144</f>
        <v>1732.8</v>
      </c>
    </row>
    <row r="1140">
      <c r="A1140" s="836" t="s">
        <v>718</v>
      </c>
      <c r="B1140" s="837"/>
      <c r="C1140" s="838">
        <v>200.0</v>
      </c>
      <c r="G1140" s="799"/>
      <c r="H1140" s="283"/>
      <c r="I1140" s="847"/>
      <c r="J1140" s="848"/>
      <c r="K1140" s="849"/>
      <c r="O1140" s="799"/>
    </row>
    <row r="1141">
      <c r="A1141" s="842" t="s">
        <v>656</v>
      </c>
      <c r="B1141" s="843"/>
      <c r="C1141" s="844">
        <f>IFERROR(__xludf.DUMMYFUNCTION("FILTER($C$4:$C$30,$B$4:$B$30=E1119)"),1595.61)</f>
        <v>1595.61</v>
      </c>
      <c r="G1141" s="799"/>
      <c r="H1141" s="283"/>
      <c r="I1141" s="847"/>
      <c r="J1141" s="848"/>
      <c r="K1141" s="849"/>
      <c r="O1141" s="799"/>
    </row>
    <row r="1142">
      <c r="A1142" s="850" t="s">
        <v>1184</v>
      </c>
      <c r="B1142" s="851"/>
      <c r="C1142" s="852"/>
      <c r="E1142" s="248"/>
      <c r="G1142" s="799"/>
      <c r="H1142" s="283"/>
      <c r="I1142" s="847"/>
      <c r="J1142" s="848"/>
      <c r="K1142" s="849"/>
      <c r="M1142" s="248"/>
      <c r="O1142" s="799"/>
    </row>
    <row r="1143">
      <c r="A1143" s="847"/>
      <c r="B1143" s="848"/>
      <c r="C1143" s="849"/>
      <c r="G1143" s="799"/>
      <c r="H1143" s="283"/>
      <c r="I1143" s="847"/>
      <c r="J1143" s="848"/>
      <c r="K1143" s="849"/>
      <c r="O1143" s="799"/>
    </row>
    <row r="1144">
      <c r="A1144" s="853" t="s">
        <v>721</v>
      </c>
      <c r="B1144" s="854"/>
      <c r="C1144" s="855">
        <f>SUM(C1138:C1143)</f>
        <v>2345.61</v>
      </c>
      <c r="G1144" s="799"/>
      <c r="H1144" s="283"/>
      <c r="I1144" s="853" t="s">
        <v>721</v>
      </c>
      <c r="J1144" s="854"/>
      <c r="K1144" s="855"/>
      <c r="O1144" s="799"/>
    </row>
    <row r="1145">
      <c r="A1145" s="856"/>
      <c r="B1145" s="857"/>
      <c r="C1145" s="857"/>
      <c r="D1145" s="857"/>
      <c r="E1145" s="857"/>
      <c r="F1145" s="857"/>
      <c r="G1145" s="808"/>
      <c r="H1145" s="283"/>
      <c r="I1145" s="856"/>
      <c r="J1145" s="857"/>
      <c r="K1145" s="857"/>
      <c r="L1145" s="857"/>
      <c r="M1145" s="857"/>
      <c r="N1145" s="857"/>
      <c r="O1145" s="808"/>
    </row>
    <row r="1146">
      <c r="A1146" s="199"/>
      <c r="B1146" s="199"/>
      <c r="C1146" s="199"/>
      <c r="D1146" s="248"/>
      <c r="E1146" s="248"/>
      <c r="F1146" s="248"/>
      <c r="G1146" s="248"/>
      <c r="H1146" s="283"/>
      <c r="I1146" s="199"/>
      <c r="J1146" s="199"/>
      <c r="K1146" s="199"/>
      <c r="L1146" s="248"/>
      <c r="M1146" s="248"/>
      <c r="N1146" s="248"/>
      <c r="O1146" s="248"/>
    </row>
    <row r="1147">
      <c r="A1147" s="199"/>
      <c r="B1147" s="199"/>
      <c r="C1147" s="199"/>
      <c r="D1147" s="248"/>
      <c r="E1147" s="248"/>
      <c r="F1147" s="248"/>
      <c r="G1147" s="248"/>
      <c r="H1147" s="283"/>
      <c r="I1147" s="199"/>
      <c r="J1147" s="199"/>
      <c r="K1147" s="199"/>
      <c r="L1147" s="248"/>
      <c r="M1147" s="248"/>
      <c r="N1147" s="248"/>
      <c r="O1147" s="248"/>
    </row>
    <row r="1148">
      <c r="A1148" s="199"/>
      <c r="B1148" s="199"/>
      <c r="C1148" s="199"/>
      <c r="D1148" s="248"/>
      <c r="E1148" s="248"/>
      <c r="F1148" s="248"/>
      <c r="G1148" s="248"/>
      <c r="H1148" s="283"/>
      <c r="I1148" s="199"/>
      <c r="J1148" s="199"/>
      <c r="K1148" s="199"/>
      <c r="L1148" s="248"/>
      <c r="M1148" s="248"/>
      <c r="N1148" s="248"/>
      <c r="O1148" s="248"/>
    </row>
    <row r="1149">
      <c r="A1149" s="199"/>
      <c r="B1149" s="199"/>
      <c r="C1149" s="199"/>
      <c r="D1149" s="248"/>
      <c r="E1149" s="248"/>
      <c r="F1149" s="248"/>
      <c r="G1149" s="248"/>
      <c r="H1149" s="283"/>
      <c r="I1149" s="199"/>
      <c r="J1149" s="199"/>
      <c r="K1149" s="199"/>
      <c r="L1149" s="248"/>
      <c r="M1149" s="248"/>
      <c r="N1149" s="248"/>
      <c r="O1149" s="248"/>
    </row>
    <row r="1150">
      <c r="A1150" s="199"/>
      <c r="B1150" s="199"/>
      <c r="C1150" s="199"/>
      <c r="D1150" s="248"/>
      <c r="E1150" s="248"/>
      <c r="F1150" s="248"/>
      <c r="G1150" s="248"/>
      <c r="H1150" s="283"/>
      <c r="I1150" s="199"/>
      <c r="J1150" s="199"/>
      <c r="K1150" s="199"/>
      <c r="L1150" s="248"/>
      <c r="M1150" s="248"/>
      <c r="N1150" s="248"/>
      <c r="O1150" s="248"/>
    </row>
    <row r="1151">
      <c r="A1151" s="199"/>
      <c r="B1151" s="199"/>
      <c r="C1151" s="199"/>
      <c r="D1151" s="248"/>
      <c r="E1151" s="248"/>
      <c r="F1151" s="248"/>
      <c r="G1151" s="248"/>
      <c r="H1151" s="283"/>
      <c r="I1151" s="199"/>
      <c r="J1151" s="199"/>
      <c r="K1151" s="199"/>
      <c r="L1151" s="248"/>
      <c r="M1151" s="248"/>
      <c r="N1151" s="248"/>
      <c r="O1151" s="248"/>
    </row>
    <row r="1152">
      <c r="A1152" s="199"/>
      <c r="B1152" s="199"/>
      <c r="C1152" s="199"/>
      <c r="D1152" s="248"/>
      <c r="E1152" s="248"/>
      <c r="F1152" s="248"/>
      <c r="G1152" s="248"/>
      <c r="H1152" s="283"/>
      <c r="I1152" s="199"/>
      <c r="J1152" s="199"/>
      <c r="K1152" s="199"/>
      <c r="L1152" s="248"/>
      <c r="M1152" s="248"/>
      <c r="N1152" s="248"/>
      <c r="O1152" s="248"/>
    </row>
    <row r="1153">
      <c r="A1153" s="199"/>
      <c r="B1153" s="199"/>
      <c r="C1153" s="199"/>
      <c r="D1153" s="248"/>
      <c r="E1153" s="248"/>
      <c r="F1153" s="248"/>
      <c r="G1153" s="248"/>
      <c r="H1153" s="283"/>
      <c r="I1153" s="199"/>
      <c r="J1153" s="199"/>
      <c r="K1153" s="199"/>
      <c r="L1153" s="248"/>
      <c r="M1153" s="248"/>
      <c r="N1153" s="248"/>
      <c r="O1153" s="248"/>
    </row>
    <row r="1154">
      <c r="A1154" s="199"/>
      <c r="B1154" s="199"/>
      <c r="C1154" s="199"/>
      <c r="D1154" s="248"/>
      <c r="E1154" s="248"/>
      <c r="F1154" s="248"/>
      <c r="G1154" s="248"/>
      <c r="H1154" s="283"/>
      <c r="I1154" s="199"/>
      <c r="J1154" s="199"/>
      <c r="K1154" s="199"/>
      <c r="L1154" s="248"/>
      <c r="M1154" s="248"/>
      <c r="N1154" s="248"/>
      <c r="O1154" s="248"/>
    </row>
    <row r="1155">
      <c r="A1155" s="199"/>
      <c r="B1155" s="199"/>
      <c r="C1155" s="199"/>
      <c r="D1155" s="248"/>
      <c r="E1155" s="248"/>
      <c r="F1155" s="248"/>
      <c r="G1155" s="248"/>
      <c r="H1155" s="283"/>
      <c r="I1155" s="199"/>
      <c r="J1155" s="199"/>
      <c r="K1155" s="199"/>
      <c r="L1155" s="248"/>
      <c r="M1155" s="248"/>
      <c r="N1155" s="248"/>
      <c r="O1155" s="248"/>
    </row>
    <row r="1156">
      <c r="A1156" s="199"/>
      <c r="B1156" s="199"/>
      <c r="C1156" s="199"/>
      <c r="D1156" s="248"/>
      <c r="E1156" s="248"/>
      <c r="F1156" s="248"/>
      <c r="G1156" s="248"/>
      <c r="H1156" s="283"/>
      <c r="I1156" s="199"/>
      <c r="J1156" s="199"/>
      <c r="K1156" s="199"/>
      <c r="L1156" s="248"/>
      <c r="M1156" s="248"/>
      <c r="N1156" s="248"/>
      <c r="O1156" s="248"/>
    </row>
    <row r="1157">
      <c r="A1157" s="199"/>
      <c r="B1157" s="199"/>
      <c r="C1157" s="199"/>
      <c r="D1157" s="248"/>
      <c r="E1157" s="248"/>
      <c r="F1157" s="248"/>
      <c r="G1157" s="248"/>
      <c r="H1157" s="283"/>
      <c r="I1157" s="199"/>
      <c r="J1157" s="199"/>
      <c r="K1157" s="199"/>
      <c r="L1157" s="248"/>
      <c r="M1157" s="248"/>
      <c r="N1157" s="248"/>
      <c r="O1157" s="248"/>
    </row>
    <row r="1158">
      <c r="A1158" s="199"/>
      <c r="B1158" s="199"/>
      <c r="C1158" s="199"/>
      <c r="D1158" s="248"/>
      <c r="E1158" s="248"/>
      <c r="F1158" s="248"/>
      <c r="G1158" s="248"/>
      <c r="H1158" s="283"/>
      <c r="I1158" s="199"/>
      <c r="J1158" s="199"/>
      <c r="K1158" s="199"/>
      <c r="L1158" s="248"/>
      <c r="M1158" s="248"/>
      <c r="N1158" s="248"/>
      <c r="O1158" s="248"/>
    </row>
    <row r="1159">
      <c r="A1159" s="199"/>
      <c r="B1159" s="199"/>
      <c r="C1159" s="199"/>
      <c r="D1159" s="248"/>
      <c r="E1159" s="248"/>
      <c r="F1159" s="248"/>
      <c r="G1159" s="248"/>
      <c r="H1159" s="283"/>
      <c r="I1159" s="199"/>
      <c r="J1159" s="199"/>
      <c r="K1159" s="199"/>
      <c r="L1159" s="248"/>
      <c r="M1159" s="248"/>
      <c r="N1159" s="248"/>
      <c r="O1159" s="248"/>
    </row>
    <row r="1160">
      <c r="A1160" s="199"/>
      <c r="B1160" s="199"/>
      <c r="C1160" s="199"/>
      <c r="D1160" s="248"/>
      <c r="E1160" s="248"/>
      <c r="F1160" s="248"/>
      <c r="G1160" s="248"/>
      <c r="H1160" s="283"/>
      <c r="I1160" s="199"/>
      <c r="J1160" s="199"/>
      <c r="K1160" s="199"/>
      <c r="L1160" s="248"/>
      <c r="M1160" s="248"/>
      <c r="N1160" s="248"/>
      <c r="O1160" s="248"/>
    </row>
    <row r="1161">
      <c r="A1161" s="199"/>
      <c r="B1161" s="199"/>
      <c r="C1161" s="199"/>
      <c r="D1161" s="248"/>
      <c r="E1161" s="248"/>
      <c r="F1161" s="248"/>
      <c r="G1161" s="248"/>
      <c r="H1161" s="283"/>
      <c r="I1161" s="199"/>
      <c r="J1161" s="199"/>
      <c r="K1161" s="199"/>
      <c r="L1161" s="248"/>
      <c r="M1161" s="248"/>
      <c r="N1161" s="248"/>
      <c r="O1161" s="248"/>
    </row>
    <row r="1162">
      <c r="A1162" s="199"/>
      <c r="B1162" s="199"/>
      <c r="C1162" s="199"/>
      <c r="D1162" s="248"/>
      <c r="E1162" s="248"/>
      <c r="F1162" s="248"/>
      <c r="G1162" s="248"/>
      <c r="H1162" s="283"/>
      <c r="I1162" s="199"/>
      <c r="J1162" s="199"/>
      <c r="K1162" s="199"/>
      <c r="L1162" s="248"/>
      <c r="M1162" s="248"/>
      <c r="N1162" s="248"/>
      <c r="O1162" s="248"/>
    </row>
    <row r="1163">
      <c r="A1163" s="199"/>
      <c r="B1163" s="199"/>
      <c r="C1163" s="199"/>
      <c r="D1163" s="248"/>
      <c r="E1163" s="248"/>
      <c r="F1163" s="248"/>
      <c r="G1163" s="248"/>
      <c r="H1163" s="283"/>
      <c r="I1163" s="199"/>
      <c r="J1163" s="199"/>
      <c r="K1163" s="199"/>
      <c r="L1163" s="248"/>
      <c r="M1163" s="248"/>
      <c r="N1163" s="248"/>
      <c r="O1163" s="248"/>
    </row>
    <row r="1164">
      <c r="A1164" s="199"/>
      <c r="B1164" s="199"/>
      <c r="C1164" s="199"/>
      <c r="D1164" s="248"/>
      <c r="E1164" s="248"/>
      <c r="F1164" s="248"/>
      <c r="G1164" s="248"/>
      <c r="H1164" s="283"/>
      <c r="I1164" s="199"/>
      <c r="J1164" s="199"/>
      <c r="K1164" s="199"/>
      <c r="L1164" s="248"/>
      <c r="M1164" s="248"/>
      <c r="N1164" s="248"/>
      <c r="O1164" s="248"/>
    </row>
    <row r="1165">
      <c r="A1165" s="199"/>
      <c r="B1165" s="199"/>
      <c r="C1165" s="199"/>
      <c r="D1165" s="248"/>
      <c r="E1165" s="248"/>
      <c r="F1165" s="248"/>
      <c r="G1165" s="248"/>
      <c r="H1165" s="283"/>
      <c r="I1165" s="199"/>
      <c r="J1165" s="199"/>
      <c r="K1165" s="199"/>
      <c r="L1165" s="248"/>
      <c r="M1165" s="248"/>
      <c r="N1165" s="248"/>
      <c r="O1165" s="248"/>
    </row>
    <row r="1166">
      <c r="A1166" s="199"/>
      <c r="B1166" s="199"/>
      <c r="C1166" s="199"/>
      <c r="D1166" s="248"/>
      <c r="E1166" s="248"/>
      <c r="F1166" s="248"/>
      <c r="G1166" s="248"/>
      <c r="H1166" s="283"/>
      <c r="I1166" s="199"/>
      <c r="J1166" s="199"/>
      <c r="K1166" s="199"/>
      <c r="L1166" s="248"/>
      <c r="M1166" s="248"/>
      <c r="N1166" s="248"/>
      <c r="O1166" s="248"/>
    </row>
    <row r="1167">
      <c r="A1167" s="199"/>
      <c r="B1167" s="199"/>
      <c r="C1167" s="199"/>
      <c r="D1167" s="248"/>
      <c r="E1167" s="248"/>
      <c r="F1167" s="248"/>
      <c r="G1167" s="248"/>
      <c r="H1167" s="283"/>
      <c r="I1167" s="199"/>
      <c r="J1167" s="199"/>
      <c r="K1167" s="199"/>
      <c r="L1167" s="248"/>
      <c r="M1167" s="248"/>
      <c r="N1167" s="248"/>
      <c r="O1167" s="248"/>
    </row>
    <row r="1168">
      <c r="A1168" s="199"/>
      <c r="B1168" s="199"/>
      <c r="C1168" s="199"/>
      <c r="D1168" s="248"/>
      <c r="E1168" s="248"/>
      <c r="F1168" s="248"/>
      <c r="G1168" s="248"/>
      <c r="H1168" s="283"/>
      <c r="I1168" s="199"/>
      <c r="J1168" s="199"/>
      <c r="K1168" s="199"/>
      <c r="L1168" s="248"/>
      <c r="M1168" s="248"/>
      <c r="N1168" s="248"/>
      <c r="O1168" s="248"/>
    </row>
    <row r="1169">
      <c r="A1169" s="199"/>
      <c r="B1169" s="199"/>
      <c r="C1169" s="199"/>
      <c r="D1169" s="248"/>
      <c r="E1169" s="248"/>
      <c r="F1169" s="248"/>
      <c r="G1169" s="248"/>
      <c r="H1169" s="283"/>
      <c r="I1169" s="199"/>
      <c r="J1169" s="199"/>
      <c r="K1169" s="199"/>
      <c r="L1169" s="248"/>
      <c r="M1169" s="248"/>
      <c r="N1169" s="248"/>
      <c r="O1169" s="248"/>
    </row>
    <row r="1170">
      <c r="A1170" s="199"/>
      <c r="B1170" s="199"/>
      <c r="C1170" s="199"/>
      <c r="D1170" s="248"/>
      <c r="E1170" s="248"/>
      <c r="F1170" s="248"/>
      <c r="G1170" s="248"/>
      <c r="H1170" s="283"/>
      <c r="I1170" s="199"/>
      <c r="J1170" s="199"/>
      <c r="K1170" s="199"/>
      <c r="L1170" s="248"/>
      <c r="M1170" s="248"/>
      <c r="N1170" s="248"/>
      <c r="O1170" s="248"/>
    </row>
    <row r="1171">
      <c r="A1171" s="199"/>
      <c r="B1171" s="199"/>
      <c r="C1171" s="199"/>
      <c r="D1171" s="248"/>
      <c r="E1171" s="248"/>
      <c r="F1171" s="248"/>
      <c r="G1171" s="248"/>
      <c r="H1171" s="283"/>
      <c r="I1171" s="199"/>
      <c r="J1171" s="199"/>
      <c r="K1171" s="199"/>
      <c r="L1171" s="248"/>
      <c r="M1171" s="248"/>
      <c r="N1171" s="248"/>
      <c r="O1171" s="248"/>
    </row>
    <row r="1172">
      <c r="A1172" s="199"/>
      <c r="B1172" s="199"/>
      <c r="C1172" s="199"/>
      <c r="D1172" s="248"/>
      <c r="E1172" s="248"/>
      <c r="F1172" s="248"/>
      <c r="G1172" s="248"/>
      <c r="H1172" s="283"/>
      <c r="I1172" s="199"/>
      <c r="J1172" s="199"/>
      <c r="K1172" s="199"/>
      <c r="L1172" s="248"/>
      <c r="M1172" s="248"/>
      <c r="N1172" s="248"/>
      <c r="O1172" s="248"/>
    </row>
    <row r="1173">
      <c r="A1173" s="199"/>
      <c r="B1173" s="199"/>
      <c r="C1173" s="199"/>
      <c r="D1173" s="248"/>
      <c r="E1173" s="248"/>
      <c r="F1173" s="248"/>
      <c r="G1173" s="248"/>
      <c r="H1173" s="283"/>
      <c r="I1173" s="199"/>
      <c r="J1173" s="199"/>
      <c r="K1173" s="199"/>
      <c r="L1173" s="248"/>
      <c r="M1173" s="248"/>
      <c r="N1173" s="248"/>
      <c r="O1173" s="248"/>
    </row>
    <row r="1174">
      <c r="A1174" s="199"/>
      <c r="B1174" s="199"/>
      <c r="C1174" s="199"/>
      <c r="D1174" s="248"/>
      <c r="E1174" s="248"/>
      <c r="F1174" s="248"/>
      <c r="G1174" s="248"/>
      <c r="H1174" s="283"/>
      <c r="I1174" s="199"/>
      <c r="J1174" s="199"/>
      <c r="K1174" s="199"/>
      <c r="L1174" s="248"/>
      <c r="M1174" s="248"/>
      <c r="N1174" s="248"/>
      <c r="O1174" s="248"/>
    </row>
    <row r="1175">
      <c r="A1175" s="199"/>
      <c r="B1175" s="199"/>
      <c r="C1175" s="199"/>
      <c r="D1175" s="248"/>
      <c r="E1175" s="248"/>
      <c r="F1175" s="248"/>
      <c r="G1175" s="248"/>
      <c r="H1175" s="283"/>
      <c r="I1175" s="199"/>
      <c r="J1175" s="199"/>
      <c r="K1175" s="199"/>
      <c r="L1175" s="248"/>
      <c r="M1175" s="248"/>
      <c r="N1175" s="248"/>
      <c r="O1175" s="248"/>
    </row>
    <row r="1176">
      <c r="A1176" s="199"/>
      <c r="B1176" s="199"/>
      <c r="C1176" s="199"/>
      <c r="D1176" s="248"/>
      <c r="E1176" s="248"/>
      <c r="F1176" s="248"/>
      <c r="G1176" s="248"/>
      <c r="H1176" s="283"/>
      <c r="I1176" s="199"/>
      <c r="J1176" s="199"/>
      <c r="K1176" s="199"/>
      <c r="L1176" s="248"/>
      <c r="M1176" s="248"/>
      <c r="N1176" s="248"/>
      <c r="O1176" s="248"/>
    </row>
    <row r="1177">
      <c r="A1177" s="199"/>
      <c r="B1177" s="199"/>
      <c r="C1177" s="199"/>
      <c r="D1177" s="248"/>
      <c r="E1177" s="248"/>
      <c r="F1177" s="248"/>
      <c r="G1177" s="248"/>
      <c r="H1177" s="283"/>
      <c r="I1177" s="199"/>
      <c r="J1177" s="199"/>
      <c r="K1177" s="199"/>
      <c r="L1177" s="248"/>
      <c r="M1177" s="248"/>
      <c r="N1177" s="248"/>
      <c r="O1177" s="248"/>
    </row>
    <row r="1178">
      <c r="A1178" s="199"/>
      <c r="B1178" s="199"/>
      <c r="C1178" s="199"/>
      <c r="D1178" s="248"/>
      <c r="E1178" s="248"/>
      <c r="F1178" s="248"/>
      <c r="G1178" s="248"/>
      <c r="H1178" s="283"/>
      <c r="I1178" s="199"/>
      <c r="J1178" s="199"/>
      <c r="K1178" s="199"/>
      <c r="L1178" s="248"/>
      <c r="M1178" s="248"/>
      <c r="N1178" s="248"/>
      <c r="O1178" s="248"/>
    </row>
    <row r="1179">
      <c r="A1179" s="199"/>
      <c r="B1179" s="199"/>
      <c r="C1179" s="199"/>
      <c r="D1179" s="248"/>
      <c r="E1179" s="248"/>
      <c r="F1179" s="248"/>
      <c r="G1179" s="248"/>
      <c r="H1179" s="283"/>
      <c r="I1179" s="199"/>
      <c r="J1179" s="199"/>
      <c r="K1179" s="199"/>
      <c r="L1179" s="248"/>
      <c r="M1179" s="248"/>
      <c r="N1179" s="248"/>
      <c r="O1179" s="248"/>
    </row>
    <row r="1180">
      <c r="A1180" s="199"/>
      <c r="B1180" s="199"/>
      <c r="C1180" s="199"/>
      <c r="D1180" s="248"/>
      <c r="E1180" s="248"/>
      <c r="F1180" s="248"/>
      <c r="G1180" s="248"/>
      <c r="H1180" s="283"/>
      <c r="I1180" s="199"/>
      <c r="J1180" s="199"/>
      <c r="K1180" s="199"/>
      <c r="L1180" s="248"/>
      <c r="M1180" s="248"/>
      <c r="N1180" s="248"/>
      <c r="O1180" s="248"/>
    </row>
    <row r="1181">
      <c r="A1181" s="199"/>
      <c r="B1181" s="199"/>
      <c r="C1181" s="199"/>
      <c r="D1181" s="248"/>
      <c r="E1181" s="248"/>
      <c r="F1181" s="248"/>
      <c r="G1181" s="248"/>
      <c r="H1181" s="283"/>
      <c r="I1181" s="199"/>
      <c r="J1181" s="199"/>
      <c r="K1181" s="199"/>
      <c r="L1181" s="248"/>
      <c r="M1181" s="248"/>
      <c r="N1181" s="248"/>
      <c r="O1181" s="248"/>
    </row>
    <row r="1182">
      <c r="A1182" s="199"/>
      <c r="B1182" s="199"/>
      <c r="C1182" s="199"/>
      <c r="D1182" s="248"/>
      <c r="E1182" s="248"/>
      <c r="F1182" s="248"/>
      <c r="G1182" s="248"/>
      <c r="H1182" s="283"/>
      <c r="I1182" s="199"/>
      <c r="J1182" s="199"/>
      <c r="K1182" s="199"/>
      <c r="L1182" s="248"/>
      <c r="M1182" s="248"/>
      <c r="N1182" s="248"/>
      <c r="O1182" s="248"/>
    </row>
    <row r="1183">
      <c r="A1183" s="199"/>
      <c r="B1183" s="199"/>
      <c r="C1183" s="199"/>
      <c r="D1183" s="248"/>
      <c r="E1183" s="248"/>
      <c r="F1183" s="248"/>
      <c r="G1183" s="248"/>
      <c r="H1183" s="283"/>
      <c r="I1183" s="199"/>
      <c r="J1183" s="199"/>
      <c r="K1183" s="199"/>
      <c r="L1183" s="248"/>
      <c r="M1183" s="248"/>
      <c r="N1183" s="248"/>
      <c r="O1183" s="248"/>
    </row>
    <row r="1184">
      <c r="A1184" s="199"/>
      <c r="B1184" s="199"/>
      <c r="C1184" s="199"/>
      <c r="D1184" s="248"/>
      <c r="E1184" s="248"/>
      <c r="F1184" s="248"/>
      <c r="G1184" s="248"/>
      <c r="H1184" s="283"/>
      <c r="I1184" s="199"/>
      <c r="J1184" s="199"/>
      <c r="K1184" s="199"/>
      <c r="L1184" s="248"/>
      <c r="M1184" s="248"/>
      <c r="N1184" s="248"/>
      <c r="O1184" s="248"/>
    </row>
    <row r="1185">
      <c r="A1185" s="199"/>
      <c r="B1185" s="199"/>
      <c r="C1185" s="199"/>
      <c r="D1185" s="248"/>
      <c r="E1185" s="248"/>
      <c r="F1185" s="248"/>
      <c r="G1185" s="248"/>
      <c r="H1185" s="283"/>
      <c r="I1185" s="199"/>
      <c r="J1185" s="199"/>
      <c r="K1185" s="199"/>
      <c r="L1185" s="248"/>
      <c r="M1185" s="248"/>
      <c r="N1185" s="248"/>
      <c r="O1185" s="248"/>
    </row>
    <row r="1186">
      <c r="A1186" s="199"/>
      <c r="B1186" s="199"/>
      <c r="C1186" s="199"/>
      <c r="D1186" s="248"/>
      <c r="E1186" s="248"/>
      <c r="F1186" s="248"/>
      <c r="G1186" s="248"/>
      <c r="H1186" s="283"/>
      <c r="I1186" s="199"/>
      <c r="J1186" s="199"/>
      <c r="K1186" s="199"/>
      <c r="L1186" s="248"/>
      <c r="M1186" s="248"/>
      <c r="N1186" s="248"/>
      <c r="O1186" s="248"/>
    </row>
    <row r="1187">
      <c r="A1187" s="199"/>
      <c r="B1187" s="199"/>
      <c r="C1187" s="199"/>
      <c r="D1187" s="248"/>
      <c r="E1187" s="248"/>
      <c r="F1187" s="248"/>
      <c r="G1187" s="248"/>
      <c r="H1187" s="283"/>
      <c r="I1187" s="199"/>
      <c r="J1187" s="199"/>
      <c r="K1187" s="199"/>
      <c r="L1187" s="248"/>
      <c r="M1187" s="248"/>
      <c r="N1187" s="248"/>
      <c r="O1187" s="248"/>
    </row>
    <row r="1188">
      <c r="A1188" s="199"/>
      <c r="B1188" s="199"/>
      <c r="C1188" s="199"/>
      <c r="D1188" s="248"/>
      <c r="E1188" s="248"/>
      <c r="F1188" s="248"/>
      <c r="G1188" s="248"/>
      <c r="H1188" s="283"/>
      <c r="I1188" s="199"/>
      <c r="J1188" s="199"/>
      <c r="K1188" s="199"/>
      <c r="L1188" s="248"/>
      <c r="M1188" s="248"/>
      <c r="N1188" s="248"/>
      <c r="O1188" s="248"/>
    </row>
    <row r="1189">
      <c r="A1189" s="199"/>
      <c r="B1189" s="199"/>
      <c r="C1189" s="199"/>
      <c r="D1189" s="248"/>
      <c r="E1189" s="248"/>
      <c r="F1189" s="248"/>
      <c r="G1189" s="248"/>
      <c r="H1189" s="283"/>
      <c r="I1189" s="199"/>
      <c r="J1189" s="199"/>
      <c r="K1189" s="199"/>
      <c r="L1189" s="248"/>
      <c r="M1189" s="248"/>
      <c r="N1189" s="248"/>
      <c r="O1189" s="248"/>
    </row>
    <row r="1190">
      <c r="A1190" s="199"/>
      <c r="B1190" s="199"/>
      <c r="C1190" s="199"/>
      <c r="D1190" s="248"/>
      <c r="E1190" s="248"/>
      <c r="F1190" s="248"/>
      <c r="G1190" s="248"/>
      <c r="H1190" s="283"/>
      <c r="I1190" s="199"/>
      <c r="J1190" s="199"/>
      <c r="K1190" s="199"/>
      <c r="L1190" s="248"/>
      <c r="M1190" s="248"/>
      <c r="N1190" s="248"/>
      <c r="O1190" s="248"/>
    </row>
    <row r="1191">
      <c r="A1191" s="199"/>
      <c r="B1191" s="199"/>
      <c r="C1191" s="199"/>
      <c r="D1191" s="248"/>
      <c r="E1191" s="248"/>
      <c r="F1191" s="248"/>
      <c r="G1191" s="248"/>
      <c r="H1191" s="283"/>
      <c r="I1191" s="199"/>
      <c r="J1191" s="199"/>
      <c r="K1191" s="199"/>
      <c r="L1191" s="248"/>
      <c r="M1191" s="248"/>
      <c r="N1191" s="248"/>
      <c r="O1191" s="248"/>
    </row>
    <row r="1192">
      <c r="A1192" s="199"/>
      <c r="B1192" s="199"/>
      <c r="C1192" s="199"/>
      <c r="D1192" s="248"/>
      <c r="E1192" s="248"/>
      <c r="F1192" s="248"/>
      <c r="G1192" s="248"/>
      <c r="H1192" s="283"/>
      <c r="I1192" s="199"/>
      <c r="J1192" s="199"/>
      <c r="K1192" s="199"/>
      <c r="L1192" s="248"/>
      <c r="M1192" s="248"/>
      <c r="N1192" s="248"/>
      <c r="O1192" s="248"/>
    </row>
    <row r="1193">
      <c r="A1193" s="199"/>
      <c r="B1193" s="199"/>
      <c r="C1193" s="199"/>
      <c r="D1193" s="248"/>
      <c r="E1193" s="248"/>
      <c r="F1193" s="248"/>
      <c r="G1193" s="248"/>
      <c r="H1193" s="283"/>
      <c r="I1193" s="199"/>
      <c r="J1193" s="199"/>
      <c r="K1193" s="199"/>
      <c r="L1193" s="248"/>
      <c r="M1193" s="248"/>
      <c r="N1193" s="248"/>
      <c r="O1193" s="248"/>
    </row>
    <row r="1194">
      <c r="A1194" s="199"/>
      <c r="B1194" s="199"/>
      <c r="C1194" s="199"/>
      <c r="D1194" s="248"/>
      <c r="E1194" s="248"/>
      <c r="F1194" s="248"/>
      <c r="G1194" s="248"/>
      <c r="H1194" s="283"/>
      <c r="I1194" s="199"/>
      <c r="J1194" s="199"/>
      <c r="K1194" s="199"/>
      <c r="L1194" s="248"/>
      <c r="M1194" s="248"/>
      <c r="N1194" s="248"/>
      <c r="O1194" s="248"/>
    </row>
    <row r="1195">
      <c r="A1195" s="199"/>
      <c r="B1195" s="199"/>
      <c r="C1195" s="199"/>
      <c r="D1195" s="248"/>
      <c r="E1195" s="248"/>
      <c r="F1195" s="248"/>
      <c r="G1195" s="248"/>
      <c r="H1195" s="283"/>
      <c r="I1195" s="199"/>
      <c r="J1195" s="199"/>
      <c r="K1195" s="199"/>
      <c r="L1195" s="248"/>
      <c r="M1195" s="248"/>
      <c r="N1195" s="248"/>
      <c r="O1195" s="248"/>
    </row>
    <row r="1196">
      <c r="A1196" s="199"/>
      <c r="B1196" s="199"/>
      <c r="C1196" s="199"/>
      <c r="D1196" s="248"/>
      <c r="E1196" s="248"/>
      <c r="F1196" s="248"/>
      <c r="G1196" s="248"/>
      <c r="H1196" s="283"/>
      <c r="I1196" s="199"/>
      <c r="J1196" s="199"/>
      <c r="K1196" s="199"/>
      <c r="L1196" s="248"/>
      <c r="M1196" s="248"/>
      <c r="N1196" s="248"/>
      <c r="O1196" s="248"/>
    </row>
    <row r="1197">
      <c r="A1197" s="199"/>
      <c r="B1197" s="199"/>
      <c r="C1197" s="199"/>
      <c r="D1197" s="248"/>
      <c r="E1197" s="248"/>
      <c r="F1197" s="248"/>
      <c r="G1197" s="248"/>
      <c r="H1197" s="283"/>
      <c r="I1197" s="199"/>
      <c r="J1197" s="199"/>
      <c r="K1197" s="199"/>
      <c r="L1197" s="248"/>
      <c r="M1197" s="248"/>
      <c r="N1197" s="248"/>
      <c r="O1197" s="248"/>
    </row>
    <row r="1198">
      <c r="A1198" s="199"/>
      <c r="B1198" s="199"/>
      <c r="C1198" s="199"/>
      <c r="D1198" s="248"/>
      <c r="E1198" s="248"/>
      <c r="F1198" s="248"/>
      <c r="G1198" s="248"/>
      <c r="H1198" s="283"/>
      <c r="I1198" s="199"/>
      <c r="J1198" s="199"/>
      <c r="K1198" s="199"/>
      <c r="L1198" s="248"/>
      <c r="M1198" s="248"/>
      <c r="N1198" s="248"/>
      <c r="O1198" s="248"/>
    </row>
    <row r="1199">
      <c r="A1199" s="199"/>
      <c r="B1199" s="199"/>
      <c r="C1199" s="199"/>
      <c r="D1199" s="248"/>
      <c r="E1199" s="248"/>
      <c r="F1199" s="248"/>
      <c r="G1199" s="248"/>
      <c r="H1199" s="283"/>
      <c r="I1199" s="199"/>
      <c r="J1199" s="199"/>
      <c r="K1199" s="199"/>
      <c r="L1199" s="248"/>
      <c r="M1199" s="248"/>
      <c r="N1199" s="248"/>
      <c r="O1199" s="248"/>
    </row>
    <row r="1200">
      <c r="A1200" s="199"/>
      <c r="B1200" s="199"/>
      <c r="C1200" s="199"/>
      <c r="D1200" s="248"/>
      <c r="E1200" s="248"/>
      <c r="F1200" s="248"/>
      <c r="G1200" s="248"/>
      <c r="H1200" s="283"/>
      <c r="I1200" s="199"/>
      <c r="J1200" s="199"/>
      <c r="K1200" s="199"/>
      <c r="L1200" s="248"/>
      <c r="M1200" s="248"/>
      <c r="N1200" s="248"/>
      <c r="O1200" s="248"/>
    </row>
    <row r="1201">
      <c r="A1201" s="199"/>
      <c r="B1201" s="199"/>
      <c r="C1201" s="199"/>
      <c r="D1201" s="248"/>
      <c r="E1201" s="248"/>
      <c r="F1201" s="248"/>
      <c r="G1201" s="248"/>
      <c r="H1201" s="283"/>
      <c r="I1201" s="199"/>
      <c r="J1201" s="199"/>
      <c r="K1201" s="199"/>
      <c r="L1201" s="248"/>
      <c r="M1201" s="248"/>
      <c r="N1201" s="248"/>
      <c r="O1201" s="248"/>
    </row>
    <row r="1202">
      <c r="A1202" s="199"/>
      <c r="B1202" s="199"/>
      <c r="C1202" s="199"/>
      <c r="D1202" s="248"/>
      <c r="E1202" s="248"/>
      <c r="F1202" s="248"/>
      <c r="G1202" s="248"/>
      <c r="H1202" s="283"/>
      <c r="I1202" s="199"/>
      <c r="J1202" s="199"/>
      <c r="K1202" s="199"/>
      <c r="L1202" s="248"/>
      <c r="M1202" s="248"/>
      <c r="N1202" s="248"/>
      <c r="O1202" s="248"/>
    </row>
    <row r="1203">
      <c r="A1203" s="199"/>
      <c r="B1203" s="199"/>
      <c r="C1203" s="199"/>
      <c r="D1203" s="248"/>
      <c r="E1203" s="248"/>
      <c r="F1203" s="248"/>
      <c r="G1203" s="248"/>
      <c r="H1203" s="283"/>
      <c r="I1203" s="199"/>
      <c r="J1203" s="199"/>
      <c r="K1203" s="199"/>
      <c r="L1203" s="248"/>
      <c r="M1203" s="248"/>
      <c r="N1203" s="248"/>
      <c r="O1203" s="248"/>
    </row>
    <row r="1204">
      <c r="A1204" s="199"/>
      <c r="B1204" s="199"/>
      <c r="C1204" s="199"/>
      <c r="D1204" s="248"/>
      <c r="E1204" s="248"/>
      <c r="F1204" s="248"/>
      <c r="G1204" s="248"/>
      <c r="H1204" s="283"/>
      <c r="I1204" s="199"/>
      <c r="J1204" s="199"/>
      <c r="K1204" s="199"/>
      <c r="L1204" s="248"/>
      <c r="M1204" s="248"/>
      <c r="N1204" s="248"/>
      <c r="O1204" s="248"/>
    </row>
    <row r="1205">
      <c r="A1205" s="199"/>
      <c r="B1205" s="199"/>
      <c r="C1205" s="199"/>
      <c r="D1205" s="248"/>
      <c r="E1205" s="248"/>
      <c r="F1205" s="248"/>
      <c r="G1205" s="248"/>
      <c r="H1205" s="283"/>
      <c r="I1205" s="199"/>
      <c r="J1205" s="199"/>
      <c r="K1205" s="199"/>
      <c r="L1205" s="248"/>
      <c r="M1205" s="248"/>
      <c r="N1205" s="248"/>
      <c r="O1205" s="248"/>
    </row>
    <row r="1206">
      <c r="A1206" s="199"/>
      <c r="B1206" s="199"/>
      <c r="C1206" s="199"/>
      <c r="D1206" s="248"/>
      <c r="E1206" s="248"/>
      <c r="F1206" s="248"/>
      <c r="G1206" s="248"/>
      <c r="H1206" s="283"/>
      <c r="I1206" s="199"/>
      <c r="J1206" s="199"/>
      <c r="K1206" s="199"/>
      <c r="L1206" s="248"/>
      <c r="M1206" s="248"/>
      <c r="N1206" s="248"/>
      <c r="O1206" s="248"/>
    </row>
    <row r="1207">
      <c r="A1207" s="199"/>
      <c r="B1207" s="199"/>
      <c r="C1207" s="199"/>
      <c r="D1207" s="248"/>
      <c r="E1207" s="248"/>
      <c r="F1207" s="248"/>
      <c r="G1207" s="248"/>
      <c r="H1207" s="283"/>
      <c r="I1207" s="199"/>
      <c r="J1207" s="199"/>
      <c r="K1207" s="199"/>
      <c r="L1207" s="248"/>
      <c r="M1207" s="248"/>
      <c r="N1207" s="248"/>
      <c r="O1207" s="248"/>
    </row>
    <row r="1208">
      <c r="A1208" s="199"/>
      <c r="B1208" s="199"/>
      <c r="C1208" s="199"/>
      <c r="D1208" s="248"/>
      <c r="E1208" s="248"/>
      <c r="F1208" s="248"/>
      <c r="G1208" s="248"/>
      <c r="H1208" s="283"/>
      <c r="I1208" s="199"/>
      <c r="J1208" s="199"/>
      <c r="K1208" s="199"/>
      <c r="L1208" s="248"/>
      <c r="M1208" s="248"/>
      <c r="N1208" s="248"/>
      <c r="O1208" s="248"/>
    </row>
    <row r="1209">
      <c r="A1209" s="199"/>
      <c r="B1209" s="199"/>
      <c r="C1209" s="199"/>
      <c r="D1209" s="248"/>
      <c r="E1209" s="248"/>
      <c r="F1209" s="248"/>
      <c r="G1209" s="248"/>
      <c r="H1209" s="283"/>
      <c r="I1209" s="199"/>
      <c r="J1209" s="199"/>
      <c r="K1209" s="199"/>
      <c r="L1209" s="248"/>
      <c r="M1209" s="248"/>
      <c r="N1209" s="248"/>
      <c r="O1209" s="248"/>
    </row>
    <row r="1210">
      <c r="A1210" s="199"/>
      <c r="B1210" s="199"/>
      <c r="C1210" s="199"/>
      <c r="D1210" s="248"/>
      <c r="E1210" s="248"/>
      <c r="F1210" s="248"/>
      <c r="G1210" s="248"/>
      <c r="H1210" s="283"/>
      <c r="I1210" s="199"/>
      <c r="J1210" s="199"/>
      <c r="K1210" s="199"/>
      <c r="L1210" s="248"/>
      <c r="M1210" s="248"/>
      <c r="N1210" s="248"/>
      <c r="O1210" s="248"/>
    </row>
    <row r="1211">
      <c r="A1211" s="199"/>
      <c r="B1211" s="199"/>
      <c r="C1211" s="199"/>
      <c r="D1211" s="248"/>
      <c r="E1211" s="248"/>
      <c r="F1211" s="248"/>
      <c r="G1211" s="248"/>
      <c r="H1211" s="283"/>
      <c r="I1211" s="199"/>
      <c r="J1211" s="199"/>
      <c r="K1211" s="199"/>
      <c r="L1211" s="248"/>
      <c r="M1211" s="248"/>
      <c r="N1211" s="248"/>
      <c r="O1211" s="248"/>
    </row>
    <row r="1212">
      <c r="A1212" s="199"/>
      <c r="B1212" s="199"/>
      <c r="C1212" s="199"/>
      <c r="D1212" s="248"/>
      <c r="E1212" s="248"/>
      <c r="F1212" s="248"/>
      <c r="G1212" s="248"/>
      <c r="H1212" s="283"/>
      <c r="I1212" s="199"/>
      <c r="J1212" s="199"/>
      <c r="K1212" s="199"/>
      <c r="L1212" s="248"/>
      <c r="M1212" s="248"/>
      <c r="N1212" s="248"/>
      <c r="O1212" s="248"/>
    </row>
    <row r="1213">
      <c r="A1213" s="199"/>
      <c r="B1213" s="199"/>
      <c r="C1213" s="199"/>
      <c r="D1213" s="248"/>
      <c r="E1213" s="248"/>
      <c r="F1213" s="248"/>
      <c r="G1213" s="248"/>
      <c r="H1213" s="283"/>
      <c r="I1213" s="199"/>
      <c r="J1213" s="199"/>
      <c r="K1213" s="199"/>
      <c r="L1213" s="248"/>
      <c r="M1213" s="248"/>
      <c r="N1213" s="248"/>
      <c r="O1213" s="248"/>
    </row>
    <row r="1214">
      <c r="A1214" s="199"/>
      <c r="B1214" s="199"/>
      <c r="C1214" s="199"/>
      <c r="D1214" s="248"/>
      <c r="E1214" s="248"/>
      <c r="F1214" s="248"/>
      <c r="G1214" s="248"/>
      <c r="H1214" s="283"/>
      <c r="I1214" s="199"/>
      <c r="J1214" s="199"/>
      <c r="K1214" s="199"/>
      <c r="L1214" s="248"/>
      <c r="M1214" s="248"/>
      <c r="N1214" s="248"/>
      <c r="O1214" s="248"/>
    </row>
    <row r="1215">
      <c r="A1215" s="199"/>
      <c r="B1215" s="199"/>
      <c r="C1215" s="199"/>
      <c r="D1215" s="248"/>
      <c r="E1215" s="248"/>
      <c r="F1215" s="248"/>
      <c r="G1215" s="248"/>
      <c r="H1215" s="283"/>
      <c r="I1215" s="199"/>
      <c r="J1215" s="199"/>
      <c r="K1215" s="199"/>
      <c r="L1215" s="248"/>
      <c r="M1215" s="248"/>
      <c r="N1215" s="248"/>
      <c r="O1215" s="248"/>
    </row>
    <row r="1216">
      <c r="A1216" s="199"/>
      <c r="B1216" s="199"/>
      <c r="C1216" s="199"/>
      <c r="D1216" s="248"/>
      <c r="E1216" s="248"/>
      <c r="F1216" s="248"/>
      <c r="G1216" s="248"/>
      <c r="H1216" s="283"/>
      <c r="I1216" s="199"/>
      <c r="J1216" s="199"/>
      <c r="K1216" s="199"/>
      <c r="L1216" s="248"/>
      <c r="M1216" s="248"/>
      <c r="N1216" s="248"/>
      <c r="O1216" s="248"/>
    </row>
    <row r="1217">
      <c r="A1217" s="199"/>
      <c r="B1217" s="199"/>
      <c r="C1217" s="199"/>
      <c r="D1217" s="248"/>
      <c r="E1217" s="248"/>
      <c r="F1217" s="248"/>
      <c r="G1217" s="248"/>
      <c r="H1217" s="283"/>
      <c r="I1217" s="199"/>
      <c r="J1217" s="199"/>
      <c r="K1217" s="199"/>
      <c r="L1217" s="248"/>
      <c r="M1217" s="248"/>
      <c r="N1217" s="248"/>
      <c r="O1217" s="248"/>
    </row>
    <row r="1218">
      <c r="A1218" s="199"/>
      <c r="B1218" s="199"/>
      <c r="C1218" s="199"/>
      <c r="D1218" s="248"/>
      <c r="E1218" s="248"/>
      <c r="F1218" s="248"/>
      <c r="G1218" s="248"/>
      <c r="H1218" s="283"/>
      <c r="I1218" s="199"/>
      <c r="J1218" s="199"/>
      <c r="K1218" s="199"/>
      <c r="L1218" s="248"/>
      <c r="M1218" s="248"/>
      <c r="N1218" s="248"/>
      <c r="O1218" s="248"/>
    </row>
    <row r="1219">
      <c r="A1219" s="199"/>
      <c r="B1219" s="199"/>
      <c r="C1219" s="199"/>
      <c r="D1219" s="248"/>
      <c r="E1219" s="248"/>
      <c r="F1219" s="248"/>
      <c r="G1219" s="248"/>
      <c r="H1219" s="283"/>
      <c r="I1219" s="199"/>
      <c r="J1219" s="199"/>
      <c r="K1219" s="199"/>
      <c r="L1219" s="248"/>
      <c r="M1219" s="248"/>
      <c r="N1219" s="248"/>
      <c r="O1219" s="248"/>
    </row>
    <row r="1220">
      <c r="A1220" s="199"/>
      <c r="B1220" s="199"/>
      <c r="C1220" s="199"/>
      <c r="D1220" s="248"/>
      <c r="E1220" s="248"/>
      <c r="F1220" s="248"/>
      <c r="G1220" s="248"/>
      <c r="H1220" s="283"/>
      <c r="I1220" s="199"/>
      <c r="J1220" s="199"/>
      <c r="K1220" s="199"/>
      <c r="L1220" s="248"/>
      <c r="M1220" s="248"/>
      <c r="N1220" s="248"/>
      <c r="O1220" s="248"/>
    </row>
    <row r="1221">
      <c r="A1221" s="199"/>
      <c r="B1221" s="199"/>
      <c r="C1221" s="199"/>
      <c r="D1221" s="248"/>
      <c r="E1221" s="248"/>
      <c r="F1221" s="248"/>
      <c r="G1221" s="248"/>
      <c r="H1221" s="283"/>
      <c r="I1221" s="199"/>
      <c r="J1221" s="199"/>
      <c r="K1221" s="199"/>
      <c r="L1221" s="248"/>
      <c r="M1221" s="248"/>
      <c r="N1221" s="248"/>
      <c r="O1221" s="248"/>
    </row>
    <row r="1222">
      <c r="A1222" s="199"/>
      <c r="B1222" s="199"/>
      <c r="C1222" s="199"/>
      <c r="D1222" s="248"/>
      <c r="E1222" s="248"/>
      <c r="F1222" s="248"/>
      <c r="G1222" s="248"/>
      <c r="H1222" s="283"/>
      <c r="I1222" s="199"/>
      <c r="J1222" s="199"/>
      <c r="K1222" s="199"/>
      <c r="L1222" s="248"/>
      <c r="M1222" s="248"/>
      <c r="N1222" s="248"/>
      <c r="O1222" s="248"/>
    </row>
    <row r="1223">
      <c r="A1223" s="199"/>
      <c r="B1223" s="199"/>
      <c r="C1223" s="199"/>
      <c r="D1223" s="248"/>
      <c r="E1223" s="248"/>
      <c r="F1223" s="248"/>
      <c r="G1223" s="248"/>
      <c r="H1223" s="283"/>
      <c r="I1223" s="199"/>
      <c r="J1223" s="199"/>
      <c r="K1223" s="199"/>
      <c r="L1223" s="248"/>
      <c r="M1223" s="248"/>
      <c r="N1223" s="248"/>
      <c r="O1223" s="248"/>
    </row>
    <row r="1224">
      <c r="A1224" s="199"/>
      <c r="B1224" s="199"/>
      <c r="C1224" s="199"/>
      <c r="D1224" s="248"/>
      <c r="E1224" s="248"/>
      <c r="F1224" s="248"/>
      <c r="G1224" s="248"/>
      <c r="H1224" s="283"/>
      <c r="I1224" s="199"/>
      <c r="J1224" s="199"/>
      <c r="K1224" s="199"/>
      <c r="L1224" s="248"/>
      <c r="M1224" s="248"/>
      <c r="N1224" s="248"/>
      <c r="O1224" s="248"/>
    </row>
    <row r="1225">
      <c r="A1225" s="199"/>
      <c r="B1225" s="199"/>
      <c r="C1225" s="199"/>
      <c r="D1225" s="248"/>
      <c r="E1225" s="248"/>
      <c r="F1225" s="248"/>
      <c r="G1225" s="248"/>
      <c r="H1225" s="283"/>
      <c r="I1225" s="199"/>
      <c r="J1225" s="199"/>
      <c r="K1225" s="199"/>
      <c r="L1225" s="248"/>
      <c r="M1225" s="248"/>
      <c r="N1225" s="248"/>
      <c r="O1225" s="248"/>
    </row>
    <row r="1226">
      <c r="A1226" s="199"/>
      <c r="B1226" s="199"/>
      <c r="C1226" s="199"/>
      <c r="D1226" s="248"/>
      <c r="E1226" s="248"/>
      <c r="F1226" s="248"/>
      <c r="G1226" s="248"/>
      <c r="H1226" s="283"/>
      <c r="I1226" s="199"/>
      <c r="J1226" s="199"/>
      <c r="K1226" s="199"/>
      <c r="L1226" s="248"/>
      <c r="M1226" s="248"/>
      <c r="N1226" s="248"/>
      <c r="O1226" s="248"/>
    </row>
    <row r="1227">
      <c r="A1227" s="199"/>
      <c r="B1227" s="199"/>
      <c r="C1227" s="199"/>
      <c r="D1227" s="248"/>
      <c r="E1227" s="248"/>
      <c r="F1227" s="248"/>
      <c r="G1227" s="248"/>
      <c r="H1227" s="283"/>
      <c r="I1227" s="199"/>
      <c r="J1227" s="199"/>
      <c r="K1227" s="199"/>
      <c r="L1227" s="248"/>
      <c r="M1227" s="248"/>
      <c r="N1227" s="248"/>
      <c r="O1227" s="248"/>
    </row>
    <row r="1228">
      <c r="A1228" s="199"/>
      <c r="B1228" s="199"/>
      <c r="C1228" s="199"/>
      <c r="D1228" s="248"/>
      <c r="E1228" s="248"/>
      <c r="F1228" s="248"/>
      <c r="G1228" s="248"/>
      <c r="H1228" s="283"/>
      <c r="I1228" s="199"/>
      <c r="J1228" s="199"/>
      <c r="K1228" s="199"/>
      <c r="L1228" s="248"/>
      <c r="M1228" s="248"/>
      <c r="N1228" s="248"/>
      <c r="O1228" s="248"/>
    </row>
    <row r="1229">
      <c r="A1229" s="199"/>
      <c r="B1229" s="199"/>
      <c r="C1229" s="199"/>
      <c r="D1229" s="248"/>
      <c r="E1229" s="248"/>
      <c r="F1229" s="248"/>
      <c r="G1229" s="248"/>
      <c r="H1229" s="283"/>
      <c r="I1229" s="199"/>
      <c r="J1229" s="199"/>
      <c r="K1229" s="199"/>
      <c r="L1229" s="248"/>
      <c r="M1229" s="248"/>
      <c r="N1229" s="248"/>
      <c r="O1229" s="248"/>
    </row>
    <row r="1230">
      <c r="A1230" s="199"/>
      <c r="B1230" s="199"/>
      <c r="C1230" s="199"/>
      <c r="D1230" s="248"/>
      <c r="E1230" s="248"/>
      <c r="F1230" s="248"/>
      <c r="G1230" s="248"/>
      <c r="H1230" s="283"/>
      <c r="I1230" s="199"/>
      <c r="J1230" s="199"/>
      <c r="K1230" s="199"/>
      <c r="L1230" s="248"/>
      <c r="M1230" s="248"/>
      <c r="N1230" s="248"/>
      <c r="O1230" s="248"/>
    </row>
    <row r="1231">
      <c r="A1231" s="199"/>
      <c r="B1231" s="199"/>
      <c r="C1231" s="199"/>
      <c r="D1231" s="248"/>
      <c r="E1231" s="248"/>
      <c r="F1231" s="248"/>
      <c r="G1231" s="248"/>
      <c r="H1231" s="283"/>
      <c r="I1231" s="199"/>
      <c r="J1231" s="199"/>
      <c r="K1231" s="199"/>
      <c r="L1231" s="248"/>
      <c r="M1231" s="248"/>
      <c r="N1231" s="248"/>
      <c r="O1231" s="248"/>
    </row>
    <row r="1232">
      <c r="A1232" s="199"/>
      <c r="B1232" s="199"/>
      <c r="C1232" s="199"/>
      <c r="D1232" s="248"/>
      <c r="E1232" s="248"/>
      <c r="F1232" s="248"/>
      <c r="G1232" s="248"/>
      <c r="H1232" s="283"/>
      <c r="I1232" s="199"/>
      <c r="J1232" s="199"/>
      <c r="K1232" s="199"/>
      <c r="L1232" s="248"/>
      <c r="M1232" s="248"/>
      <c r="N1232" s="248"/>
      <c r="O1232" s="248"/>
    </row>
    <row r="1233">
      <c r="A1233" s="199"/>
      <c r="B1233" s="199"/>
      <c r="C1233" s="199"/>
      <c r="D1233" s="248"/>
      <c r="E1233" s="248"/>
      <c r="F1233" s="248"/>
      <c r="G1233" s="248"/>
      <c r="H1233" s="283"/>
      <c r="I1233" s="199"/>
      <c r="J1233" s="199"/>
      <c r="K1233" s="199"/>
      <c r="L1233" s="248"/>
      <c r="M1233" s="248"/>
      <c r="N1233" s="248"/>
      <c r="O1233" s="248"/>
    </row>
    <row r="1234">
      <c r="A1234" s="199"/>
      <c r="B1234" s="199"/>
      <c r="C1234" s="199"/>
      <c r="D1234" s="248"/>
      <c r="E1234" s="248"/>
      <c r="F1234" s="248"/>
      <c r="G1234" s="248"/>
      <c r="H1234" s="283"/>
      <c r="I1234" s="199"/>
      <c r="J1234" s="199"/>
      <c r="K1234" s="199"/>
      <c r="L1234" s="248"/>
      <c r="M1234" s="248"/>
      <c r="N1234" s="248"/>
      <c r="O1234" s="248"/>
    </row>
    <row r="1235">
      <c r="A1235" s="199"/>
      <c r="B1235" s="199"/>
      <c r="C1235" s="199"/>
      <c r="D1235" s="248"/>
      <c r="E1235" s="248"/>
      <c r="F1235" s="248"/>
      <c r="G1235" s="248"/>
      <c r="H1235" s="283"/>
      <c r="I1235" s="199"/>
      <c r="J1235" s="199"/>
      <c r="K1235" s="199"/>
      <c r="L1235" s="248"/>
      <c r="M1235" s="248"/>
      <c r="N1235" s="248"/>
      <c r="O1235" s="248"/>
    </row>
    <row r="1236">
      <c r="A1236" s="199"/>
      <c r="B1236" s="199"/>
      <c r="C1236" s="199"/>
      <c r="D1236" s="248"/>
      <c r="E1236" s="248"/>
      <c r="F1236" s="248"/>
      <c r="G1236" s="248"/>
      <c r="H1236" s="283"/>
      <c r="I1236" s="199"/>
      <c r="J1236" s="199"/>
      <c r="K1236" s="199"/>
      <c r="L1236" s="248"/>
      <c r="M1236" s="248"/>
      <c r="N1236" s="248"/>
      <c r="O1236" s="248"/>
    </row>
    <row r="1237">
      <c r="A1237" s="199"/>
      <c r="B1237" s="199"/>
      <c r="C1237" s="199"/>
      <c r="D1237" s="248"/>
      <c r="E1237" s="248"/>
      <c r="F1237" s="248"/>
      <c r="G1237" s="248"/>
      <c r="H1237" s="283"/>
      <c r="I1237" s="199"/>
      <c r="J1237" s="199"/>
      <c r="K1237" s="199"/>
      <c r="L1237" s="248"/>
      <c r="M1237" s="248"/>
      <c r="N1237" s="248"/>
      <c r="O1237" s="248"/>
    </row>
    <row r="1238">
      <c r="A1238" s="199"/>
      <c r="B1238" s="199"/>
      <c r="C1238" s="199"/>
      <c r="D1238" s="248"/>
      <c r="E1238" s="248"/>
      <c r="F1238" s="248"/>
      <c r="G1238" s="248"/>
      <c r="H1238" s="283"/>
      <c r="I1238" s="199"/>
      <c r="J1238" s="199"/>
      <c r="K1238" s="199"/>
      <c r="L1238" s="248"/>
      <c r="M1238" s="248"/>
      <c r="N1238" s="248"/>
      <c r="O1238" s="248"/>
    </row>
    <row r="1239">
      <c r="A1239" s="199"/>
      <c r="B1239" s="199"/>
      <c r="C1239" s="199"/>
      <c r="D1239" s="248"/>
      <c r="E1239" s="248"/>
      <c r="F1239" s="248"/>
      <c r="G1239" s="248"/>
      <c r="H1239" s="283"/>
      <c r="I1239" s="199"/>
      <c r="J1239" s="199"/>
      <c r="K1239" s="199"/>
      <c r="L1239" s="248"/>
      <c r="M1239" s="248"/>
      <c r="N1239" s="248"/>
      <c r="O1239" s="248"/>
    </row>
    <row r="1240">
      <c r="A1240" s="199"/>
      <c r="B1240" s="199"/>
      <c r="C1240" s="199"/>
      <c r="D1240" s="248"/>
      <c r="E1240" s="248"/>
      <c r="F1240" s="248"/>
      <c r="G1240" s="248"/>
      <c r="H1240" s="283"/>
      <c r="I1240" s="199"/>
      <c r="J1240" s="199"/>
      <c r="K1240" s="199"/>
      <c r="L1240" s="248"/>
      <c r="M1240" s="248"/>
      <c r="N1240" s="248"/>
      <c r="O1240" s="248"/>
    </row>
    <row r="1241">
      <c r="A1241" s="199"/>
      <c r="B1241" s="199"/>
      <c r="C1241" s="199"/>
      <c r="D1241" s="248"/>
      <c r="E1241" s="248"/>
      <c r="F1241" s="248"/>
      <c r="G1241" s="248"/>
      <c r="H1241" s="283"/>
      <c r="I1241" s="199"/>
      <c r="J1241" s="199"/>
      <c r="K1241" s="199"/>
      <c r="L1241" s="248"/>
      <c r="M1241" s="248"/>
      <c r="N1241" s="248"/>
      <c r="O1241" s="248"/>
    </row>
    <row r="1242">
      <c r="A1242" s="199"/>
      <c r="B1242" s="199"/>
      <c r="C1242" s="199"/>
      <c r="D1242" s="248"/>
      <c r="E1242" s="248"/>
      <c r="F1242" s="248"/>
      <c r="G1242" s="248"/>
      <c r="H1242" s="283"/>
      <c r="I1242" s="199"/>
      <c r="J1242" s="199"/>
      <c r="K1242" s="199"/>
      <c r="L1242" s="248"/>
      <c r="M1242" s="248"/>
      <c r="N1242" s="248"/>
      <c r="O1242" s="248"/>
    </row>
    <row r="1243">
      <c r="A1243" s="199"/>
      <c r="B1243" s="199"/>
      <c r="C1243" s="199"/>
      <c r="D1243" s="248"/>
      <c r="E1243" s="248"/>
      <c r="F1243" s="248"/>
      <c r="G1243" s="248"/>
      <c r="H1243" s="283"/>
      <c r="I1243" s="199"/>
      <c r="J1243" s="199"/>
      <c r="K1243" s="199"/>
      <c r="L1243" s="248"/>
      <c r="M1243" s="248"/>
      <c r="N1243" s="248"/>
      <c r="O1243" s="248"/>
    </row>
    <row r="1244">
      <c r="A1244" s="199"/>
      <c r="B1244" s="199"/>
      <c r="C1244" s="199"/>
      <c r="D1244" s="248"/>
      <c r="E1244" s="248"/>
      <c r="F1244" s="248"/>
      <c r="G1244" s="248"/>
      <c r="H1244" s="283"/>
      <c r="I1244" s="199"/>
      <c r="J1244" s="199"/>
      <c r="K1244" s="199"/>
      <c r="L1244" s="248"/>
      <c r="M1244" s="248"/>
      <c r="N1244" s="248"/>
      <c r="O1244" s="248"/>
    </row>
    <row r="1245">
      <c r="A1245" s="199"/>
      <c r="B1245" s="199"/>
      <c r="C1245" s="199"/>
      <c r="D1245" s="248"/>
      <c r="E1245" s="248"/>
      <c r="F1245" s="248"/>
      <c r="G1245" s="248"/>
      <c r="H1245" s="283"/>
      <c r="I1245" s="199"/>
      <c r="J1245" s="199"/>
      <c r="K1245" s="199"/>
      <c r="L1245" s="248"/>
      <c r="M1245" s="248"/>
      <c r="N1245" s="248"/>
      <c r="O1245" s="248"/>
    </row>
    <row r="1246">
      <c r="A1246" s="199"/>
      <c r="B1246" s="199"/>
      <c r="C1246" s="199"/>
      <c r="D1246" s="248"/>
      <c r="E1246" s="248"/>
      <c r="F1246" s="248"/>
      <c r="G1246" s="248"/>
      <c r="H1246" s="283"/>
      <c r="I1246" s="199"/>
      <c r="J1246" s="199"/>
      <c r="K1246" s="199"/>
      <c r="L1246" s="248"/>
      <c r="M1246" s="248"/>
      <c r="N1246" s="248"/>
      <c r="O1246" s="248"/>
    </row>
    <row r="1247">
      <c r="A1247" s="199"/>
      <c r="B1247" s="199"/>
      <c r="C1247" s="199"/>
      <c r="D1247" s="248"/>
      <c r="E1247" s="248"/>
      <c r="F1247" s="248"/>
      <c r="G1247" s="248"/>
      <c r="H1247" s="283"/>
      <c r="I1247" s="199"/>
      <c r="J1247" s="199"/>
      <c r="K1247" s="199"/>
      <c r="L1247" s="248"/>
      <c r="M1247" s="248"/>
      <c r="N1247" s="248"/>
      <c r="O1247" s="248"/>
    </row>
    <row r="1248">
      <c r="A1248" s="199"/>
      <c r="B1248" s="199"/>
      <c r="C1248" s="199"/>
      <c r="D1248" s="248"/>
      <c r="E1248" s="248"/>
      <c r="F1248" s="248"/>
      <c r="G1248" s="248"/>
      <c r="H1248" s="283"/>
      <c r="I1248" s="199"/>
      <c r="J1248" s="199"/>
      <c r="K1248" s="199"/>
      <c r="L1248" s="248"/>
      <c r="M1248" s="248"/>
      <c r="N1248" s="248"/>
      <c r="O1248" s="248"/>
    </row>
    <row r="1249">
      <c r="A1249" s="199"/>
      <c r="B1249" s="199"/>
      <c r="C1249" s="199"/>
      <c r="D1249" s="248"/>
      <c r="E1249" s="248"/>
      <c r="F1249" s="248"/>
      <c r="G1249" s="248"/>
      <c r="H1249" s="283"/>
      <c r="I1249" s="199"/>
      <c r="J1249" s="199"/>
      <c r="K1249" s="199"/>
      <c r="L1249" s="248"/>
      <c r="M1249" s="248"/>
      <c r="N1249" s="248"/>
      <c r="O1249" s="248"/>
    </row>
    <row r="1250">
      <c r="A1250" s="199"/>
      <c r="B1250" s="199"/>
      <c r="C1250" s="199"/>
      <c r="D1250" s="248"/>
      <c r="E1250" s="248"/>
      <c r="F1250" s="248"/>
      <c r="G1250" s="248"/>
      <c r="H1250" s="283"/>
      <c r="I1250" s="199"/>
      <c r="J1250" s="199"/>
      <c r="K1250" s="199"/>
      <c r="L1250" s="248"/>
      <c r="M1250" s="248"/>
      <c r="N1250" s="248"/>
      <c r="O1250" s="248"/>
    </row>
    <row r="1251">
      <c r="A1251" s="199"/>
      <c r="B1251" s="199"/>
      <c r="C1251" s="199"/>
      <c r="D1251" s="248"/>
      <c r="E1251" s="248"/>
      <c r="F1251" s="248"/>
      <c r="G1251" s="248"/>
      <c r="H1251" s="283"/>
      <c r="I1251" s="199"/>
      <c r="J1251" s="199"/>
      <c r="K1251" s="199"/>
      <c r="L1251" s="248"/>
      <c r="M1251" s="248"/>
      <c r="N1251" s="248"/>
      <c r="O1251" s="248"/>
    </row>
    <row r="1252">
      <c r="A1252" s="199"/>
      <c r="B1252" s="199"/>
      <c r="C1252" s="199"/>
      <c r="D1252" s="248"/>
      <c r="E1252" s="248"/>
      <c r="F1252" s="248"/>
      <c r="G1252" s="248"/>
      <c r="H1252" s="283"/>
      <c r="I1252" s="199"/>
      <c r="J1252" s="199"/>
      <c r="K1252" s="199"/>
      <c r="L1252" s="248"/>
      <c r="M1252" s="248"/>
      <c r="N1252" s="248"/>
      <c r="O1252" s="248"/>
    </row>
    <row r="1253">
      <c r="A1253" s="199"/>
      <c r="B1253" s="199"/>
      <c r="C1253" s="199"/>
      <c r="D1253" s="248"/>
      <c r="E1253" s="248"/>
      <c r="F1253" s="248"/>
      <c r="G1253" s="248"/>
      <c r="H1253" s="283"/>
      <c r="I1253" s="199"/>
      <c r="J1253" s="199"/>
      <c r="K1253" s="199"/>
      <c r="L1253" s="248"/>
      <c r="M1253" s="248"/>
      <c r="N1253" s="248"/>
      <c r="O1253" s="248"/>
    </row>
    <row r="1254">
      <c r="A1254" s="199"/>
      <c r="B1254" s="199"/>
      <c r="C1254" s="199"/>
      <c r="D1254" s="248"/>
      <c r="E1254" s="248"/>
      <c r="F1254" s="248"/>
      <c r="G1254" s="248"/>
      <c r="H1254" s="283"/>
      <c r="I1254" s="199"/>
      <c r="J1254" s="199"/>
      <c r="K1254" s="199"/>
      <c r="L1254" s="248"/>
      <c r="M1254" s="248"/>
      <c r="N1254" s="248"/>
      <c r="O1254" s="248"/>
    </row>
    <row r="1255">
      <c r="A1255" s="199"/>
      <c r="B1255" s="199"/>
      <c r="C1255" s="199"/>
      <c r="D1255" s="248"/>
      <c r="E1255" s="248"/>
      <c r="F1255" s="248"/>
      <c r="G1255" s="248"/>
      <c r="H1255" s="283"/>
      <c r="I1255" s="199"/>
      <c r="J1255" s="199"/>
      <c r="K1255" s="199"/>
      <c r="L1255" s="248"/>
      <c r="M1255" s="248"/>
      <c r="N1255" s="248"/>
      <c r="O1255" s="248"/>
    </row>
    <row r="1256">
      <c r="A1256" s="199"/>
      <c r="B1256" s="199"/>
      <c r="C1256" s="199"/>
      <c r="D1256" s="248"/>
      <c r="E1256" s="248"/>
      <c r="F1256" s="248"/>
      <c r="G1256" s="248"/>
      <c r="H1256" s="283"/>
      <c r="I1256" s="199"/>
      <c r="J1256" s="199"/>
      <c r="K1256" s="199"/>
      <c r="L1256" s="248"/>
      <c r="M1256" s="248"/>
      <c r="N1256" s="248"/>
      <c r="O1256" s="248"/>
    </row>
    <row r="1257">
      <c r="A1257" s="199"/>
      <c r="B1257" s="199"/>
      <c r="C1257" s="199"/>
      <c r="D1257" s="248"/>
      <c r="E1257" s="248"/>
      <c r="F1257" s="248"/>
      <c r="G1257" s="248"/>
      <c r="H1257" s="283"/>
      <c r="I1257" s="199"/>
      <c r="J1257" s="199"/>
      <c r="K1257" s="199"/>
      <c r="L1257" s="248"/>
      <c r="M1257" s="248"/>
      <c r="N1257" s="248"/>
      <c r="O1257" s="248"/>
    </row>
    <row r="1258">
      <c r="A1258" s="199"/>
      <c r="B1258" s="199"/>
      <c r="C1258" s="199"/>
      <c r="D1258" s="248"/>
      <c r="E1258" s="248"/>
      <c r="F1258" s="248"/>
      <c r="G1258" s="248"/>
      <c r="H1258" s="283"/>
      <c r="I1258" s="199"/>
      <c r="J1258" s="199"/>
      <c r="K1258" s="199"/>
      <c r="L1258" s="248"/>
      <c r="M1258" s="248"/>
      <c r="N1258" s="248"/>
      <c r="O1258" s="248"/>
    </row>
    <row r="1259">
      <c r="A1259" s="199"/>
      <c r="B1259" s="199"/>
      <c r="C1259" s="199"/>
      <c r="D1259" s="248"/>
      <c r="E1259" s="248"/>
      <c r="F1259" s="248"/>
      <c r="G1259" s="248"/>
      <c r="H1259" s="283"/>
      <c r="I1259" s="199"/>
      <c r="J1259" s="199"/>
      <c r="K1259" s="199"/>
      <c r="L1259" s="248"/>
      <c r="M1259" s="248"/>
      <c r="N1259" s="248"/>
      <c r="O1259" s="248"/>
    </row>
    <row r="1260">
      <c r="A1260" s="199"/>
      <c r="B1260" s="199"/>
      <c r="C1260" s="199"/>
      <c r="D1260" s="248"/>
      <c r="E1260" s="248"/>
      <c r="F1260" s="248"/>
      <c r="G1260" s="248"/>
      <c r="H1260" s="283"/>
      <c r="I1260" s="199"/>
      <c r="J1260" s="199"/>
      <c r="K1260" s="199"/>
      <c r="L1260" s="248"/>
      <c r="M1260" s="248"/>
      <c r="N1260" s="248"/>
      <c r="O1260" s="248"/>
    </row>
    <row r="1261">
      <c r="A1261" s="199"/>
      <c r="B1261" s="199"/>
      <c r="C1261" s="199"/>
      <c r="D1261" s="248"/>
      <c r="E1261" s="248"/>
      <c r="F1261" s="248"/>
      <c r="G1261" s="248"/>
      <c r="H1261" s="283"/>
      <c r="I1261" s="199"/>
      <c r="J1261" s="199"/>
      <c r="K1261" s="199"/>
      <c r="L1261" s="248"/>
      <c r="M1261" s="248"/>
      <c r="N1261" s="248"/>
      <c r="O1261" s="248"/>
    </row>
    <row r="1262">
      <c r="A1262" s="199"/>
      <c r="B1262" s="199"/>
      <c r="C1262" s="199"/>
      <c r="D1262" s="248"/>
      <c r="E1262" s="248"/>
      <c r="F1262" s="248"/>
      <c r="G1262" s="248"/>
      <c r="H1262" s="283"/>
      <c r="I1262" s="199"/>
      <c r="J1262" s="199"/>
      <c r="K1262" s="199"/>
      <c r="L1262" s="248"/>
      <c r="M1262" s="248"/>
      <c r="N1262" s="248"/>
      <c r="O1262" s="248"/>
    </row>
    <row r="1263">
      <c r="A1263" s="199"/>
      <c r="B1263" s="199"/>
      <c r="C1263" s="199"/>
      <c r="D1263" s="248"/>
      <c r="E1263" s="248"/>
      <c r="F1263" s="248"/>
      <c r="G1263" s="248"/>
      <c r="H1263" s="283"/>
      <c r="I1263" s="199"/>
      <c r="J1263" s="199"/>
      <c r="K1263" s="199"/>
      <c r="L1263" s="248"/>
      <c r="M1263" s="248"/>
      <c r="N1263" s="248"/>
      <c r="O1263" s="248"/>
    </row>
    <row r="1264">
      <c r="A1264" s="199"/>
      <c r="B1264" s="199"/>
      <c r="C1264" s="199"/>
      <c r="D1264" s="248"/>
      <c r="E1264" s="248"/>
      <c r="F1264" s="248"/>
      <c r="G1264" s="248"/>
      <c r="H1264" s="283"/>
      <c r="I1264" s="199"/>
      <c r="J1264" s="199"/>
      <c r="K1264" s="199"/>
      <c r="L1264" s="248"/>
      <c r="M1264" s="248"/>
      <c r="N1264" s="248"/>
      <c r="O1264" s="248"/>
    </row>
    <row r="1265">
      <c r="A1265" s="199"/>
      <c r="B1265" s="199"/>
      <c r="C1265" s="199"/>
      <c r="D1265" s="248"/>
      <c r="E1265" s="248"/>
      <c r="F1265" s="248"/>
      <c r="G1265" s="248"/>
      <c r="H1265" s="283"/>
      <c r="I1265" s="199"/>
      <c r="J1265" s="199"/>
      <c r="K1265" s="199"/>
      <c r="L1265" s="248"/>
      <c r="M1265" s="248"/>
      <c r="N1265" s="248"/>
      <c r="O1265" s="248"/>
    </row>
    <row r="1266">
      <c r="A1266" s="199"/>
      <c r="B1266" s="199"/>
      <c r="C1266" s="199"/>
      <c r="D1266" s="248"/>
      <c r="E1266" s="248"/>
      <c r="F1266" s="248"/>
      <c r="G1266" s="248"/>
      <c r="H1266" s="283"/>
      <c r="I1266" s="199"/>
      <c r="J1266" s="199"/>
      <c r="K1266" s="199"/>
      <c r="L1266" s="248"/>
      <c r="M1266" s="248"/>
      <c r="N1266" s="248"/>
      <c r="O1266" s="248"/>
    </row>
    <row r="1267">
      <c r="A1267" s="199"/>
      <c r="B1267" s="199"/>
      <c r="C1267" s="199"/>
      <c r="D1267" s="248"/>
      <c r="E1267" s="248"/>
      <c r="F1267" s="248"/>
      <c r="G1267" s="248"/>
      <c r="H1267" s="283"/>
      <c r="I1267" s="199"/>
      <c r="J1267" s="199"/>
      <c r="K1267" s="199"/>
      <c r="L1267" s="248"/>
      <c r="M1267" s="248"/>
      <c r="N1267" s="248"/>
      <c r="O1267" s="248"/>
    </row>
    <row r="1268">
      <c r="A1268" s="199"/>
      <c r="B1268" s="199"/>
      <c r="C1268" s="199"/>
      <c r="D1268" s="248"/>
      <c r="E1268" s="248"/>
      <c r="F1268" s="248"/>
      <c r="G1268" s="248"/>
      <c r="H1268" s="283"/>
      <c r="I1268" s="199"/>
      <c r="J1268" s="199"/>
      <c r="K1268" s="199"/>
      <c r="L1268" s="248"/>
      <c r="M1268" s="248"/>
      <c r="N1268" s="248"/>
      <c r="O1268" s="248"/>
    </row>
    <row r="1269">
      <c r="A1269" s="199"/>
      <c r="B1269" s="199"/>
      <c r="C1269" s="199"/>
      <c r="D1269" s="248"/>
      <c r="E1269" s="248"/>
      <c r="F1269" s="248"/>
      <c r="G1269" s="248"/>
      <c r="H1269" s="283"/>
      <c r="I1269" s="199"/>
      <c r="J1269" s="199"/>
      <c r="K1269" s="199"/>
      <c r="L1269" s="248"/>
      <c r="M1269" s="248"/>
      <c r="N1269" s="248"/>
      <c r="O1269" s="248"/>
    </row>
    <row r="1270">
      <c r="A1270" s="199"/>
      <c r="B1270" s="199"/>
      <c r="C1270" s="199"/>
      <c r="D1270" s="248"/>
      <c r="E1270" s="248"/>
      <c r="F1270" s="248"/>
      <c r="G1270" s="248"/>
      <c r="H1270" s="283"/>
      <c r="I1270" s="199"/>
      <c r="J1270" s="199"/>
      <c r="K1270" s="199"/>
      <c r="L1270" s="248"/>
      <c r="M1270" s="248"/>
      <c r="N1270" s="248"/>
      <c r="O1270" s="248"/>
    </row>
    <row r="1271">
      <c r="A1271" s="199"/>
      <c r="B1271" s="199"/>
      <c r="C1271" s="199"/>
      <c r="D1271" s="248"/>
      <c r="E1271" s="248"/>
      <c r="F1271" s="248"/>
      <c r="G1271" s="248"/>
      <c r="H1271" s="283"/>
      <c r="I1271" s="199"/>
      <c r="J1271" s="199"/>
      <c r="K1271" s="199"/>
      <c r="L1271" s="248"/>
      <c r="M1271" s="248"/>
      <c r="N1271" s="248"/>
      <c r="O1271" s="248"/>
    </row>
    <row r="1272">
      <c r="A1272" s="199"/>
      <c r="B1272" s="199"/>
      <c r="C1272" s="199"/>
      <c r="D1272" s="248"/>
      <c r="E1272" s="248"/>
      <c r="F1272" s="248"/>
      <c r="G1272" s="248"/>
      <c r="H1272" s="283"/>
      <c r="I1272" s="199"/>
      <c r="J1272" s="199"/>
      <c r="K1272" s="199"/>
      <c r="L1272" s="248"/>
      <c r="M1272" s="248"/>
      <c r="N1272" s="248"/>
      <c r="O1272" s="248"/>
    </row>
    <row r="1273">
      <c r="A1273" s="199"/>
      <c r="B1273" s="199"/>
      <c r="C1273" s="199"/>
      <c r="D1273" s="248"/>
      <c r="E1273" s="248"/>
      <c r="F1273" s="248"/>
      <c r="G1273" s="248"/>
      <c r="H1273" s="283"/>
      <c r="I1273" s="199"/>
      <c r="J1273" s="199"/>
      <c r="K1273" s="199"/>
      <c r="L1273" s="248"/>
      <c r="M1273" s="248"/>
      <c r="N1273" s="248"/>
      <c r="O1273" s="248"/>
    </row>
    <row r="1274">
      <c r="A1274" s="199"/>
      <c r="B1274" s="199"/>
      <c r="C1274" s="199"/>
      <c r="D1274" s="248"/>
      <c r="E1274" s="248"/>
      <c r="F1274" s="248"/>
      <c r="G1274" s="248"/>
      <c r="H1274" s="283"/>
      <c r="I1274" s="199"/>
      <c r="J1274" s="199"/>
      <c r="K1274" s="199"/>
      <c r="L1274" s="248"/>
      <c r="M1274" s="248"/>
      <c r="N1274" s="248"/>
      <c r="O1274" s="248"/>
    </row>
    <row r="1275">
      <c r="A1275" s="199"/>
      <c r="B1275" s="199"/>
      <c r="C1275" s="199"/>
      <c r="D1275" s="248"/>
      <c r="E1275" s="248"/>
      <c r="F1275" s="248"/>
      <c r="G1275" s="248"/>
      <c r="H1275" s="283"/>
      <c r="I1275" s="199"/>
      <c r="J1275" s="199"/>
      <c r="K1275" s="199"/>
      <c r="L1275" s="248"/>
      <c r="M1275" s="248"/>
      <c r="N1275" s="248"/>
      <c r="O1275" s="248"/>
    </row>
    <row r="1276">
      <c r="A1276" s="199"/>
      <c r="B1276" s="199"/>
      <c r="C1276" s="199"/>
      <c r="D1276" s="248"/>
      <c r="E1276" s="248"/>
      <c r="F1276" s="248"/>
      <c r="G1276" s="248"/>
      <c r="H1276" s="283"/>
      <c r="I1276" s="199"/>
      <c r="J1276" s="199"/>
      <c r="K1276" s="199"/>
      <c r="L1276" s="248"/>
      <c r="M1276" s="248"/>
      <c r="N1276" s="248"/>
      <c r="O1276" s="248"/>
    </row>
    <row r="1277">
      <c r="A1277" s="199"/>
      <c r="B1277" s="199"/>
      <c r="C1277" s="199"/>
      <c r="D1277" s="248"/>
      <c r="E1277" s="248"/>
      <c r="F1277" s="248"/>
      <c r="G1277" s="248"/>
      <c r="H1277" s="283"/>
      <c r="I1277" s="199"/>
      <c r="J1277" s="199"/>
      <c r="K1277" s="199"/>
      <c r="L1277" s="248"/>
      <c r="M1277" s="248"/>
      <c r="N1277" s="248"/>
      <c r="O1277" s="248"/>
    </row>
    <row r="1278">
      <c r="A1278" s="199"/>
      <c r="B1278" s="199"/>
      <c r="C1278" s="199"/>
      <c r="D1278" s="248"/>
      <c r="E1278" s="248"/>
      <c r="F1278" s="248"/>
      <c r="G1278" s="248"/>
      <c r="H1278" s="283"/>
      <c r="I1278" s="199"/>
      <c r="J1278" s="199"/>
      <c r="K1278" s="199"/>
      <c r="L1278" s="248"/>
      <c r="M1278" s="248"/>
      <c r="N1278" s="248"/>
      <c r="O1278" s="248"/>
    </row>
    <row r="1279">
      <c r="A1279" s="199"/>
      <c r="B1279" s="199"/>
      <c r="C1279" s="199"/>
      <c r="D1279" s="248"/>
      <c r="E1279" s="248"/>
      <c r="F1279" s="248"/>
      <c r="G1279" s="248"/>
      <c r="H1279" s="283"/>
      <c r="I1279" s="199"/>
      <c r="J1279" s="199"/>
      <c r="K1279" s="199"/>
      <c r="L1279" s="248"/>
      <c r="M1279" s="248"/>
      <c r="N1279" s="248"/>
      <c r="O1279" s="248"/>
    </row>
    <row r="1280">
      <c r="A1280" s="199"/>
      <c r="B1280" s="199"/>
      <c r="C1280" s="199"/>
      <c r="D1280" s="248"/>
      <c r="E1280" s="248"/>
      <c r="F1280" s="248"/>
      <c r="G1280" s="248"/>
      <c r="H1280" s="283"/>
      <c r="I1280" s="199"/>
      <c r="J1280" s="199"/>
      <c r="K1280" s="199"/>
      <c r="L1280" s="248"/>
      <c r="M1280" s="248"/>
      <c r="N1280" s="248"/>
      <c r="O1280" s="248"/>
    </row>
    <row r="1281">
      <c r="A1281" s="199"/>
      <c r="B1281" s="199"/>
      <c r="C1281" s="199"/>
      <c r="D1281" s="248"/>
      <c r="E1281" s="248"/>
      <c r="F1281" s="248"/>
      <c r="G1281" s="248"/>
      <c r="H1281" s="283"/>
      <c r="I1281" s="199"/>
      <c r="J1281" s="199"/>
      <c r="K1281" s="199"/>
      <c r="L1281" s="248"/>
      <c r="M1281" s="248"/>
      <c r="N1281" s="248"/>
      <c r="O1281" s="248"/>
    </row>
    <row r="1282">
      <c r="A1282" s="199"/>
      <c r="B1282" s="199"/>
      <c r="C1282" s="199"/>
      <c r="D1282" s="248"/>
      <c r="E1282" s="248"/>
      <c r="F1282" s="248"/>
      <c r="G1282" s="248"/>
      <c r="H1282" s="283"/>
      <c r="I1282" s="199"/>
      <c r="J1282" s="199"/>
      <c r="K1282" s="199"/>
      <c r="L1282" s="248"/>
      <c r="M1282" s="248"/>
      <c r="N1282" s="248"/>
      <c r="O1282" s="248"/>
    </row>
    <row r="1283">
      <c r="A1283" s="199"/>
      <c r="B1283" s="199"/>
      <c r="C1283" s="199"/>
      <c r="D1283" s="248"/>
      <c r="E1283" s="248"/>
      <c r="F1283" s="248"/>
      <c r="G1283" s="248"/>
      <c r="H1283" s="283"/>
      <c r="I1283" s="199"/>
      <c r="J1283" s="199"/>
      <c r="K1283" s="199"/>
      <c r="L1283" s="248"/>
      <c r="M1283" s="248"/>
      <c r="N1283" s="248"/>
      <c r="O1283" s="248"/>
    </row>
    <row r="1284">
      <c r="A1284" s="199"/>
      <c r="B1284" s="199"/>
      <c r="C1284" s="199"/>
      <c r="D1284" s="248"/>
      <c r="E1284" s="248"/>
      <c r="F1284" s="248"/>
      <c r="G1284" s="248"/>
      <c r="H1284" s="283"/>
      <c r="I1284" s="199"/>
      <c r="J1284" s="199"/>
      <c r="K1284" s="199"/>
      <c r="L1284" s="248"/>
      <c r="M1284" s="248"/>
      <c r="N1284" s="248"/>
      <c r="O1284" s="248"/>
    </row>
    <row r="1285">
      <c r="A1285" s="199"/>
      <c r="B1285" s="199"/>
      <c r="C1285" s="199"/>
      <c r="D1285" s="248"/>
      <c r="E1285" s="248"/>
      <c r="F1285" s="248"/>
      <c r="G1285" s="248"/>
      <c r="H1285" s="283"/>
      <c r="I1285" s="199"/>
      <c r="J1285" s="199"/>
      <c r="K1285" s="199"/>
      <c r="L1285" s="248"/>
      <c r="M1285" s="248"/>
      <c r="N1285" s="248"/>
      <c r="O1285" s="248"/>
    </row>
    <row r="1286">
      <c r="A1286" s="199"/>
      <c r="B1286" s="199"/>
      <c r="C1286" s="199"/>
      <c r="D1286" s="248"/>
      <c r="E1286" s="248"/>
      <c r="F1286" s="248"/>
      <c r="G1286" s="248"/>
      <c r="H1286" s="283"/>
      <c r="I1286" s="199"/>
      <c r="J1286" s="199"/>
      <c r="K1286" s="199"/>
      <c r="L1286" s="248"/>
      <c r="M1286" s="248"/>
      <c r="N1286" s="248"/>
      <c r="O1286" s="248"/>
    </row>
    <row r="1287">
      <c r="A1287" s="199"/>
      <c r="B1287" s="199"/>
      <c r="C1287" s="199"/>
      <c r="D1287" s="248"/>
      <c r="E1287" s="248"/>
      <c r="F1287" s="248"/>
      <c r="G1287" s="248"/>
      <c r="H1287" s="283"/>
      <c r="I1287" s="199"/>
      <c r="J1287" s="199"/>
      <c r="K1287" s="199"/>
      <c r="L1287" s="248"/>
      <c r="M1287" s="248"/>
      <c r="N1287" s="248"/>
      <c r="O1287" s="248"/>
    </row>
    <row r="1288">
      <c r="A1288" s="199"/>
      <c r="B1288" s="199"/>
      <c r="C1288" s="199"/>
      <c r="D1288" s="248"/>
      <c r="E1288" s="248"/>
      <c r="F1288" s="248"/>
      <c r="G1288" s="248"/>
      <c r="H1288" s="283"/>
      <c r="I1288" s="199"/>
      <c r="J1288" s="199"/>
      <c r="K1288" s="199"/>
      <c r="L1288" s="248"/>
      <c r="M1288" s="248"/>
      <c r="N1288" s="248"/>
      <c r="O1288" s="248"/>
    </row>
    <row r="1289">
      <c r="A1289" s="199"/>
      <c r="B1289" s="199"/>
      <c r="C1289" s="199"/>
      <c r="D1289" s="248"/>
      <c r="E1289" s="248"/>
      <c r="F1289" s="248"/>
      <c r="G1289" s="248"/>
      <c r="H1289" s="283"/>
      <c r="I1289" s="199"/>
      <c r="J1289" s="199"/>
      <c r="K1289" s="199"/>
      <c r="L1289" s="248"/>
      <c r="M1289" s="248"/>
      <c r="N1289" s="248"/>
      <c r="O1289" s="248"/>
    </row>
    <row r="1290">
      <c r="A1290" s="199"/>
      <c r="B1290" s="199"/>
      <c r="C1290" s="199"/>
      <c r="D1290" s="248"/>
      <c r="E1290" s="248"/>
      <c r="F1290" s="248"/>
      <c r="G1290" s="248"/>
      <c r="H1290" s="283"/>
      <c r="I1290" s="199"/>
      <c r="J1290" s="199"/>
      <c r="K1290" s="199"/>
      <c r="L1290" s="248"/>
      <c r="M1290" s="248"/>
      <c r="N1290" s="248"/>
      <c r="O1290" s="248"/>
    </row>
    <row r="1291">
      <c r="A1291" s="199"/>
      <c r="B1291" s="199"/>
      <c r="C1291" s="199"/>
      <c r="D1291" s="248"/>
      <c r="E1291" s="248"/>
      <c r="F1291" s="248"/>
      <c r="G1291" s="248"/>
      <c r="H1291" s="283"/>
      <c r="I1291" s="199"/>
      <c r="J1291" s="199"/>
      <c r="K1291" s="199"/>
      <c r="L1291" s="248"/>
      <c r="M1291" s="248"/>
      <c r="N1291" s="248"/>
      <c r="O1291" s="248"/>
    </row>
    <row r="1292">
      <c r="A1292" s="199"/>
      <c r="B1292" s="199"/>
      <c r="C1292" s="199"/>
      <c r="D1292" s="248"/>
      <c r="E1292" s="248"/>
      <c r="F1292" s="248"/>
      <c r="G1292" s="248"/>
      <c r="H1292" s="283"/>
      <c r="I1292" s="199"/>
      <c r="J1292" s="199"/>
      <c r="K1292" s="199"/>
      <c r="L1292" s="248"/>
      <c r="M1292" s="248"/>
      <c r="N1292" s="248"/>
      <c r="O1292" s="248"/>
    </row>
    <row r="1293">
      <c r="A1293" s="199"/>
      <c r="B1293" s="199"/>
      <c r="C1293" s="199"/>
      <c r="D1293" s="248"/>
      <c r="E1293" s="248"/>
      <c r="F1293" s="248"/>
      <c r="G1293" s="248"/>
      <c r="H1293" s="283"/>
      <c r="I1293" s="199"/>
      <c r="J1293" s="199"/>
      <c r="K1293" s="199"/>
      <c r="L1293" s="248"/>
      <c r="M1293" s="248"/>
      <c r="N1293" s="248"/>
      <c r="O1293" s="248"/>
    </row>
    <row r="1294">
      <c r="A1294" s="199"/>
      <c r="B1294" s="199"/>
      <c r="C1294" s="199"/>
      <c r="D1294" s="248"/>
      <c r="E1294" s="248"/>
      <c r="F1294" s="248"/>
      <c r="G1294" s="248"/>
      <c r="H1294" s="283"/>
      <c r="I1294" s="199"/>
      <c r="J1294" s="199"/>
      <c r="K1294" s="199"/>
      <c r="L1294" s="248"/>
      <c r="M1294" s="248"/>
      <c r="N1294" s="248"/>
      <c r="O1294" s="248"/>
    </row>
    <row r="1295">
      <c r="A1295" s="199"/>
      <c r="B1295" s="199"/>
      <c r="C1295" s="199"/>
      <c r="D1295" s="248"/>
      <c r="E1295" s="248"/>
      <c r="F1295" s="248"/>
      <c r="G1295" s="248"/>
      <c r="H1295" s="283"/>
      <c r="I1295" s="199"/>
      <c r="J1295" s="199"/>
      <c r="K1295" s="199"/>
      <c r="L1295" s="248"/>
      <c r="M1295" s="248"/>
      <c r="N1295" s="248"/>
      <c r="O1295" s="248"/>
    </row>
    <row r="1296">
      <c r="A1296" s="199"/>
      <c r="B1296" s="199"/>
      <c r="C1296" s="199"/>
      <c r="D1296" s="248"/>
      <c r="E1296" s="248"/>
      <c r="F1296" s="248"/>
      <c r="G1296" s="248"/>
      <c r="H1296" s="283"/>
      <c r="I1296" s="199"/>
      <c r="J1296" s="199"/>
      <c r="K1296" s="199"/>
      <c r="L1296" s="248"/>
      <c r="M1296" s="248"/>
      <c r="N1296" s="248"/>
      <c r="O1296" s="248"/>
    </row>
    <row r="1297">
      <c r="A1297" s="199"/>
      <c r="B1297" s="199"/>
      <c r="C1297" s="199"/>
      <c r="D1297" s="248"/>
      <c r="E1297" s="248"/>
      <c r="F1297" s="248"/>
      <c r="G1297" s="248"/>
      <c r="H1297" s="283"/>
      <c r="I1297" s="199"/>
      <c r="J1297" s="199"/>
      <c r="K1297" s="199"/>
      <c r="L1297" s="248"/>
      <c r="M1297" s="248"/>
      <c r="N1297" s="248"/>
      <c r="O1297" s="248"/>
    </row>
    <row r="1298">
      <c r="A1298" s="199"/>
      <c r="B1298" s="199"/>
      <c r="C1298" s="199"/>
      <c r="D1298" s="248"/>
      <c r="E1298" s="248"/>
      <c r="F1298" s="248"/>
      <c r="G1298" s="248"/>
      <c r="H1298" s="283"/>
      <c r="I1298" s="199"/>
      <c r="J1298" s="199"/>
      <c r="K1298" s="199"/>
      <c r="L1298" s="248"/>
      <c r="M1298" s="248"/>
      <c r="N1298" s="248"/>
      <c r="O1298" s="248"/>
    </row>
    <row r="1299">
      <c r="A1299" s="199"/>
      <c r="B1299" s="199"/>
      <c r="C1299" s="199"/>
      <c r="D1299" s="248"/>
      <c r="E1299" s="248"/>
      <c r="F1299" s="248"/>
      <c r="G1299" s="248"/>
      <c r="H1299" s="283"/>
      <c r="I1299" s="199"/>
      <c r="J1299" s="199"/>
      <c r="K1299" s="199"/>
      <c r="L1299" s="248"/>
      <c r="M1299" s="248"/>
      <c r="N1299" s="248"/>
      <c r="O1299" s="248"/>
    </row>
    <row r="1300">
      <c r="A1300" s="199"/>
      <c r="B1300" s="199"/>
      <c r="C1300" s="199"/>
      <c r="D1300" s="248"/>
      <c r="E1300" s="248"/>
      <c r="F1300" s="248"/>
      <c r="G1300" s="248"/>
      <c r="H1300" s="283"/>
      <c r="I1300" s="199"/>
      <c r="J1300" s="199"/>
      <c r="K1300" s="199"/>
      <c r="L1300" s="248"/>
      <c r="M1300" s="248"/>
      <c r="N1300" s="248"/>
      <c r="O1300" s="248"/>
    </row>
    <row r="1301">
      <c r="A1301" s="199"/>
      <c r="B1301" s="199"/>
      <c r="C1301" s="199"/>
      <c r="D1301" s="248"/>
      <c r="E1301" s="248"/>
      <c r="F1301" s="248"/>
      <c r="G1301" s="248"/>
      <c r="H1301" s="283"/>
      <c r="I1301" s="199"/>
      <c r="J1301" s="199"/>
      <c r="K1301" s="199"/>
      <c r="L1301" s="248"/>
      <c r="M1301" s="248"/>
      <c r="N1301" s="248"/>
      <c r="O1301" s="248"/>
    </row>
    <row r="1302">
      <c r="A1302" s="199"/>
      <c r="B1302" s="199"/>
      <c r="C1302" s="199"/>
      <c r="D1302" s="248"/>
      <c r="E1302" s="248"/>
      <c r="F1302" s="248"/>
      <c r="G1302" s="248"/>
      <c r="H1302" s="283"/>
      <c r="I1302" s="199"/>
      <c r="J1302" s="199"/>
      <c r="K1302" s="199"/>
      <c r="L1302" s="248"/>
      <c r="M1302" s="248"/>
      <c r="N1302" s="248"/>
      <c r="O1302" s="248"/>
    </row>
    <row r="1303">
      <c r="A1303" s="199"/>
      <c r="B1303" s="199"/>
      <c r="C1303" s="199"/>
      <c r="D1303" s="248"/>
      <c r="E1303" s="248"/>
      <c r="F1303" s="248"/>
      <c r="G1303" s="248"/>
      <c r="H1303" s="283"/>
      <c r="I1303" s="199"/>
      <c r="J1303" s="199"/>
      <c r="K1303" s="199"/>
      <c r="L1303" s="248"/>
      <c r="M1303" s="248"/>
      <c r="N1303" s="248"/>
      <c r="O1303" s="248"/>
    </row>
    <row r="1304">
      <c r="A1304" s="199"/>
      <c r="B1304" s="199"/>
      <c r="C1304" s="199"/>
      <c r="D1304" s="248"/>
      <c r="E1304" s="248"/>
      <c r="F1304" s="248"/>
      <c r="G1304" s="248"/>
      <c r="H1304" s="283"/>
      <c r="I1304" s="199"/>
      <c r="J1304" s="199"/>
      <c r="K1304" s="199"/>
      <c r="L1304" s="248"/>
      <c r="M1304" s="248"/>
      <c r="N1304" s="248"/>
      <c r="O1304" s="248"/>
    </row>
    <row r="1305">
      <c r="A1305" s="199"/>
      <c r="B1305" s="199"/>
      <c r="C1305" s="199"/>
      <c r="D1305" s="248"/>
      <c r="E1305" s="248"/>
      <c r="F1305" s="248"/>
      <c r="G1305" s="248"/>
      <c r="H1305" s="283"/>
      <c r="I1305" s="199"/>
      <c r="J1305" s="199"/>
      <c r="K1305" s="199"/>
      <c r="L1305" s="248"/>
      <c r="M1305" s="248"/>
      <c r="N1305" s="248"/>
      <c r="O1305" s="248"/>
    </row>
    <row r="1306">
      <c r="A1306" s="199"/>
      <c r="B1306" s="199"/>
      <c r="C1306" s="199"/>
      <c r="D1306" s="248"/>
      <c r="E1306" s="248"/>
      <c r="F1306" s="248"/>
      <c r="G1306" s="248"/>
      <c r="H1306" s="283"/>
      <c r="I1306" s="199"/>
      <c r="J1306" s="199"/>
      <c r="K1306" s="199"/>
      <c r="L1306" s="248"/>
      <c r="M1306" s="248"/>
      <c r="N1306" s="248"/>
      <c r="O1306" s="248"/>
    </row>
    <row r="1307">
      <c r="A1307" s="199"/>
      <c r="B1307" s="199"/>
      <c r="C1307" s="199"/>
      <c r="D1307" s="248"/>
      <c r="E1307" s="248"/>
      <c r="F1307" s="248"/>
      <c r="G1307" s="248"/>
      <c r="H1307" s="283"/>
      <c r="I1307" s="199"/>
      <c r="J1307" s="199"/>
      <c r="K1307" s="199"/>
      <c r="L1307" s="248"/>
      <c r="M1307" s="248"/>
      <c r="N1307" s="248"/>
      <c r="O1307" s="248"/>
    </row>
    <row r="1308">
      <c r="A1308" s="199"/>
      <c r="B1308" s="199"/>
      <c r="C1308" s="199"/>
      <c r="D1308" s="248"/>
      <c r="E1308" s="248"/>
      <c r="F1308" s="248"/>
      <c r="G1308" s="248"/>
      <c r="H1308" s="283"/>
      <c r="I1308" s="199"/>
      <c r="J1308" s="199"/>
      <c r="K1308" s="199"/>
      <c r="L1308" s="248"/>
      <c r="M1308" s="248"/>
      <c r="N1308" s="248"/>
      <c r="O1308" s="248"/>
    </row>
    <row r="1309">
      <c r="A1309" s="199"/>
      <c r="B1309" s="199"/>
      <c r="C1309" s="199"/>
      <c r="D1309" s="248"/>
      <c r="E1309" s="248"/>
      <c r="F1309" s="248"/>
      <c r="G1309" s="248"/>
      <c r="H1309" s="283"/>
      <c r="I1309" s="199"/>
      <c r="J1309" s="199"/>
      <c r="K1309" s="199"/>
      <c r="L1309" s="248"/>
      <c r="M1309" s="248"/>
      <c r="N1309" s="248"/>
      <c r="O1309" s="248"/>
    </row>
    <row r="1310">
      <c r="A1310" s="199"/>
      <c r="B1310" s="199"/>
      <c r="C1310" s="199"/>
      <c r="D1310" s="248"/>
      <c r="E1310" s="248"/>
      <c r="F1310" s="248"/>
      <c r="G1310" s="248"/>
      <c r="H1310" s="283"/>
      <c r="I1310" s="199"/>
      <c r="J1310" s="199"/>
      <c r="K1310" s="199"/>
      <c r="L1310" s="248"/>
      <c r="M1310" s="248"/>
      <c r="N1310" s="248"/>
      <c r="O1310" s="248"/>
    </row>
    <row r="1311">
      <c r="A1311" s="199"/>
      <c r="B1311" s="199"/>
      <c r="C1311" s="199"/>
      <c r="D1311" s="248"/>
      <c r="E1311" s="248"/>
      <c r="F1311" s="248"/>
      <c r="G1311" s="248"/>
      <c r="H1311" s="283"/>
      <c r="I1311" s="199"/>
      <c r="J1311" s="199"/>
      <c r="K1311" s="199"/>
      <c r="L1311" s="248"/>
      <c r="M1311" s="248"/>
      <c r="N1311" s="248"/>
      <c r="O1311" s="248"/>
    </row>
    <row r="1312">
      <c r="A1312" s="199"/>
      <c r="B1312" s="199"/>
      <c r="C1312" s="199"/>
      <c r="D1312" s="248"/>
      <c r="E1312" s="248"/>
      <c r="F1312" s="248"/>
      <c r="G1312" s="248"/>
      <c r="H1312" s="283"/>
      <c r="I1312" s="199"/>
      <c r="J1312" s="199"/>
      <c r="K1312" s="199"/>
      <c r="L1312" s="248"/>
      <c r="M1312" s="248"/>
      <c r="N1312" s="248"/>
      <c r="O1312" s="248"/>
    </row>
    <row r="1313">
      <c r="A1313" s="199"/>
      <c r="B1313" s="199"/>
      <c r="C1313" s="199"/>
      <c r="D1313" s="248"/>
      <c r="E1313" s="248"/>
      <c r="F1313" s="248"/>
      <c r="G1313" s="248"/>
      <c r="H1313" s="283"/>
      <c r="I1313" s="199"/>
      <c r="J1313" s="199"/>
      <c r="K1313" s="199"/>
      <c r="L1313" s="248"/>
      <c r="M1313" s="248"/>
      <c r="N1313" s="248"/>
      <c r="O1313" s="248"/>
    </row>
    <row r="1314">
      <c r="A1314" s="199"/>
      <c r="B1314" s="199"/>
      <c r="C1314" s="199"/>
      <c r="D1314" s="248"/>
      <c r="E1314" s="248"/>
      <c r="F1314" s="248"/>
      <c r="G1314" s="248"/>
      <c r="H1314" s="283"/>
      <c r="I1314" s="199"/>
      <c r="J1314" s="199"/>
      <c r="K1314" s="199"/>
      <c r="L1314" s="248"/>
      <c r="M1314" s="248"/>
      <c r="N1314" s="248"/>
      <c r="O1314" s="248"/>
    </row>
    <row r="1315">
      <c r="A1315" s="199"/>
      <c r="B1315" s="199"/>
      <c r="C1315" s="199"/>
      <c r="D1315" s="248"/>
      <c r="E1315" s="248"/>
      <c r="F1315" s="248"/>
      <c r="G1315" s="248"/>
      <c r="H1315" s="283"/>
      <c r="I1315" s="199"/>
      <c r="J1315" s="199"/>
      <c r="K1315" s="199"/>
      <c r="L1315" s="248"/>
      <c r="M1315" s="248"/>
      <c r="N1315" s="248"/>
      <c r="O1315" s="248"/>
    </row>
    <row r="1316">
      <c r="A1316" s="199"/>
      <c r="B1316" s="199"/>
      <c r="C1316" s="199"/>
      <c r="D1316" s="248"/>
      <c r="E1316" s="248"/>
      <c r="F1316" s="248"/>
      <c r="G1316" s="248"/>
      <c r="H1316" s="283"/>
      <c r="I1316" s="199"/>
      <c r="J1316" s="199"/>
      <c r="K1316" s="199"/>
      <c r="L1316" s="248"/>
      <c r="M1316" s="248"/>
      <c r="N1316" s="248"/>
      <c r="O1316" s="248"/>
    </row>
    <row r="1317">
      <c r="A1317" s="199"/>
      <c r="B1317" s="199"/>
      <c r="C1317" s="199"/>
      <c r="D1317" s="248"/>
      <c r="E1317" s="248"/>
      <c r="F1317" s="248"/>
      <c r="G1317" s="248"/>
      <c r="H1317" s="283"/>
      <c r="I1317" s="199"/>
      <c r="J1317" s="199"/>
      <c r="K1317" s="199"/>
      <c r="L1317" s="248"/>
      <c r="M1317" s="248"/>
      <c r="N1317" s="248"/>
      <c r="O1317" s="248"/>
    </row>
    <row r="1318">
      <c r="A1318" s="199"/>
      <c r="B1318" s="199"/>
      <c r="C1318" s="199"/>
      <c r="D1318" s="248"/>
      <c r="E1318" s="248"/>
      <c r="F1318" s="248"/>
      <c r="G1318" s="248"/>
      <c r="H1318" s="283"/>
      <c r="I1318" s="199"/>
      <c r="J1318" s="199"/>
      <c r="K1318" s="199"/>
      <c r="L1318" s="248"/>
      <c r="M1318" s="248"/>
      <c r="N1318" s="248"/>
      <c r="O1318" s="248"/>
    </row>
    <row r="1319">
      <c r="A1319" s="199"/>
      <c r="B1319" s="199"/>
      <c r="C1319" s="199"/>
      <c r="D1319" s="248"/>
      <c r="E1319" s="248"/>
      <c r="F1319" s="248"/>
      <c r="G1319" s="248"/>
      <c r="H1319" s="283"/>
      <c r="I1319" s="199"/>
      <c r="J1319" s="199"/>
      <c r="K1319" s="199"/>
      <c r="L1319" s="248"/>
      <c r="M1319" s="248"/>
      <c r="N1319" s="248"/>
      <c r="O1319" s="248"/>
    </row>
    <row r="1320">
      <c r="A1320" s="199"/>
      <c r="B1320" s="199"/>
      <c r="C1320" s="199"/>
      <c r="D1320" s="248"/>
      <c r="E1320" s="248"/>
      <c r="F1320" s="248"/>
      <c r="G1320" s="248"/>
      <c r="H1320" s="283"/>
      <c r="I1320" s="199"/>
      <c r="J1320" s="199"/>
      <c r="K1320" s="199"/>
      <c r="L1320" s="248"/>
      <c r="M1320" s="248"/>
      <c r="N1320" s="248"/>
      <c r="O1320" s="248"/>
    </row>
    <row r="1321">
      <c r="A1321" s="199"/>
      <c r="B1321" s="199"/>
      <c r="C1321" s="199"/>
      <c r="D1321" s="248"/>
      <c r="E1321" s="248"/>
      <c r="F1321" s="248"/>
      <c r="G1321" s="248"/>
      <c r="H1321" s="283"/>
      <c r="I1321" s="199"/>
      <c r="J1321" s="199"/>
      <c r="K1321" s="199"/>
      <c r="L1321" s="248"/>
      <c r="M1321" s="248"/>
      <c r="N1321" s="248"/>
      <c r="O1321" s="248"/>
    </row>
    <row r="1322">
      <c r="A1322" s="199"/>
      <c r="B1322" s="199"/>
      <c r="C1322" s="199"/>
      <c r="D1322" s="248"/>
      <c r="E1322" s="248"/>
      <c r="F1322" s="248"/>
      <c r="G1322" s="248"/>
      <c r="H1322" s="283"/>
      <c r="I1322" s="199"/>
      <c r="J1322" s="199"/>
      <c r="K1322" s="199"/>
      <c r="L1322" s="248"/>
      <c r="M1322" s="248"/>
      <c r="N1322" s="248"/>
      <c r="O1322" s="248"/>
    </row>
    <row r="1323">
      <c r="A1323" s="199"/>
      <c r="B1323" s="199"/>
      <c r="C1323" s="199"/>
      <c r="D1323" s="248"/>
      <c r="E1323" s="248"/>
      <c r="F1323" s="248"/>
      <c r="G1323" s="248"/>
      <c r="H1323" s="283"/>
      <c r="I1323" s="199"/>
      <c r="J1323" s="199"/>
      <c r="K1323" s="199"/>
      <c r="L1323" s="248"/>
      <c r="M1323" s="248"/>
      <c r="N1323" s="248"/>
      <c r="O1323" s="248"/>
    </row>
    <row r="1324">
      <c r="A1324" s="199"/>
      <c r="B1324" s="199"/>
      <c r="C1324" s="199"/>
      <c r="D1324" s="248"/>
      <c r="E1324" s="248"/>
      <c r="F1324" s="248"/>
      <c r="G1324" s="248"/>
      <c r="H1324" s="283"/>
      <c r="I1324" s="199"/>
      <c r="J1324" s="199"/>
      <c r="K1324" s="199"/>
      <c r="L1324" s="248"/>
      <c r="M1324" s="248"/>
      <c r="N1324" s="248"/>
      <c r="O1324" s="248"/>
    </row>
    <row r="1325">
      <c r="A1325" s="199"/>
      <c r="B1325" s="199"/>
      <c r="C1325" s="199"/>
      <c r="D1325" s="248"/>
      <c r="E1325" s="248"/>
      <c r="F1325" s="248"/>
      <c r="G1325" s="248"/>
      <c r="H1325" s="283"/>
      <c r="I1325" s="199"/>
      <c r="J1325" s="199"/>
      <c r="K1325" s="199"/>
      <c r="L1325" s="248"/>
      <c r="M1325" s="248"/>
      <c r="N1325" s="248"/>
      <c r="O1325" s="248"/>
    </row>
    <row r="1326">
      <c r="A1326" s="199"/>
      <c r="B1326" s="199"/>
      <c r="C1326" s="199"/>
      <c r="D1326" s="248"/>
      <c r="E1326" s="248"/>
      <c r="F1326" s="248"/>
      <c r="G1326" s="248"/>
      <c r="H1326" s="283"/>
      <c r="I1326" s="199"/>
      <c r="J1326" s="199"/>
      <c r="K1326" s="199"/>
      <c r="L1326" s="248"/>
      <c r="M1326" s="248"/>
      <c r="N1326" s="248"/>
      <c r="O1326" s="248"/>
    </row>
    <row r="1327">
      <c r="A1327" s="199"/>
      <c r="B1327" s="199"/>
      <c r="C1327" s="199"/>
      <c r="D1327" s="248"/>
      <c r="E1327" s="248"/>
      <c r="F1327" s="248"/>
      <c r="G1327" s="248"/>
      <c r="H1327" s="283"/>
      <c r="I1327" s="199"/>
      <c r="J1327" s="199"/>
      <c r="K1327" s="199"/>
      <c r="L1327" s="248"/>
      <c r="M1327" s="248"/>
      <c r="N1327" s="248"/>
      <c r="O1327" s="248"/>
    </row>
    <row r="1328">
      <c r="A1328" s="199"/>
      <c r="B1328" s="199"/>
      <c r="C1328" s="199"/>
      <c r="D1328" s="248"/>
      <c r="E1328" s="248"/>
      <c r="F1328" s="248"/>
      <c r="G1328" s="248"/>
      <c r="H1328" s="283"/>
      <c r="I1328" s="199"/>
      <c r="J1328" s="199"/>
      <c r="K1328" s="199"/>
      <c r="L1328" s="248"/>
      <c r="M1328" s="248"/>
      <c r="N1328" s="248"/>
      <c r="O1328" s="248"/>
    </row>
    <row r="1329">
      <c r="A1329" s="199"/>
      <c r="B1329" s="199"/>
      <c r="C1329" s="199"/>
      <c r="D1329" s="248"/>
      <c r="E1329" s="248"/>
      <c r="F1329" s="248"/>
      <c r="G1329" s="248"/>
      <c r="H1329" s="283"/>
      <c r="I1329" s="199"/>
      <c r="J1329" s="199"/>
      <c r="K1329" s="199"/>
      <c r="L1329" s="248"/>
      <c r="M1329" s="248"/>
      <c r="N1329" s="248"/>
      <c r="O1329" s="248"/>
    </row>
    <row r="1330">
      <c r="A1330" s="199"/>
      <c r="B1330" s="199"/>
      <c r="C1330" s="199"/>
      <c r="D1330" s="248"/>
      <c r="E1330" s="248"/>
      <c r="F1330" s="248"/>
      <c r="G1330" s="248"/>
      <c r="H1330" s="283"/>
      <c r="I1330" s="199"/>
      <c r="J1330" s="199"/>
      <c r="K1330" s="199"/>
      <c r="L1330" s="248"/>
      <c r="M1330" s="248"/>
      <c r="N1330" s="248"/>
      <c r="O1330" s="248"/>
    </row>
    <row r="1331">
      <c r="A1331" s="199"/>
      <c r="B1331" s="199"/>
      <c r="C1331" s="199"/>
      <c r="D1331" s="248"/>
      <c r="E1331" s="248"/>
      <c r="F1331" s="248"/>
      <c r="G1331" s="248"/>
      <c r="H1331" s="283"/>
      <c r="I1331" s="199"/>
      <c r="J1331" s="199"/>
      <c r="K1331" s="199"/>
      <c r="L1331" s="248"/>
      <c r="M1331" s="248"/>
      <c r="N1331" s="248"/>
      <c r="O1331" s="248"/>
    </row>
    <row r="1332">
      <c r="A1332" s="199"/>
      <c r="B1332" s="199"/>
      <c r="C1332" s="199"/>
      <c r="D1332" s="248"/>
      <c r="E1332" s="248"/>
      <c r="F1332" s="248"/>
      <c r="G1332" s="248"/>
      <c r="H1332" s="283"/>
      <c r="I1332" s="199"/>
      <c r="J1332" s="199"/>
      <c r="K1332" s="199"/>
      <c r="L1332" s="248"/>
      <c r="M1332" s="248"/>
      <c r="N1332" s="248"/>
      <c r="O1332" s="248"/>
    </row>
    <row r="1333">
      <c r="A1333" s="199"/>
      <c r="B1333" s="199"/>
      <c r="C1333" s="199"/>
      <c r="D1333" s="248"/>
      <c r="E1333" s="248"/>
      <c r="F1333" s="248"/>
      <c r="G1333" s="248"/>
      <c r="H1333" s="283"/>
      <c r="I1333" s="199"/>
      <c r="J1333" s="199"/>
      <c r="K1333" s="199"/>
      <c r="L1333" s="248"/>
      <c r="M1333" s="248"/>
      <c r="N1333" s="248"/>
      <c r="O1333" s="248"/>
    </row>
    <row r="1334">
      <c r="A1334" s="199"/>
      <c r="B1334" s="199"/>
      <c r="C1334" s="199"/>
      <c r="D1334" s="248"/>
      <c r="E1334" s="248"/>
      <c r="F1334" s="248"/>
      <c r="G1334" s="248"/>
      <c r="H1334" s="283"/>
      <c r="I1334" s="199"/>
      <c r="J1334" s="199"/>
      <c r="K1334" s="199"/>
      <c r="L1334" s="248"/>
      <c r="M1334" s="248"/>
      <c r="N1334" s="248"/>
      <c r="O1334" s="248"/>
    </row>
    <row r="1335">
      <c r="A1335" s="199"/>
      <c r="B1335" s="199"/>
      <c r="C1335" s="199"/>
      <c r="D1335" s="248"/>
      <c r="E1335" s="248"/>
      <c r="F1335" s="248"/>
      <c r="G1335" s="248"/>
      <c r="H1335" s="283"/>
      <c r="I1335" s="199"/>
      <c r="J1335" s="199"/>
      <c r="K1335" s="199"/>
      <c r="L1335" s="248"/>
      <c r="M1335" s="248"/>
      <c r="N1335" s="248"/>
      <c r="O1335" s="248"/>
    </row>
    <row r="1336">
      <c r="A1336" s="199"/>
      <c r="B1336" s="199"/>
      <c r="C1336" s="199"/>
      <c r="D1336" s="248"/>
      <c r="E1336" s="248"/>
      <c r="F1336" s="248"/>
      <c r="G1336" s="248"/>
      <c r="H1336" s="283"/>
      <c r="I1336" s="199"/>
      <c r="J1336" s="199"/>
      <c r="K1336" s="199"/>
      <c r="L1336" s="248"/>
      <c r="M1336" s="248"/>
      <c r="N1336" s="248"/>
      <c r="O1336" s="248"/>
    </row>
    <row r="1337">
      <c r="A1337" s="199"/>
      <c r="B1337" s="199"/>
      <c r="C1337" s="199"/>
      <c r="D1337" s="248"/>
      <c r="E1337" s="248"/>
      <c r="F1337" s="248"/>
      <c r="G1337" s="248"/>
      <c r="H1337" s="283"/>
      <c r="I1337" s="199"/>
      <c r="J1337" s="199"/>
      <c r="K1337" s="199"/>
      <c r="L1337" s="248"/>
      <c r="M1337" s="248"/>
      <c r="N1337" s="248"/>
      <c r="O1337" s="248"/>
    </row>
    <row r="1338">
      <c r="A1338" s="199"/>
      <c r="B1338" s="199"/>
      <c r="C1338" s="199"/>
      <c r="D1338" s="248"/>
      <c r="E1338" s="248"/>
      <c r="F1338" s="248"/>
      <c r="G1338" s="248"/>
      <c r="H1338" s="283"/>
      <c r="I1338" s="199"/>
      <c r="J1338" s="199"/>
      <c r="K1338" s="199"/>
      <c r="L1338" s="248"/>
      <c r="M1338" s="248"/>
      <c r="N1338" s="248"/>
      <c r="O1338" s="248"/>
    </row>
    <row r="1339">
      <c r="A1339" s="199"/>
      <c r="B1339" s="199"/>
      <c r="C1339" s="199"/>
      <c r="D1339" s="248"/>
      <c r="E1339" s="248"/>
      <c r="F1339" s="248"/>
      <c r="G1339" s="248"/>
      <c r="H1339" s="283"/>
      <c r="I1339" s="199"/>
      <c r="J1339" s="199"/>
      <c r="K1339" s="199"/>
      <c r="L1339" s="248"/>
      <c r="M1339" s="248"/>
      <c r="N1339" s="248"/>
      <c r="O1339" s="248"/>
    </row>
    <row r="1340">
      <c r="A1340" s="199"/>
      <c r="B1340" s="199"/>
      <c r="C1340" s="199"/>
      <c r="D1340" s="248"/>
      <c r="E1340" s="248"/>
      <c r="F1340" s="248"/>
      <c r="G1340" s="248"/>
      <c r="H1340" s="283"/>
      <c r="I1340" s="199"/>
      <c r="J1340" s="199"/>
      <c r="K1340" s="199"/>
      <c r="L1340" s="248"/>
      <c r="M1340" s="248"/>
      <c r="N1340" s="248"/>
      <c r="O1340" s="248"/>
    </row>
    <row r="1341">
      <c r="A1341" s="199"/>
      <c r="B1341" s="199"/>
      <c r="C1341" s="199"/>
      <c r="D1341" s="248"/>
      <c r="E1341" s="248"/>
      <c r="F1341" s="248"/>
      <c r="G1341" s="248"/>
      <c r="H1341" s="283"/>
      <c r="I1341" s="199"/>
      <c r="J1341" s="199"/>
      <c r="K1341" s="199"/>
      <c r="L1341" s="248"/>
      <c r="M1341" s="248"/>
      <c r="N1341" s="248"/>
      <c r="O1341" s="248"/>
    </row>
    <row r="1342">
      <c r="A1342" s="199"/>
      <c r="B1342" s="199"/>
      <c r="C1342" s="199"/>
      <c r="D1342" s="248"/>
      <c r="E1342" s="248"/>
      <c r="F1342" s="248"/>
      <c r="G1342" s="248"/>
      <c r="H1342" s="283"/>
      <c r="I1342" s="199"/>
      <c r="J1342" s="199"/>
      <c r="K1342" s="199"/>
      <c r="L1342" s="248"/>
      <c r="M1342" s="248"/>
      <c r="N1342" s="248"/>
      <c r="O1342" s="248"/>
    </row>
    <row r="1343">
      <c r="A1343" s="199"/>
      <c r="B1343" s="199"/>
      <c r="C1343" s="199"/>
      <c r="D1343" s="248"/>
      <c r="E1343" s="248"/>
      <c r="F1343" s="248"/>
      <c r="G1343" s="248"/>
      <c r="H1343" s="283"/>
      <c r="I1343" s="199"/>
      <c r="J1343" s="199"/>
      <c r="K1343" s="199"/>
      <c r="L1343" s="248"/>
      <c r="M1343" s="248"/>
      <c r="N1343" s="248"/>
      <c r="O1343" s="248"/>
    </row>
    <row r="1344">
      <c r="A1344" s="199"/>
      <c r="B1344" s="199"/>
      <c r="C1344" s="199"/>
      <c r="D1344" s="248"/>
      <c r="E1344" s="248"/>
      <c r="F1344" s="248"/>
      <c r="G1344" s="248"/>
      <c r="H1344" s="283"/>
      <c r="I1344" s="199"/>
      <c r="J1344" s="199"/>
      <c r="K1344" s="199"/>
      <c r="L1344" s="248"/>
      <c r="M1344" s="248"/>
      <c r="N1344" s="248"/>
      <c r="O1344" s="248"/>
    </row>
    <row r="1345">
      <c r="A1345" s="199"/>
      <c r="B1345" s="199"/>
      <c r="C1345" s="199"/>
      <c r="D1345" s="248"/>
      <c r="E1345" s="248"/>
      <c r="F1345" s="248"/>
      <c r="G1345" s="248"/>
      <c r="H1345" s="283"/>
      <c r="I1345" s="199"/>
      <c r="J1345" s="199"/>
      <c r="K1345" s="199"/>
      <c r="L1345" s="248"/>
      <c r="M1345" s="248"/>
      <c r="N1345" s="248"/>
      <c r="O1345" s="248"/>
    </row>
    <row r="1346">
      <c r="A1346" s="199"/>
      <c r="B1346" s="199"/>
      <c r="C1346" s="199"/>
      <c r="D1346" s="248"/>
      <c r="E1346" s="248"/>
      <c r="F1346" s="248"/>
      <c r="G1346" s="248"/>
      <c r="H1346" s="283"/>
      <c r="I1346" s="199"/>
      <c r="J1346" s="199"/>
      <c r="K1346" s="199"/>
      <c r="L1346" s="248"/>
      <c r="M1346" s="248"/>
      <c r="N1346" s="248"/>
      <c r="O1346" s="248"/>
    </row>
    <row r="1347">
      <c r="A1347" s="199"/>
      <c r="B1347" s="199"/>
      <c r="C1347" s="199"/>
      <c r="D1347" s="248"/>
      <c r="E1347" s="248"/>
      <c r="F1347" s="248"/>
      <c r="G1347" s="248"/>
      <c r="H1347" s="283"/>
      <c r="I1347" s="199"/>
      <c r="J1347" s="199"/>
      <c r="K1347" s="199"/>
      <c r="L1347" s="248"/>
      <c r="M1347" s="248"/>
      <c r="N1347" s="248"/>
      <c r="O1347" s="248"/>
    </row>
    <row r="1348">
      <c r="A1348" s="199"/>
      <c r="B1348" s="199"/>
      <c r="C1348" s="199"/>
      <c r="D1348" s="248"/>
      <c r="E1348" s="248"/>
      <c r="F1348" s="248"/>
      <c r="G1348" s="248"/>
      <c r="H1348" s="283"/>
      <c r="I1348" s="199"/>
      <c r="J1348" s="199"/>
      <c r="K1348" s="199"/>
      <c r="L1348" s="248"/>
      <c r="M1348" s="248"/>
      <c r="N1348" s="248"/>
      <c r="O1348" s="248"/>
    </row>
    <row r="1349">
      <c r="A1349" s="199"/>
      <c r="B1349" s="199"/>
      <c r="C1349" s="199"/>
      <c r="D1349" s="248"/>
      <c r="E1349" s="248"/>
      <c r="F1349" s="248"/>
      <c r="G1349" s="248"/>
      <c r="H1349" s="283"/>
      <c r="I1349" s="199"/>
      <c r="J1349" s="199"/>
      <c r="K1349" s="199"/>
      <c r="L1349" s="248"/>
      <c r="M1349" s="248"/>
      <c r="N1349" s="248"/>
      <c r="O1349" s="248"/>
    </row>
    <row r="1350">
      <c r="A1350" s="199"/>
      <c r="B1350" s="199"/>
      <c r="C1350" s="199"/>
      <c r="D1350" s="248"/>
      <c r="E1350" s="248"/>
      <c r="F1350" s="248"/>
      <c r="G1350" s="248"/>
      <c r="H1350" s="283"/>
      <c r="I1350" s="199"/>
      <c r="J1350" s="199"/>
      <c r="K1350" s="199"/>
      <c r="L1350" s="248"/>
      <c r="M1350" s="248"/>
      <c r="N1350" s="248"/>
      <c r="O1350" s="248"/>
    </row>
    <row r="1351">
      <c r="A1351" s="199"/>
      <c r="B1351" s="199"/>
      <c r="C1351" s="199"/>
      <c r="D1351" s="248"/>
      <c r="E1351" s="248"/>
      <c r="F1351" s="248"/>
      <c r="G1351" s="248"/>
      <c r="H1351" s="283"/>
      <c r="I1351" s="199"/>
      <c r="J1351" s="199"/>
      <c r="K1351" s="199"/>
      <c r="L1351" s="248"/>
      <c r="M1351" s="248"/>
      <c r="N1351" s="248"/>
      <c r="O1351" s="248"/>
    </row>
    <row r="1352">
      <c r="A1352" s="199"/>
      <c r="B1352" s="199"/>
      <c r="C1352" s="199"/>
      <c r="D1352" s="248"/>
      <c r="E1352" s="248"/>
      <c r="F1352" s="248"/>
      <c r="G1352" s="248"/>
      <c r="H1352" s="283"/>
      <c r="I1352" s="199"/>
      <c r="J1352" s="199"/>
      <c r="K1352" s="199"/>
      <c r="L1352" s="248"/>
      <c r="M1352" s="248"/>
      <c r="N1352" s="248"/>
      <c r="O1352" s="248"/>
    </row>
    <row r="1353">
      <c r="A1353" s="199"/>
      <c r="B1353" s="199"/>
      <c r="C1353" s="199"/>
      <c r="D1353" s="248"/>
      <c r="E1353" s="248"/>
      <c r="F1353" s="248"/>
      <c r="G1353" s="248"/>
      <c r="H1353" s="283"/>
      <c r="I1353" s="199"/>
      <c r="J1353" s="199"/>
      <c r="K1353" s="199"/>
      <c r="L1353" s="248"/>
      <c r="M1353" s="248"/>
      <c r="N1353" s="248"/>
      <c r="O1353" s="248"/>
    </row>
    <row r="1354">
      <c r="A1354" s="199"/>
      <c r="B1354" s="199"/>
      <c r="C1354" s="199"/>
      <c r="D1354" s="248"/>
      <c r="E1354" s="248"/>
      <c r="F1354" s="248"/>
      <c r="G1354" s="248"/>
      <c r="H1354" s="283"/>
      <c r="I1354" s="199"/>
      <c r="J1354" s="199"/>
      <c r="K1354" s="199"/>
      <c r="L1354" s="248"/>
      <c r="M1354" s="248"/>
      <c r="N1354" s="248"/>
      <c r="O1354" s="248"/>
    </row>
    <row r="1355">
      <c r="A1355" s="199"/>
      <c r="B1355" s="199"/>
      <c r="C1355" s="199"/>
      <c r="D1355" s="248"/>
      <c r="E1355" s="248"/>
      <c r="F1355" s="248"/>
      <c r="G1355" s="248"/>
      <c r="H1355" s="283"/>
      <c r="I1355" s="199"/>
      <c r="J1355" s="199"/>
      <c r="K1355" s="199"/>
      <c r="L1355" s="248"/>
      <c r="M1355" s="248"/>
      <c r="N1355" s="248"/>
      <c r="O1355" s="248"/>
    </row>
    <row r="1356">
      <c r="A1356" s="199"/>
      <c r="B1356" s="199"/>
      <c r="C1356" s="199"/>
      <c r="D1356" s="248"/>
      <c r="E1356" s="248"/>
      <c r="F1356" s="248"/>
      <c r="G1356" s="248"/>
      <c r="H1356" s="283"/>
      <c r="I1356" s="199"/>
      <c r="J1356" s="199"/>
      <c r="K1356" s="199"/>
      <c r="L1356" s="248"/>
      <c r="M1356" s="248"/>
      <c r="N1356" s="248"/>
      <c r="O1356" s="248"/>
    </row>
    <row r="1357">
      <c r="A1357" s="199"/>
      <c r="B1357" s="199"/>
      <c r="C1357" s="199"/>
      <c r="D1357" s="248"/>
      <c r="E1357" s="248"/>
      <c r="F1357" s="248"/>
      <c r="G1357" s="248"/>
      <c r="H1357" s="283"/>
      <c r="I1357" s="199"/>
      <c r="J1357" s="199"/>
      <c r="K1357" s="199"/>
      <c r="L1357" s="248"/>
      <c r="M1357" s="248"/>
      <c r="N1357" s="248"/>
      <c r="O1357" s="248"/>
    </row>
    <row r="1358">
      <c r="A1358" s="199"/>
      <c r="B1358" s="199"/>
      <c r="C1358" s="199"/>
      <c r="D1358" s="248"/>
      <c r="E1358" s="248"/>
      <c r="F1358" s="248"/>
      <c r="G1358" s="248"/>
      <c r="H1358" s="283"/>
      <c r="I1358" s="199"/>
      <c r="J1358" s="199"/>
      <c r="K1358" s="199"/>
      <c r="L1358" s="248"/>
      <c r="M1358" s="248"/>
      <c r="N1358" s="248"/>
      <c r="O1358" s="248"/>
    </row>
    <row r="1359">
      <c r="A1359" s="199"/>
      <c r="B1359" s="199"/>
      <c r="C1359" s="199"/>
      <c r="D1359" s="248"/>
      <c r="E1359" s="248"/>
      <c r="F1359" s="248"/>
      <c r="G1359" s="248"/>
      <c r="H1359" s="283"/>
      <c r="I1359" s="199"/>
      <c r="J1359" s="199"/>
      <c r="K1359" s="199"/>
      <c r="L1359" s="248"/>
      <c r="M1359" s="248"/>
      <c r="N1359" s="248"/>
      <c r="O1359" s="248"/>
    </row>
    <row r="1360">
      <c r="A1360" s="199"/>
      <c r="B1360" s="199"/>
      <c r="C1360" s="199"/>
      <c r="D1360" s="248"/>
      <c r="E1360" s="248"/>
      <c r="F1360" s="248"/>
      <c r="G1360" s="248"/>
      <c r="H1360" s="283"/>
      <c r="I1360" s="199"/>
      <c r="J1360" s="199"/>
      <c r="K1360" s="199"/>
      <c r="L1360" s="248"/>
      <c r="M1360" s="248"/>
      <c r="N1360" s="248"/>
      <c r="O1360" s="248"/>
    </row>
    <row r="1361">
      <c r="A1361" s="199"/>
      <c r="B1361" s="199"/>
      <c r="C1361" s="199"/>
      <c r="D1361" s="248"/>
      <c r="E1361" s="248"/>
      <c r="F1361" s="248"/>
      <c r="G1361" s="248"/>
      <c r="H1361" s="283"/>
      <c r="I1361" s="199"/>
      <c r="J1361" s="199"/>
      <c r="K1361" s="199"/>
      <c r="L1361" s="248"/>
      <c r="M1361" s="248"/>
      <c r="N1361" s="248"/>
      <c r="O1361" s="248"/>
    </row>
    <row r="1362">
      <c r="A1362" s="199"/>
      <c r="B1362" s="199"/>
      <c r="C1362" s="199"/>
      <c r="D1362" s="248"/>
      <c r="E1362" s="248"/>
      <c r="F1362" s="248"/>
      <c r="G1362" s="248"/>
      <c r="H1362" s="283"/>
      <c r="I1362" s="199"/>
      <c r="J1362" s="199"/>
      <c r="K1362" s="199"/>
      <c r="L1362" s="248"/>
      <c r="M1362" s="248"/>
      <c r="N1362" s="248"/>
      <c r="O1362" s="248"/>
    </row>
    <row r="1363">
      <c r="A1363" s="199"/>
      <c r="B1363" s="199"/>
      <c r="C1363" s="199"/>
      <c r="D1363" s="248"/>
      <c r="E1363" s="248"/>
      <c r="F1363" s="248"/>
      <c r="G1363" s="248"/>
      <c r="H1363" s="283"/>
      <c r="I1363" s="199"/>
      <c r="J1363" s="199"/>
      <c r="K1363" s="199"/>
      <c r="L1363" s="248"/>
      <c r="M1363" s="248"/>
      <c r="N1363" s="248"/>
      <c r="O1363" s="248"/>
    </row>
    <row r="1364">
      <c r="A1364" s="199"/>
      <c r="B1364" s="199"/>
      <c r="C1364" s="199"/>
      <c r="D1364" s="248"/>
      <c r="E1364" s="248"/>
      <c r="F1364" s="248"/>
      <c r="G1364" s="248"/>
      <c r="H1364" s="283"/>
      <c r="I1364" s="199"/>
      <c r="J1364" s="199"/>
      <c r="K1364" s="199"/>
      <c r="L1364" s="248"/>
      <c r="M1364" s="248"/>
      <c r="N1364" s="248"/>
      <c r="O1364" s="248"/>
    </row>
    <row r="1365">
      <c r="A1365" s="199"/>
      <c r="B1365" s="199"/>
      <c r="C1365" s="199"/>
      <c r="D1365" s="248"/>
      <c r="E1365" s="248"/>
      <c r="F1365" s="248"/>
      <c r="G1365" s="248"/>
      <c r="H1365" s="283"/>
      <c r="I1365" s="199"/>
      <c r="J1365" s="199"/>
      <c r="K1365" s="199"/>
      <c r="L1365" s="248"/>
      <c r="M1365" s="248"/>
      <c r="N1365" s="248"/>
      <c r="O1365" s="248"/>
    </row>
    <row r="1366">
      <c r="A1366" s="199"/>
      <c r="B1366" s="199"/>
      <c r="C1366" s="199"/>
      <c r="D1366" s="248"/>
      <c r="E1366" s="248"/>
      <c r="F1366" s="248"/>
      <c r="G1366" s="248"/>
      <c r="H1366" s="283"/>
      <c r="I1366" s="199"/>
      <c r="J1366" s="199"/>
      <c r="K1366" s="199"/>
      <c r="L1366" s="248"/>
      <c r="M1366" s="248"/>
      <c r="N1366" s="248"/>
      <c r="O1366" s="248"/>
    </row>
    <row r="1367">
      <c r="A1367" s="199"/>
      <c r="B1367" s="199"/>
      <c r="C1367" s="199"/>
      <c r="D1367" s="248"/>
      <c r="E1367" s="248"/>
      <c r="F1367" s="248"/>
      <c r="G1367" s="248"/>
      <c r="H1367" s="283"/>
      <c r="I1367" s="199"/>
      <c r="J1367" s="199"/>
      <c r="K1367" s="199"/>
      <c r="L1367" s="248"/>
      <c r="M1367" s="248"/>
      <c r="N1367" s="248"/>
      <c r="O1367" s="248"/>
    </row>
    <row r="1368">
      <c r="A1368" s="199"/>
      <c r="B1368" s="199"/>
      <c r="C1368" s="199"/>
      <c r="D1368" s="248"/>
      <c r="E1368" s="248"/>
      <c r="F1368" s="248"/>
      <c r="G1368" s="248"/>
      <c r="H1368" s="283"/>
      <c r="I1368" s="199"/>
      <c r="J1368" s="199"/>
      <c r="K1368" s="199"/>
      <c r="L1368" s="248"/>
      <c r="M1368" s="248"/>
      <c r="N1368" s="248"/>
      <c r="O1368" s="248"/>
    </row>
    <row r="1369">
      <c r="A1369" s="199"/>
      <c r="B1369" s="199"/>
      <c r="C1369" s="199"/>
      <c r="D1369" s="248"/>
      <c r="E1369" s="248"/>
      <c r="F1369" s="248"/>
      <c r="G1369" s="248"/>
      <c r="H1369" s="283"/>
      <c r="I1369" s="199"/>
      <c r="J1369" s="199"/>
      <c r="K1369" s="199"/>
      <c r="L1369" s="248"/>
      <c r="M1369" s="248"/>
      <c r="N1369" s="248"/>
      <c r="O1369" s="248"/>
    </row>
    <row r="1370">
      <c r="A1370" s="199"/>
      <c r="B1370" s="199"/>
      <c r="C1370" s="199"/>
      <c r="D1370" s="248"/>
      <c r="E1370" s="248"/>
      <c r="F1370" s="248"/>
      <c r="G1370" s="248"/>
      <c r="H1370" s="283"/>
      <c r="I1370" s="199"/>
      <c r="J1370" s="199"/>
      <c r="K1370" s="199"/>
      <c r="L1370" s="248"/>
      <c r="M1370" s="248"/>
      <c r="N1370" s="248"/>
      <c r="O1370" s="248"/>
    </row>
    <row r="1371">
      <c r="A1371" s="199"/>
      <c r="B1371" s="199"/>
      <c r="C1371" s="199"/>
      <c r="D1371" s="248"/>
      <c r="E1371" s="248"/>
      <c r="F1371" s="248"/>
      <c r="G1371" s="248"/>
      <c r="H1371" s="283"/>
      <c r="I1371" s="199"/>
      <c r="J1371" s="199"/>
      <c r="K1371" s="199"/>
      <c r="L1371" s="248"/>
      <c r="M1371" s="248"/>
      <c r="N1371" s="248"/>
      <c r="O1371" s="248"/>
    </row>
    <row r="1372">
      <c r="A1372" s="199"/>
      <c r="B1372" s="199"/>
      <c r="C1372" s="199"/>
      <c r="D1372" s="248"/>
      <c r="E1372" s="248"/>
      <c r="F1372" s="248"/>
      <c r="G1372" s="248"/>
      <c r="H1372" s="283"/>
      <c r="I1372" s="199"/>
      <c r="J1372" s="199"/>
      <c r="K1372" s="199"/>
      <c r="L1372" s="248"/>
      <c r="M1372" s="248"/>
      <c r="N1372" s="248"/>
      <c r="O1372" s="248"/>
    </row>
    <row r="1373">
      <c r="A1373" s="199"/>
      <c r="B1373" s="199"/>
      <c r="C1373" s="199"/>
      <c r="D1373" s="248"/>
      <c r="E1373" s="248"/>
      <c r="F1373" s="248"/>
      <c r="G1373" s="248"/>
      <c r="H1373" s="283"/>
      <c r="I1373" s="199"/>
      <c r="J1373" s="199"/>
      <c r="K1373" s="199"/>
      <c r="L1373" s="248"/>
      <c r="M1373" s="248"/>
      <c r="N1373" s="248"/>
      <c r="O1373" s="248"/>
    </row>
    <row r="1374">
      <c r="A1374" s="199"/>
      <c r="B1374" s="199"/>
      <c r="C1374" s="199"/>
      <c r="D1374" s="248"/>
      <c r="E1374" s="248"/>
      <c r="F1374" s="248"/>
      <c r="G1374" s="248"/>
      <c r="H1374" s="283"/>
      <c r="I1374" s="199"/>
      <c r="J1374" s="199"/>
      <c r="K1374" s="199"/>
      <c r="L1374" s="248"/>
      <c r="M1374" s="248"/>
      <c r="N1374" s="248"/>
      <c r="O1374" s="248"/>
    </row>
    <row r="1375">
      <c r="A1375" s="199"/>
      <c r="B1375" s="199"/>
      <c r="C1375" s="199"/>
      <c r="D1375" s="248"/>
      <c r="E1375" s="248"/>
      <c r="F1375" s="248"/>
      <c r="G1375" s="248"/>
      <c r="H1375" s="283"/>
      <c r="I1375" s="199"/>
      <c r="J1375" s="199"/>
      <c r="K1375" s="199"/>
      <c r="L1375" s="248"/>
      <c r="M1375" s="248"/>
      <c r="N1375" s="248"/>
      <c r="O1375" s="248"/>
    </row>
    <row r="1376">
      <c r="A1376" s="199"/>
      <c r="B1376" s="199"/>
      <c r="C1376" s="199"/>
      <c r="D1376" s="248"/>
      <c r="E1376" s="248"/>
      <c r="F1376" s="248"/>
      <c r="G1376" s="248"/>
      <c r="H1376" s="283"/>
      <c r="I1376" s="199"/>
      <c r="J1376" s="199"/>
      <c r="K1376" s="199"/>
      <c r="L1376" s="248"/>
      <c r="M1376" s="248"/>
      <c r="N1376" s="248"/>
      <c r="O1376" s="248"/>
    </row>
    <row r="1377">
      <c r="A1377" s="199"/>
      <c r="B1377" s="199"/>
      <c r="C1377" s="199"/>
      <c r="D1377" s="248"/>
      <c r="E1377" s="248"/>
      <c r="F1377" s="248"/>
      <c r="G1377" s="248"/>
      <c r="H1377" s="283"/>
      <c r="I1377" s="199"/>
      <c r="J1377" s="199"/>
      <c r="K1377" s="199"/>
      <c r="L1377" s="248"/>
      <c r="M1377" s="248"/>
      <c r="N1377" s="248"/>
      <c r="O1377" s="248"/>
    </row>
    <row r="1378">
      <c r="A1378" s="199"/>
      <c r="B1378" s="199"/>
      <c r="C1378" s="199"/>
      <c r="D1378" s="248"/>
      <c r="E1378" s="248"/>
      <c r="F1378" s="248"/>
      <c r="G1378" s="248"/>
      <c r="H1378" s="283"/>
      <c r="I1378" s="199"/>
      <c r="J1378" s="199"/>
      <c r="K1378" s="199"/>
      <c r="L1378" s="248"/>
      <c r="M1378" s="248"/>
      <c r="N1378" s="248"/>
      <c r="O1378" s="248"/>
    </row>
    <row r="1379">
      <c r="A1379" s="199"/>
      <c r="B1379" s="199"/>
      <c r="C1379" s="199"/>
      <c r="D1379" s="248"/>
      <c r="E1379" s="248"/>
      <c r="F1379" s="248"/>
      <c r="G1379" s="248"/>
      <c r="H1379" s="283"/>
      <c r="I1379" s="199"/>
      <c r="J1379" s="199"/>
      <c r="K1379" s="199"/>
      <c r="L1379" s="248"/>
      <c r="M1379" s="248"/>
      <c r="N1379" s="248"/>
      <c r="O1379" s="248"/>
    </row>
    <row r="1380">
      <c r="A1380" s="199"/>
      <c r="B1380" s="199"/>
      <c r="C1380" s="199"/>
      <c r="D1380" s="248"/>
      <c r="E1380" s="248"/>
      <c r="F1380" s="248"/>
      <c r="G1380" s="248"/>
      <c r="H1380" s="283"/>
      <c r="I1380" s="199"/>
      <c r="J1380" s="199"/>
      <c r="K1380" s="199"/>
      <c r="L1380" s="248"/>
      <c r="M1380" s="248"/>
      <c r="N1380" s="248"/>
      <c r="O1380" s="248"/>
    </row>
    <row r="1381">
      <c r="A1381" s="199"/>
      <c r="B1381" s="199"/>
      <c r="C1381" s="199"/>
      <c r="D1381" s="248"/>
      <c r="E1381" s="248"/>
      <c r="F1381" s="248"/>
      <c r="G1381" s="248"/>
      <c r="H1381" s="283"/>
      <c r="I1381" s="199"/>
      <c r="J1381" s="199"/>
      <c r="K1381" s="199"/>
      <c r="L1381" s="248"/>
      <c r="M1381" s="248"/>
      <c r="N1381" s="248"/>
      <c r="O1381" s="248"/>
    </row>
    <row r="1382">
      <c r="A1382" s="199"/>
      <c r="B1382" s="199"/>
      <c r="C1382" s="199"/>
      <c r="D1382" s="248"/>
      <c r="E1382" s="248"/>
      <c r="F1382" s="248"/>
      <c r="G1382" s="248"/>
      <c r="H1382" s="283"/>
      <c r="I1382" s="199"/>
      <c r="J1382" s="199"/>
      <c r="K1382" s="199"/>
      <c r="L1382" s="248"/>
      <c r="M1382" s="248"/>
      <c r="N1382" s="248"/>
      <c r="O1382" s="248"/>
    </row>
    <row r="1383">
      <c r="A1383" s="199"/>
      <c r="B1383" s="199"/>
      <c r="C1383" s="199"/>
      <c r="D1383" s="248"/>
      <c r="E1383" s="248"/>
      <c r="F1383" s="248"/>
      <c r="G1383" s="248"/>
      <c r="H1383" s="283"/>
      <c r="I1383" s="199"/>
      <c r="J1383" s="199"/>
      <c r="K1383" s="199"/>
      <c r="L1383" s="248"/>
      <c r="M1383" s="248"/>
      <c r="N1383" s="248"/>
      <c r="O1383" s="248"/>
    </row>
    <row r="1384">
      <c r="A1384" s="199"/>
      <c r="B1384" s="199"/>
      <c r="C1384" s="199"/>
      <c r="D1384" s="248"/>
      <c r="E1384" s="248"/>
      <c r="F1384" s="248"/>
      <c r="G1384" s="248"/>
      <c r="H1384" s="283"/>
      <c r="I1384" s="199"/>
      <c r="J1384" s="199"/>
      <c r="K1384" s="199"/>
      <c r="L1384" s="248"/>
      <c r="M1384" s="248"/>
      <c r="N1384" s="248"/>
      <c r="O1384" s="248"/>
    </row>
    <row r="1385">
      <c r="A1385" s="199"/>
      <c r="B1385" s="199"/>
      <c r="C1385" s="199"/>
      <c r="D1385" s="248"/>
      <c r="E1385" s="248"/>
      <c r="F1385" s="248"/>
      <c r="G1385" s="248"/>
      <c r="H1385" s="283"/>
      <c r="I1385" s="199"/>
      <c r="J1385" s="199"/>
      <c r="K1385" s="199"/>
      <c r="L1385" s="248"/>
      <c r="M1385" s="248"/>
      <c r="N1385" s="248"/>
      <c r="O1385" s="248"/>
    </row>
    <row r="1386">
      <c r="A1386" s="199"/>
      <c r="B1386" s="199"/>
      <c r="C1386" s="199"/>
      <c r="D1386" s="248"/>
      <c r="E1386" s="248"/>
      <c r="F1386" s="248"/>
      <c r="G1386" s="248"/>
      <c r="H1386" s="283"/>
      <c r="I1386" s="199"/>
      <c r="J1386" s="199"/>
      <c r="K1386" s="199"/>
      <c r="L1386" s="248"/>
      <c r="M1386" s="248"/>
      <c r="N1386" s="248"/>
      <c r="O1386" s="248"/>
    </row>
    <row r="1387">
      <c r="A1387" s="199"/>
      <c r="B1387" s="199"/>
      <c r="C1387" s="199"/>
      <c r="D1387" s="248"/>
      <c r="E1387" s="248"/>
      <c r="F1387" s="248"/>
      <c r="G1387" s="248"/>
      <c r="H1387" s="283"/>
      <c r="I1387" s="199"/>
      <c r="J1387" s="199"/>
      <c r="K1387" s="199"/>
      <c r="L1387" s="248"/>
      <c r="M1387" s="248"/>
      <c r="N1387" s="248"/>
      <c r="O1387" s="248"/>
    </row>
    <row r="1388">
      <c r="A1388" s="199"/>
      <c r="B1388" s="199"/>
      <c r="C1388" s="199"/>
      <c r="D1388" s="248"/>
      <c r="E1388" s="248"/>
      <c r="F1388" s="248"/>
      <c r="G1388" s="248"/>
      <c r="H1388" s="283"/>
      <c r="I1388" s="199"/>
      <c r="J1388" s="199"/>
      <c r="K1388" s="199"/>
      <c r="L1388" s="248"/>
      <c r="M1388" s="248"/>
      <c r="N1388" s="248"/>
      <c r="O1388" s="248"/>
    </row>
    <row r="1389">
      <c r="A1389" s="199"/>
      <c r="B1389" s="199"/>
      <c r="C1389" s="199"/>
      <c r="D1389" s="248"/>
      <c r="E1389" s="248"/>
      <c r="F1389" s="248"/>
      <c r="G1389" s="248"/>
      <c r="H1389" s="283"/>
      <c r="I1389" s="199"/>
      <c r="J1389" s="199"/>
      <c r="K1389" s="199"/>
      <c r="L1389" s="248"/>
      <c r="M1389" s="248"/>
      <c r="N1389" s="248"/>
      <c r="O1389" s="248"/>
    </row>
    <row r="1390">
      <c r="A1390" s="199"/>
      <c r="B1390" s="199"/>
      <c r="C1390" s="199"/>
      <c r="D1390" s="248"/>
      <c r="E1390" s="248"/>
      <c r="F1390" s="248"/>
      <c r="G1390" s="248"/>
      <c r="H1390" s="283"/>
      <c r="I1390" s="199"/>
      <c r="J1390" s="199"/>
      <c r="K1390" s="199"/>
      <c r="L1390" s="248"/>
      <c r="M1390" s="248"/>
      <c r="N1390" s="248"/>
      <c r="O1390" s="248"/>
    </row>
    <row r="1391">
      <c r="A1391" s="199"/>
      <c r="B1391" s="199"/>
      <c r="C1391" s="199"/>
      <c r="D1391" s="248"/>
      <c r="E1391" s="248"/>
      <c r="F1391" s="248"/>
      <c r="G1391" s="248"/>
      <c r="H1391" s="283"/>
      <c r="I1391" s="199"/>
      <c r="J1391" s="199"/>
      <c r="K1391" s="199"/>
      <c r="L1391" s="248"/>
      <c r="M1391" s="248"/>
      <c r="N1391" s="248"/>
      <c r="O1391" s="248"/>
    </row>
    <row r="1392">
      <c r="A1392" s="199"/>
      <c r="B1392" s="199"/>
      <c r="C1392" s="199"/>
      <c r="D1392" s="248"/>
      <c r="E1392" s="248"/>
      <c r="F1392" s="248"/>
      <c r="G1392" s="248"/>
      <c r="H1392" s="283"/>
      <c r="I1392" s="199"/>
      <c r="J1392" s="199"/>
      <c r="K1392" s="199"/>
      <c r="L1392" s="248"/>
      <c r="M1392" s="248"/>
      <c r="N1392" s="248"/>
      <c r="O1392" s="248"/>
    </row>
    <row r="1393">
      <c r="A1393" s="199"/>
      <c r="B1393" s="199"/>
      <c r="C1393" s="199"/>
      <c r="D1393" s="248"/>
      <c r="E1393" s="248"/>
      <c r="F1393" s="248"/>
      <c r="G1393" s="248"/>
      <c r="H1393" s="283"/>
      <c r="I1393" s="199"/>
      <c r="J1393" s="199"/>
      <c r="K1393" s="199"/>
      <c r="L1393" s="248"/>
      <c r="M1393" s="248"/>
      <c r="N1393" s="248"/>
      <c r="O1393" s="248"/>
    </row>
    <row r="1394">
      <c r="A1394" s="199"/>
      <c r="B1394" s="199"/>
      <c r="C1394" s="199"/>
      <c r="D1394" s="248"/>
      <c r="E1394" s="248"/>
      <c r="F1394" s="248"/>
      <c r="G1394" s="248"/>
      <c r="H1394" s="283"/>
      <c r="I1394" s="199"/>
      <c r="J1394" s="199"/>
      <c r="K1394" s="199"/>
      <c r="L1394" s="248"/>
      <c r="M1394" s="248"/>
      <c r="N1394" s="248"/>
      <c r="O1394" s="248"/>
    </row>
    <row r="1395">
      <c r="A1395" s="199"/>
      <c r="B1395" s="199"/>
      <c r="C1395" s="199"/>
      <c r="D1395" s="248"/>
      <c r="E1395" s="248"/>
      <c r="F1395" s="248"/>
      <c r="G1395" s="248"/>
      <c r="H1395" s="283"/>
      <c r="I1395" s="199"/>
      <c r="J1395" s="199"/>
      <c r="K1395" s="199"/>
      <c r="L1395" s="248"/>
      <c r="M1395" s="248"/>
      <c r="N1395" s="248"/>
      <c r="O1395" s="248"/>
    </row>
    <row r="1396">
      <c r="A1396" s="199"/>
      <c r="B1396" s="199"/>
      <c r="C1396" s="199"/>
      <c r="D1396" s="248"/>
      <c r="E1396" s="248"/>
      <c r="F1396" s="248"/>
      <c r="G1396" s="248"/>
      <c r="H1396" s="283"/>
      <c r="I1396" s="199"/>
      <c r="J1396" s="199"/>
      <c r="K1396" s="199"/>
      <c r="L1396" s="248"/>
      <c r="M1396" s="248"/>
      <c r="N1396" s="248"/>
      <c r="O1396" s="248"/>
    </row>
    <row r="1397">
      <c r="A1397" s="199"/>
      <c r="B1397" s="199"/>
      <c r="C1397" s="199"/>
      <c r="D1397" s="248"/>
      <c r="E1397" s="248"/>
      <c r="F1397" s="248"/>
      <c r="G1397" s="248"/>
      <c r="H1397" s="283"/>
      <c r="I1397" s="199"/>
      <c r="J1397" s="199"/>
      <c r="K1397" s="199"/>
      <c r="L1397" s="248"/>
      <c r="M1397" s="248"/>
      <c r="N1397" s="248"/>
      <c r="O1397" s="248"/>
    </row>
    <row r="1398">
      <c r="A1398" s="199"/>
      <c r="B1398" s="199"/>
      <c r="C1398" s="199"/>
      <c r="D1398" s="248"/>
      <c r="E1398" s="248"/>
      <c r="F1398" s="248"/>
      <c r="G1398" s="248"/>
      <c r="H1398" s="283"/>
      <c r="I1398" s="199"/>
      <c r="J1398" s="199"/>
      <c r="K1398" s="199"/>
      <c r="L1398" s="248"/>
      <c r="M1398" s="248"/>
      <c r="N1398" s="248"/>
      <c r="O1398" s="248"/>
    </row>
    <row r="1399">
      <c r="A1399" s="199"/>
      <c r="B1399" s="199"/>
      <c r="C1399" s="199"/>
      <c r="D1399" s="248"/>
      <c r="E1399" s="248"/>
      <c r="F1399" s="248"/>
      <c r="G1399" s="248"/>
      <c r="H1399" s="283"/>
      <c r="I1399" s="199"/>
      <c r="J1399" s="199"/>
      <c r="K1399" s="199"/>
      <c r="L1399" s="248"/>
      <c r="M1399" s="248"/>
      <c r="N1399" s="248"/>
      <c r="O1399" s="248"/>
    </row>
    <row r="1400">
      <c r="A1400" s="199"/>
      <c r="B1400" s="199"/>
      <c r="C1400" s="199"/>
      <c r="D1400" s="248"/>
      <c r="E1400" s="248"/>
      <c r="F1400" s="248"/>
      <c r="G1400" s="248"/>
      <c r="H1400" s="283"/>
      <c r="I1400" s="199"/>
      <c r="J1400" s="199"/>
      <c r="K1400" s="199"/>
      <c r="L1400" s="248"/>
      <c r="M1400" s="248"/>
      <c r="N1400" s="248"/>
      <c r="O1400" s="248"/>
    </row>
    <row r="1401">
      <c r="A1401" s="199"/>
      <c r="B1401" s="199"/>
      <c r="C1401" s="199"/>
      <c r="D1401" s="248"/>
      <c r="E1401" s="248"/>
      <c r="F1401" s="248"/>
      <c r="G1401" s="248"/>
      <c r="H1401" s="283"/>
      <c r="I1401" s="199"/>
      <c r="J1401" s="199"/>
      <c r="K1401" s="199"/>
      <c r="L1401" s="248"/>
      <c r="M1401" s="248"/>
      <c r="N1401" s="248"/>
      <c r="O1401" s="248"/>
    </row>
    <row r="1402">
      <c r="A1402" s="199"/>
      <c r="B1402" s="199"/>
      <c r="C1402" s="199"/>
      <c r="D1402" s="248"/>
      <c r="E1402" s="248"/>
      <c r="F1402" s="248"/>
      <c r="G1402" s="248"/>
      <c r="H1402" s="283"/>
      <c r="I1402" s="199"/>
      <c r="J1402" s="199"/>
      <c r="K1402" s="199"/>
      <c r="L1402" s="248"/>
      <c r="M1402" s="248"/>
      <c r="N1402" s="248"/>
      <c r="O1402" s="248"/>
    </row>
    <row r="1403">
      <c r="A1403" s="199"/>
      <c r="B1403" s="199"/>
      <c r="C1403" s="199"/>
      <c r="D1403" s="248"/>
      <c r="E1403" s="248"/>
      <c r="F1403" s="248"/>
      <c r="G1403" s="248"/>
      <c r="H1403" s="283"/>
      <c r="I1403" s="199"/>
      <c r="J1403" s="199"/>
      <c r="K1403" s="199"/>
      <c r="L1403" s="248"/>
      <c r="M1403" s="248"/>
      <c r="N1403" s="248"/>
      <c r="O1403" s="248"/>
    </row>
    <row r="1404">
      <c r="A1404" s="199"/>
      <c r="B1404" s="199"/>
      <c r="C1404" s="199"/>
      <c r="D1404" s="248"/>
      <c r="E1404" s="248"/>
      <c r="F1404" s="248"/>
      <c r="G1404" s="248"/>
      <c r="H1404" s="283"/>
      <c r="I1404" s="199"/>
      <c r="J1404" s="199"/>
      <c r="K1404" s="199"/>
      <c r="L1404" s="248"/>
      <c r="M1404" s="248"/>
      <c r="N1404" s="248"/>
      <c r="O1404" s="248"/>
    </row>
    <row r="1405">
      <c r="A1405" s="199"/>
      <c r="B1405" s="199"/>
      <c r="C1405" s="199"/>
      <c r="D1405" s="248"/>
      <c r="E1405" s="248"/>
      <c r="F1405" s="248"/>
      <c r="G1405" s="248"/>
      <c r="H1405" s="283"/>
      <c r="I1405" s="199"/>
      <c r="J1405" s="199"/>
      <c r="K1405" s="199"/>
      <c r="L1405" s="248"/>
      <c r="M1405" s="248"/>
      <c r="N1405" s="248"/>
      <c r="O1405" s="248"/>
    </row>
    <row r="1406">
      <c r="A1406" s="199"/>
      <c r="B1406" s="199"/>
      <c r="C1406" s="199"/>
      <c r="D1406" s="248"/>
      <c r="E1406" s="248"/>
      <c r="F1406" s="248"/>
      <c r="G1406" s="248"/>
      <c r="H1406" s="283"/>
      <c r="I1406" s="199"/>
      <c r="J1406" s="199"/>
      <c r="K1406" s="199"/>
      <c r="L1406" s="248"/>
      <c r="M1406" s="248"/>
      <c r="N1406" s="248"/>
      <c r="O1406" s="248"/>
    </row>
    <row r="1407">
      <c r="A1407" s="199"/>
      <c r="B1407" s="199"/>
      <c r="C1407" s="199"/>
      <c r="D1407" s="248"/>
      <c r="E1407" s="248"/>
      <c r="F1407" s="248"/>
      <c r="G1407" s="248"/>
      <c r="H1407" s="283"/>
      <c r="I1407" s="199"/>
      <c r="J1407" s="199"/>
      <c r="K1407" s="199"/>
      <c r="L1407" s="248"/>
      <c r="M1407" s="248"/>
      <c r="N1407" s="248"/>
      <c r="O1407" s="248"/>
    </row>
    <row r="1408">
      <c r="A1408" s="199"/>
      <c r="B1408" s="199"/>
      <c r="C1408" s="199"/>
      <c r="D1408" s="248"/>
      <c r="E1408" s="248"/>
      <c r="F1408" s="248"/>
      <c r="G1408" s="248"/>
      <c r="H1408" s="283"/>
      <c r="I1408" s="199"/>
      <c r="J1408" s="199"/>
      <c r="K1408" s="199"/>
      <c r="L1408" s="248"/>
      <c r="M1408" s="248"/>
      <c r="N1408" s="248"/>
      <c r="O1408" s="248"/>
    </row>
    <row r="1409">
      <c r="A1409" s="199"/>
      <c r="B1409" s="199"/>
      <c r="C1409" s="199"/>
      <c r="D1409" s="248"/>
      <c r="E1409" s="248"/>
      <c r="F1409" s="248"/>
      <c r="G1409" s="248"/>
      <c r="H1409" s="283"/>
      <c r="I1409" s="199"/>
      <c r="J1409" s="199"/>
      <c r="K1409" s="199"/>
      <c r="L1409" s="248"/>
      <c r="M1409" s="248"/>
      <c r="N1409" s="248"/>
      <c r="O1409" s="248"/>
    </row>
    <row r="1410">
      <c r="A1410" s="199"/>
      <c r="B1410" s="199"/>
      <c r="C1410" s="199"/>
      <c r="D1410" s="248"/>
      <c r="E1410" s="248"/>
      <c r="F1410" s="248"/>
      <c r="G1410" s="248"/>
      <c r="H1410" s="283"/>
      <c r="I1410" s="199"/>
      <c r="J1410" s="199"/>
      <c r="K1410" s="199"/>
      <c r="L1410" s="248"/>
      <c r="M1410" s="248"/>
      <c r="N1410" s="248"/>
      <c r="O1410" s="248"/>
    </row>
    <row r="1411">
      <c r="A1411" s="199"/>
      <c r="B1411" s="199"/>
      <c r="C1411" s="199"/>
      <c r="D1411" s="248"/>
      <c r="E1411" s="248"/>
      <c r="F1411" s="248"/>
      <c r="G1411" s="248"/>
      <c r="H1411" s="283"/>
      <c r="I1411" s="199"/>
      <c r="J1411" s="199"/>
      <c r="K1411" s="199"/>
      <c r="L1411" s="248"/>
      <c r="M1411" s="248"/>
      <c r="N1411" s="248"/>
      <c r="O1411" s="248"/>
    </row>
    <row r="1412">
      <c r="A1412" s="199"/>
      <c r="B1412" s="199"/>
      <c r="C1412" s="199"/>
      <c r="D1412" s="248"/>
      <c r="E1412" s="248"/>
      <c r="F1412" s="248"/>
      <c r="G1412" s="248"/>
      <c r="H1412" s="283"/>
      <c r="I1412" s="199"/>
      <c r="J1412" s="199"/>
      <c r="K1412" s="199"/>
      <c r="L1412" s="248"/>
      <c r="M1412" s="248"/>
      <c r="N1412" s="248"/>
      <c r="O1412" s="248"/>
    </row>
    <row r="1413">
      <c r="A1413" s="199"/>
      <c r="B1413" s="199"/>
      <c r="C1413" s="199"/>
      <c r="D1413" s="248"/>
      <c r="E1413" s="248"/>
      <c r="F1413" s="248"/>
      <c r="G1413" s="248"/>
      <c r="H1413" s="283"/>
      <c r="I1413" s="199"/>
      <c r="J1413" s="199"/>
      <c r="K1413" s="199"/>
      <c r="L1413" s="248"/>
      <c r="M1413" s="248"/>
      <c r="N1413" s="248"/>
      <c r="O1413" s="248"/>
    </row>
    <row r="1414">
      <c r="A1414" s="199"/>
      <c r="B1414" s="199"/>
      <c r="C1414" s="199"/>
      <c r="D1414" s="248"/>
      <c r="E1414" s="248"/>
      <c r="F1414" s="248"/>
      <c r="G1414" s="248"/>
      <c r="H1414" s="283"/>
      <c r="I1414" s="199"/>
      <c r="J1414" s="199"/>
      <c r="K1414" s="199"/>
      <c r="L1414" s="248"/>
      <c r="M1414" s="248"/>
      <c r="N1414" s="248"/>
      <c r="O1414" s="248"/>
    </row>
    <row r="1415">
      <c r="A1415" s="199"/>
      <c r="B1415" s="199"/>
      <c r="C1415" s="199"/>
      <c r="D1415" s="248"/>
      <c r="E1415" s="248"/>
      <c r="F1415" s="248"/>
      <c r="G1415" s="248"/>
      <c r="H1415" s="283"/>
      <c r="I1415" s="199"/>
      <c r="J1415" s="199"/>
      <c r="K1415" s="199"/>
      <c r="L1415" s="248"/>
      <c r="M1415" s="248"/>
      <c r="N1415" s="248"/>
      <c r="O1415" s="248"/>
    </row>
    <row r="1416">
      <c r="A1416" s="199"/>
      <c r="B1416" s="199"/>
      <c r="C1416" s="199"/>
      <c r="D1416" s="248"/>
      <c r="E1416" s="248"/>
      <c r="F1416" s="248"/>
      <c r="G1416" s="248"/>
      <c r="H1416" s="283"/>
      <c r="I1416" s="199"/>
      <c r="J1416" s="199"/>
      <c r="K1416" s="199"/>
      <c r="L1416" s="248"/>
      <c r="M1416" s="248"/>
      <c r="N1416" s="248"/>
      <c r="O1416" s="248"/>
    </row>
    <row r="1417">
      <c r="A1417" s="199"/>
      <c r="B1417" s="199"/>
      <c r="C1417" s="199"/>
      <c r="D1417" s="248"/>
      <c r="E1417" s="248"/>
      <c r="F1417" s="248"/>
      <c r="G1417" s="248"/>
      <c r="H1417" s="283"/>
      <c r="I1417" s="199"/>
      <c r="J1417" s="199"/>
      <c r="K1417" s="199"/>
      <c r="L1417" s="248"/>
      <c r="M1417" s="248"/>
      <c r="N1417" s="248"/>
      <c r="O1417" s="248"/>
    </row>
    <row r="1418">
      <c r="A1418" s="199"/>
      <c r="B1418" s="199"/>
      <c r="C1418" s="199"/>
      <c r="D1418" s="248"/>
      <c r="E1418" s="248"/>
      <c r="F1418" s="248"/>
      <c r="G1418" s="248"/>
      <c r="H1418" s="283"/>
      <c r="I1418" s="199"/>
      <c r="J1418" s="199"/>
      <c r="K1418" s="199"/>
      <c r="L1418" s="248"/>
      <c r="M1418" s="248"/>
      <c r="N1418" s="248"/>
      <c r="O1418" s="248"/>
    </row>
    <row r="1419">
      <c r="A1419" s="199"/>
      <c r="B1419" s="199"/>
      <c r="C1419" s="199"/>
      <c r="D1419" s="248"/>
      <c r="E1419" s="248"/>
      <c r="F1419" s="248"/>
      <c r="G1419" s="248"/>
      <c r="H1419" s="283"/>
      <c r="I1419" s="199"/>
      <c r="J1419" s="199"/>
      <c r="K1419" s="199"/>
      <c r="L1419" s="248"/>
      <c r="M1419" s="248"/>
      <c r="N1419" s="248"/>
      <c r="O1419" s="248"/>
    </row>
    <row r="1420">
      <c r="A1420" s="199"/>
      <c r="B1420" s="199"/>
      <c r="C1420" s="199"/>
      <c r="D1420" s="248"/>
      <c r="E1420" s="248"/>
      <c r="F1420" s="248"/>
      <c r="G1420" s="248"/>
      <c r="H1420" s="283"/>
      <c r="I1420" s="199"/>
      <c r="J1420" s="199"/>
      <c r="K1420" s="199"/>
      <c r="L1420" s="248"/>
      <c r="M1420" s="248"/>
      <c r="N1420" s="248"/>
      <c r="O1420" s="248"/>
    </row>
    <row r="1421">
      <c r="A1421" s="199"/>
      <c r="B1421" s="199"/>
      <c r="C1421" s="199"/>
      <c r="D1421" s="248"/>
      <c r="E1421" s="248"/>
      <c r="F1421" s="248"/>
      <c r="G1421" s="248"/>
      <c r="H1421" s="283"/>
      <c r="I1421" s="199"/>
      <c r="J1421" s="199"/>
      <c r="K1421" s="199"/>
      <c r="L1421" s="248"/>
      <c r="M1421" s="248"/>
      <c r="N1421" s="248"/>
      <c r="O1421" s="248"/>
    </row>
    <row r="1422">
      <c r="A1422" s="199"/>
      <c r="B1422" s="199"/>
      <c r="C1422" s="199"/>
      <c r="D1422" s="248"/>
      <c r="E1422" s="248"/>
      <c r="F1422" s="248"/>
      <c r="G1422" s="248"/>
      <c r="H1422" s="283"/>
      <c r="I1422" s="199"/>
      <c r="J1422" s="199"/>
      <c r="K1422" s="199"/>
      <c r="L1422" s="248"/>
      <c r="M1422" s="248"/>
      <c r="N1422" s="248"/>
      <c r="O1422" s="248"/>
    </row>
    <row r="1423">
      <c r="A1423" s="199"/>
      <c r="B1423" s="199"/>
      <c r="C1423" s="199"/>
      <c r="D1423" s="248"/>
      <c r="E1423" s="248"/>
      <c r="F1423" s="248"/>
      <c r="G1423" s="248"/>
      <c r="H1423" s="283"/>
      <c r="I1423" s="199"/>
      <c r="J1423" s="199"/>
      <c r="K1423" s="199"/>
      <c r="L1423" s="248"/>
      <c r="M1423" s="248"/>
      <c r="N1423" s="248"/>
      <c r="O1423" s="248"/>
    </row>
    <row r="1424">
      <c r="A1424" s="199"/>
      <c r="B1424" s="199"/>
      <c r="C1424" s="199"/>
      <c r="D1424" s="248"/>
      <c r="E1424" s="248"/>
      <c r="F1424" s="248"/>
      <c r="G1424" s="248"/>
      <c r="H1424" s="283"/>
      <c r="I1424" s="199"/>
      <c r="J1424" s="199"/>
      <c r="K1424" s="199"/>
      <c r="L1424" s="248"/>
      <c r="M1424" s="248"/>
      <c r="N1424" s="248"/>
      <c r="O1424" s="248"/>
    </row>
    <row r="1425">
      <c r="A1425" s="199"/>
      <c r="B1425" s="199"/>
      <c r="C1425" s="199"/>
      <c r="D1425" s="248"/>
      <c r="E1425" s="248"/>
      <c r="F1425" s="248"/>
      <c r="G1425" s="248"/>
      <c r="H1425" s="283"/>
      <c r="I1425" s="199"/>
      <c r="J1425" s="199"/>
      <c r="K1425" s="199"/>
      <c r="L1425" s="248"/>
      <c r="M1425" s="248"/>
      <c r="N1425" s="248"/>
      <c r="O1425" s="248"/>
    </row>
    <row r="1426">
      <c r="A1426" s="199"/>
      <c r="B1426" s="199"/>
      <c r="C1426" s="199"/>
      <c r="D1426" s="248"/>
      <c r="E1426" s="248"/>
      <c r="F1426" s="248"/>
      <c r="G1426" s="248"/>
      <c r="H1426" s="283"/>
      <c r="I1426" s="199"/>
      <c r="J1426" s="199"/>
      <c r="K1426" s="199"/>
      <c r="L1426" s="248"/>
      <c r="M1426" s="248"/>
      <c r="N1426" s="248"/>
      <c r="O1426" s="248"/>
    </row>
    <row r="1427">
      <c r="A1427" s="199"/>
      <c r="B1427" s="199"/>
      <c r="C1427" s="199"/>
      <c r="D1427" s="248"/>
      <c r="E1427" s="248"/>
      <c r="F1427" s="248"/>
      <c r="G1427" s="248"/>
      <c r="H1427" s="283"/>
      <c r="I1427" s="199"/>
      <c r="J1427" s="199"/>
      <c r="K1427" s="199"/>
      <c r="L1427" s="248"/>
      <c r="M1427" s="248"/>
      <c r="N1427" s="248"/>
      <c r="O1427" s="248"/>
    </row>
    <row r="1428">
      <c r="A1428" s="199"/>
      <c r="B1428" s="199"/>
      <c r="C1428" s="199"/>
      <c r="D1428" s="248"/>
      <c r="E1428" s="248"/>
      <c r="F1428" s="248"/>
      <c r="G1428" s="248"/>
      <c r="H1428" s="283"/>
      <c r="I1428" s="199"/>
      <c r="J1428" s="199"/>
      <c r="K1428" s="199"/>
      <c r="L1428" s="248"/>
      <c r="M1428" s="248"/>
      <c r="N1428" s="248"/>
      <c r="O1428" s="248"/>
    </row>
    <row r="1429">
      <c r="A1429" s="199"/>
      <c r="B1429" s="199"/>
      <c r="C1429" s="199"/>
      <c r="D1429" s="248"/>
      <c r="E1429" s="248"/>
      <c r="F1429" s="248"/>
      <c r="G1429" s="248"/>
      <c r="H1429" s="283"/>
      <c r="I1429" s="199"/>
      <c r="J1429" s="199"/>
      <c r="K1429" s="199"/>
      <c r="L1429" s="248"/>
      <c r="M1429" s="248"/>
      <c r="N1429" s="248"/>
      <c r="O1429" s="248"/>
    </row>
    <row r="1430">
      <c r="A1430" s="199"/>
      <c r="B1430" s="199"/>
      <c r="C1430" s="199"/>
      <c r="D1430" s="248"/>
      <c r="E1430" s="248"/>
      <c r="F1430" s="248"/>
      <c r="G1430" s="248"/>
      <c r="H1430" s="283"/>
      <c r="I1430" s="199"/>
      <c r="J1430" s="199"/>
      <c r="K1430" s="199"/>
      <c r="L1430" s="248"/>
      <c r="M1430" s="248"/>
      <c r="N1430" s="248"/>
      <c r="O1430" s="248"/>
    </row>
    <row r="1431">
      <c r="A1431" s="199"/>
      <c r="B1431" s="199"/>
      <c r="C1431" s="199"/>
      <c r="D1431" s="248"/>
      <c r="E1431" s="248"/>
      <c r="F1431" s="248"/>
      <c r="G1431" s="248"/>
      <c r="H1431" s="283"/>
      <c r="I1431" s="199"/>
      <c r="J1431" s="199"/>
      <c r="K1431" s="199"/>
      <c r="L1431" s="248"/>
      <c r="M1431" s="248"/>
      <c r="N1431" s="248"/>
      <c r="O1431" s="248"/>
    </row>
    <row r="1432">
      <c r="A1432" s="199"/>
      <c r="B1432" s="199"/>
      <c r="C1432" s="199"/>
      <c r="D1432" s="248"/>
      <c r="E1432" s="248"/>
      <c r="F1432" s="248"/>
      <c r="G1432" s="248"/>
      <c r="H1432" s="283"/>
      <c r="I1432" s="199"/>
      <c r="J1432" s="199"/>
      <c r="K1432" s="199"/>
      <c r="L1432" s="248"/>
      <c r="M1432" s="248"/>
      <c r="N1432" s="248"/>
      <c r="O1432" s="248"/>
    </row>
    <row r="1433">
      <c r="A1433" s="199"/>
      <c r="B1433" s="199"/>
      <c r="C1433" s="199"/>
      <c r="D1433" s="248"/>
      <c r="E1433" s="248"/>
      <c r="F1433" s="248"/>
      <c r="G1433" s="248"/>
      <c r="H1433" s="283"/>
      <c r="I1433" s="199"/>
      <c r="J1433" s="199"/>
      <c r="K1433" s="199"/>
      <c r="L1433" s="248"/>
      <c r="M1433" s="248"/>
      <c r="N1433" s="248"/>
      <c r="O1433" s="248"/>
    </row>
    <row r="1434">
      <c r="A1434" s="199"/>
      <c r="B1434" s="199"/>
      <c r="C1434" s="199"/>
      <c r="D1434" s="248"/>
      <c r="E1434" s="248"/>
      <c r="F1434" s="248"/>
      <c r="G1434" s="248"/>
      <c r="H1434" s="283"/>
      <c r="I1434" s="199"/>
      <c r="J1434" s="199"/>
      <c r="K1434" s="199"/>
      <c r="L1434" s="248"/>
      <c r="M1434" s="248"/>
      <c r="N1434" s="248"/>
      <c r="O1434" s="248"/>
    </row>
    <row r="1435">
      <c r="A1435" s="199"/>
      <c r="B1435" s="199"/>
      <c r="C1435" s="199"/>
      <c r="D1435" s="248"/>
      <c r="E1435" s="248"/>
      <c r="F1435" s="248"/>
      <c r="G1435" s="248"/>
      <c r="H1435" s="283"/>
      <c r="I1435" s="199"/>
      <c r="J1435" s="199"/>
      <c r="K1435" s="199"/>
      <c r="L1435" s="248"/>
      <c r="M1435" s="248"/>
      <c r="N1435" s="248"/>
      <c r="O1435" s="248"/>
    </row>
    <row r="1436">
      <c r="A1436" s="199"/>
      <c r="B1436" s="199"/>
      <c r="C1436" s="199"/>
      <c r="D1436" s="248"/>
      <c r="E1436" s="248"/>
      <c r="F1436" s="248"/>
      <c r="G1436" s="248"/>
      <c r="H1436" s="283"/>
      <c r="I1436" s="199"/>
      <c r="J1436" s="199"/>
      <c r="K1436" s="199"/>
      <c r="L1436" s="248"/>
      <c r="M1436" s="248"/>
      <c r="N1436" s="248"/>
      <c r="O1436" s="248"/>
    </row>
    <row r="1437">
      <c r="A1437" s="199"/>
      <c r="B1437" s="199"/>
      <c r="C1437" s="199"/>
      <c r="D1437" s="248"/>
      <c r="E1437" s="248"/>
      <c r="F1437" s="248"/>
      <c r="G1437" s="248"/>
      <c r="H1437" s="283"/>
      <c r="I1437" s="199"/>
      <c r="J1437" s="199"/>
      <c r="K1437" s="199"/>
      <c r="L1437" s="248"/>
      <c r="M1437" s="248"/>
      <c r="N1437" s="248"/>
      <c r="O1437" s="248"/>
    </row>
    <row r="1438">
      <c r="A1438" s="199"/>
      <c r="B1438" s="199"/>
      <c r="C1438" s="199"/>
      <c r="D1438" s="248"/>
      <c r="E1438" s="248"/>
      <c r="F1438" s="248"/>
      <c r="G1438" s="248"/>
      <c r="H1438" s="283"/>
      <c r="I1438" s="199"/>
      <c r="J1438" s="199"/>
      <c r="K1438" s="199"/>
      <c r="L1438" s="248"/>
      <c r="M1438" s="248"/>
      <c r="N1438" s="248"/>
      <c r="O1438" s="248"/>
    </row>
    <row r="1439">
      <c r="A1439" s="199"/>
      <c r="B1439" s="199"/>
      <c r="C1439" s="199"/>
      <c r="D1439" s="248"/>
      <c r="E1439" s="248"/>
      <c r="F1439" s="248"/>
      <c r="G1439" s="248"/>
      <c r="H1439" s="283"/>
      <c r="I1439" s="199"/>
      <c r="J1439" s="199"/>
      <c r="K1439" s="199"/>
      <c r="L1439" s="248"/>
      <c r="M1439" s="248"/>
      <c r="N1439" s="248"/>
      <c r="O1439" s="248"/>
    </row>
    <row r="1440">
      <c r="A1440" s="199"/>
      <c r="B1440" s="199"/>
      <c r="C1440" s="199"/>
      <c r="D1440" s="248"/>
      <c r="E1440" s="248"/>
      <c r="F1440" s="248"/>
      <c r="G1440" s="248"/>
      <c r="H1440" s="283"/>
      <c r="I1440" s="199"/>
      <c r="J1440" s="199"/>
      <c r="K1440" s="199"/>
      <c r="L1440" s="248"/>
      <c r="M1440" s="248"/>
      <c r="N1440" s="248"/>
      <c r="O1440" s="248"/>
    </row>
    <row r="1441">
      <c r="A1441" s="199"/>
      <c r="B1441" s="199"/>
      <c r="C1441" s="199"/>
      <c r="D1441" s="248"/>
      <c r="E1441" s="248"/>
      <c r="F1441" s="248"/>
      <c r="G1441" s="248"/>
      <c r="H1441" s="283"/>
      <c r="I1441" s="199"/>
      <c r="J1441" s="199"/>
      <c r="K1441" s="199"/>
      <c r="L1441" s="248"/>
      <c r="M1441" s="248"/>
      <c r="N1441" s="248"/>
      <c r="O1441" s="248"/>
    </row>
    <row r="1442">
      <c r="A1442" s="199"/>
      <c r="B1442" s="199"/>
      <c r="C1442" s="199"/>
      <c r="D1442" s="248"/>
      <c r="E1442" s="248"/>
      <c r="F1442" s="248"/>
      <c r="G1442" s="248"/>
      <c r="H1442" s="283"/>
      <c r="I1442" s="199"/>
      <c r="J1442" s="199"/>
      <c r="K1442" s="199"/>
      <c r="L1442" s="248"/>
      <c r="M1442" s="248"/>
      <c r="N1442" s="248"/>
      <c r="O1442" s="248"/>
    </row>
    <row r="1443">
      <c r="A1443" s="199"/>
      <c r="B1443" s="199"/>
      <c r="C1443" s="199"/>
      <c r="D1443" s="248"/>
      <c r="E1443" s="248"/>
      <c r="F1443" s="248"/>
      <c r="G1443" s="248"/>
      <c r="H1443" s="283"/>
      <c r="I1443" s="199"/>
      <c r="J1443" s="199"/>
      <c r="K1443" s="199"/>
      <c r="L1443" s="248"/>
      <c r="M1443" s="248"/>
      <c r="N1443" s="248"/>
      <c r="O1443" s="248"/>
    </row>
    <row r="1444">
      <c r="A1444" s="199"/>
      <c r="B1444" s="199"/>
      <c r="C1444" s="199"/>
      <c r="D1444" s="248"/>
      <c r="E1444" s="248"/>
      <c r="F1444" s="248"/>
      <c r="G1444" s="248"/>
      <c r="H1444" s="283"/>
      <c r="I1444" s="199"/>
      <c r="J1444" s="199"/>
      <c r="K1444" s="199"/>
      <c r="L1444" s="248"/>
      <c r="M1444" s="248"/>
      <c r="N1444" s="248"/>
      <c r="O1444" s="248"/>
    </row>
    <row r="1445">
      <c r="A1445" s="199"/>
      <c r="B1445" s="199"/>
      <c r="C1445" s="199"/>
      <c r="D1445" s="248"/>
      <c r="E1445" s="248"/>
      <c r="F1445" s="248"/>
      <c r="G1445" s="248"/>
      <c r="H1445" s="283"/>
      <c r="I1445" s="199"/>
      <c r="J1445" s="199"/>
      <c r="K1445" s="199"/>
      <c r="L1445" s="248"/>
      <c r="M1445" s="248"/>
      <c r="N1445" s="248"/>
      <c r="O1445" s="248"/>
    </row>
    <row r="1446">
      <c r="A1446" s="199"/>
      <c r="B1446" s="199"/>
      <c r="C1446" s="199"/>
      <c r="D1446" s="248"/>
      <c r="E1446" s="248"/>
      <c r="F1446" s="248"/>
      <c r="G1446" s="248"/>
      <c r="H1446" s="283"/>
      <c r="I1446" s="199"/>
      <c r="J1446" s="199"/>
      <c r="K1446" s="199"/>
      <c r="L1446" s="248"/>
      <c r="M1446" s="248"/>
      <c r="N1446" s="248"/>
      <c r="O1446" s="248"/>
    </row>
    <row r="1447">
      <c r="A1447" s="199"/>
      <c r="B1447" s="199"/>
      <c r="C1447" s="199"/>
      <c r="D1447" s="248"/>
      <c r="E1447" s="248"/>
      <c r="F1447" s="248"/>
      <c r="G1447" s="248"/>
      <c r="H1447" s="283"/>
      <c r="I1447" s="199"/>
      <c r="J1447" s="199"/>
      <c r="K1447" s="199"/>
      <c r="L1447" s="248"/>
      <c r="M1447" s="248"/>
      <c r="N1447" s="248"/>
      <c r="O1447" s="248"/>
    </row>
    <row r="1448">
      <c r="A1448" s="199"/>
      <c r="B1448" s="199"/>
      <c r="C1448" s="199"/>
      <c r="D1448" s="248"/>
      <c r="E1448" s="248"/>
      <c r="F1448" s="248"/>
      <c r="G1448" s="248"/>
      <c r="H1448" s="283"/>
      <c r="I1448" s="199"/>
      <c r="J1448" s="199"/>
      <c r="K1448" s="199"/>
      <c r="L1448" s="248"/>
      <c r="M1448" s="248"/>
      <c r="N1448" s="248"/>
      <c r="O1448" s="248"/>
    </row>
    <row r="1449">
      <c r="A1449" s="199"/>
      <c r="B1449" s="199"/>
      <c r="C1449" s="199"/>
      <c r="D1449" s="248"/>
      <c r="E1449" s="248"/>
      <c r="F1449" s="248"/>
      <c r="G1449" s="248"/>
      <c r="H1449" s="283"/>
      <c r="I1449" s="199"/>
      <c r="J1449" s="199"/>
      <c r="K1449" s="199"/>
      <c r="L1449" s="248"/>
      <c r="M1449" s="248"/>
      <c r="N1449" s="248"/>
      <c r="O1449" s="248"/>
    </row>
    <row r="1450">
      <c r="A1450" s="199"/>
      <c r="B1450" s="199"/>
      <c r="C1450" s="199"/>
      <c r="D1450" s="248"/>
      <c r="E1450" s="248"/>
      <c r="F1450" s="248"/>
      <c r="G1450" s="248"/>
      <c r="H1450" s="283"/>
      <c r="I1450" s="199"/>
      <c r="J1450" s="199"/>
      <c r="K1450" s="199"/>
      <c r="L1450" s="248"/>
      <c r="M1450" s="248"/>
      <c r="N1450" s="248"/>
      <c r="O1450" s="248"/>
    </row>
    <row r="1451">
      <c r="A1451" s="199"/>
      <c r="B1451" s="199"/>
      <c r="C1451" s="199"/>
      <c r="D1451" s="248"/>
      <c r="E1451" s="248"/>
      <c r="F1451" s="248"/>
      <c r="G1451" s="248"/>
      <c r="H1451" s="283"/>
      <c r="I1451" s="199"/>
      <c r="J1451" s="199"/>
      <c r="K1451" s="199"/>
      <c r="L1451" s="248"/>
      <c r="M1451" s="248"/>
      <c r="N1451" s="248"/>
      <c r="O1451" s="248"/>
    </row>
    <row r="1452">
      <c r="A1452" s="199"/>
      <c r="B1452" s="199"/>
      <c r="C1452" s="199"/>
      <c r="D1452" s="248"/>
      <c r="E1452" s="248"/>
      <c r="F1452" s="248"/>
      <c r="G1452" s="248"/>
      <c r="H1452" s="283"/>
      <c r="I1452" s="199"/>
      <c r="J1452" s="199"/>
      <c r="K1452" s="199"/>
      <c r="L1452" s="248"/>
      <c r="M1452" s="248"/>
      <c r="N1452" s="248"/>
      <c r="O1452" s="248"/>
    </row>
    <row r="1453">
      <c r="A1453" s="199"/>
      <c r="B1453" s="199"/>
      <c r="C1453" s="199"/>
      <c r="D1453" s="248"/>
      <c r="E1453" s="248"/>
      <c r="F1453" s="248"/>
      <c r="G1453" s="248"/>
      <c r="H1453" s="283"/>
      <c r="I1453" s="199"/>
      <c r="J1453" s="199"/>
      <c r="K1453" s="199"/>
      <c r="L1453" s="248"/>
      <c r="M1453" s="248"/>
      <c r="N1453" s="248"/>
      <c r="O1453" s="248"/>
    </row>
    <row r="1454">
      <c r="A1454" s="199"/>
      <c r="B1454" s="199"/>
      <c r="C1454" s="199"/>
      <c r="D1454" s="248"/>
      <c r="E1454" s="248"/>
      <c r="F1454" s="248"/>
      <c r="G1454" s="248"/>
      <c r="H1454" s="283"/>
      <c r="I1454" s="199"/>
      <c r="J1454" s="199"/>
      <c r="K1454" s="199"/>
      <c r="L1454" s="248"/>
      <c r="M1454" s="248"/>
      <c r="N1454" s="248"/>
      <c r="O1454" s="248"/>
    </row>
    <row r="1455">
      <c r="A1455" s="199"/>
      <c r="B1455" s="199"/>
      <c r="C1455" s="199"/>
      <c r="D1455" s="248"/>
      <c r="E1455" s="248"/>
      <c r="F1455" s="248"/>
      <c r="G1455" s="248"/>
      <c r="H1455" s="283"/>
      <c r="I1455" s="199"/>
      <c r="J1455" s="199"/>
      <c r="K1455" s="199"/>
      <c r="L1455" s="248"/>
      <c r="M1455" s="248"/>
      <c r="N1455" s="248"/>
      <c r="O1455" s="248"/>
    </row>
    <row r="1456">
      <c r="A1456" s="199"/>
      <c r="B1456" s="199"/>
      <c r="C1456" s="199"/>
      <c r="D1456" s="248"/>
      <c r="E1456" s="248"/>
      <c r="F1456" s="248"/>
      <c r="G1456" s="248"/>
      <c r="H1456" s="283"/>
      <c r="I1456" s="199"/>
      <c r="J1456" s="199"/>
      <c r="K1456" s="199"/>
      <c r="L1456" s="248"/>
      <c r="M1456" s="248"/>
      <c r="N1456" s="248"/>
      <c r="O1456" s="248"/>
    </row>
    <row r="1457">
      <c r="A1457" s="199"/>
      <c r="B1457" s="199"/>
      <c r="C1457" s="199"/>
      <c r="D1457" s="248"/>
      <c r="E1457" s="248"/>
      <c r="F1457" s="248"/>
      <c r="G1457" s="248"/>
      <c r="H1457" s="283"/>
      <c r="I1457" s="199"/>
      <c r="J1457" s="199"/>
      <c r="K1457" s="199"/>
      <c r="L1457" s="248"/>
      <c r="M1457" s="248"/>
      <c r="N1457" s="248"/>
      <c r="O1457" s="248"/>
    </row>
    <row r="1458">
      <c r="A1458" s="199"/>
      <c r="B1458" s="199"/>
      <c r="C1458" s="199"/>
      <c r="D1458" s="248"/>
      <c r="E1458" s="248"/>
      <c r="F1458" s="248"/>
      <c r="G1458" s="248"/>
      <c r="H1458" s="283"/>
      <c r="I1458" s="199"/>
      <c r="J1458" s="199"/>
      <c r="K1458" s="199"/>
      <c r="L1458" s="248"/>
      <c r="M1458" s="248"/>
      <c r="N1458" s="248"/>
      <c r="O1458" s="248"/>
    </row>
    <row r="1459">
      <c r="A1459" s="199"/>
      <c r="B1459" s="199"/>
      <c r="C1459" s="199"/>
      <c r="D1459" s="248"/>
      <c r="E1459" s="248"/>
      <c r="F1459" s="248"/>
      <c r="G1459" s="248"/>
      <c r="H1459" s="283"/>
      <c r="I1459" s="199"/>
      <c r="J1459" s="199"/>
      <c r="K1459" s="199"/>
      <c r="L1459" s="248"/>
      <c r="M1459" s="248"/>
      <c r="N1459" s="248"/>
      <c r="O1459" s="248"/>
    </row>
    <row r="1460">
      <c r="A1460" s="199"/>
      <c r="B1460" s="199"/>
      <c r="C1460" s="199"/>
      <c r="D1460" s="248"/>
      <c r="E1460" s="248"/>
      <c r="F1460" s="248"/>
      <c r="G1460" s="248"/>
      <c r="H1460" s="283"/>
      <c r="I1460" s="199"/>
      <c r="J1460" s="199"/>
      <c r="K1460" s="199"/>
      <c r="L1460" s="248"/>
      <c r="M1460" s="248"/>
      <c r="N1460" s="248"/>
      <c r="O1460" s="248"/>
    </row>
    <row r="1461">
      <c r="A1461" s="199"/>
      <c r="B1461" s="199"/>
      <c r="C1461" s="199"/>
      <c r="D1461" s="248"/>
      <c r="E1461" s="248"/>
      <c r="F1461" s="248"/>
      <c r="G1461" s="248"/>
      <c r="H1461" s="283"/>
      <c r="I1461" s="199"/>
      <c r="J1461" s="199"/>
      <c r="K1461" s="199"/>
      <c r="L1461" s="248"/>
      <c r="M1461" s="248"/>
      <c r="N1461" s="248"/>
      <c r="O1461" s="248"/>
    </row>
    <row r="1462">
      <c r="A1462" s="199"/>
      <c r="B1462" s="199"/>
      <c r="C1462" s="199"/>
      <c r="D1462" s="248"/>
      <c r="E1462" s="248"/>
      <c r="F1462" s="248"/>
      <c r="G1462" s="248"/>
      <c r="H1462" s="283"/>
      <c r="I1462" s="199"/>
      <c r="J1462" s="199"/>
      <c r="K1462" s="199"/>
      <c r="L1462" s="248"/>
      <c r="M1462" s="248"/>
      <c r="N1462" s="248"/>
      <c r="O1462" s="248"/>
    </row>
    <row r="1463">
      <c r="A1463" s="199"/>
      <c r="B1463" s="199"/>
      <c r="C1463" s="199"/>
      <c r="D1463" s="248"/>
      <c r="E1463" s="248"/>
      <c r="F1463" s="248"/>
      <c r="G1463" s="248"/>
      <c r="H1463" s="283"/>
      <c r="I1463" s="199"/>
      <c r="J1463" s="199"/>
      <c r="K1463" s="199"/>
      <c r="L1463" s="248"/>
      <c r="M1463" s="248"/>
      <c r="N1463" s="248"/>
      <c r="O1463" s="248"/>
    </row>
    <row r="1464">
      <c r="A1464" s="199"/>
      <c r="B1464" s="199"/>
      <c r="C1464" s="199"/>
      <c r="D1464" s="248"/>
      <c r="E1464" s="248"/>
      <c r="F1464" s="248"/>
      <c r="G1464" s="248"/>
      <c r="H1464" s="283"/>
      <c r="I1464" s="199"/>
      <c r="J1464" s="199"/>
      <c r="K1464" s="199"/>
      <c r="L1464" s="248"/>
      <c r="M1464" s="248"/>
      <c r="N1464" s="248"/>
      <c r="O1464" s="248"/>
    </row>
    <row r="1465">
      <c r="A1465" s="199"/>
      <c r="B1465" s="199"/>
      <c r="C1465" s="199"/>
      <c r="D1465" s="248"/>
      <c r="E1465" s="248"/>
      <c r="F1465" s="248"/>
      <c r="G1465" s="248"/>
      <c r="H1465" s="283"/>
      <c r="I1465" s="199"/>
      <c r="J1465" s="199"/>
      <c r="K1465" s="199"/>
      <c r="L1465" s="248"/>
      <c r="M1465" s="248"/>
      <c r="N1465" s="248"/>
      <c r="O1465" s="248"/>
    </row>
    <row r="1466">
      <c r="A1466" s="199"/>
      <c r="B1466" s="199"/>
      <c r="C1466" s="199"/>
      <c r="D1466" s="248"/>
      <c r="E1466" s="248"/>
      <c r="F1466" s="248"/>
      <c r="G1466" s="248"/>
      <c r="H1466" s="283"/>
      <c r="I1466" s="199"/>
      <c r="J1466" s="199"/>
      <c r="K1466" s="199"/>
      <c r="L1466" s="248"/>
      <c r="M1466" s="248"/>
      <c r="N1466" s="248"/>
      <c r="O1466" s="248"/>
    </row>
    <row r="1467">
      <c r="A1467" s="199"/>
      <c r="B1467" s="199"/>
      <c r="C1467" s="199"/>
      <c r="D1467" s="248"/>
      <c r="E1467" s="248"/>
      <c r="F1467" s="248"/>
      <c r="G1467" s="248"/>
      <c r="H1467" s="283"/>
      <c r="I1467" s="199"/>
      <c r="J1467" s="199"/>
      <c r="K1467" s="199"/>
      <c r="L1467" s="248"/>
      <c r="M1467" s="248"/>
      <c r="N1467" s="248"/>
      <c r="O1467" s="248"/>
    </row>
    <row r="1468">
      <c r="A1468" s="199"/>
      <c r="B1468" s="199"/>
      <c r="C1468" s="199"/>
      <c r="D1468" s="248"/>
      <c r="E1468" s="248"/>
      <c r="F1468" s="248"/>
      <c r="G1468" s="248"/>
      <c r="H1468" s="283"/>
      <c r="I1468" s="199"/>
      <c r="J1468" s="199"/>
      <c r="K1468" s="199"/>
      <c r="L1468" s="248"/>
      <c r="M1468" s="248"/>
      <c r="N1468" s="248"/>
      <c r="O1468" s="248"/>
    </row>
    <row r="1469">
      <c r="A1469" s="199"/>
      <c r="B1469" s="199"/>
      <c r="C1469" s="199"/>
      <c r="D1469" s="248"/>
      <c r="E1469" s="248"/>
      <c r="F1469" s="248"/>
      <c r="G1469" s="248"/>
      <c r="H1469" s="283"/>
      <c r="I1469" s="199"/>
      <c r="J1469" s="199"/>
      <c r="K1469" s="199"/>
      <c r="L1469" s="248"/>
      <c r="M1469" s="248"/>
      <c r="N1469" s="248"/>
      <c r="O1469" s="248"/>
    </row>
    <row r="1470">
      <c r="A1470" s="199"/>
      <c r="B1470" s="199"/>
      <c r="C1470" s="199"/>
      <c r="D1470" s="248"/>
      <c r="E1470" s="248"/>
      <c r="F1470" s="248"/>
      <c r="G1470" s="248"/>
      <c r="H1470" s="283"/>
      <c r="I1470" s="199"/>
      <c r="J1470" s="199"/>
      <c r="K1470" s="199"/>
      <c r="L1470" s="248"/>
      <c r="M1470" s="248"/>
      <c r="N1470" s="248"/>
      <c r="O1470" s="248"/>
    </row>
    <row r="1471">
      <c r="A1471" s="199"/>
      <c r="B1471" s="199"/>
      <c r="C1471" s="199"/>
      <c r="D1471" s="248"/>
      <c r="E1471" s="248"/>
      <c r="F1471" s="248"/>
      <c r="G1471" s="248"/>
      <c r="H1471" s="283"/>
      <c r="I1471" s="199"/>
      <c r="J1471" s="199"/>
      <c r="K1471" s="199"/>
      <c r="L1471" s="248"/>
      <c r="M1471" s="248"/>
      <c r="N1471" s="248"/>
      <c r="O1471" s="248"/>
    </row>
    <row r="1472">
      <c r="A1472" s="199"/>
      <c r="B1472" s="199"/>
      <c r="C1472" s="199"/>
      <c r="D1472" s="248"/>
      <c r="E1472" s="248"/>
      <c r="F1472" s="248"/>
      <c r="G1472" s="248"/>
      <c r="H1472" s="283"/>
      <c r="I1472" s="199"/>
      <c r="J1472" s="199"/>
      <c r="K1472" s="199"/>
      <c r="L1472" s="248"/>
      <c r="M1472" s="248"/>
      <c r="N1472" s="248"/>
      <c r="O1472" s="248"/>
    </row>
    <row r="1473">
      <c r="A1473" s="199"/>
      <c r="B1473" s="199"/>
      <c r="C1473" s="199"/>
      <c r="D1473" s="248"/>
      <c r="E1473" s="248"/>
      <c r="F1473" s="248"/>
      <c r="G1473" s="248"/>
      <c r="H1473" s="283"/>
      <c r="I1473" s="199"/>
      <c r="J1473" s="199"/>
      <c r="K1473" s="199"/>
      <c r="L1473" s="248"/>
      <c r="M1473" s="248"/>
      <c r="N1473" s="248"/>
      <c r="O1473" s="248"/>
    </row>
    <row r="1474">
      <c r="A1474" s="199"/>
      <c r="B1474" s="199"/>
      <c r="C1474" s="199"/>
      <c r="D1474" s="248"/>
      <c r="E1474" s="248"/>
      <c r="F1474" s="248"/>
      <c r="G1474" s="248"/>
      <c r="H1474" s="283"/>
      <c r="I1474" s="199"/>
      <c r="J1474" s="199"/>
      <c r="K1474" s="199"/>
      <c r="L1474" s="248"/>
      <c r="M1474" s="248"/>
      <c r="N1474" s="248"/>
      <c r="O1474" s="248"/>
    </row>
    <row r="1475">
      <c r="A1475" s="199"/>
      <c r="B1475" s="199"/>
      <c r="C1475" s="199"/>
      <c r="D1475" s="248"/>
      <c r="E1475" s="248"/>
      <c r="F1475" s="248"/>
      <c r="G1475" s="248"/>
      <c r="H1475" s="283"/>
      <c r="I1475" s="199"/>
      <c r="J1475" s="199"/>
      <c r="K1475" s="199"/>
      <c r="L1475" s="248"/>
      <c r="M1475" s="248"/>
      <c r="N1475" s="248"/>
      <c r="O1475" s="248"/>
    </row>
    <row r="1476">
      <c r="A1476" s="199"/>
      <c r="B1476" s="199"/>
      <c r="C1476" s="199"/>
      <c r="D1476" s="248"/>
      <c r="E1476" s="248"/>
      <c r="F1476" s="248"/>
      <c r="G1476" s="248"/>
      <c r="H1476" s="283"/>
      <c r="I1476" s="199"/>
      <c r="J1476" s="199"/>
      <c r="K1476" s="199"/>
      <c r="L1476" s="248"/>
      <c r="M1476" s="248"/>
      <c r="N1476" s="248"/>
      <c r="O1476" s="248"/>
    </row>
    <row r="1477">
      <c r="A1477" s="199"/>
      <c r="B1477" s="199"/>
      <c r="C1477" s="199"/>
      <c r="D1477" s="248"/>
      <c r="E1477" s="248"/>
      <c r="F1477" s="248"/>
      <c r="G1477" s="248"/>
      <c r="H1477" s="283"/>
      <c r="I1477" s="199"/>
      <c r="J1477" s="199"/>
      <c r="K1477" s="199"/>
      <c r="L1477" s="248"/>
      <c r="M1477" s="248"/>
      <c r="N1477" s="248"/>
      <c r="O1477" s="248"/>
    </row>
    <row r="1478">
      <c r="A1478" s="199"/>
      <c r="B1478" s="199"/>
      <c r="C1478" s="199"/>
      <c r="D1478" s="248"/>
      <c r="E1478" s="248"/>
      <c r="F1478" s="248"/>
      <c r="G1478" s="248"/>
      <c r="H1478" s="283"/>
      <c r="I1478" s="199"/>
      <c r="J1478" s="199"/>
      <c r="K1478" s="199"/>
      <c r="L1478" s="248"/>
      <c r="M1478" s="248"/>
      <c r="N1478" s="248"/>
      <c r="O1478" s="248"/>
    </row>
    <row r="1479">
      <c r="A1479" s="199"/>
      <c r="B1479" s="199"/>
      <c r="C1479" s="199"/>
      <c r="D1479" s="248"/>
      <c r="E1479" s="248"/>
      <c r="F1479" s="248"/>
      <c r="G1479" s="248"/>
      <c r="H1479" s="283"/>
      <c r="I1479" s="199"/>
      <c r="J1479" s="199"/>
      <c r="K1479" s="199"/>
      <c r="L1479" s="248"/>
      <c r="M1479" s="248"/>
      <c r="N1479" s="248"/>
      <c r="O1479" s="248"/>
    </row>
    <row r="1480">
      <c r="A1480" s="199"/>
      <c r="B1480" s="199"/>
      <c r="C1480" s="199"/>
      <c r="D1480" s="248"/>
      <c r="E1480" s="248"/>
      <c r="F1480" s="248"/>
      <c r="G1480" s="248"/>
      <c r="H1480" s="283"/>
      <c r="I1480" s="199"/>
      <c r="J1480" s="199"/>
      <c r="K1480" s="199"/>
      <c r="L1480" s="248"/>
      <c r="M1480" s="248"/>
      <c r="N1480" s="248"/>
      <c r="O1480" s="248"/>
    </row>
    <row r="1481">
      <c r="A1481" s="199"/>
      <c r="B1481" s="199"/>
      <c r="C1481" s="199"/>
      <c r="D1481" s="248"/>
      <c r="E1481" s="248"/>
      <c r="F1481" s="248"/>
      <c r="G1481" s="248"/>
      <c r="H1481" s="283"/>
      <c r="I1481" s="199"/>
      <c r="J1481" s="199"/>
      <c r="K1481" s="199"/>
      <c r="L1481" s="248"/>
      <c r="M1481" s="248"/>
      <c r="N1481" s="248"/>
      <c r="O1481" s="248"/>
    </row>
    <row r="1482">
      <c r="A1482" s="199"/>
      <c r="B1482" s="199"/>
      <c r="C1482" s="199"/>
      <c r="D1482" s="248"/>
      <c r="E1482" s="248"/>
      <c r="F1482" s="248"/>
      <c r="G1482" s="248"/>
      <c r="H1482" s="283"/>
      <c r="I1482" s="199"/>
      <c r="J1482" s="199"/>
      <c r="K1482" s="199"/>
      <c r="L1482" s="248"/>
      <c r="M1482" s="248"/>
      <c r="N1482" s="248"/>
      <c r="O1482" s="248"/>
    </row>
    <row r="1483">
      <c r="A1483" s="199"/>
      <c r="B1483" s="199"/>
      <c r="C1483" s="199"/>
      <c r="D1483" s="248"/>
      <c r="E1483" s="248"/>
      <c r="F1483" s="248"/>
      <c r="G1483" s="248"/>
      <c r="H1483" s="283"/>
      <c r="I1483" s="199"/>
      <c r="J1483" s="199"/>
      <c r="K1483" s="199"/>
      <c r="L1483" s="248"/>
      <c r="M1483" s="248"/>
      <c r="N1483" s="248"/>
      <c r="O1483" s="248"/>
    </row>
    <row r="1484">
      <c r="A1484" s="199"/>
      <c r="B1484" s="199"/>
      <c r="C1484" s="199"/>
      <c r="D1484" s="248"/>
      <c r="E1484" s="248"/>
      <c r="F1484" s="248"/>
      <c r="G1484" s="248"/>
      <c r="H1484" s="283"/>
      <c r="I1484" s="199"/>
      <c r="J1484" s="199"/>
      <c r="K1484" s="199"/>
      <c r="L1484" s="248"/>
      <c r="M1484" s="248"/>
      <c r="N1484" s="248"/>
      <c r="O1484" s="248"/>
    </row>
    <row r="1485">
      <c r="A1485" s="199"/>
      <c r="B1485" s="199"/>
      <c r="C1485" s="199"/>
      <c r="D1485" s="248"/>
      <c r="E1485" s="248"/>
      <c r="F1485" s="248"/>
      <c r="G1485" s="248"/>
      <c r="H1485" s="283"/>
      <c r="I1485" s="199"/>
      <c r="J1485" s="199"/>
      <c r="K1485" s="199"/>
      <c r="L1485" s="248"/>
      <c r="M1485" s="248"/>
      <c r="N1485" s="248"/>
      <c r="O1485" s="248"/>
    </row>
    <row r="1486">
      <c r="A1486" s="199"/>
      <c r="B1486" s="199"/>
      <c r="C1486" s="199"/>
      <c r="D1486" s="248"/>
      <c r="E1486" s="248"/>
      <c r="F1486" s="248"/>
      <c r="G1486" s="248"/>
      <c r="H1486" s="283"/>
      <c r="I1486" s="199"/>
      <c r="J1486" s="199"/>
      <c r="K1486" s="199"/>
      <c r="L1486" s="248"/>
      <c r="M1486" s="248"/>
      <c r="N1486" s="248"/>
      <c r="O1486" s="248"/>
    </row>
    <row r="1487">
      <c r="A1487" s="199"/>
      <c r="B1487" s="199"/>
      <c r="C1487" s="199"/>
      <c r="D1487" s="248"/>
      <c r="E1487" s="248"/>
      <c r="F1487" s="248"/>
      <c r="G1487" s="248"/>
      <c r="H1487" s="283"/>
      <c r="I1487" s="199"/>
      <c r="J1487" s="199"/>
      <c r="K1487" s="199"/>
      <c r="L1487" s="248"/>
      <c r="M1487" s="248"/>
      <c r="N1487" s="248"/>
      <c r="O1487" s="248"/>
    </row>
    <row r="1488">
      <c r="A1488" s="199"/>
      <c r="B1488" s="199"/>
      <c r="C1488" s="199"/>
      <c r="D1488" s="248"/>
      <c r="E1488" s="248"/>
      <c r="F1488" s="248"/>
      <c r="G1488" s="248"/>
      <c r="H1488" s="283"/>
      <c r="I1488" s="199"/>
      <c r="J1488" s="199"/>
      <c r="K1488" s="199"/>
      <c r="L1488" s="248"/>
      <c r="M1488" s="248"/>
      <c r="N1488" s="248"/>
      <c r="O1488" s="248"/>
    </row>
    <row r="1489">
      <c r="A1489" s="199"/>
      <c r="B1489" s="199"/>
      <c r="C1489" s="199"/>
      <c r="D1489" s="248"/>
      <c r="E1489" s="248"/>
      <c r="F1489" s="248"/>
      <c r="G1489" s="248"/>
      <c r="H1489" s="283"/>
      <c r="I1489" s="199"/>
      <c r="J1489" s="199"/>
      <c r="K1489" s="199"/>
      <c r="L1489" s="248"/>
      <c r="M1489" s="248"/>
      <c r="N1489" s="248"/>
      <c r="O1489" s="248"/>
    </row>
    <row r="1490">
      <c r="A1490" s="199"/>
      <c r="B1490" s="199"/>
      <c r="C1490" s="199"/>
      <c r="D1490" s="248"/>
      <c r="E1490" s="248"/>
      <c r="F1490" s="248"/>
      <c r="G1490" s="248"/>
      <c r="H1490" s="283"/>
      <c r="I1490" s="199"/>
      <c r="J1490" s="199"/>
      <c r="K1490" s="199"/>
      <c r="L1490" s="248"/>
      <c r="M1490" s="248"/>
      <c r="N1490" s="248"/>
      <c r="O1490" s="248"/>
    </row>
    <row r="1491">
      <c r="A1491" s="199"/>
      <c r="B1491" s="199"/>
      <c r="C1491" s="199"/>
      <c r="D1491" s="248"/>
      <c r="E1491" s="248"/>
      <c r="F1491" s="248"/>
      <c r="G1491" s="248"/>
      <c r="H1491" s="283"/>
      <c r="I1491" s="199"/>
      <c r="J1491" s="199"/>
      <c r="K1491" s="199"/>
      <c r="L1491" s="248"/>
      <c r="M1491" s="248"/>
      <c r="N1491" s="248"/>
      <c r="O1491" s="248"/>
    </row>
    <row r="1492">
      <c r="A1492" s="199"/>
      <c r="B1492" s="199"/>
      <c r="C1492" s="199"/>
      <c r="D1492" s="248"/>
      <c r="E1492" s="248"/>
      <c r="F1492" s="248"/>
      <c r="G1492" s="248"/>
      <c r="H1492" s="283"/>
      <c r="I1492" s="199"/>
      <c r="J1492" s="199"/>
      <c r="K1492" s="199"/>
      <c r="L1492" s="248"/>
      <c r="M1492" s="248"/>
      <c r="N1492" s="248"/>
      <c r="O1492" s="248"/>
    </row>
    <row r="1493">
      <c r="A1493" s="199"/>
      <c r="B1493" s="199"/>
      <c r="C1493" s="199"/>
      <c r="D1493" s="248"/>
      <c r="E1493" s="248"/>
      <c r="F1493" s="248"/>
      <c r="G1493" s="248"/>
      <c r="H1493" s="283"/>
      <c r="I1493" s="199"/>
      <c r="J1493" s="199"/>
      <c r="K1493" s="199"/>
      <c r="L1493" s="248"/>
      <c r="M1493" s="248"/>
      <c r="N1493" s="248"/>
      <c r="O1493" s="248"/>
    </row>
    <row r="1494">
      <c r="A1494" s="199"/>
      <c r="B1494" s="199"/>
      <c r="C1494" s="199"/>
      <c r="D1494" s="248"/>
      <c r="E1494" s="248"/>
      <c r="F1494" s="248"/>
      <c r="G1494" s="248"/>
      <c r="H1494" s="283"/>
      <c r="I1494" s="199"/>
      <c r="J1494" s="199"/>
      <c r="K1494" s="199"/>
      <c r="L1494" s="248"/>
      <c r="M1494" s="248"/>
      <c r="N1494" s="248"/>
      <c r="O1494" s="248"/>
    </row>
    <row r="1495">
      <c r="A1495" s="199"/>
      <c r="B1495" s="199"/>
      <c r="C1495" s="199"/>
      <c r="D1495" s="248"/>
      <c r="E1495" s="248"/>
      <c r="F1495" s="248"/>
      <c r="G1495" s="248"/>
      <c r="H1495" s="283"/>
      <c r="I1495" s="199"/>
      <c r="J1495" s="199"/>
      <c r="K1495" s="199"/>
      <c r="L1495" s="248"/>
      <c r="M1495" s="248"/>
      <c r="N1495" s="248"/>
      <c r="O1495" s="248"/>
    </row>
    <row r="1496">
      <c r="A1496" s="199"/>
      <c r="B1496" s="199"/>
      <c r="C1496" s="199"/>
      <c r="D1496" s="248"/>
      <c r="E1496" s="248"/>
      <c r="F1496" s="248"/>
      <c r="G1496" s="248"/>
      <c r="H1496" s="283"/>
      <c r="I1496" s="199"/>
      <c r="J1496" s="199"/>
      <c r="K1496" s="199"/>
      <c r="L1496" s="248"/>
      <c r="M1496" s="248"/>
      <c r="N1496" s="248"/>
      <c r="O1496" s="248"/>
    </row>
    <row r="1497">
      <c r="A1497" s="199"/>
      <c r="B1497" s="199"/>
      <c r="C1497" s="199"/>
      <c r="D1497" s="248"/>
      <c r="E1497" s="248"/>
      <c r="F1497" s="248"/>
      <c r="G1497" s="248"/>
      <c r="H1497" s="283"/>
      <c r="I1497" s="199"/>
      <c r="J1497" s="199"/>
      <c r="K1497" s="199"/>
      <c r="L1497" s="248"/>
      <c r="M1497" s="248"/>
      <c r="N1497" s="248"/>
      <c r="O1497" s="248"/>
    </row>
    <row r="1498">
      <c r="A1498" s="199"/>
      <c r="B1498" s="199"/>
      <c r="C1498" s="199"/>
      <c r="D1498" s="248"/>
      <c r="E1498" s="248"/>
      <c r="F1498" s="248"/>
      <c r="G1498" s="248"/>
      <c r="H1498" s="283"/>
      <c r="I1498" s="199"/>
      <c r="J1498" s="199"/>
      <c r="K1498" s="199"/>
      <c r="L1498" s="248"/>
      <c r="M1498" s="248"/>
      <c r="N1498" s="248"/>
      <c r="O1498" s="248"/>
    </row>
    <row r="1499">
      <c r="A1499" s="199"/>
      <c r="B1499" s="199"/>
      <c r="C1499" s="199"/>
      <c r="D1499" s="248"/>
      <c r="E1499" s="248"/>
      <c r="F1499" s="248"/>
      <c r="G1499" s="248"/>
      <c r="H1499" s="283"/>
      <c r="I1499" s="199"/>
      <c r="J1499" s="199"/>
      <c r="K1499" s="199"/>
      <c r="L1499" s="248"/>
      <c r="M1499" s="248"/>
      <c r="N1499" s="248"/>
      <c r="O1499" s="248"/>
    </row>
    <row r="1500">
      <c r="A1500" s="199"/>
      <c r="B1500" s="199"/>
      <c r="C1500" s="199"/>
      <c r="D1500" s="248"/>
      <c r="E1500" s="248"/>
      <c r="F1500" s="248"/>
      <c r="G1500" s="248"/>
      <c r="H1500" s="283"/>
      <c r="I1500" s="199"/>
      <c r="J1500" s="199"/>
      <c r="K1500" s="199"/>
      <c r="L1500" s="248"/>
      <c r="M1500" s="248"/>
      <c r="N1500" s="248"/>
      <c r="O1500" s="248"/>
    </row>
    <row r="1501">
      <c r="A1501" s="199"/>
      <c r="B1501" s="199"/>
      <c r="C1501" s="199"/>
      <c r="D1501" s="248"/>
      <c r="E1501" s="248"/>
      <c r="F1501" s="248"/>
      <c r="G1501" s="248"/>
      <c r="H1501" s="283"/>
      <c r="I1501" s="199"/>
      <c r="J1501" s="199"/>
      <c r="K1501" s="199"/>
      <c r="L1501" s="248"/>
      <c r="M1501" s="248"/>
      <c r="N1501" s="248"/>
      <c r="O1501" s="248"/>
    </row>
    <row r="1502">
      <c r="A1502" s="199"/>
      <c r="B1502" s="199"/>
      <c r="C1502" s="199"/>
      <c r="D1502" s="248"/>
      <c r="E1502" s="248"/>
      <c r="F1502" s="248"/>
      <c r="G1502" s="248"/>
      <c r="H1502" s="283"/>
      <c r="I1502" s="199"/>
      <c r="J1502" s="199"/>
      <c r="K1502" s="199"/>
      <c r="L1502" s="248"/>
      <c r="M1502" s="248"/>
      <c r="N1502" s="248"/>
      <c r="O1502" s="248"/>
    </row>
    <row r="1503">
      <c r="A1503" s="199"/>
      <c r="B1503" s="199"/>
      <c r="C1503" s="199"/>
      <c r="D1503" s="248"/>
      <c r="E1503" s="248"/>
      <c r="F1503" s="248"/>
      <c r="G1503" s="248"/>
      <c r="H1503" s="283"/>
      <c r="I1503" s="199"/>
      <c r="J1503" s="199"/>
      <c r="K1503" s="199"/>
      <c r="L1503" s="248"/>
      <c r="M1503" s="248"/>
      <c r="N1503" s="248"/>
      <c r="O1503" s="248"/>
    </row>
    <row r="1504">
      <c r="A1504" s="199"/>
      <c r="B1504" s="199"/>
      <c r="C1504" s="199"/>
      <c r="D1504" s="248"/>
      <c r="E1504" s="248"/>
      <c r="F1504" s="248"/>
      <c r="G1504" s="248"/>
      <c r="H1504" s="283"/>
      <c r="I1504" s="199"/>
      <c r="J1504" s="199"/>
      <c r="K1504" s="199"/>
      <c r="L1504" s="248"/>
      <c r="M1504" s="248"/>
      <c r="N1504" s="248"/>
      <c r="O1504" s="248"/>
    </row>
    <row r="1505">
      <c r="A1505" s="199"/>
      <c r="B1505" s="199"/>
      <c r="C1505" s="199"/>
      <c r="D1505" s="248"/>
      <c r="E1505" s="248"/>
      <c r="F1505" s="248"/>
      <c r="G1505" s="248"/>
      <c r="H1505" s="283"/>
      <c r="I1505" s="199"/>
      <c r="J1505" s="199"/>
      <c r="K1505" s="199"/>
      <c r="L1505" s="248"/>
      <c r="M1505" s="248"/>
      <c r="N1505" s="248"/>
      <c r="O1505" s="248"/>
    </row>
    <row r="1506">
      <c r="A1506" s="199"/>
      <c r="B1506" s="199"/>
      <c r="C1506" s="199"/>
      <c r="D1506" s="248"/>
      <c r="E1506" s="248"/>
      <c r="F1506" s="248"/>
      <c r="G1506" s="248"/>
      <c r="H1506" s="283"/>
      <c r="I1506" s="199"/>
      <c r="J1506" s="199"/>
      <c r="K1506" s="199"/>
      <c r="L1506" s="248"/>
      <c r="M1506" s="248"/>
      <c r="N1506" s="248"/>
      <c r="O1506" s="248"/>
    </row>
    <row r="1507">
      <c r="A1507" s="199"/>
      <c r="B1507" s="199"/>
      <c r="C1507" s="199"/>
      <c r="D1507" s="248"/>
      <c r="E1507" s="248"/>
      <c r="F1507" s="248"/>
      <c r="G1507" s="248"/>
      <c r="H1507" s="283"/>
      <c r="I1507" s="199"/>
      <c r="J1507" s="199"/>
      <c r="K1507" s="199"/>
      <c r="L1507" s="248"/>
      <c r="M1507" s="248"/>
      <c r="N1507" s="248"/>
      <c r="O1507" s="248"/>
    </row>
    <row r="1508">
      <c r="A1508" s="199"/>
      <c r="B1508" s="199"/>
      <c r="C1508" s="199"/>
      <c r="D1508" s="248"/>
      <c r="E1508" s="248"/>
      <c r="F1508" s="248"/>
      <c r="G1508" s="248"/>
      <c r="H1508" s="283"/>
      <c r="I1508" s="199"/>
      <c r="J1508" s="199"/>
      <c r="K1508" s="199"/>
      <c r="L1508" s="248"/>
      <c r="M1508" s="248"/>
      <c r="N1508" s="248"/>
      <c r="O1508" s="248"/>
    </row>
    <row r="1509">
      <c r="A1509" s="199"/>
      <c r="B1509" s="199"/>
      <c r="C1509" s="199"/>
      <c r="D1509" s="248"/>
      <c r="E1509" s="248"/>
      <c r="F1509" s="248"/>
      <c r="G1509" s="248"/>
      <c r="H1509" s="283"/>
      <c r="I1509" s="199"/>
      <c r="J1509" s="199"/>
      <c r="K1509" s="199"/>
      <c r="L1509" s="248"/>
      <c r="M1509" s="248"/>
      <c r="N1509" s="248"/>
      <c r="O1509" s="248"/>
    </row>
    <row r="1510">
      <c r="A1510" s="199"/>
      <c r="B1510" s="199"/>
      <c r="C1510" s="199"/>
      <c r="D1510" s="248"/>
      <c r="E1510" s="248"/>
      <c r="F1510" s="248"/>
      <c r="G1510" s="248"/>
      <c r="H1510" s="283"/>
      <c r="I1510" s="199"/>
      <c r="J1510" s="199"/>
      <c r="K1510" s="199"/>
      <c r="L1510" s="248"/>
      <c r="M1510" s="248"/>
      <c r="N1510" s="248"/>
      <c r="O1510" s="248"/>
    </row>
    <row r="1511">
      <c r="A1511" s="199"/>
      <c r="B1511" s="199"/>
      <c r="C1511" s="199"/>
      <c r="D1511" s="248"/>
      <c r="E1511" s="248"/>
      <c r="F1511" s="248"/>
      <c r="G1511" s="248"/>
      <c r="H1511" s="283"/>
      <c r="I1511" s="199"/>
      <c r="J1511" s="199"/>
      <c r="K1511" s="199"/>
      <c r="L1511" s="248"/>
      <c r="M1511" s="248"/>
      <c r="N1511" s="248"/>
      <c r="O1511" s="248"/>
    </row>
    <row r="1512">
      <c r="A1512" s="199"/>
      <c r="B1512" s="199"/>
      <c r="C1512" s="199"/>
      <c r="D1512" s="248"/>
      <c r="E1512" s="248"/>
      <c r="F1512" s="248"/>
      <c r="G1512" s="248"/>
      <c r="H1512" s="283"/>
      <c r="I1512" s="199"/>
      <c r="J1512" s="199"/>
      <c r="K1512" s="199"/>
      <c r="L1512" s="248"/>
      <c r="M1512" s="248"/>
      <c r="N1512" s="248"/>
      <c r="O1512" s="248"/>
    </row>
    <row r="1513">
      <c r="A1513" s="199"/>
      <c r="B1513" s="199"/>
      <c r="C1513" s="199"/>
      <c r="D1513" s="248"/>
      <c r="E1513" s="248"/>
      <c r="F1513" s="248"/>
      <c r="G1513" s="248"/>
      <c r="H1513" s="283"/>
      <c r="I1513" s="199"/>
      <c r="J1513" s="199"/>
      <c r="K1513" s="199"/>
      <c r="L1513" s="248"/>
      <c r="M1513" s="248"/>
      <c r="N1513" s="248"/>
      <c r="O1513" s="248"/>
    </row>
    <row r="1514">
      <c r="A1514" s="199"/>
      <c r="B1514" s="199"/>
      <c r="C1514" s="199"/>
      <c r="D1514" s="248"/>
      <c r="E1514" s="248"/>
      <c r="F1514" s="248"/>
      <c r="G1514" s="248"/>
      <c r="H1514" s="283"/>
      <c r="I1514" s="199"/>
      <c r="J1514" s="199"/>
      <c r="K1514" s="199"/>
      <c r="L1514" s="248"/>
      <c r="M1514" s="248"/>
      <c r="N1514" s="248"/>
      <c r="O1514" s="248"/>
    </row>
    <row r="1515">
      <c r="A1515" s="199"/>
      <c r="B1515" s="199"/>
      <c r="C1515" s="199"/>
      <c r="D1515" s="248"/>
      <c r="E1515" s="248"/>
      <c r="F1515" s="248"/>
      <c r="G1515" s="248"/>
      <c r="H1515" s="283"/>
      <c r="I1515" s="199"/>
      <c r="J1515" s="199"/>
      <c r="K1515" s="199"/>
      <c r="L1515" s="248"/>
      <c r="M1515" s="248"/>
      <c r="N1515" s="248"/>
      <c r="O1515" s="248"/>
    </row>
    <row r="1516">
      <c r="A1516" s="199"/>
      <c r="B1516" s="199"/>
      <c r="C1516" s="199"/>
      <c r="D1516" s="248"/>
      <c r="E1516" s="248"/>
      <c r="F1516" s="248"/>
      <c r="G1516" s="248"/>
      <c r="H1516" s="283"/>
      <c r="I1516" s="199"/>
      <c r="J1516" s="199"/>
      <c r="K1516" s="199"/>
      <c r="L1516" s="248"/>
      <c r="M1516" s="248"/>
      <c r="N1516" s="248"/>
      <c r="O1516" s="248"/>
    </row>
    <row r="1517">
      <c r="A1517" s="199"/>
      <c r="B1517" s="199"/>
      <c r="C1517" s="199"/>
      <c r="D1517" s="248"/>
      <c r="E1517" s="248"/>
      <c r="F1517" s="248"/>
      <c r="G1517" s="248"/>
      <c r="H1517" s="283"/>
      <c r="I1517" s="199"/>
      <c r="J1517" s="199"/>
      <c r="K1517" s="199"/>
      <c r="L1517" s="248"/>
      <c r="M1517" s="248"/>
      <c r="N1517" s="248"/>
      <c r="O1517" s="248"/>
    </row>
    <row r="1518">
      <c r="A1518" s="199"/>
      <c r="B1518" s="199"/>
      <c r="C1518" s="199"/>
      <c r="D1518" s="248"/>
      <c r="E1518" s="248"/>
      <c r="F1518" s="248"/>
      <c r="G1518" s="248"/>
      <c r="H1518" s="283"/>
      <c r="I1518" s="199"/>
      <c r="J1518" s="199"/>
      <c r="K1518" s="199"/>
      <c r="L1518" s="248"/>
      <c r="M1518" s="248"/>
      <c r="N1518" s="248"/>
      <c r="O1518" s="248"/>
    </row>
    <row r="1519">
      <c r="A1519" s="199"/>
      <c r="B1519" s="199"/>
      <c r="C1519" s="199"/>
      <c r="D1519" s="248"/>
      <c r="E1519" s="248"/>
      <c r="F1519" s="248"/>
      <c r="G1519" s="248"/>
      <c r="H1519" s="283"/>
      <c r="I1519" s="199"/>
      <c r="J1519" s="199"/>
      <c r="K1519" s="199"/>
      <c r="L1519" s="248"/>
      <c r="M1519" s="248"/>
      <c r="N1519" s="248"/>
      <c r="O1519" s="248"/>
    </row>
    <row r="1520">
      <c r="A1520" s="199"/>
      <c r="B1520" s="199"/>
      <c r="C1520" s="199"/>
      <c r="D1520" s="248"/>
      <c r="E1520" s="248"/>
      <c r="F1520" s="248"/>
      <c r="G1520" s="248"/>
      <c r="H1520" s="283"/>
      <c r="I1520" s="199"/>
      <c r="J1520" s="199"/>
      <c r="K1520" s="199"/>
      <c r="L1520" s="248"/>
      <c r="M1520" s="248"/>
      <c r="N1520" s="248"/>
      <c r="O1520" s="248"/>
    </row>
    <row r="1521">
      <c r="A1521" s="199"/>
      <c r="B1521" s="199"/>
      <c r="C1521" s="199"/>
      <c r="D1521" s="248"/>
      <c r="E1521" s="248"/>
      <c r="F1521" s="248"/>
      <c r="G1521" s="248"/>
      <c r="H1521" s="283"/>
      <c r="I1521" s="199"/>
      <c r="J1521" s="199"/>
      <c r="K1521" s="199"/>
      <c r="L1521" s="248"/>
      <c r="M1521" s="248"/>
      <c r="N1521" s="248"/>
      <c r="O1521" s="248"/>
    </row>
    <row r="1522">
      <c r="A1522" s="199"/>
      <c r="B1522" s="199"/>
      <c r="C1522" s="199"/>
      <c r="D1522" s="248"/>
      <c r="E1522" s="248"/>
      <c r="F1522" s="248"/>
      <c r="G1522" s="248"/>
      <c r="H1522" s="283"/>
      <c r="I1522" s="199"/>
      <c r="J1522" s="199"/>
      <c r="K1522" s="199"/>
      <c r="L1522" s="248"/>
      <c r="M1522" s="248"/>
      <c r="N1522" s="248"/>
      <c r="O1522" s="248"/>
    </row>
    <row r="1523">
      <c r="A1523" s="199"/>
      <c r="B1523" s="199"/>
      <c r="C1523" s="199"/>
      <c r="D1523" s="248"/>
      <c r="E1523" s="248"/>
      <c r="F1523" s="248"/>
      <c r="G1523" s="248"/>
      <c r="H1523" s="283"/>
      <c r="I1523" s="199"/>
      <c r="J1523" s="199"/>
      <c r="K1523" s="199"/>
      <c r="L1523" s="248"/>
      <c r="M1523" s="248"/>
      <c r="N1523" s="248"/>
      <c r="O1523" s="248"/>
    </row>
    <row r="1524">
      <c r="A1524" s="199"/>
      <c r="B1524" s="199"/>
      <c r="C1524" s="199"/>
      <c r="D1524" s="248"/>
      <c r="E1524" s="248"/>
      <c r="F1524" s="248"/>
      <c r="G1524" s="248"/>
      <c r="H1524" s="283"/>
      <c r="I1524" s="199"/>
      <c r="J1524" s="199"/>
      <c r="K1524" s="199"/>
      <c r="L1524" s="248"/>
      <c r="M1524" s="248"/>
      <c r="N1524" s="248"/>
      <c r="O1524" s="248"/>
    </row>
    <row r="1525">
      <c r="A1525" s="199"/>
      <c r="B1525" s="199"/>
      <c r="C1525" s="199"/>
      <c r="D1525" s="248"/>
      <c r="E1525" s="248"/>
      <c r="F1525" s="248"/>
      <c r="G1525" s="248"/>
      <c r="H1525" s="283"/>
      <c r="I1525" s="199"/>
      <c r="J1525" s="199"/>
      <c r="K1525" s="199"/>
      <c r="L1525" s="248"/>
      <c r="M1525" s="248"/>
      <c r="N1525" s="248"/>
      <c r="O1525" s="248"/>
    </row>
    <row r="1526">
      <c r="A1526" s="199"/>
      <c r="B1526" s="199"/>
      <c r="C1526" s="199"/>
      <c r="D1526" s="248"/>
      <c r="E1526" s="248"/>
      <c r="F1526" s="248"/>
      <c r="G1526" s="248"/>
      <c r="H1526" s="283"/>
      <c r="I1526" s="199"/>
      <c r="J1526" s="199"/>
      <c r="K1526" s="199"/>
      <c r="L1526" s="248"/>
      <c r="M1526" s="248"/>
      <c r="N1526" s="248"/>
      <c r="O1526" s="248"/>
    </row>
    <row r="1527">
      <c r="A1527" s="199"/>
      <c r="B1527" s="199"/>
      <c r="C1527" s="199"/>
      <c r="D1527" s="248"/>
      <c r="E1527" s="248"/>
      <c r="F1527" s="248"/>
      <c r="G1527" s="248"/>
      <c r="H1527" s="283"/>
      <c r="I1527" s="199"/>
      <c r="J1527" s="199"/>
      <c r="K1527" s="199"/>
      <c r="L1527" s="248"/>
      <c r="M1527" s="248"/>
      <c r="N1527" s="248"/>
      <c r="O1527" s="248"/>
    </row>
    <row r="1528">
      <c r="A1528" s="199"/>
      <c r="B1528" s="199"/>
      <c r="C1528" s="199"/>
      <c r="D1528" s="248"/>
      <c r="E1528" s="248"/>
      <c r="F1528" s="248"/>
      <c r="G1528" s="248"/>
      <c r="H1528" s="283"/>
      <c r="I1528" s="199"/>
      <c r="J1528" s="199"/>
      <c r="K1528" s="199"/>
      <c r="L1528" s="248"/>
      <c r="M1528" s="248"/>
      <c r="N1528" s="248"/>
      <c r="O1528" s="248"/>
    </row>
    <row r="1529">
      <c r="A1529" s="199"/>
      <c r="B1529" s="199"/>
      <c r="C1529" s="199"/>
      <c r="D1529" s="248"/>
      <c r="E1529" s="248"/>
      <c r="F1529" s="248"/>
      <c r="G1529" s="248"/>
      <c r="H1529" s="283"/>
      <c r="I1529" s="199"/>
      <c r="J1529" s="199"/>
      <c r="K1529" s="199"/>
      <c r="L1529" s="248"/>
      <c r="M1529" s="248"/>
      <c r="N1529" s="248"/>
      <c r="O1529" s="248"/>
    </row>
    <row r="1530">
      <c r="A1530" s="199"/>
      <c r="B1530" s="199"/>
      <c r="C1530" s="199"/>
      <c r="D1530" s="248"/>
      <c r="E1530" s="248"/>
      <c r="F1530" s="248"/>
      <c r="G1530" s="248"/>
      <c r="H1530" s="283"/>
      <c r="I1530" s="199"/>
      <c r="J1530" s="199"/>
      <c r="K1530" s="199"/>
      <c r="L1530" s="248"/>
      <c r="M1530" s="248"/>
      <c r="N1530" s="248"/>
      <c r="O1530" s="248"/>
    </row>
    <row r="1531">
      <c r="A1531" s="199"/>
      <c r="B1531" s="199"/>
      <c r="C1531" s="199"/>
      <c r="D1531" s="248"/>
      <c r="E1531" s="248"/>
      <c r="F1531" s="248"/>
      <c r="G1531" s="248"/>
      <c r="H1531" s="283"/>
      <c r="I1531" s="199"/>
      <c r="J1531" s="199"/>
      <c r="K1531" s="199"/>
      <c r="L1531" s="248"/>
      <c r="M1531" s="248"/>
      <c r="N1531" s="248"/>
      <c r="O1531" s="248"/>
    </row>
    <row r="1532">
      <c r="A1532" s="199"/>
      <c r="B1532" s="199"/>
      <c r="C1532" s="199"/>
      <c r="D1532" s="248"/>
      <c r="E1532" s="248"/>
      <c r="F1532" s="248"/>
      <c r="G1532" s="248"/>
      <c r="H1532" s="283"/>
      <c r="I1532" s="199"/>
      <c r="J1532" s="199"/>
      <c r="K1532" s="199"/>
      <c r="L1532" s="248"/>
      <c r="M1532" s="248"/>
      <c r="N1532" s="248"/>
      <c r="O1532" s="248"/>
    </row>
    <row r="1533">
      <c r="A1533" s="199"/>
      <c r="B1533" s="199"/>
      <c r="C1533" s="199"/>
      <c r="D1533" s="248"/>
      <c r="E1533" s="248"/>
      <c r="F1533" s="248"/>
      <c r="G1533" s="248"/>
      <c r="H1533" s="283"/>
      <c r="I1533" s="199"/>
      <c r="J1533" s="199"/>
      <c r="K1533" s="199"/>
      <c r="L1533" s="248"/>
      <c r="M1533" s="248"/>
      <c r="N1533" s="248"/>
      <c r="O1533" s="248"/>
    </row>
    <row r="1534">
      <c r="A1534" s="199"/>
      <c r="B1534" s="199"/>
      <c r="C1534" s="199"/>
      <c r="D1534" s="248"/>
      <c r="E1534" s="248"/>
      <c r="F1534" s="248"/>
      <c r="G1534" s="248"/>
      <c r="H1534" s="283"/>
      <c r="I1534" s="199"/>
      <c r="J1534" s="199"/>
      <c r="K1534" s="199"/>
      <c r="L1534" s="248"/>
      <c r="M1534" s="248"/>
      <c r="N1534" s="248"/>
      <c r="O1534" s="248"/>
    </row>
    <row r="1535">
      <c r="A1535" s="199"/>
      <c r="B1535" s="199"/>
      <c r="C1535" s="199"/>
      <c r="D1535" s="248"/>
      <c r="E1535" s="248"/>
      <c r="F1535" s="248"/>
      <c r="G1535" s="248"/>
      <c r="H1535" s="283"/>
      <c r="I1535" s="199"/>
      <c r="J1535" s="199"/>
      <c r="K1535" s="199"/>
      <c r="L1535" s="248"/>
      <c r="M1535" s="248"/>
      <c r="N1535" s="248"/>
      <c r="O1535" s="248"/>
    </row>
    <row r="1536">
      <c r="A1536" s="199"/>
      <c r="B1536" s="199"/>
      <c r="C1536" s="199"/>
      <c r="D1536" s="248"/>
      <c r="E1536" s="248"/>
      <c r="F1536" s="248"/>
      <c r="G1536" s="248"/>
      <c r="H1536" s="283"/>
      <c r="I1536" s="199"/>
      <c r="J1536" s="199"/>
      <c r="K1536" s="199"/>
      <c r="L1536" s="248"/>
      <c r="M1536" s="248"/>
      <c r="N1536" s="248"/>
      <c r="O1536" s="248"/>
    </row>
    <row r="1537">
      <c r="A1537" s="199"/>
      <c r="B1537" s="199"/>
      <c r="C1537" s="199"/>
      <c r="D1537" s="248"/>
      <c r="E1537" s="248"/>
      <c r="F1537" s="248"/>
      <c r="G1537" s="248"/>
      <c r="H1537" s="283"/>
      <c r="I1537" s="199"/>
      <c r="J1537" s="199"/>
      <c r="K1537" s="199"/>
      <c r="L1537" s="248"/>
      <c r="M1537" s="248"/>
      <c r="N1537" s="248"/>
      <c r="O1537" s="248"/>
    </row>
    <row r="1538">
      <c r="A1538" s="199"/>
      <c r="B1538" s="199"/>
      <c r="C1538" s="199"/>
      <c r="D1538" s="248"/>
      <c r="E1538" s="248"/>
      <c r="F1538" s="248"/>
      <c r="G1538" s="248"/>
      <c r="H1538" s="283"/>
      <c r="I1538" s="199"/>
      <c r="J1538" s="199"/>
      <c r="K1538" s="199"/>
      <c r="L1538" s="248"/>
      <c r="M1538" s="248"/>
      <c r="N1538" s="248"/>
      <c r="O1538" s="248"/>
    </row>
    <row r="1539">
      <c r="A1539" s="199"/>
      <c r="B1539" s="199"/>
      <c r="C1539" s="199"/>
      <c r="D1539" s="248"/>
      <c r="E1539" s="248"/>
      <c r="F1539" s="248"/>
      <c r="G1539" s="248"/>
      <c r="H1539" s="283"/>
      <c r="I1539" s="199"/>
      <c r="J1539" s="199"/>
      <c r="K1539" s="199"/>
      <c r="L1539" s="248"/>
      <c r="M1539" s="248"/>
      <c r="N1539" s="248"/>
      <c r="O1539" s="248"/>
    </row>
    <row r="1540">
      <c r="A1540" s="199"/>
      <c r="B1540" s="199"/>
      <c r="C1540" s="199"/>
      <c r="D1540" s="248"/>
      <c r="E1540" s="248"/>
      <c r="F1540" s="248"/>
      <c r="G1540" s="248"/>
      <c r="H1540" s="283"/>
      <c r="I1540" s="199"/>
      <c r="J1540" s="199"/>
      <c r="K1540" s="199"/>
      <c r="L1540" s="248"/>
      <c r="M1540" s="248"/>
      <c r="N1540" s="248"/>
      <c r="O1540" s="248"/>
    </row>
    <row r="1541">
      <c r="A1541" s="199"/>
      <c r="B1541" s="199"/>
      <c r="C1541" s="199"/>
      <c r="D1541" s="248"/>
      <c r="E1541" s="248"/>
      <c r="F1541" s="248"/>
      <c r="G1541" s="248"/>
      <c r="H1541" s="283"/>
      <c r="I1541" s="199"/>
      <c r="J1541" s="199"/>
      <c r="K1541" s="199"/>
      <c r="L1541" s="248"/>
      <c r="M1541" s="248"/>
      <c r="N1541" s="248"/>
      <c r="O1541" s="248"/>
    </row>
    <row r="1542">
      <c r="A1542" s="199"/>
      <c r="B1542" s="199"/>
      <c r="C1542" s="199"/>
      <c r="D1542" s="248"/>
      <c r="E1542" s="248"/>
      <c r="F1542" s="248"/>
      <c r="G1542" s="248"/>
      <c r="H1542" s="283"/>
      <c r="I1542" s="199"/>
      <c r="J1542" s="199"/>
      <c r="K1542" s="199"/>
      <c r="L1542" s="248"/>
      <c r="M1542" s="248"/>
      <c r="N1542" s="248"/>
      <c r="O1542" s="248"/>
    </row>
    <row r="1543">
      <c r="A1543" s="199"/>
      <c r="B1543" s="199"/>
      <c r="C1543" s="199"/>
      <c r="D1543" s="248"/>
      <c r="E1543" s="248"/>
      <c r="F1543" s="248"/>
      <c r="G1543" s="248"/>
      <c r="H1543" s="283"/>
      <c r="I1543" s="199"/>
      <c r="J1543" s="199"/>
      <c r="K1543" s="199"/>
      <c r="L1543" s="248"/>
      <c r="M1543" s="248"/>
      <c r="N1543" s="248"/>
      <c r="O1543" s="248"/>
    </row>
    <row r="1544">
      <c r="A1544" s="199"/>
      <c r="B1544" s="199"/>
      <c r="C1544" s="199"/>
      <c r="D1544" s="248"/>
      <c r="E1544" s="248"/>
      <c r="F1544" s="248"/>
      <c r="G1544" s="248"/>
      <c r="H1544" s="283"/>
      <c r="I1544" s="199"/>
      <c r="J1544" s="199"/>
      <c r="K1544" s="199"/>
      <c r="L1544" s="248"/>
      <c r="M1544" s="248"/>
      <c r="N1544" s="248"/>
      <c r="O1544" s="248"/>
    </row>
    <row r="1545">
      <c r="A1545" s="199"/>
      <c r="B1545" s="199"/>
      <c r="C1545" s="199"/>
      <c r="D1545" s="248"/>
      <c r="E1545" s="248"/>
      <c r="F1545" s="248"/>
      <c r="G1545" s="248"/>
      <c r="H1545" s="283"/>
      <c r="I1545" s="199"/>
      <c r="J1545" s="199"/>
      <c r="K1545" s="199"/>
      <c r="L1545" s="248"/>
      <c r="M1545" s="248"/>
      <c r="N1545" s="248"/>
      <c r="O1545" s="248"/>
    </row>
    <row r="1546">
      <c r="A1546" s="199"/>
      <c r="B1546" s="199"/>
      <c r="C1546" s="199"/>
      <c r="D1546" s="248"/>
      <c r="E1546" s="248"/>
      <c r="F1546" s="248"/>
      <c r="G1546" s="248"/>
      <c r="H1546" s="283"/>
      <c r="I1546" s="199"/>
      <c r="J1546" s="199"/>
      <c r="K1546" s="199"/>
      <c r="L1546" s="248"/>
      <c r="M1546" s="248"/>
      <c r="N1546" s="248"/>
      <c r="O1546" s="248"/>
    </row>
    <row r="1547">
      <c r="A1547" s="199"/>
      <c r="B1547" s="199"/>
      <c r="C1547" s="199"/>
      <c r="D1547" s="248"/>
      <c r="E1547" s="248"/>
      <c r="F1547" s="248"/>
      <c r="G1547" s="248"/>
      <c r="H1547" s="283"/>
      <c r="I1547" s="199"/>
      <c r="J1547" s="199"/>
      <c r="K1547" s="199"/>
      <c r="L1547" s="248"/>
      <c r="M1547" s="248"/>
      <c r="N1547" s="248"/>
      <c r="O1547" s="248"/>
    </row>
    <row r="1548">
      <c r="A1548" s="199"/>
      <c r="B1548" s="199"/>
      <c r="C1548" s="199"/>
      <c r="D1548" s="248"/>
      <c r="E1548" s="248"/>
      <c r="F1548" s="248"/>
      <c r="G1548" s="248"/>
      <c r="H1548" s="283"/>
      <c r="I1548" s="199"/>
      <c r="J1548" s="199"/>
      <c r="K1548" s="199"/>
      <c r="L1548" s="248"/>
      <c r="M1548" s="248"/>
      <c r="N1548" s="248"/>
      <c r="O1548" s="248"/>
    </row>
    <row r="1549">
      <c r="A1549" s="199"/>
      <c r="B1549" s="199"/>
      <c r="C1549" s="199"/>
      <c r="D1549" s="248"/>
      <c r="E1549" s="248"/>
      <c r="F1549" s="248"/>
      <c r="G1549" s="248"/>
      <c r="H1549" s="283"/>
      <c r="I1549" s="199"/>
      <c r="J1549" s="199"/>
      <c r="K1549" s="199"/>
      <c r="L1549" s="248"/>
      <c r="M1549" s="248"/>
      <c r="N1549" s="248"/>
      <c r="O1549" s="248"/>
    </row>
    <row r="1550">
      <c r="A1550" s="199"/>
      <c r="B1550" s="199"/>
      <c r="C1550" s="199"/>
      <c r="D1550" s="248"/>
      <c r="E1550" s="248"/>
      <c r="F1550" s="248"/>
      <c r="G1550" s="248"/>
      <c r="H1550" s="283"/>
      <c r="I1550" s="199"/>
      <c r="J1550" s="199"/>
      <c r="K1550" s="199"/>
      <c r="L1550" s="248"/>
      <c r="M1550" s="248"/>
      <c r="N1550" s="248"/>
      <c r="O1550" s="248"/>
    </row>
    <row r="1551">
      <c r="A1551" s="199"/>
      <c r="B1551" s="199"/>
      <c r="C1551" s="199"/>
      <c r="D1551" s="248"/>
      <c r="E1551" s="248"/>
      <c r="F1551" s="248"/>
      <c r="G1551" s="248"/>
      <c r="H1551" s="283"/>
      <c r="I1551" s="199"/>
      <c r="J1551" s="199"/>
      <c r="K1551" s="199"/>
      <c r="L1551" s="248"/>
      <c r="M1551" s="248"/>
      <c r="N1551" s="248"/>
      <c r="O1551" s="248"/>
    </row>
    <row r="1552">
      <c r="A1552" s="199"/>
      <c r="B1552" s="199"/>
      <c r="C1552" s="199"/>
      <c r="D1552" s="248"/>
      <c r="E1552" s="248"/>
      <c r="F1552" s="248"/>
      <c r="G1552" s="248"/>
      <c r="H1552" s="283"/>
      <c r="I1552" s="199"/>
      <c r="J1552" s="199"/>
      <c r="K1552" s="199"/>
      <c r="L1552" s="248"/>
      <c r="M1552" s="248"/>
      <c r="N1552" s="248"/>
      <c r="O1552" s="248"/>
    </row>
    <row r="1553">
      <c r="A1553" s="199"/>
      <c r="B1553" s="199"/>
      <c r="C1553" s="199"/>
      <c r="D1553" s="248"/>
      <c r="E1553" s="248"/>
      <c r="F1553" s="248"/>
      <c r="G1553" s="248"/>
      <c r="H1553" s="283"/>
      <c r="I1553" s="199"/>
      <c r="J1553" s="199"/>
      <c r="K1553" s="199"/>
      <c r="L1553" s="248"/>
      <c r="M1553" s="248"/>
      <c r="N1553" s="248"/>
      <c r="O1553" s="248"/>
    </row>
    <row r="1554">
      <c r="A1554" s="199"/>
      <c r="B1554" s="199"/>
      <c r="C1554" s="199"/>
      <c r="D1554" s="248"/>
      <c r="E1554" s="248"/>
      <c r="F1554" s="248"/>
      <c r="G1554" s="248"/>
      <c r="H1554" s="283"/>
      <c r="I1554" s="199"/>
      <c r="J1554" s="199"/>
      <c r="K1554" s="199"/>
      <c r="L1554" s="248"/>
      <c r="M1554" s="248"/>
      <c r="N1554" s="248"/>
      <c r="O1554" s="248"/>
    </row>
    <row r="1555">
      <c r="A1555" s="199"/>
      <c r="B1555" s="199"/>
      <c r="C1555" s="199"/>
      <c r="D1555" s="248"/>
      <c r="E1555" s="248"/>
      <c r="F1555" s="248"/>
      <c r="G1555" s="248"/>
      <c r="H1555" s="283"/>
      <c r="I1555" s="199"/>
      <c r="J1555" s="199"/>
      <c r="K1555" s="199"/>
      <c r="L1555" s="248"/>
      <c r="M1555" s="248"/>
      <c r="N1555" s="248"/>
      <c r="O1555" s="248"/>
    </row>
    <row r="1556">
      <c r="A1556" s="199"/>
      <c r="B1556" s="199"/>
      <c r="C1556" s="199"/>
      <c r="D1556" s="248"/>
      <c r="E1556" s="248"/>
      <c r="F1556" s="248"/>
      <c r="G1556" s="248"/>
      <c r="H1556" s="283"/>
      <c r="I1556" s="199"/>
      <c r="J1556" s="199"/>
      <c r="K1556" s="199"/>
      <c r="L1556" s="248"/>
      <c r="M1556" s="248"/>
      <c r="N1556" s="248"/>
      <c r="O1556" s="248"/>
    </row>
    <row r="1557">
      <c r="A1557" s="199"/>
      <c r="B1557" s="199"/>
      <c r="C1557" s="199"/>
      <c r="D1557" s="248"/>
      <c r="E1557" s="248"/>
      <c r="F1557" s="248"/>
      <c r="G1557" s="248"/>
      <c r="H1557" s="283"/>
      <c r="I1557" s="199"/>
      <c r="J1557" s="199"/>
      <c r="K1557" s="199"/>
      <c r="L1557" s="248"/>
      <c r="M1557" s="248"/>
      <c r="N1557" s="248"/>
      <c r="O1557" s="248"/>
    </row>
    <row r="1558">
      <c r="A1558" s="199"/>
      <c r="B1558" s="199"/>
      <c r="C1558" s="199"/>
      <c r="D1558" s="248"/>
      <c r="E1558" s="248"/>
      <c r="F1558" s="248"/>
      <c r="G1558" s="248"/>
      <c r="H1558" s="283"/>
      <c r="I1558" s="199"/>
      <c r="J1558" s="199"/>
      <c r="K1558" s="199"/>
      <c r="L1558" s="248"/>
      <c r="M1558" s="248"/>
      <c r="N1558" s="248"/>
      <c r="O1558" s="248"/>
    </row>
    <row r="1559">
      <c r="A1559" s="199"/>
      <c r="B1559" s="199"/>
      <c r="C1559" s="199"/>
      <c r="D1559" s="248"/>
      <c r="E1559" s="248"/>
      <c r="F1559" s="248"/>
      <c r="G1559" s="248"/>
      <c r="H1559" s="283"/>
      <c r="I1559" s="199"/>
      <c r="J1559" s="199"/>
      <c r="K1559" s="199"/>
      <c r="L1559" s="248"/>
      <c r="M1559" s="248"/>
      <c r="N1559" s="248"/>
      <c r="O1559" s="248"/>
    </row>
    <row r="1560">
      <c r="A1560" s="199"/>
      <c r="B1560" s="199"/>
      <c r="C1560" s="199"/>
      <c r="D1560" s="248"/>
      <c r="E1560" s="248"/>
      <c r="F1560" s="248"/>
      <c r="G1560" s="248"/>
      <c r="H1560" s="283"/>
      <c r="I1560" s="199"/>
      <c r="J1560" s="199"/>
      <c r="K1560" s="199"/>
      <c r="L1560" s="248"/>
      <c r="M1560" s="248"/>
      <c r="N1560" s="248"/>
      <c r="O1560" s="248"/>
    </row>
    <row r="1561">
      <c r="A1561" s="199"/>
      <c r="B1561" s="199"/>
      <c r="C1561" s="199"/>
      <c r="D1561" s="248"/>
      <c r="E1561" s="248"/>
      <c r="F1561" s="248"/>
      <c r="G1561" s="248"/>
      <c r="H1561" s="283"/>
      <c r="I1561" s="199"/>
      <c r="J1561" s="199"/>
      <c r="K1561" s="199"/>
      <c r="L1561" s="248"/>
      <c r="M1561" s="248"/>
      <c r="N1561" s="248"/>
      <c r="O1561" s="248"/>
    </row>
    <row r="1562">
      <c r="A1562" s="199"/>
      <c r="B1562" s="199"/>
      <c r="C1562" s="199"/>
      <c r="D1562" s="248"/>
      <c r="E1562" s="248"/>
      <c r="F1562" s="248"/>
      <c r="G1562" s="248"/>
      <c r="H1562" s="283"/>
      <c r="I1562" s="199"/>
      <c r="J1562" s="199"/>
      <c r="K1562" s="199"/>
      <c r="L1562" s="248"/>
      <c r="M1562" s="248"/>
      <c r="N1562" s="248"/>
      <c r="O1562" s="248"/>
    </row>
    <row r="1563">
      <c r="A1563" s="199"/>
      <c r="B1563" s="199"/>
      <c r="C1563" s="199"/>
      <c r="D1563" s="248"/>
      <c r="E1563" s="248"/>
      <c r="F1563" s="248"/>
      <c r="G1563" s="248"/>
      <c r="H1563" s="283"/>
      <c r="I1563" s="199"/>
      <c r="J1563" s="199"/>
      <c r="K1563" s="199"/>
      <c r="L1563" s="248"/>
      <c r="M1563" s="248"/>
      <c r="N1563" s="248"/>
      <c r="O1563" s="248"/>
    </row>
    <row r="1564">
      <c r="A1564" s="199"/>
      <c r="B1564" s="199"/>
      <c r="C1564" s="199"/>
      <c r="D1564" s="248"/>
      <c r="E1564" s="248"/>
      <c r="F1564" s="248"/>
      <c r="G1564" s="248"/>
      <c r="H1564" s="283"/>
      <c r="I1564" s="199"/>
      <c r="J1564" s="199"/>
      <c r="K1564" s="199"/>
      <c r="L1564" s="248"/>
      <c r="M1564" s="248"/>
      <c r="N1564" s="248"/>
      <c r="O1564" s="248"/>
    </row>
    <row r="1565">
      <c r="A1565" s="199"/>
      <c r="B1565" s="199"/>
      <c r="C1565" s="199"/>
      <c r="D1565" s="248"/>
      <c r="E1565" s="248"/>
      <c r="F1565" s="248"/>
      <c r="G1565" s="248"/>
      <c r="H1565" s="283"/>
      <c r="I1565" s="199"/>
      <c r="J1565" s="199"/>
      <c r="K1565" s="199"/>
      <c r="L1565" s="248"/>
      <c r="M1565" s="248"/>
      <c r="N1565" s="248"/>
      <c r="O1565" s="248"/>
    </row>
    <row r="1566">
      <c r="A1566" s="199"/>
      <c r="B1566" s="199"/>
      <c r="C1566" s="199"/>
      <c r="D1566" s="248"/>
      <c r="E1566" s="248"/>
      <c r="F1566" s="248"/>
      <c r="G1566" s="248"/>
      <c r="H1566" s="283"/>
      <c r="I1566" s="199"/>
      <c r="J1566" s="199"/>
      <c r="K1566" s="199"/>
      <c r="L1566" s="248"/>
      <c r="M1566" s="248"/>
      <c r="N1566" s="248"/>
      <c r="O1566" s="248"/>
    </row>
    <row r="1567">
      <c r="A1567" s="199"/>
      <c r="B1567" s="199"/>
      <c r="C1567" s="199"/>
      <c r="D1567" s="248"/>
      <c r="E1567" s="248"/>
      <c r="F1567" s="248"/>
      <c r="G1567" s="248"/>
      <c r="H1567" s="283"/>
      <c r="I1567" s="199"/>
      <c r="J1567" s="199"/>
      <c r="K1567" s="199"/>
      <c r="L1567" s="248"/>
      <c r="M1567" s="248"/>
      <c r="N1567" s="248"/>
      <c r="O1567" s="248"/>
    </row>
    <row r="1568">
      <c r="A1568" s="199"/>
      <c r="B1568" s="199"/>
      <c r="C1568" s="199"/>
      <c r="D1568" s="248"/>
      <c r="E1568" s="248"/>
      <c r="F1568" s="248"/>
      <c r="G1568" s="248"/>
      <c r="H1568" s="283"/>
      <c r="I1568" s="199"/>
      <c r="J1568" s="199"/>
      <c r="K1568" s="199"/>
      <c r="L1568" s="248"/>
      <c r="M1568" s="248"/>
      <c r="N1568" s="248"/>
      <c r="O1568" s="248"/>
    </row>
    <row r="1569">
      <c r="A1569" s="199"/>
      <c r="B1569" s="199"/>
      <c r="C1569" s="199"/>
      <c r="D1569" s="248"/>
      <c r="E1569" s="248"/>
      <c r="F1569" s="248"/>
      <c r="G1569" s="248"/>
      <c r="H1569" s="283"/>
      <c r="I1569" s="199"/>
      <c r="J1569" s="199"/>
      <c r="K1569" s="199"/>
      <c r="L1569" s="248"/>
      <c r="M1569" s="248"/>
      <c r="N1569" s="248"/>
      <c r="O1569" s="248"/>
    </row>
    <row r="1570">
      <c r="A1570" s="199"/>
      <c r="B1570" s="199"/>
      <c r="C1570" s="199"/>
      <c r="D1570" s="248"/>
      <c r="E1570" s="248"/>
      <c r="F1570" s="248"/>
      <c r="G1570" s="248"/>
      <c r="H1570" s="283"/>
      <c r="I1570" s="199"/>
      <c r="J1570" s="199"/>
      <c r="K1570" s="199"/>
      <c r="L1570" s="248"/>
      <c r="M1570" s="248"/>
      <c r="N1570" s="248"/>
      <c r="O1570" s="248"/>
    </row>
    <row r="1571">
      <c r="A1571" s="199"/>
      <c r="B1571" s="199"/>
      <c r="C1571" s="199"/>
      <c r="D1571" s="248"/>
      <c r="E1571" s="248"/>
      <c r="F1571" s="248"/>
      <c r="G1571" s="248"/>
      <c r="H1571" s="283"/>
      <c r="I1571" s="199"/>
      <c r="J1571" s="199"/>
      <c r="K1571" s="199"/>
      <c r="L1571" s="248"/>
      <c r="M1571" s="248"/>
      <c r="N1571" s="248"/>
      <c r="O1571" s="248"/>
    </row>
    <row r="1572">
      <c r="A1572" s="199"/>
      <c r="B1572" s="199"/>
      <c r="C1572" s="199"/>
      <c r="D1572" s="248"/>
      <c r="E1572" s="248"/>
      <c r="F1572" s="248"/>
      <c r="G1572" s="248"/>
      <c r="H1572" s="283"/>
      <c r="I1572" s="199"/>
      <c r="J1572" s="199"/>
      <c r="K1572" s="199"/>
      <c r="L1572" s="248"/>
      <c r="M1572" s="248"/>
      <c r="N1572" s="248"/>
      <c r="O1572" s="248"/>
    </row>
    <row r="1573">
      <c r="A1573" s="199"/>
      <c r="B1573" s="199"/>
      <c r="C1573" s="199"/>
      <c r="D1573" s="248"/>
      <c r="E1573" s="248"/>
      <c r="F1573" s="248"/>
      <c r="G1573" s="248"/>
      <c r="H1573" s="283"/>
      <c r="I1573" s="199"/>
      <c r="J1573" s="199"/>
      <c r="K1573" s="199"/>
      <c r="L1573" s="248"/>
      <c r="M1573" s="248"/>
      <c r="N1573" s="248"/>
      <c r="O1573" s="248"/>
    </row>
    <row r="1574">
      <c r="A1574" s="199"/>
      <c r="B1574" s="199"/>
      <c r="C1574" s="199"/>
      <c r="D1574" s="248"/>
      <c r="E1574" s="248"/>
      <c r="F1574" s="248"/>
      <c r="G1574" s="248"/>
      <c r="H1574" s="283"/>
      <c r="I1574" s="199"/>
      <c r="J1574" s="199"/>
      <c r="K1574" s="199"/>
      <c r="L1574" s="248"/>
      <c r="M1574" s="248"/>
      <c r="N1574" s="248"/>
      <c r="O1574" s="248"/>
    </row>
    <row r="1575">
      <c r="A1575" s="199"/>
      <c r="B1575" s="199"/>
      <c r="C1575" s="199"/>
      <c r="D1575" s="248"/>
      <c r="E1575" s="248"/>
      <c r="F1575" s="248"/>
      <c r="G1575" s="248"/>
      <c r="H1575" s="283"/>
      <c r="I1575" s="199"/>
      <c r="J1575" s="199"/>
      <c r="K1575" s="199"/>
      <c r="L1575" s="248"/>
      <c r="M1575" s="248"/>
      <c r="N1575" s="248"/>
      <c r="O1575" s="248"/>
    </row>
    <row r="1576">
      <c r="A1576" s="199"/>
      <c r="B1576" s="199"/>
      <c r="C1576" s="199"/>
      <c r="D1576" s="248"/>
      <c r="E1576" s="248"/>
      <c r="F1576" s="248"/>
      <c r="G1576" s="248"/>
      <c r="H1576" s="283"/>
      <c r="I1576" s="199"/>
      <c r="J1576" s="199"/>
      <c r="K1576" s="199"/>
      <c r="L1576" s="248"/>
      <c r="M1576" s="248"/>
      <c r="N1576" s="248"/>
      <c r="O1576" s="248"/>
    </row>
    <row r="1577">
      <c r="A1577" s="199"/>
      <c r="B1577" s="199"/>
      <c r="C1577" s="199"/>
      <c r="D1577" s="248"/>
      <c r="E1577" s="248"/>
      <c r="F1577" s="248"/>
      <c r="G1577" s="248"/>
      <c r="H1577" s="283"/>
      <c r="I1577" s="199"/>
      <c r="J1577" s="199"/>
      <c r="K1577" s="199"/>
      <c r="L1577" s="248"/>
      <c r="M1577" s="248"/>
      <c r="N1577" s="248"/>
      <c r="O1577" s="248"/>
    </row>
    <row r="1578">
      <c r="A1578" s="199"/>
      <c r="B1578" s="199"/>
      <c r="C1578" s="199"/>
      <c r="D1578" s="248"/>
      <c r="E1578" s="248"/>
      <c r="F1578" s="248"/>
      <c r="G1578" s="248"/>
      <c r="H1578" s="283"/>
      <c r="I1578" s="199"/>
      <c r="J1578" s="199"/>
      <c r="K1578" s="199"/>
      <c r="L1578" s="248"/>
      <c r="M1578" s="248"/>
      <c r="N1578" s="248"/>
      <c r="O1578" s="248"/>
    </row>
    <row r="1579">
      <c r="A1579" s="199"/>
      <c r="B1579" s="199"/>
      <c r="C1579" s="199"/>
      <c r="D1579" s="248"/>
      <c r="E1579" s="248"/>
      <c r="F1579" s="248"/>
      <c r="G1579" s="248"/>
      <c r="H1579" s="283"/>
      <c r="I1579" s="199"/>
      <c r="J1579" s="199"/>
      <c r="K1579" s="199"/>
      <c r="L1579" s="248"/>
      <c r="M1579" s="248"/>
      <c r="N1579" s="248"/>
      <c r="O1579" s="248"/>
    </row>
    <row r="1580">
      <c r="A1580" s="199"/>
      <c r="B1580" s="199"/>
      <c r="C1580" s="199"/>
      <c r="D1580" s="248"/>
      <c r="E1580" s="248"/>
      <c r="F1580" s="248"/>
      <c r="G1580" s="248"/>
      <c r="H1580" s="283"/>
      <c r="I1580" s="199"/>
      <c r="J1580" s="199"/>
      <c r="K1580" s="199"/>
      <c r="L1580" s="248"/>
      <c r="M1580" s="248"/>
      <c r="N1580" s="248"/>
      <c r="O1580" s="248"/>
    </row>
    <row r="1581">
      <c r="A1581" s="199"/>
      <c r="B1581" s="199"/>
      <c r="C1581" s="199"/>
      <c r="D1581" s="248"/>
      <c r="E1581" s="248"/>
      <c r="F1581" s="248"/>
      <c r="G1581" s="248"/>
      <c r="H1581" s="283"/>
      <c r="I1581" s="199"/>
      <c r="J1581" s="199"/>
      <c r="K1581" s="199"/>
      <c r="L1581" s="248"/>
      <c r="M1581" s="248"/>
      <c r="N1581" s="248"/>
      <c r="O1581" s="248"/>
    </row>
    <row r="1582">
      <c r="A1582" s="199"/>
      <c r="B1582" s="199"/>
      <c r="C1582" s="199"/>
      <c r="D1582" s="248"/>
      <c r="E1582" s="248"/>
      <c r="F1582" s="248"/>
      <c r="G1582" s="248"/>
      <c r="H1582" s="283"/>
      <c r="I1582" s="199"/>
      <c r="J1582" s="199"/>
      <c r="K1582" s="199"/>
      <c r="L1582" s="248"/>
      <c r="M1582" s="248"/>
      <c r="N1582" s="248"/>
      <c r="O1582" s="248"/>
    </row>
    <row r="1583">
      <c r="A1583" s="199"/>
      <c r="B1583" s="199"/>
      <c r="C1583" s="199"/>
      <c r="D1583" s="248"/>
      <c r="E1583" s="248"/>
      <c r="F1583" s="248"/>
      <c r="G1583" s="248"/>
      <c r="H1583" s="283"/>
      <c r="I1583" s="199"/>
      <c r="J1583" s="199"/>
      <c r="K1583" s="199"/>
      <c r="L1583" s="248"/>
      <c r="M1583" s="248"/>
      <c r="N1583" s="248"/>
      <c r="O1583" s="248"/>
    </row>
    <row r="1584">
      <c r="A1584" s="199"/>
      <c r="B1584" s="199"/>
      <c r="C1584" s="199"/>
      <c r="D1584" s="248"/>
      <c r="E1584" s="248"/>
      <c r="F1584" s="248"/>
      <c r="G1584" s="248"/>
      <c r="H1584" s="283"/>
      <c r="I1584" s="199"/>
      <c r="J1584" s="199"/>
      <c r="K1584" s="199"/>
      <c r="L1584" s="248"/>
      <c r="M1584" s="248"/>
      <c r="N1584" s="248"/>
      <c r="O1584" s="248"/>
    </row>
    <row r="1585">
      <c r="A1585" s="199"/>
      <c r="B1585" s="199"/>
      <c r="C1585" s="199"/>
      <c r="D1585" s="248"/>
      <c r="E1585" s="248"/>
      <c r="F1585" s="248"/>
      <c r="G1585" s="248"/>
      <c r="H1585" s="283"/>
      <c r="I1585" s="199"/>
      <c r="J1585" s="199"/>
      <c r="K1585" s="199"/>
      <c r="L1585" s="248"/>
      <c r="M1585" s="248"/>
      <c r="N1585" s="248"/>
      <c r="O1585" s="248"/>
    </row>
    <row r="1586">
      <c r="A1586" s="199"/>
      <c r="B1586" s="199"/>
      <c r="C1586" s="199"/>
      <c r="D1586" s="248"/>
      <c r="E1586" s="248"/>
      <c r="F1586" s="248"/>
      <c r="G1586" s="248"/>
      <c r="H1586" s="283"/>
      <c r="I1586" s="199"/>
      <c r="J1586" s="199"/>
      <c r="K1586" s="199"/>
      <c r="L1586" s="248"/>
      <c r="M1586" s="248"/>
      <c r="N1586" s="248"/>
      <c r="O1586" s="248"/>
    </row>
    <row r="1587">
      <c r="A1587" s="199"/>
      <c r="B1587" s="199"/>
      <c r="C1587" s="199"/>
      <c r="D1587" s="248"/>
      <c r="E1587" s="248"/>
      <c r="F1587" s="248"/>
      <c r="G1587" s="248"/>
      <c r="H1587" s="283"/>
      <c r="I1587" s="199"/>
      <c r="J1587" s="199"/>
      <c r="K1587" s="199"/>
      <c r="L1587" s="248"/>
      <c r="M1587" s="248"/>
      <c r="N1587" s="248"/>
      <c r="O1587" s="248"/>
    </row>
    <row r="1588">
      <c r="A1588" s="199"/>
      <c r="B1588" s="199"/>
      <c r="C1588" s="199"/>
      <c r="D1588" s="248"/>
      <c r="E1588" s="248"/>
      <c r="F1588" s="248"/>
      <c r="G1588" s="248"/>
      <c r="H1588" s="283"/>
      <c r="I1588" s="199"/>
      <c r="J1588" s="199"/>
      <c r="K1588" s="199"/>
      <c r="L1588" s="248"/>
      <c r="M1588" s="248"/>
      <c r="N1588" s="248"/>
      <c r="O1588" s="248"/>
    </row>
    <row r="1589">
      <c r="A1589" s="199"/>
      <c r="B1589" s="199"/>
      <c r="C1589" s="199"/>
      <c r="D1589" s="248"/>
      <c r="E1589" s="248"/>
      <c r="F1589" s="248"/>
      <c r="G1589" s="248"/>
      <c r="H1589" s="283"/>
      <c r="I1589" s="199"/>
      <c r="J1589" s="199"/>
      <c r="K1589" s="199"/>
      <c r="L1589" s="248"/>
      <c r="M1589" s="248"/>
      <c r="N1589" s="248"/>
      <c r="O1589" s="248"/>
    </row>
    <row r="1590">
      <c r="A1590" s="199"/>
      <c r="B1590" s="199"/>
      <c r="C1590" s="199"/>
      <c r="D1590" s="248"/>
      <c r="E1590" s="248"/>
      <c r="F1590" s="248"/>
      <c r="G1590" s="248"/>
      <c r="H1590" s="283"/>
      <c r="I1590" s="199"/>
      <c r="J1590" s="199"/>
      <c r="K1590" s="199"/>
      <c r="L1590" s="248"/>
      <c r="M1590" s="248"/>
      <c r="N1590" s="248"/>
      <c r="O1590" s="248"/>
    </row>
    <row r="1591">
      <c r="A1591" s="199"/>
      <c r="B1591" s="199"/>
      <c r="C1591" s="199"/>
      <c r="D1591" s="248"/>
      <c r="E1591" s="248"/>
      <c r="F1591" s="248"/>
      <c r="G1591" s="248"/>
      <c r="H1591" s="283"/>
      <c r="I1591" s="199"/>
      <c r="J1591" s="199"/>
      <c r="K1591" s="199"/>
      <c r="L1591" s="248"/>
      <c r="M1591" s="248"/>
      <c r="N1591" s="248"/>
      <c r="O1591" s="248"/>
    </row>
    <row r="1592">
      <c r="A1592" s="199"/>
      <c r="B1592" s="199"/>
      <c r="C1592" s="199"/>
      <c r="D1592" s="248"/>
      <c r="E1592" s="248"/>
      <c r="F1592" s="248"/>
      <c r="G1592" s="248"/>
      <c r="H1592" s="283"/>
      <c r="I1592" s="199"/>
      <c r="J1592" s="199"/>
      <c r="K1592" s="199"/>
      <c r="L1592" s="248"/>
      <c r="M1592" s="248"/>
      <c r="N1592" s="248"/>
      <c r="O1592" s="248"/>
    </row>
    <row r="1593">
      <c r="A1593" s="199"/>
      <c r="B1593" s="199"/>
      <c r="C1593" s="199"/>
      <c r="D1593" s="248"/>
      <c r="E1593" s="248"/>
      <c r="F1593" s="248"/>
      <c r="G1593" s="248"/>
      <c r="H1593" s="283"/>
      <c r="I1593" s="199"/>
      <c r="J1593" s="199"/>
      <c r="K1593" s="199"/>
      <c r="L1593" s="248"/>
      <c r="M1593" s="248"/>
      <c r="N1593" s="248"/>
      <c r="O1593" s="248"/>
    </row>
    <row r="1594">
      <c r="A1594" s="199"/>
      <c r="B1594" s="199"/>
      <c r="C1594" s="199"/>
      <c r="D1594" s="248"/>
      <c r="E1594" s="248"/>
      <c r="F1594" s="248"/>
      <c r="G1594" s="248"/>
      <c r="H1594" s="283"/>
      <c r="I1594" s="199"/>
      <c r="J1594" s="199"/>
      <c r="K1594" s="199"/>
      <c r="L1594" s="248"/>
      <c r="M1594" s="248"/>
      <c r="N1594" s="248"/>
      <c r="O1594" s="248"/>
    </row>
    <row r="1595">
      <c r="A1595" s="199"/>
      <c r="B1595" s="199"/>
      <c r="C1595" s="199"/>
      <c r="D1595" s="248"/>
      <c r="E1595" s="248"/>
      <c r="F1595" s="248"/>
      <c r="G1595" s="248"/>
      <c r="H1595" s="283"/>
      <c r="I1595" s="199"/>
      <c r="J1595" s="199"/>
      <c r="K1595" s="199"/>
      <c r="L1595" s="248"/>
      <c r="M1595" s="248"/>
      <c r="N1595" s="248"/>
      <c r="O1595" s="248"/>
    </row>
    <row r="1596">
      <c r="A1596" s="199"/>
      <c r="B1596" s="199"/>
      <c r="C1596" s="199"/>
      <c r="D1596" s="248"/>
      <c r="E1596" s="248"/>
      <c r="F1596" s="248"/>
      <c r="G1596" s="248"/>
      <c r="H1596" s="283"/>
      <c r="I1596" s="199"/>
      <c r="J1596" s="199"/>
      <c r="K1596" s="199"/>
      <c r="L1596" s="248"/>
      <c r="M1596" s="248"/>
      <c r="N1596" s="248"/>
      <c r="O1596" s="248"/>
    </row>
    <row r="1597">
      <c r="A1597" s="199"/>
      <c r="B1597" s="199"/>
      <c r="C1597" s="199"/>
      <c r="D1597" s="248"/>
      <c r="E1597" s="248"/>
      <c r="F1597" s="248"/>
      <c r="G1597" s="248"/>
      <c r="H1597" s="283"/>
      <c r="I1597" s="199"/>
      <c r="J1597" s="199"/>
      <c r="K1597" s="199"/>
      <c r="L1597" s="248"/>
      <c r="M1597" s="248"/>
      <c r="N1597" s="248"/>
      <c r="O1597" s="248"/>
    </row>
    <row r="1598">
      <c r="A1598" s="199"/>
      <c r="B1598" s="199"/>
      <c r="C1598" s="199"/>
      <c r="D1598" s="248"/>
      <c r="E1598" s="248"/>
      <c r="F1598" s="248"/>
      <c r="G1598" s="248"/>
      <c r="H1598" s="283"/>
      <c r="I1598" s="199"/>
      <c r="J1598" s="199"/>
      <c r="K1598" s="199"/>
      <c r="L1598" s="248"/>
      <c r="M1598" s="248"/>
      <c r="N1598" s="248"/>
      <c r="O1598" s="248"/>
    </row>
    <row r="1599">
      <c r="A1599" s="199"/>
      <c r="B1599" s="199"/>
      <c r="C1599" s="199"/>
      <c r="D1599" s="248"/>
      <c r="E1599" s="248"/>
      <c r="F1599" s="248"/>
      <c r="G1599" s="248"/>
      <c r="H1599" s="283"/>
      <c r="I1599" s="199"/>
      <c r="J1599" s="199"/>
      <c r="K1599" s="199"/>
      <c r="L1599" s="248"/>
      <c r="M1599" s="248"/>
      <c r="N1599" s="248"/>
      <c r="O1599" s="248"/>
    </row>
    <row r="1600">
      <c r="A1600" s="199"/>
      <c r="B1600" s="199"/>
      <c r="C1600" s="199"/>
      <c r="D1600" s="248"/>
      <c r="E1600" s="248"/>
      <c r="F1600" s="248"/>
      <c r="G1600" s="248"/>
      <c r="H1600" s="283"/>
      <c r="I1600" s="199"/>
      <c r="J1600" s="199"/>
      <c r="K1600" s="199"/>
      <c r="L1600" s="248"/>
      <c r="M1600" s="248"/>
      <c r="N1600" s="248"/>
      <c r="O1600" s="248"/>
    </row>
    <row r="1601">
      <c r="A1601" s="199"/>
      <c r="B1601" s="199"/>
      <c r="C1601" s="199"/>
      <c r="D1601" s="248"/>
      <c r="E1601" s="248"/>
      <c r="F1601" s="248"/>
      <c r="G1601" s="248"/>
      <c r="H1601" s="283"/>
      <c r="I1601" s="199"/>
      <c r="J1601" s="199"/>
      <c r="K1601" s="199"/>
      <c r="L1601" s="248"/>
      <c r="M1601" s="248"/>
      <c r="N1601" s="248"/>
      <c r="O1601" s="248"/>
    </row>
    <row r="1602">
      <c r="A1602" s="199"/>
      <c r="B1602" s="199"/>
      <c r="C1602" s="199"/>
      <c r="D1602" s="248"/>
      <c r="E1602" s="248"/>
      <c r="F1602" s="248"/>
      <c r="G1602" s="248"/>
      <c r="H1602" s="283"/>
      <c r="I1602" s="199"/>
      <c r="J1602" s="199"/>
      <c r="K1602" s="199"/>
      <c r="L1602" s="248"/>
      <c r="M1602" s="248"/>
      <c r="N1602" s="248"/>
      <c r="O1602" s="248"/>
    </row>
    <row r="1603">
      <c r="A1603" s="199"/>
      <c r="B1603" s="199"/>
      <c r="C1603" s="199"/>
      <c r="D1603" s="248"/>
      <c r="E1603" s="248"/>
      <c r="F1603" s="248"/>
      <c r="G1603" s="248"/>
      <c r="H1603" s="283"/>
      <c r="I1603" s="199"/>
      <c r="J1603" s="199"/>
      <c r="K1603" s="199"/>
      <c r="L1603" s="248"/>
      <c r="M1603" s="248"/>
      <c r="N1603" s="248"/>
      <c r="O1603" s="248"/>
    </row>
    <row r="1604">
      <c r="A1604" s="199"/>
      <c r="B1604" s="199"/>
      <c r="C1604" s="199"/>
      <c r="D1604" s="248"/>
      <c r="E1604" s="248"/>
      <c r="F1604" s="248"/>
      <c r="G1604" s="248"/>
      <c r="H1604" s="283"/>
      <c r="I1604" s="199"/>
      <c r="J1604" s="199"/>
      <c r="K1604" s="199"/>
      <c r="L1604" s="248"/>
      <c r="M1604" s="248"/>
      <c r="N1604" s="248"/>
      <c r="O1604" s="248"/>
    </row>
    <row r="1605">
      <c r="A1605" s="199"/>
      <c r="B1605" s="199"/>
      <c r="C1605" s="199"/>
      <c r="D1605" s="248"/>
      <c r="E1605" s="248"/>
      <c r="F1605" s="248"/>
      <c r="G1605" s="248"/>
      <c r="H1605" s="283"/>
      <c r="I1605" s="199"/>
      <c r="J1605" s="199"/>
      <c r="K1605" s="199"/>
      <c r="L1605" s="248"/>
      <c r="M1605" s="248"/>
      <c r="N1605" s="248"/>
      <c r="O1605" s="248"/>
    </row>
    <row r="1606">
      <c r="A1606" s="199"/>
      <c r="B1606" s="199"/>
      <c r="C1606" s="199"/>
      <c r="D1606" s="248"/>
      <c r="E1606" s="248"/>
      <c r="F1606" s="248"/>
      <c r="G1606" s="248"/>
      <c r="H1606" s="283"/>
      <c r="I1606" s="199"/>
      <c r="J1606" s="199"/>
      <c r="K1606" s="199"/>
      <c r="L1606" s="248"/>
      <c r="M1606" s="248"/>
      <c r="N1606" s="248"/>
      <c r="O1606" s="248"/>
    </row>
    <row r="1607">
      <c r="A1607" s="199"/>
      <c r="B1607" s="199"/>
      <c r="C1607" s="199"/>
      <c r="D1607" s="248"/>
      <c r="E1607" s="248"/>
      <c r="F1607" s="248"/>
      <c r="G1607" s="248"/>
      <c r="H1607" s="283"/>
      <c r="I1607" s="199"/>
      <c r="J1607" s="199"/>
      <c r="K1607" s="199"/>
      <c r="L1607" s="248"/>
      <c r="M1607" s="248"/>
      <c r="N1607" s="248"/>
      <c r="O1607" s="248"/>
    </row>
    <row r="1608">
      <c r="A1608" s="199"/>
      <c r="B1608" s="199"/>
      <c r="C1608" s="199"/>
      <c r="D1608" s="248"/>
      <c r="E1608" s="248"/>
      <c r="F1608" s="248"/>
      <c r="G1608" s="248"/>
      <c r="H1608" s="283"/>
      <c r="I1608" s="199"/>
      <c r="J1608" s="199"/>
      <c r="K1608" s="199"/>
      <c r="L1608" s="248"/>
      <c r="M1608" s="248"/>
      <c r="N1608" s="248"/>
      <c r="O1608" s="248"/>
    </row>
    <row r="1609">
      <c r="A1609" s="199"/>
      <c r="B1609" s="199"/>
      <c r="C1609" s="199"/>
      <c r="D1609" s="248"/>
      <c r="E1609" s="248"/>
      <c r="F1609" s="248"/>
      <c r="G1609" s="248"/>
      <c r="H1609" s="283"/>
      <c r="I1609" s="199"/>
      <c r="J1609" s="199"/>
      <c r="K1609" s="199"/>
      <c r="L1609" s="248"/>
      <c r="M1609" s="248"/>
      <c r="N1609" s="248"/>
      <c r="O1609" s="248"/>
    </row>
    <row r="1610">
      <c r="A1610" s="199"/>
      <c r="B1610" s="199"/>
      <c r="C1610" s="199"/>
      <c r="D1610" s="248"/>
      <c r="E1610" s="248"/>
      <c r="F1610" s="248"/>
      <c r="G1610" s="248"/>
      <c r="H1610" s="283"/>
      <c r="I1610" s="199"/>
      <c r="J1610" s="199"/>
      <c r="K1610" s="199"/>
      <c r="L1610" s="248"/>
      <c r="M1610" s="248"/>
      <c r="N1610" s="248"/>
      <c r="O1610" s="248"/>
    </row>
    <row r="1611">
      <c r="A1611" s="199"/>
      <c r="B1611" s="199"/>
      <c r="C1611" s="199"/>
      <c r="D1611" s="248"/>
      <c r="E1611" s="248"/>
      <c r="F1611" s="248"/>
      <c r="G1611" s="248"/>
      <c r="H1611" s="283"/>
      <c r="I1611" s="199"/>
      <c r="J1611" s="199"/>
      <c r="K1611" s="199"/>
      <c r="L1611" s="248"/>
      <c r="M1611" s="248"/>
      <c r="N1611" s="248"/>
      <c r="O1611" s="248"/>
    </row>
    <row r="1612">
      <c r="A1612" s="199"/>
      <c r="B1612" s="199"/>
      <c r="C1612" s="199"/>
      <c r="D1612" s="248"/>
      <c r="E1612" s="248"/>
      <c r="F1612" s="248"/>
      <c r="G1612" s="248"/>
      <c r="H1612" s="283"/>
      <c r="I1612" s="199"/>
      <c r="J1612" s="199"/>
      <c r="K1612" s="199"/>
      <c r="L1612" s="248"/>
      <c r="M1612" s="248"/>
      <c r="N1612" s="248"/>
      <c r="O1612" s="248"/>
    </row>
    <row r="1613">
      <c r="A1613" s="199"/>
      <c r="B1613" s="199"/>
      <c r="C1613" s="199"/>
      <c r="D1613" s="248"/>
      <c r="E1613" s="248"/>
      <c r="F1613" s="248"/>
      <c r="G1613" s="248"/>
      <c r="H1613" s="283"/>
      <c r="I1613" s="199"/>
      <c r="J1613" s="199"/>
      <c r="K1613" s="199"/>
      <c r="L1613" s="248"/>
      <c r="M1613" s="248"/>
      <c r="N1613" s="248"/>
      <c r="O1613" s="248"/>
    </row>
    <row r="1614">
      <c r="A1614" s="199"/>
      <c r="B1614" s="199"/>
      <c r="C1614" s="199"/>
      <c r="D1614" s="248"/>
      <c r="E1614" s="248"/>
      <c r="F1614" s="248"/>
      <c r="G1614" s="248"/>
      <c r="H1614" s="283"/>
      <c r="I1614" s="199"/>
      <c r="J1614" s="199"/>
      <c r="K1614" s="199"/>
      <c r="L1614" s="248"/>
      <c r="M1614" s="248"/>
      <c r="N1614" s="248"/>
      <c r="O1614" s="248"/>
    </row>
    <row r="1615">
      <c r="A1615" s="199"/>
      <c r="B1615" s="199"/>
      <c r="C1615" s="199"/>
      <c r="D1615" s="248"/>
      <c r="E1615" s="248"/>
      <c r="F1615" s="248"/>
      <c r="G1615" s="248"/>
      <c r="H1615" s="283"/>
      <c r="I1615" s="199"/>
      <c r="J1615" s="199"/>
      <c r="K1615" s="199"/>
      <c r="L1615" s="248"/>
      <c r="M1615" s="248"/>
      <c r="N1615" s="248"/>
      <c r="O1615" s="248"/>
    </row>
    <row r="1616">
      <c r="A1616" s="199"/>
      <c r="B1616" s="199"/>
      <c r="C1616" s="199"/>
      <c r="D1616" s="248"/>
      <c r="E1616" s="248"/>
      <c r="F1616" s="248"/>
      <c r="G1616" s="248"/>
      <c r="H1616" s="283"/>
      <c r="I1616" s="199"/>
      <c r="J1616" s="199"/>
      <c r="K1616" s="199"/>
      <c r="L1616" s="248"/>
      <c r="M1616" s="248"/>
      <c r="N1616" s="248"/>
      <c r="O1616" s="248"/>
    </row>
    <row r="1617">
      <c r="A1617" s="199"/>
      <c r="B1617" s="199"/>
      <c r="C1617" s="199"/>
      <c r="D1617" s="248"/>
      <c r="E1617" s="248"/>
      <c r="F1617" s="248"/>
      <c r="G1617" s="248"/>
      <c r="H1617" s="283"/>
      <c r="I1617" s="199"/>
      <c r="J1617" s="199"/>
      <c r="K1617" s="199"/>
      <c r="L1617" s="248"/>
      <c r="M1617" s="248"/>
      <c r="N1617" s="248"/>
      <c r="O1617" s="248"/>
    </row>
    <row r="1618">
      <c r="A1618" s="199"/>
      <c r="B1618" s="199"/>
      <c r="C1618" s="199"/>
      <c r="D1618" s="248"/>
      <c r="E1618" s="248"/>
      <c r="F1618" s="248"/>
      <c r="G1618" s="248"/>
      <c r="H1618" s="283"/>
      <c r="I1618" s="199"/>
      <c r="J1618" s="199"/>
      <c r="K1618" s="199"/>
      <c r="L1618" s="248"/>
      <c r="M1618" s="248"/>
      <c r="N1618" s="248"/>
      <c r="O1618" s="248"/>
    </row>
    <row r="1619">
      <c r="A1619" s="199"/>
      <c r="B1619" s="199"/>
      <c r="C1619" s="199"/>
      <c r="D1619" s="248"/>
      <c r="E1619" s="248"/>
      <c r="F1619" s="248"/>
      <c r="G1619" s="248"/>
      <c r="H1619" s="283"/>
      <c r="I1619" s="199"/>
      <c r="J1619" s="199"/>
      <c r="K1619" s="199"/>
      <c r="L1619" s="248"/>
      <c r="M1619" s="248"/>
      <c r="N1619" s="248"/>
      <c r="O1619" s="248"/>
    </row>
    <row r="1620">
      <c r="A1620" s="199"/>
      <c r="B1620" s="199"/>
      <c r="C1620" s="199"/>
      <c r="D1620" s="248"/>
      <c r="E1620" s="248"/>
      <c r="F1620" s="248"/>
      <c r="G1620" s="248"/>
      <c r="H1620" s="283"/>
      <c r="I1620" s="199"/>
      <c r="J1620" s="199"/>
      <c r="K1620" s="199"/>
      <c r="L1620" s="248"/>
      <c r="M1620" s="248"/>
      <c r="N1620" s="248"/>
      <c r="O1620" s="248"/>
    </row>
    <row r="1621">
      <c r="A1621" s="199"/>
      <c r="B1621" s="199"/>
      <c r="C1621" s="199"/>
      <c r="D1621" s="248"/>
      <c r="E1621" s="248"/>
      <c r="F1621" s="248"/>
      <c r="G1621" s="248"/>
      <c r="H1621" s="283"/>
      <c r="I1621" s="199"/>
      <c r="J1621" s="199"/>
      <c r="K1621" s="199"/>
      <c r="L1621" s="248"/>
      <c r="M1621" s="248"/>
      <c r="N1621" s="248"/>
      <c r="O1621" s="248"/>
    </row>
    <row r="1622">
      <c r="A1622" s="199"/>
      <c r="B1622" s="199"/>
      <c r="C1622" s="199"/>
      <c r="D1622" s="248"/>
      <c r="E1622" s="248"/>
      <c r="F1622" s="248"/>
      <c r="G1622" s="248"/>
      <c r="H1622" s="283"/>
      <c r="I1622" s="199"/>
      <c r="J1622" s="199"/>
      <c r="K1622" s="199"/>
      <c r="L1622" s="248"/>
      <c r="M1622" s="248"/>
      <c r="N1622" s="248"/>
      <c r="O1622" s="248"/>
    </row>
    <row r="1623">
      <c r="A1623" s="199"/>
      <c r="B1623" s="199"/>
      <c r="C1623" s="199"/>
      <c r="D1623" s="248"/>
      <c r="E1623" s="248"/>
      <c r="F1623" s="248"/>
      <c r="G1623" s="248"/>
      <c r="H1623" s="283"/>
      <c r="I1623" s="199"/>
      <c r="J1623" s="199"/>
      <c r="K1623" s="199"/>
      <c r="L1623" s="248"/>
      <c r="M1623" s="248"/>
      <c r="N1623" s="248"/>
      <c r="O1623" s="248"/>
    </row>
    <row r="1624">
      <c r="A1624" s="199"/>
      <c r="B1624" s="199"/>
      <c r="C1624" s="199"/>
      <c r="D1624" s="248"/>
      <c r="E1624" s="248"/>
      <c r="F1624" s="248"/>
      <c r="G1624" s="248"/>
      <c r="H1624" s="283"/>
      <c r="I1624" s="199"/>
      <c r="J1624" s="199"/>
      <c r="K1624" s="199"/>
      <c r="L1624" s="248"/>
      <c r="M1624" s="248"/>
      <c r="N1624" s="248"/>
      <c r="O1624" s="248"/>
    </row>
    <row r="1625">
      <c r="A1625" s="199"/>
      <c r="B1625" s="199"/>
      <c r="C1625" s="199"/>
      <c r="D1625" s="248"/>
      <c r="E1625" s="248"/>
      <c r="F1625" s="248"/>
      <c r="G1625" s="248"/>
      <c r="H1625" s="283"/>
      <c r="I1625" s="199"/>
      <c r="J1625" s="199"/>
      <c r="K1625" s="199"/>
      <c r="L1625" s="248"/>
      <c r="M1625" s="248"/>
      <c r="N1625" s="248"/>
      <c r="O1625" s="248"/>
    </row>
    <row r="1626">
      <c r="A1626" s="199"/>
      <c r="B1626" s="199"/>
      <c r="C1626" s="199"/>
      <c r="D1626" s="248"/>
      <c r="E1626" s="248"/>
      <c r="F1626" s="248"/>
      <c r="G1626" s="248"/>
      <c r="H1626" s="283"/>
      <c r="I1626" s="199"/>
      <c r="J1626" s="199"/>
      <c r="K1626" s="199"/>
      <c r="L1626" s="248"/>
      <c r="M1626" s="248"/>
      <c r="N1626" s="248"/>
      <c r="O1626" s="248"/>
    </row>
    <row r="1627">
      <c r="A1627" s="199"/>
      <c r="B1627" s="199"/>
      <c r="C1627" s="199"/>
      <c r="D1627" s="248"/>
      <c r="E1627" s="248"/>
      <c r="F1627" s="248"/>
      <c r="G1627" s="248"/>
      <c r="H1627" s="283"/>
      <c r="I1627" s="199"/>
      <c r="J1627" s="199"/>
      <c r="K1627" s="199"/>
      <c r="L1627" s="248"/>
      <c r="M1627" s="248"/>
      <c r="N1627" s="248"/>
      <c r="O1627" s="248"/>
    </row>
    <row r="1628">
      <c r="A1628" s="199"/>
      <c r="B1628" s="199"/>
      <c r="C1628" s="199"/>
      <c r="D1628" s="248"/>
      <c r="E1628" s="248"/>
      <c r="F1628" s="248"/>
      <c r="G1628" s="248"/>
      <c r="H1628" s="283"/>
      <c r="I1628" s="199"/>
      <c r="J1628" s="199"/>
      <c r="K1628" s="199"/>
      <c r="L1628" s="248"/>
      <c r="M1628" s="248"/>
      <c r="N1628" s="248"/>
      <c r="O1628" s="248"/>
    </row>
    <row r="1629">
      <c r="A1629" s="199"/>
      <c r="B1629" s="199"/>
      <c r="C1629" s="199"/>
      <c r="D1629" s="248"/>
      <c r="E1629" s="248"/>
      <c r="F1629" s="248"/>
      <c r="G1629" s="248"/>
      <c r="H1629" s="283"/>
      <c r="I1629" s="199"/>
      <c r="J1629" s="199"/>
      <c r="K1629" s="199"/>
      <c r="L1629" s="248"/>
      <c r="M1629" s="248"/>
      <c r="N1629" s="248"/>
      <c r="O1629" s="248"/>
    </row>
    <row r="1630">
      <c r="A1630" s="199"/>
      <c r="B1630" s="199"/>
      <c r="C1630" s="199"/>
      <c r="D1630" s="248"/>
      <c r="E1630" s="248"/>
      <c r="F1630" s="248"/>
      <c r="G1630" s="248"/>
      <c r="H1630" s="283"/>
      <c r="I1630" s="199"/>
      <c r="J1630" s="199"/>
      <c r="K1630" s="199"/>
      <c r="L1630" s="248"/>
      <c r="M1630" s="248"/>
      <c r="N1630" s="248"/>
      <c r="O1630" s="248"/>
    </row>
    <row r="1631">
      <c r="A1631" s="199"/>
      <c r="B1631" s="199"/>
      <c r="C1631" s="199"/>
      <c r="D1631" s="248"/>
      <c r="E1631" s="248"/>
      <c r="F1631" s="248"/>
      <c r="G1631" s="248"/>
      <c r="H1631" s="283"/>
      <c r="I1631" s="199"/>
      <c r="J1631" s="199"/>
      <c r="K1631" s="199"/>
      <c r="L1631" s="248"/>
      <c r="M1631" s="248"/>
      <c r="N1631" s="248"/>
      <c r="O1631" s="248"/>
    </row>
    <row r="1632">
      <c r="A1632" s="199"/>
      <c r="B1632" s="199"/>
      <c r="C1632" s="199"/>
      <c r="D1632" s="248"/>
      <c r="E1632" s="248"/>
      <c r="F1632" s="248"/>
      <c r="G1632" s="248"/>
      <c r="H1632" s="283"/>
      <c r="I1632" s="199"/>
      <c r="J1632" s="199"/>
      <c r="K1632" s="199"/>
      <c r="L1632" s="248"/>
      <c r="M1632" s="248"/>
      <c r="N1632" s="248"/>
      <c r="O1632" s="248"/>
    </row>
    <row r="1633">
      <c r="A1633" s="199"/>
      <c r="B1633" s="199"/>
      <c r="C1633" s="199"/>
      <c r="D1633" s="248"/>
      <c r="E1633" s="248"/>
      <c r="F1633" s="248"/>
      <c r="G1633" s="248"/>
      <c r="H1633" s="283"/>
      <c r="I1633" s="199"/>
      <c r="J1633" s="199"/>
      <c r="K1633" s="199"/>
      <c r="L1633" s="248"/>
      <c r="M1633" s="248"/>
      <c r="N1633" s="248"/>
      <c r="O1633" s="248"/>
    </row>
    <row r="1634">
      <c r="A1634" s="199"/>
      <c r="B1634" s="199"/>
      <c r="C1634" s="199"/>
      <c r="D1634" s="248"/>
      <c r="E1634" s="248"/>
      <c r="F1634" s="248"/>
      <c r="G1634" s="248"/>
      <c r="H1634" s="283"/>
      <c r="I1634" s="199"/>
      <c r="J1634" s="199"/>
      <c r="K1634" s="199"/>
      <c r="L1634" s="248"/>
      <c r="M1634" s="248"/>
      <c r="N1634" s="248"/>
      <c r="O1634" s="248"/>
    </row>
    <row r="1635">
      <c r="A1635" s="199"/>
      <c r="B1635" s="199"/>
      <c r="C1635" s="199"/>
      <c r="D1635" s="248"/>
      <c r="E1635" s="248"/>
      <c r="F1635" s="248"/>
      <c r="G1635" s="248"/>
      <c r="H1635" s="283"/>
      <c r="I1635" s="199"/>
      <c r="J1635" s="199"/>
      <c r="K1635" s="199"/>
      <c r="L1635" s="248"/>
      <c r="M1635" s="248"/>
      <c r="N1635" s="248"/>
      <c r="O1635" s="248"/>
    </row>
    <row r="1636">
      <c r="A1636" s="199"/>
      <c r="B1636" s="199"/>
      <c r="C1636" s="199"/>
      <c r="D1636" s="248"/>
      <c r="E1636" s="248"/>
      <c r="F1636" s="248"/>
      <c r="G1636" s="248"/>
      <c r="H1636" s="283"/>
      <c r="I1636" s="199"/>
      <c r="J1636" s="199"/>
      <c r="K1636" s="199"/>
      <c r="L1636" s="248"/>
      <c r="M1636" s="248"/>
      <c r="N1636" s="248"/>
      <c r="O1636" s="248"/>
    </row>
    <row r="1637">
      <c r="A1637" s="199"/>
      <c r="B1637" s="199"/>
      <c r="C1637" s="199"/>
      <c r="D1637" s="248"/>
      <c r="E1637" s="248"/>
      <c r="F1637" s="248"/>
      <c r="G1637" s="248"/>
      <c r="H1637" s="283"/>
      <c r="I1637" s="199"/>
      <c r="J1637" s="199"/>
      <c r="K1637" s="199"/>
      <c r="L1637" s="248"/>
      <c r="M1637" s="248"/>
      <c r="N1637" s="248"/>
      <c r="O1637" s="248"/>
    </row>
    <row r="1638">
      <c r="A1638" s="199"/>
      <c r="B1638" s="199"/>
      <c r="C1638" s="199"/>
      <c r="D1638" s="248"/>
      <c r="E1638" s="248"/>
      <c r="F1638" s="248"/>
      <c r="G1638" s="248"/>
      <c r="H1638" s="283"/>
      <c r="I1638" s="199"/>
      <c r="J1638" s="199"/>
      <c r="K1638" s="199"/>
      <c r="L1638" s="248"/>
      <c r="M1638" s="248"/>
      <c r="N1638" s="248"/>
      <c r="O1638" s="248"/>
    </row>
    <row r="1639">
      <c r="A1639" s="199"/>
      <c r="B1639" s="199"/>
      <c r="C1639" s="199"/>
      <c r="D1639" s="248"/>
      <c r="E1639" s="248"/>
      <c r="F1639" s="248"/>
      <c r="G1639" s="248"/>
      <c r="H1639" s="283"/>
      <c r="I1639" s="199"/>
      <c r="J1639" s="199"/>
      <c r="K1639" s="199"/>
      <c r="L1639" s="248"/>
      <c r="M1639" s="248"/>
      <c r="N1639" s="248"/>
      <c r="O1639" s="248"/>
    </row>
    <row r="1640">
      <c r="A1640" s="199"/>
      <c r="B1640" s="199"/>
      <c r="C1640" s="199"/>
      <c r="D1640" s="248"/>
      <c r="E1640" s="248"/>
      <c r="F1640" s="248"/>
      <c r="G1640" s="248"/>
      <c r="H1640" s="283"/>
      <c r="I1640" s="199"/>
      <c r="J1640" s="199"/>
      <c r="K1640" s="199"/>
      <c r="L1640" s="248"/>
      <c r="M1640" s="248"/>
      <c r="N1640" s="248"/>
      <c r="O1640" s="248"/>
    </row>
    <row r="1641">
      <c r="A1641" s="199"/>
      <c r="B1641" s="199"/>
      <c r="C1641" s="199"/>
      <c r="D1641" s="248"/>
      <c r="E1641" s="248"/>
      <c r="F1641" s="248"/>
      <c r="G1641" s="248"/>
      <c r="H1641" s="283"/>
      <c r="I1641" s="199"/>
      <c r="J1641" s="199"/>
      <c r="K1641" s="199"/>
      <c r="L1641" s="248"/>
      <c r="M1641" s="248"/>
      <c r="N1641" s="248"/>
      <c r="O1641" s="248"/>
    </row>
    <row r="1642">
      <c r="A1642" s="199"/>
      <c r="B1642" s="199"/>
      <c r="C1642" s="199"/>
      <c r="D1642" s="248"/>
      <c r="E1642" s="248"/>
      <c r="F1642" s="248"/>
      <c r="G1642" s="248"/>
      <c r="H1642" s="283"/>
      <c r="I1642" s="199"/>
      <c r="J1642" s="199"/>
      <c r="K1642" s="199"/>
      <c r="L1642" s="248"/>
      <c r="M1642" s="248"/>
      <c r="N1642" s="248"/>
      <c r="O1642" s="248"/>
    </row>
    <row r="1643">
      <c r="A1643" s="199"/>
      <c r="B1643" s="199"/>
      <c r="C1643" s="199"/>
      <c r="D1643" s="248"/>
      <c r="E1643" s="248"/>
      <c r="F1643" s="248"/>
      <c r="G1643" s="248"/>
      <c r="H1643" s="283"/>
      <c r="I1643" s="199"/>
      <c r="J1643" s="199"/>
      <c r="K1643" s="199"/>
      <c r="L1643" s="248"/>
      <c r="M1643" s="248"/>
      <c r="N1643" s="248"/>
      <c r="O1643" s="248"/>
    </row>
  </sheetData>
  <mergeCells count="1881">
    <mergeCell ref="I214:J214"/>
    <mergeCell ref="I215:K215"/>
    <mergeCell ref="I208:J208"/>
    <mergeCell ref="I209:J209"/>
    <mergeCell ref="L209:L215"/>
    <mergeCell ref="I210:J210"/>
    <mergeCell ref="I211:J211"/>
    <mergeCell ref="I212:J212"/>
    <mergeCell ref="I213:J213"/>
    <mergeCell ref="Q178:R178"/>
    <mergeCell ref="Q179:R179"/>
    <mergeCell ref="Q177:R177"/>
    <mergeCell ref="Q180:R180"/>
    <mergeCell ref="Q181:R181"/>
    <mergeCell ref="Q182:R182"/>
    <mergeCell ref="Q183:R183"/>
    <mergeCell ref="I177:J177"/>
    <mergeCell ref="I178:J178"/>
    <mergeCell ref="L178:L184"/>
    <mergeCell ref="O178:O180"/>
    <mergeCell ref="I179:J179"/>
    <mergeCell ref="I180:J180"/>
    <mergeCell ref="I181:J181"/>
    <mergeCell ref="I184:K184"/>
    <mergeCell ref="I182:J182"/>
    <mergeCell ref="I183:J183"/>
    <mergeCell ref="I187:K189"/>
    <mergeCell ref="I197:L197"/>
    <mergeCell ref="I198:K198"/>
    <mergeCell ref="I199:K199"/>
    <mergeCell ref="I200:J200"/>
    <mergeCell ref="I201:J201"/>
    <mergeCell ref="I202:J202"/>
    <mergeCell ref="I203:J203"/>
    <mergeCell ref="I204:J204"/>
    <mergeCell ref="I205:J205"/>
    <mergeCell ref="I206:K206"/>
    <mergeCell ref="I207:K207"/>
    <mergeCell ref="M209:N211"/>
    <mergeCell ref="M212:O215"/>
    <mergeCell ref="M178:N180"/>
    <mergeCell ref="M181:O184"/>
    <mergeCell ref="M187:O187"/>
    <mergeCell ref="M188:O188"/>
    <mergeCell ref="M189:O189"/>
    <mergeCell ref="L198:O208"/>
    <mergeCell ref="O209:O211"/>
    <mergeCell ref="E147:F149"/>
    <mergeCell ref="E150:G153"/>
    <mergeCell ref="E156:G156"/>
    <mergeCell ref="E157:G157"/>
    <mergeCell ref="E158:G158"/>
    <mergeCell ref="I150:J150"/>
    <mergeCell ref="I151:J151"/>
    <mergeCell ref="I156:K158"/>
    <mergeCell ref="A152:B152"/>
    <mergeCell ref="I152:J152"/>
    <mergeCell ref="A153:C153"/>
    <mergeCell ref="I153:K153"/>
    <mergeCell ref="D147:D153"/>
    <mergeCell ref="G147:G149"/>
    <mergeCell ref="I147:J147"/>
    <mergeCell ref="L147:L153"/>
    <mergeCell ref="O147:O149"/>
    <mergeCell ref="A150:B150"/>
    <mergeCell ref="A151:B151"/>
    <mergeCell ref="U157:W157"/>
    <mergeCell ref="U158:W158"/>
    <mergeCell ref="M147:N149"/>
    <mergeCell ref="M150:O153"/>
    <mergeCell ref="M156:O156"/>
    <mergeCell ref="Q156:S158"/>
    <mergeCell ref="U156:W156"/>
    <mergeCell ref="M157:O157"/>
    <mergeCell ref="M158:O158"/>
    <mergeCell ref="A1:C1"/>
    <mergeCell ref="D1:L1"/>
    <mergeCell ref="N2:O2"/>
    <mergeCell ref="N3:O3"/>
    <mergeCell ref="N4:O4"/>
    <mergeCell ref="N5:O5"/>
    <mergeCell ref="N6:O6"/>
    <mergeCell ref="N7:O7"/>
    <mergeCell ref="N8:O8"/>
    <mergeCell ref="N9:O9"/>
    <mergeCell ref="N10:O10"/>
    <mergeCell ref="N11:O11"/>
    <mergeCell ref="N12:O12"/>
    <mergeCell ref="N13:O13"/>
    <mergeCell ref="N21:O21"/>
    <mergeCell ref="N22:O22"/>
    <mergeCell ref="S22:U22"/>
    <mergeCell ref="N14:O14"/>
    <mergeCell ref="N15:O15"/>
    <mergeCell ref="N16:O16"/>
    <mergeCell ref="N17:O17"/>
    <mergeCell ref="N18:O18"/>
    <mergeCell ref="N19:O19"/>
    <mergeCell ref="N20:O20"/>
    <mergeCell ref="E125:G125"/>
    <mergeCell ref="I125:K127"/>
    <mergeCell ref="M125:O125"/>
    <mergeCell ref="E126:G126"/>
    <mergeCell ref="M126:O126"/>
    <mergeCell ref="E127:G127"/>
    <mergeCell ref="M127:O127"/>
    <mergeCell ref="A125:C127"/>
    <mergeCell ref="A135:D135"/>
    <mergeCell ref="A136:C136"/>
    <mergeCell ref="A137:C137"/>
    <mergeCell ref="A138:B138"/>
    <mergeCell ref="A139:B139"/>
    <mergeCell ref="A140:B140"/>
    <mergeCell ref="I148:J148"/>
    <mergeCell ref="I149:J149"/>
    <mergeCell ref="I141:J141"/>
    <mergeCell ref="I142:J142"/>
    <mergeCell ref="I143:J143"/>
    <mergeCell ref="I144:K144"/>
    <mergeCell ref="I135:L135"/>
    <mergeCell ref="I136:K136"/>
    <mergeCell ref="L136:O146"/>
    <mergeCell ref="I137:K137"/>
    <mergeCell ref="I138:J138"/>
    <mergeCell ref="I139:J139"/>
    <mergeCell ref="I140:J140"/>
    <mergeCell ref="I167:K167"/>
    <mergeCell ref="I168:K168"/>
    <mergeCell ref="I166:L166"/>
    <mergeCell ref="I169:J169"/>
    <mergeCell ref="I171:J171"/>
    <mergeCell ref="Q171:R171"/>
    <mergeCell ref="I172:J172"/>
    <mergeCell ref="Q172:R172"/>
    <mergeCell ref="Q169:R169"/>
    <mergeCell ref="I170:J170"/>
    <mergeCell ref="Q170:R170"/>
    <mergeCell ref="I173:J173"/>
    <mergeCell ref="Q173:R173"/>
    <mergeCell ref="I174:J174"/>
    <mergeCell ref="Q174:R174"/>
    <mergeCell ref="I175:K175"/>
    <mergeCell ref="Q175:S175"/>
    <mergeCell ref="I176:K176"/>
    <mergeCell ref="Q176:S176"/>
    <mergeCell ref="I145:K145"/>
    <mergeCell ref="I146:J146"/>
    <mergeCell ref="Q166:T166"/>
    <mergeCell ref="L167:O177"/>
    <mergeCell ref="Q167:S167"/>
    <mergeCell ref="T167:W177"/>
    <mergeCell ref="Q168:S168"/>
    <mergeCell ref="T178:T184"/>
    <mergeCell ref="U178:V180"/>
    <mergeCell ref="W178:W180"/>
    <mergeCell ref="U181:W184"/>
    <mergeCell ref="Q184:S184"/>
    <mergeCell ref="A141:B141"/>
    <mergeCell ref="A142:B142"/>
    <mergeCell ref="A143:B143"/>
    <mergeCell ref="A144:C144"/>
    <mergeCell ref="A145:C145"/>
    <mergeCell ref="A146:B146"/>
    <mergeCell ref="A147:B147"/>
    <mergeCell ref="A169:B169"/>
    <mergeCell ref="A170:B170"/>
    <mergeCell ref="A171:B171"/>
    <mergeCell ref="A172:B172"/>
    <mergeCell ref="A173:B173"/>
    <mergeCell ref="A174:B174"/>
    <mergeCell ref="A180:B180"/>
    <mergeCell ref="A181:B181"/>
    <mergeCell ref="A179:B179"/>
    <mergeCell ref="A182:B182"/>
    <mergeCell ref="A183:B183"/>
    <mergeCell ref="A184:C184"/>
    <mergeCell ref="A187:C189"/>
    <mergeCell ref="A148:B148"/>
    <mergeCell ref="A149:B149"/>
    <mergeCell ref="A156:C158"/>
    <mergeCell ref="A166:D166"/>
    <mergeCell ref="A167:C167"/>
    <mergeCell ref="D167:G177"/>
    <mergeCell ref="A168:C168"/>
    <mergeCell ref="A177:B177"/>
    <mergeCell ref="A175:C175"/>
    <mergeCell ref="A176:C176"/>
    <mergeCell ref="A178:B178"/>
    <mergeCell ref="D178:D184"/>
    <mergeCell ref="E178:F180"/>
    <mergeCell ref="G178:G180"/>
    <mergeCell ref="E181:G184"/>
    <mergeCell ref="A200:B200"/>
    <mergeCell ref="A201:B201"/>
    <mergeCell ref="A202:B202"/>
    <mergeCell ref="A203:B203"/>
    <mergeCell ref="A204:B204"/>
    <mergeCell ref="A205:B205"/>
    <mergeCell ref="A211:B211"/>
    <mergeCell ref="A212:B212"/>
    <mergeCell ref="A210:B210"/>
    <mergeCell ref="A213:B213"/>
    <mergeCell ref="A228:D228"/>
    <mergeCell ref="A229:C229"/>
    <mergeCell ref="A242:B242"/>
    <mergeCell ref="A243:B243"/>
    <mergeCell ref="A236:B236"/>
    <mergeCell ref="A237:C237"/>
    <mergeCell ref="A238:C238"/>
    <mergeCell ref="A239:B239"/>
    <mergeCell ref="D240:D246"/>
    <mergeCell ref="E240:F242"/>
    <mergeCell ref="G240:G242"/>
    <mergeCell ref="I291:K291"/>
    <mergeCell ref="A292:C292"/>
    <mergeCell ref="I292:K292"/>
    <mergeCell ref="A293:B293"/>
    <mergeCell ref="A294:B294"/>
    <mergeCell ref="A295:B295"/>
    <mergeCell ref="A296:B296"/>
    <mergeCell ref="A297:B297"/>
    <mergeCell ref="I297:J297"/>
    <mergeCell ref="A298:B298"/>
    <mergeCell ref="I298:J298"/>
    <mergeCell ref="A299:C299"/>
    <mergeCell ref="I299:K299"/>
    <mergeCell ref="I300:K300"/>
    <mergeCell ref="A276:B276"/>
    <mergeCell ref="I276:J276"/>
    <mergeCell ref="L271:L277"/>
    <mergeCell ref="O271:O273"/>
    <mergeCell ref="A272:B272"/>
    <mergeCell ref="A273:B273"/>
    <mergeCell ref="A274:B274"/>
    <mergeCell ref="E274:G277"/>
    <mergeCell ref="A275:B275"/>
    <mergeCell ref="A277:C277"/>
    <mergeCell ref="I277:K277"/>
    <mergeCell ref="E280:G280"/>
    <mergeCell ref="I280:K282"/>
    <mergeCell ref="E281:G281"/>
    <mergeCell ref="E282:G282"/>
    <mergeCell ref="I290:L290"/>
    <mergeCell ref="A300:C300"/>
    <mergeCell ref="A301:B301"/>
    <mergeCell ref="A302:B302"/>
    <mergeCell ref="E302:F304"/>
    <mergeCell ref="G302:G304"/>
    <mergeCell ref="E305:G308"/>
    <mergeCell ref="A308:C308"/>
    <mergeCell ref="M302:N304"/>
    <mergeCell ref="O302:O304"/>
    <mergeCell ref="M271:N273"/>
    <mergeCell ref="M274:O277"/>
    <mergeCell ref="M280:O280"/>
    <mergeCell ref="M281:O281"/>
    <mergeCell ref="M282:O282"/>
    <mergeCell ref="L291:O301"/>
    <mergeCell ref="L302:L308"/>
    <mergeCell ref="M305:O308"/>
    <mergeCell ref="I306:J306"/>
    <mergeCell ref="I307:J307"/>
    <mergeCell ref="I308:K308"/>
    <mergeCell ref="A249:C251"/>
    <mergeCell ref="A259:D259"/>
    <mergeCell ref="A260:C260"/>
    <mergeCell ref="A261:C261"/>
    <mergeCell ref="A262:B262"/>
    <mergeCell ref="A263:B263"/>
    <mergeCell ref="A264:B264"/>
    <mergeCell ref="A265:B265"/>
    <mergeCell ref="A266:B266"/>
    <mergeCell ref="A267:B267"/>
    <mergeCell ref="A268:C268"/>
    <mergeCell ref="A269:C269"/>
    <mergeCell ref="A270:B270"/>
    <mergeCell ref="A271:B271"/>
    <mergeCell ref="A306:B306"/>
    <mergeCell ref="A307:B307"/>
    <mergeCell ref="A280:C282"/>
    <mergeCell ref="A290:D290"/>
    <mergeCell ref="A291:C291"/>
    <mergeCell ref="D302:D308"/>
    <mergeCell ref="A303:B303"/>
    <mergeCell ref="A304:B304"/>
    <mergeCell ref="A305:B305"/>
    <mergeCell ref="A311:C313"/>
    <mergeCell ref="A321:D321"/>
    <mergeCell ref="A322:C322"/>
    <mergeCell ref="A323:C323"/>
    <mergeCell ref="A324:B324"/>
    <mergeCell ref="A325:B325"/>
    <mergeCell ref="A326:B326"/>
    <mergeCell ref="A333:B333"/>
    <mergeCell ref="A334:B334"/>
    <mergeCell ref="A335:B335"/>
    <mergeCell ref="A336:B336"/>
    <mergeCell ref="A337:B337"/>
    <mergeCell ref="A338:B338"/>
    <mergeCell ref="A327:B327"/>
    <mergeCell ref="A328:B328"/>
    <mergeCell ref="A329:B329"/>
    <mergeCell ref="A330:C330"/>
    <mergeCell ref="A331:C331"/>
    <mergeCell ref="A332:B332"/>
    <mergeCell ref="D333:D339"/>
    <mergeCell ref="A367:B367"/>
    <mergeCell ref="A368:B368"/>
    <mergeCell ref="A339:C339"/>
    <mergeCell ref="A342:C344"/>
    <mergeCell ref="A352:D352"/>
    <mergeCell ref="A353:C353"/>
    <mergeCell ref="D364:D370"/>
    <mergeCell ref="A365:B365"/>
    <mergeCell ref="A366:B366"/>
    <mergeCell ref="A397:B397"/>
    <mergeCell ref="A398:B398"/>
    <mergeCell ref="A399:B399"/>
    <mergeCell ref="A400:B400"/>
    <mergeCell ref="A369:B369"/>
    <mergeCell ref="A370:C370"/>
    <mergeCell ref="A373:C375"/>
    <mergeCell ref="A383:D383"/>
    <mergeCell ref="A384:C384"/>
    <mergeCell ref="D395:D401"/>
    <mergeCell ref="A396:B396"/>
    <mergeCell ref="A463:C463"/>
    <mergeCell ref="A466:C468"/>
    <mergeCell ref="A476:D476"/>
    <mergeCell ref="A477:C477"/>
    <mergeCell ref="D488:D494"/>
    <mergeCell ref="A489:B489"/>
    <mergeCell ref="A490:B490"/>
    <mergeCell ref="A523:B523"/>
    <mergeCell ref="A524:B524"/>
    <mergeCell ref="A525:C525"/>
    <mergeCell ref="A528:C530"/>
    <mergeCell ref="A538:D538"/>
    <mergeCell ref="A539:C539"/>
    <mergeCell ref="A493:B493"/>
    <mergeCell ref="A494:C494"/>
    <mergeCell ref="A497:C499"/>
    <mergeCell ref="A507:D507"/>
    <mergeCell ref="A508:C508"/>
    <mergeCell ref="D519:D525"/>
    <mergeCell ref="A520:B520"/>
    <mergeCell ref="A429:B429"/>
    <mergeCell ref="A430:B430"/>
    <mergeCell ref="A401:C401"/>
    <mergeCell ref="A404:C406"/>
    <mergeCell ref="A414:D414"/>
    <mergeCell ref="A415:C415"/>
    <mergeCell ref="D426:D432"/>
    <mergeCell ref="A427:B427"/>
    <mergeCell ref="A428:B428"/>
    <mergeCell ref="A459:B459"/>
    <mergeCell ref="A460:B460"/>
    <mergeCell ref="A461:B461"/>
    <mergeCell ref="A462:B462"/>
    <mergeCell ref="A431:B431"/>
    <mergeCell ref="A432:C432"/>
    <mergeCell ref="A435:C437"/>
    <mergeCell ref="A445:D445"/>
    <mergeCell ref="A446:C446"/>
    <mergeCell ref="D457:D463"/>
    <mergeCell ref="A458:B458"/>
    <mergeCell ref="A491:B491"/>
    <mergeCell ref="A492:B492"/>
    <mergeCell ref="A521:B521"/>
    <mergeCell ref="A522:B522"/>
    <mergeCell ref="I236:J236"/>
    <mergeCell ref="I237:K237"/>
    <mergeCell ref="I238:K238"/>
    <mergeCell ref="I239:J239"/>
    <mergeCell ref="M219:O219"/>
    <mergeCell ref="M220:O220"/>
    <mergeCell ref="I228:L228"/>
    <mergeCell ref="I229:K229"/>
    <mergeCell ref="L229:O239"/>
    <mergeCell ref="I230:K230"/>
    <mergeCell ref="I231:J231"/>
    <mergeCell ref="I241:J241"/>
    <mergeCell ref="I244:J244"/>
    <mergeCell ref="I245:J245"/>
    <mergeCell ref="I246:K246"/>
    <mergeCell ref="I234:J234"/>
    <mergeCell ref="I235:J235"/>
    <mergeCell ref="I240:J240"/>
    <mergeCell ref="L240:L246"/>
    <mergeCell ref="M240:N242"/>
    <mergeCell ref="O240:O242"/>
    <mergeCell ref="M243:O246"/>
    <mergeCell ref="E249:G249"/>
    <mergeCell ref="E250:G250"/>
    <mergeCell ref="A240:B240"/>
    <mergeCell ref="A241:B241"/>
    <mergeCell ref="E243:G246"/>
    <mergeCell ref="A244:B244"/>
    <mergeCell ref="A245:B245"/>
    <mergeCell ref="A246:C246"/>
    <mergeCell ref="E251:G251"/>
    <mergeCell ref="I260:K260"/>
    <mergeCell ref="I261:K261"/>
    <mergeCell ref="I262:J262"/>
    <mergeCell ref="I263:J263"/>
    <mergeCell ref="I264:J264"/>
    <mergeCell ref="I265:J265"/>
    <mergeCell ref="I266:J266"/>
    <mergeCell ref="I272:J272"/>
    <mergeCell ref="I273:J273"/>
    <mergeCell ref="I267:J267"/>
    <mergeCell ref="I268:K268"/>
    <mergeCell ref="I269:K269"/>
    <mergeCell ref="I270:J270"/>
    <mergeCell ref="E271:F273"/>
    <mergeCell ref="G271:G273"/>
    <mergeCell ref="I271:J271"/>
    <mergeCell ref="E187:G187"/>
    <mergeCell ref="E188:G188"/>
    <mergeCell ref="E189:G189"/>
    <mergeCell ref="A197:D197"/>
    <mergeCell ref="A198:C198"/>
    <mergeCell ref="D198:G208"/>
    <mergeCell ref="A199:C199"/>
    <mergeCell ref="A208:B208"/>
    <mergeCell ref="A214:B214"/>
    <mergeCell ref="A215:C215"/>
    <mergeCell ref="A218:C220"/>
    <mergeCell ref="I218:K220"/>
    <mergeCell ref="M218:O218"/>
    <mergeCell ref="E219:G219"/>
    <mergeCell ref="E220:G220"/>
    <mergeCell ref="A206:C206"/>
    <mergeCell ref="A207:C207"/>
    <mergeCell ref="D209:D215"/>
    <mergeCell ref="E209:F211"/>
    <mergeCell ref="G209:G211"/>
    <mergeCell ref="E212:G215"/>
    <mergeCell ref="E218:G218"/>
    <mergeCell ref="I232:J232"/>
    <mergeCell ref="I233:J233"/>
    <mergeCell ref="A209:B209"/>
    <mergeCell ref="A230:C230"/>
    <mergeCell ref="A231:B231"/>
    <mergeCell ref="A232:B232"/>
    <mergeCell ref="A233:B233"/>
    <mergeCell ref="A234:B234"/>
    <mergeCell ref="A235:B235"/>
    <mergeCell ref="I242:J242"/>
    <mergeCell ref="I243:J243"/>
    <mergeCell ref="I249:K251"/>
    <mergeCell ref="M249:O249"/>
    <mergeCell ref="M250:O250"/>
    <mergeCell ref="M251:O251"/>
    <mergeCell ref="I259:L259"/>
    <mergeCell ref="I274:J274"/>
    <mergeCell ref="I275:J275"/>
    <mergeCell ref="I294:J294"/>
    <mergeCell ref="I295:J295"/>
    <mergeCell ref="I293:J293"/>
    <mergeCell ref="I296:J296"/>
    <mergeCell ref="I301:J301"/>
    <mergeCell ref="I302:J302"/>
    <mergeCell ref="I303:J303"/>
    <mergeCell ref="I304:J304"/>
    <mergeCell ref="I305:J305"/>
    <mergeCell ref="E311:G311"/>
    <mergeCell ref="I311:K313"/>
    <mergeCell ref="M311:O311"/>
    <mergeCell ref="E312:G312"/>
    <mergeCell ref="M312:O312"/>
    <mergeCell ref="E313:G313"/>
    <mergeCell ref="M313:O313"/>
    <mergeCell ref="I327:J327"/>
    <mergeCell ref="I328:J328"/>
    <mergeCell ref="I321:L321"/>
    <mergeCell ref="I322:K322"/>
    <mergeCell ref="L322:O332"/>
    <mergeCell ref="I323:K323"/>
    <mergeCell ref="I324:J324"/>
    <mergeCell ref="I325:J325"/>
    <mergeCell ref="I326:J326"/>
    <mergeCell ref="E333:F335"/>
    <mergeCell ref="E336:G339"/>
    <mergeCell ref="E342:G342"/>
    <mergeCell ref="E343:G343"/>
    <mergeCell ref="E344:G344"/>
    <mergeCell ref="I353:K353"/>
    <mergeCell ref="L353:O363"/>
    <mergeCell ref="I329:J329"/>
    <mergeCell ref="I330:K330"/>
    <mergeCell ref="I342:K344"/>
    <mergeCell ref="M342:O342"/>
    <mergeCell ref="M343:O343"/>
    <mergeCell ref="M344:O344"/>
    <mergeCell ref="I352:L352"/>
    <mergeCell ref="I333:J333"/>
    <mergeCell ref="I334:J334"/>
    <mergeCell ref="M333:N335"/>
    <mergeCell ref="M336:O339"/>
    <mergeCell ref="I331:K331"/>
    <mergeCell ref="I332:J332"/>
    <mergeCell ref="G333:G335"/>
    <mergeCell ref="L333:L339"/>
    <mergeCell ref="O333:O335"/>
    <mergeCell ref="I335:J335"/>
    <mergeCell ref="I336:J336"/>
    <mergeCell ref="I339:K339"/>
    <mergeCell ref="I337:J337"/>
    <mergeCell ref="I338:J338"/>
    <mergeCell ref="A354:C354"/>
    <mergeCell ref="I354:K354"/>
    <mergeCell ref="A355:B355"/>
    <mergeCell ref="I355:J355"/>
    <mergeCell ref="I356:J356"/>
    <mergeCell ref="A363:B363"/>
    <mergeCell ref="A364:B364"/>
    <mergeCell ref="E364:F366"/>
    <mergeCell ref="G364:G366"/>
    <mergeCell ref="A356:B356"/>
    <mergeCell ref="A357:B357"/>
    <mergeCell ref="A358:B358"/>
    <mergeCell ref="A359:B359"/>
    <mergeCell ref="A360:B360"/>
    <mergeCell ref="A361:C361"/>
    <mergeCell ref="A362:C362"/>
    <mergeCell ref="I357:J357"/>
    <mergeCell ref="I358:J358"/>
    <mergeCell ref="I359:J359"/>
    <mergeCell ref="I360:J360"/>
    <mergeCell ref="I361:K361"/>
    <mergeCell ref="I362:K362"/>
    <mergeCell ref="I363:J363"/>
    <mergeCell ref="I511:J511"/>
    <mergeCell ref="I512:J512"/>
    <mergeCell ref="I513:J513"/>
    <mergeCell ref="I514:J514"/>
    <mergeCell ref="I515:J515"/>
    <mergeCell ref="I516:K516"/>
    <mergeCell ref="I517:K517"/>
    <mergeCell ref="I524:J524"/>
    <mergeCell ref="I525:K525"/>
    <mergeCell ref="I518:J518"/>
    <mergeCell ref="I519:J519"/>
    <mergeCell ref="L519:L525"/>
    <mergeCell ref="I520:J520"/>
    <mergeCell ref="I521:J521"/>
    <mergeCell ref="I522:J522"/>
    <mergeCell ref="I523:J523"/>
    <mergeCell ref="I538:L538"/>
    <mergeCell ref="I483:J483"/>
    <mergeCell ref="I484:J484"/>
    <mergeCell ref="I477:K477"/>
    <mergeCell ref="L477:O487"/>
    <mergeCell ref="I478:K478"/>
    <mergeCell ref="I479:J479"/>
    <mergeCell ref="I480:J480"/>
    <mergeCell ref="I481:J481"/>
    <mergeCell ref="I482:J482"/>
    <mergeCell ref="I487:J487"/>
    <mergeCell ref="I490:J490"/>
    <mergeCell ref="I491:J491"/>
    <mergeCell ref="I489:J489"/>
    <mergeCell ref="I492:J492"/>
    <mergeCell ref="M497:O497"/>
    <mergeCell ref="M498:O498"/>
    <mergeCell ref="M499:O499"/>
    <mergeCell ref="L508:O518"/>
    <mergeCell ref="M519:N521"/>
    <mergeCell ref="O519:O521"/>
    <mergeCell ref="M522:O525"/>
    <mergeCell ref="I485:K485"/>
    <mergeCell ref="I486:K486"/>
    <mergeCell ref="I488:J488"/>
    <mergeCell ref="L488:L494"/>
    <mergeCell ref="M488:N490"/>
    <mergeCell ref="O488:O490"/>
    <mergeCell ref="M491:O494"/>
    <mergeCell ref="I493:J493"/>
    <mergeCell ref="I494:K494"/>
    <mergeCell ref="I497:K499"/>
    <mergeCell ref="I507:L507"/>
    <mergeCell ref="I508:K508"/>
    <mergeCell ref="I509:K509"/>
    <mergeCell ref="I510:J510"/>
    <mergeCell ref="A578:C578"/>
    <mergeCell ref="A579:C579"/>
    <mergeCell ref="A580:B580"/>
    <mergeCell ref="A581:B581"/>
    <mergeCell ref="D581:D587"/>
    <mergeCell ref="A582:B582"/>
    <mergeCell ref="A583:B583"/>
    <mergeCell ref="A586:B586"/>
    <mergeCell ref="A587:C587"/>
    <mergeCell ref="A590:C592"/>
    <mergeCell ref="A600:D600"/>
    <mergeCell ref="A601:C601"/>
    <mergeCell ref="A602:C602"/>
    <mergeCell ref="A603:B603"/>
    <mergeCell ref="A512:B512"/>
    <mergeCell ref="A513:B513"/>
    <mergeCell ref="A514:B514"/>
    <mergeCell ref="A515:B515"/>
    <mergeCell ref="A516:C516"/>
    <mergeCell ref="A517:C517"/>
    <mergeCell ref="A518:B518"/>
    <mergeCell ref="A519:B519"/>
    <mergeCell ref="A540:C540"/>
    <mergeCell ref="A541:B541"/>
    <mergeCell ref="A542:B542"/>
    <mergeCell ref="A543:B543"/>
    <mergeCell ref="A544:B544"/>
    <mergeCell ref="A545:B545"/>
    <mergeCell ref="A546:B546"/>
    <mergeCell ref="A547:C547"/>
    <mergeCell ref="A548:C548"/>
    <mergeCell ref="A549:B549"/>
    <mergeCell ref="A550:B550"/>
    <mergeCell ref="A551:B551"/>
    <mergeCell ref="A552:B552"/>
    <mergeCell ref="A553:B553"/>
    <mergeCell ref="A554:B554"/>
    <mergeCell ref="A555:B555"/>
    <mergeCell ref="A556:C556"/>
    <mergeCell ref="A559:C561"/>
    <mergeCell ref="A569:D569"/>
    <mergeCell ref="A570:C570"/>
    <mergeCell ref="A571:C571"/>
    <mergeCell ref="A572:B572"/>
    <mergeCell ref="A573:B573"/>
    <mergeCell ref="A574:B574"/>
    <mergeCell ref="A575:B575"/>
    <mergeCell ref="A576:B576"/>
    <mergeCell ref="A577:B577"/>
    <mergeCell ref="A584:B584"/>
    <mergeCell ref="A585:B585"/>
    <mergeCell ref="A604:B604"/>
    <mergeCell ref="A605:B605"/>
    <mergeCell ref="I708:J708"/>
    <mergeCell ref="I709:J709"/>
    <mergeCell ref="I724:L724"/>
    <mergeCell ref="I725:K725"/>
    <mergeCell ref="L725:O735"/>
    <mergeCell ref="I726:K726"/>
    <mergeCell ref="I727:J727"/>
    <mergeCell ref="I734:K734"/>
    <mergeCell ref="I735:J735"/>
    <mergeCell ref="I736:J736"/>
    <mergeCell ref="L736:L742"/>
    <mergeCell ref="M736:N738"/>
    <mergeCell ref="O736:O738"/>
    <mergeCell ref="M739:O742"/>
    <mergeCell ref="I728:J728"/>
    <mergeCell ref="I729:J729"/>
    <mergeCell ref="I730:J730"/>
    <mergeCell ref="I731:J731"/>
    <mergeCell ref="I732:J732"/>
    <mergeCell ref="I733:K733"/>
    <mergeCell ref="I738:J738"/>
    <mergeCell ref="I739:J739"/>
    <mergeCell ref="I737:J737"/>
    <mergeCell ref="I740:J740"/>
    <mergeCell ref="I741:J741"/>
    <mergeCell ref="I742:K742"/>
    <mergeCell ref="I745:K747"/>
    <mergeCell ref="I755:L755"/>
    <mergeCell ref="I756:K756"/>
    <mergeCell ref="I757:K757"/>
    <mergeCell ref="I758:J758"/>
    <mergeCell ref="M745:O745"/>
    <mergeCell ref="M746:O746"/>
    <mergeCell ref="M747:O747"/>
    <mergeCell ref="L756:O766"/>
    <mergeCell ref="M767:N769"/>
    <mergeCell ref="O767:O769"/>
    <mergeCell ref="M770:O773"/>
    <mergeCell ref="M705:N707"/>
    <mergeCell ref="M708:O711"/>
    <mergeCell ref="M714:O714"/>
    <mergeCell ref="M715:O715"/>
    <mergeCell ref="M716:O716"/>
    <mergeCell ref="A696:B696"/>
    <mergeCell ref="A697:B697"/>
    <mergeCell ref="A698:B698"/>
    <mergeCell ref="I705:J705"/>
    <mergeCell ref="L705:L711"/>
    <mergeCell ref="O705:O707"/>
    <mergeCell ref="A709:B709"/>
    <mergeCell ref="A693:D693"/>
    <mergeCell ref="I693:L693"/>
    <mergeCell ref="A694:C694"/>
    <mergeCell ref="I694:K694"/>
    <mergeCell ref="A695:C695"/>
    <mergeCell ref="I695:K695"/>
    <mergeCell ref="I696:J696"/>
    <mergeCell ref="I706:J706"/>
    <mergeCell ref="A707:B707"/>
    <mergeCell ref="I707:J707"/>
    <mergeCell ref="A710:B710"/>
    <mergeCell ref="I710:J710"/>
    <mergeCell ref="A711:C711"/>
    <mergeCell ref="I711:K711"/>
    <mergeCell ref="E714:G714"/>
    <mergeCell ref="I714:K716"/>
    <mergeCell ref="E715:G715"/>
    <mergeCell ref="E716:G716"/>
    <mergeCell ref="A727:B727"/>
    <mergeCell ref="A728:B728"/>
    <mergeCell ref="A729:B729"/>
    <mergeCell ref="A730:B730"/>
    <mergeCell ref="A731:B731"/>
    <mergeCell ref="A732:B732"/>
    <mergeCell ref="I759:J759"/>
    <mergeCell ref="I760:J760"/>
    <mergeCell ref="I761:J761"/>
    <mergeCell ref="I762:J762"/>
    <mergeCell ref="I763:J763"/>
    <mergeCell ref="I764:K764"/>
    <mergeCell ref="I765:K765"/>
    <mergeCell ref="I772:J772"/>
    <mergeCell ref="I773:K773"/>
    <mergeCell ref="I776:K778"/>
    <mergeCell ref="I786:L786"/>
    <mergeCell ref="I787:K787"/>
    <mergeCell ref="I766:J766"/>
    <mergeCell ref="I767:J767"/>
    <mergeCell ref="L767:L773"/>
    <mergeCell ref="I768:J768"/>
    <mergeCell ref="I769:J769"/>
    <mergeCell ref="I770:J770"/>
    <mergeCell ref="I771:J771"/>
    <mergeCell ref="E745:G745"/>
    <mergeCell ref="E746:G746"/>
    <mergeCell ref="E747:G747"/>
    <mergeCell ref="D756:G766"/>
    <mergeCell ref="E767:F769"/>
    <mergeCell ref="G767:G769"/>
    <mergeCell ref="E770:G773"/>
    <mergeCell ref="E776:G776"/>
    <mergeCell ref="E777:G777"/>
    <mergeCell ref="E778:G778"/>
    <mergeCell ref="D787:G797"/>
    <mergeCell ref="E798:F800"/>
    <mergeCell ref="G798:G800"/>
    <mergeCell ref="E801:G804"/>
    <mergeCell ref="E807:G807"/>
    <mergeCell ref="E808:G808"/>
    <mergeCell ref="E809:G809"/>
    <mergeCell ref="D818:G828"/>
    <mergeCell ref="E829:F831"/>
    <mergeCell ref="G829:G831"/>
    <mergeCell ref="E832:G835"/>
    <mergeCell ref="E869:G869"/>
    <mergeCell ref="E870:G870"/>
    <mergeCell ref="E871:G871"/>
    <mergeCell ref="D880:G890"/>
    <mergeCell ref="E838:G838"/>
    <mergeCell ref="E839:G839"/>
    <mergeCell ref="E840:G840"/>
    <mergeCell ref="D849:G859"/>
    <mergeCell ref="E860:F862"/>
    <mergeCell ref="G860:G862"/>
    <mergeCell ref="E863:G866"/>
    <mergeCell ref="A708:B708"/>
    <mergeCell ref="D708:G708"/>
    <mergeCell ref="A705:B705"/>
    <mergeCell ref="A706:B706"/>
    <mergeCell ref="A714:C716"/>
    <mergeCell ref="A724:D724"/>
    <mergeCell ref="A725:C725"/>
    <mergeCell ref="D725:G735"/>
    <mergeCell ref="A726:C726"/>
    <mergeCell ref="A735:B735"/>
    <mergeCell ref="A738:B738"/>
    <mergeCell ref="A739:B739"/>
    <mergeCell ref="A737:B737"/>
    <mergeCell ref="A740:B740"/>
    <mergeCell ref="A733:C733"/>
    <mergeCell ref="A734:C734"/>
    <mergeCell ref="A736:B736"/>
    <mergeCell ref="D736:D742"/>
    <mergeCell ref="E736:F738"/>
    <mergeCell ref="G736:G738"/>
    <mergeCell ref="E739:G742"/>
    <mergeCell ref="A768:B768"/>
    <mergeCell ref="A769:B769"/>
    <mergeCell ref="A770:B770"/>
    <mergeCell ref="A771:B771"/>
    <mergeCell ref="A772:B772"/>
    <mergeCell ref="A773:C773"/>
    <mergeCell ref="A741:B741"/>
    <mergeCell ref="A742:C742"/>
    <mergeCell ref="A745:C747"/>
    <mergeCell ref="A755:D755"/>
    <mergeCell ref="A756:C756"/>
    <mergeCell ref="A757:C757"/>
    <mergeCell ref="A758:B758"/>
    <mergeCell ref="A759:B759"/>
    <mergeCell ref="A760:B760"/>
    <mergeCell ref="A761:B761"/>
    <mergeCell ref="A762:B762"/>
    <mergeCell ref="A763:B763"/>
    <mergeCell ref="A764:C764"/>
    <mergeCell ref="A765:C765"/>
    <mergeCell ref="A766:B766"/>
    <mergeCell ref="A767:B767"/>
    <mergeCell ref="A776:C778"/>
    <mergeCell ref="A786:D786"/>
    <mergeCell ref="A787:C787"/>
    <mergeCell ref="A788:C788"/>
    <mergeCell ref="A789:B789"/>
    <mergeCell ref="A790:B790"/>
    <mergeCell ref="A791:B791"/>
    <mergeCell ref="A792:B792"/>
    <mergeCell ref="A793:B793"/>
    <mergeCell ref="A794:B794"/>
    <mergeCell ref="A795:C795"/>
    <mergeCell ref="A796:C796"/>
    <mergeCell ref="A797:B797"/>
    <mergeCell ref="A798:B798"/>
    <mergeCell ref="A799:B799"/>
    <mergeCell ref="A800:B800"/>
    <mergeCell ref="A801:B801"/>
    <mergeCell ref="A802:B802"/>
    <mergeCell ref="A803:B803"/>
    <mergeCell ref="A804:C804"/>
    <mergeCell ref="A807:C809"/>
    <mergeCell ref="A817:D817"/>
    <mergeCell ref="A818:C818"/>
    <mergeCell ref="A819:C819"/>
    <mergeCell ref="A820:B820"/>
    <mergeCell ref="A821:B821"/>
    <mergeCell ref="A822:B822"/>
    <mergeCell ref="A823:B823"/>
    <mergeCell ref="A824:B824"/>
    <mergeCell ref="A825:B825"/>
    <mergeCell ref="A826:C826"/>
    <mergeCell ref="A827:C827"/>
    <mergeCell ref="A828:B828"/>
    <mergeCell ref="A829:B829"/>
    <mergeCell ref="A830:B830"/>
    <mergeCell ref="A831:B831"/>
    <mergeCell ref="A832:B832"/>
    <mergeCell ref="A833:B833"/>
    <mergeCell ref="A834:B834"/>
    <mergeCell ref="A835:C835"/>
    <mergeCell ref="I887:J887"/>
    <mergeCell ref="I888:K888"/>
    <mergeCell ref="I889:K889"/>
    <mergeCell ref="I890:J890"/>
    <mergeCell ref="A884:B884"/>
    <mergeCell ref="A885:B885"/>
    <mergeCell ref="I885:J885"/>
    <mergeCell ref="A886:B886"/>
    <mergeCell ref="I886:J886"/>
    <mergeCell ref="A887:B887"/>
    <mergeCell ref="A888:C888"/>
    <mergeCell ref="A838:C840"/>
    <mergeCell ref="A848:D848"/>
    <mergeCell ref="A849:C849"/>
    <mergeCell ref="A850:C850"/>
    <mergeCell ref="A851:B851"/>
    <mergeCell ref="A852:B852"/>
    <mergeCell ref="A853:B853"/>
    <mergeCell ref="A860:B860"/>
    <mergeCell ref="A861:B861"/>
    <mergeCell ref="A862:B862"/>
    <mergeCell ref="A863:B863"/>
    <mergeCell ref="A864:B864"/>
    <mergeCell ref="A865:B865"/>
    <mergeCell ref="A854:B854"/>
    <mergeCell ref="A855:B855"/>
    <mergeCell ref="A856:B856"/>
    <mergeCell ref="A857:C857"/>
    <mergeCell ref="A858:C858"/>
    <mergeCell ref="A859:B859"/>
    <mergeCell ref="D860:D866"/>
    <mergeCell ref="A866:C866"/>
    <mergeCell ref="A869:C871"/>
    <mergeCell ref="A879:D879"/>
    <mergeCell ref="A880:C880"/>
    <mergeCell ref="A881:C881"/>
    <mergeCell ref="A882:B882"/>
    <mergeCell ref="A883:B883"/>
    <mergeCell ref="A889:C889"/>
    <mergeCell ref="A890:B890"/>
    <mergeCell ref="I920:K920"/>
    <mergeCell ref="I921:J921"/>
    <mergeCell ref="I883:J883"/>
    <mergeCell ref="I884:J884"/>
    <mergeCell ref="I915:J915"/>
    <mergeCell ref="I916:J916"/>
    <mergeCell ref="I917:J917"/>
    <mergeCell ref="I918:J918"/>
    <mergeCell ref="I919:K919"/>
    <mergeCell ref="I892:J892"/>
    <mergeCell ref="I893:J893"/>
    <mergeCell ref="I900:K902"/>
    <mergeCell ref="I910:L910"/>
    <mergeCell ref="I911:K911"/>
    <mergeCell ref="I912:K912"/>
    <mergeCell ref="I913:J913"/>
    <mergeCell ref="I914:J914"/>
    <mergeCell ref="L922:L928"/>
    <mergeCell ref="I925:J925"/>
    <mergeCell ref="I931:K933"/>
    <mergeCell ref="I941:L941"/>
    <mergeCell ref="I942:K942"/>
    <mergeCell ref="I943:K943"/>
    <mergeCell ref="I944:J944"/>
    <mergeCell ref="I945:J945"/>
    <mergeCell ref="I946:J946"/>
    <mergeCell ref="I947:J947"/>
    <mergeCell ref="I948:J948"/>
    <mergeCell ref="I949:J949"/>
    <mergeCell ref="I950:K950"/>
    <mergeCell ref="I957:J957"/>
    <mergeCell ref="I958:J958"/>
    <mergeCell ref="I951:K951"/>
    <mergeCell ref="I952:J952"/>
    <mergeCell ref="I953:J953"/>
    <mergeCell ref="L953:L959"/>
    <mergeCell ref="I954:J954"/>
    <mergeCell ref="I955:J955"/>
    <mergeCell ref="I956:J956"/>
    <mergeCell ref="I959:K959"/>
    <mergeCell ref="I962:K964"/>
    <mergeCell ref="I972:L972"/>
    <mergeCell ref="I973:K973"/>
    <mergeCell ref="I974:K974"/>
    <mergeCell ref="I975:J975"/>
    <mergeCell ref="I976:J976"/>
    <mergeCell ref="I977:J977"/>
    <mergeCell ref="I978:J978"/>
    <mergeCell ref="I979:J979"/>
    <mergeCell ref="I980:J980"/>
    <mergeCell ref="I981:K981"/>
    <mergeCell ref="I982:K982"/>
    <mergeCell ref="I983:J983"/>
    <mergeCell ref="I855:J855"/>
    <mergeCell ref="I856:J856"/>
    <mergeCell ref="I857:K857"/>
    <mergeCell ref="I858:K858"/>
    <mergeCell ref="I859:J859"/>
    <mergeCell ref="I860:J860"/>
    <mergeCell ref="L860:L866"/>
    <mergeCell ref="I865:J865"/>
    <mergeCell ref="I866:K866"/>
    <mergeCell ref="I869:K871"/>
    <mergeCell ref="I879:L879"/>
    <mergeCell ref="I880:K880"/>
    <mergeCell ref="I881:K881"/>
    <mergeCell ref="I882:J882"/>
    <mergeCell ref="A894:B894"/>
    <mergeCell ref="A895:B895"/>
    <mergeCell ref="A891:B891"/>
    <mergeCell ref="G891:G893"/>
    <mergeCell ref="I891:J891"/>
    <mergeCell ref="L891:L897"/>
    <mergeCell ref="I894:J894"/>
    <mergeCell ref="I895:J895"/>
    <mergeCell ref="I896:J896"/>
    <mergeCell ref="I897:K897"/>
    <mergeCell ref="A921:B921"/>
    <mergeCell ref="A922:B922"/>
    <mergeCell ref="I922:J922"/>
    <mergeCell ref="A914:B914"/>
    <mergeCell ref="A915:B915"/>
    <mergeCell ref="A916:B916"/>
    <mergeCell ref="A917:B917"/>
    <mergeCell ref="A918:B918"/>
    <mergeCell ref="A919:C919"/>
    <mergeCell ref="A920:C920"/>
    <mergeCell ref="E922:F924"/>
    <mergeCell ref="E925:G928"/>
    <mergeCell ref="E931:G931"/>
    <mergeCell ref="E932:G932"/>
    <mergeCell ref="E933:G933"/>
    <mergeCell ref="E891:F893"/>
    <mergeCell ref="E894:G897"/>
    <mergeCell ref="E900:G900"/>
    <mergeCell ref="E901:G901"/>
    <mergeCell ref="E902:G902"/>
    <mergeCell ref="D911:G921"/>
    <mergeCell ref="G922:G924"/>
    <mergeCell ref="M860:N862"/>
    <mergeCell ref="O860:O862"/>
    <mergeCell ref="M863:O866"/>
    <mergeCell ref="M869:O869"/>
    <mergeCell ref="M870:O870"/>
    <mergeCell ref="M871:O871"/>
    <mergeCell ref="L880:O890"/>
    <mergeCell ref="M891:N893"/>
    <mergeCell ref="O891:O893"/>
    <mergeCell ref="M894:O897"/>
    <mergeCell ref="M900:O900"/>
    <mergeCell ref="M901:O901"/>
    <mergeCell ref="M902:O902"/>
    <mergeCell ref="L911:O921"/>
    <mergeCell ref="L942:O952"/>
    <mergeCell ref="M953:N955"/>
    <mergeCell ref="O953:O955"/>
    <mergeCell ref="M956:O959"/>
    <mergeCell ref="M962:O962"/>
    <mergeCell ref="M963:O963"/>
    <mergeCell ref="M964:O964"/>
    <mergeCell ref="L1004:O1014"/>
    <mergeCell ref="M1015:N1017"/>
    <mergeCell ref="O1015:O1017"/>
    <mergeCell ref="M1018:O1021"/>
    <mergeCell ref="M1024:O1024"/>
    <mergeCell ref="M1025:O1025"/>
    <mergeCell ref="M1026:O1026"/>
    <mergeCell ref="L1035:O1045"/>
    <mergeCell ref="L973:O983"/>
    <mergeCell ref="M984:N986"/>
    <mergeCell ref="O984:O986"/>
    <mergeCell ref="M987:O990"/>
    <mergeCell ref="M993:O993"/>
    <mergeCell ref="M994:O994"/>
    <mergeCell ref="M995:O995"/>
    <mergeCell ref="I834:J834"/>
    <mergeCell ref="I835:K835"/>
    <mergeCell ref="I838:K840"/>
    <mergeCell ref="M838:O838"/>
    <mergeCell ref="M839:O839"/>
    <mergeCell ref="M840:O840"/>
    <mergeCell ref="I828:J828"/>
    <mergeCell ref="I829:J829"/>
    <mergeCell ref="L829:L835"/>
    <mergeCell ref="I830:J830"/>
    <mergeCell ref="I831:J831"/>
    <mergeCell ref="I832:J832"/>
    <mergeCell ref="I833:J833"/>
    <mergeCell ref="I848:L848"/>
    <mergeCell ref="I849:K849"/>
    <mergeCell ref="I850:K850"/>
    <mergeCell ref="I851:J851"/>
    <mergeCell ref="I852:J852"/>
    <mergeCell ref="I853:J853"/>
    <mergeCell ref="I854:J854"/>
    <mergeCell ref="I861:J861"/>
    <mergeCell ref="I862:J862"/>
    <mergeCell ref="I863:J863"/>
    <mergeCell ref="I864:J864"/>
    <mergeCell ref="M922:N924"/>
    <mergeCell ref="O922:O924"/>
    <mergeCell ref="I923:J923"/>
    <mergeCell ref="I924:J924"/>
    <mergeCell ref="I926:J926"/>
    <mergeCell ref="I927:J927"/>
    <mergeCell ref="I928:K928"/>
    <mergeCell ref="M925:O928"/>
    <mergeCell ref="M931:O931"/>
    <mergeCell ref="M932:O932"/>
    <mergeCell ref="M933:O933"/>
    <mergeCell ref="A893:B893"/>
    <mergeCell ref="A896:B896"/>
    <mergeCell ref="A913:B913"/>
    <mergeCell ref="A923:B923"/>
    <mergeCell ref="A924:B924"/>
    <mergeCell ref="A925:B925"/>
    <mergeCell ref="A926:B926"/>
    <mergeCell ref="A927:B927"/>
    <mergeCell ref="A892:B892"/>
    <mergeCell ref="A897:C897"/>
    <mergeCell ref="A900:C902"/>
    <mergeCell ref="A910:D910"/>
    <mergeCell ref="A911:C911"/>
    <mergeCell ref="A912:C912"/>
    <mergeCell ref="D922:D928"/>
    <mergeCell ref="A945:B945"/>
    <mergeCell ref="A946:B946"/>
    <mergeCell ref="A947:B947"/>
    <mergeCell ref="A948:B948"/>
    <mergeCell ref="A976:B976"/>
    <mergeCell ref="A977:B977"/>
    <mergeCell ref="A978:B978"/>
    <mergeCell ref="A979:B979"/>
    <mergeCell ref="A980:B980"/>
    <mergeCell ref="A981:C981"/>
    <mergeCell ref="A982:C982"/>
    <mergeCell ref="A983:B983"/>
    <mergeCell ref="A984:B984"/>
    <mergeCell ref="D984:D990"/>
    <mergeCell ref="A985:B985"/>
    <mergeCell ref="A986:B986"/>
    <mergeCell ref="A987:B987"/>
    <mergeCell ref="A988:B988"/>
    <mergeCell ref="A1042:B1042"/>
    <mergeCell ref="A1043:C1043"/>
    <mergeCell ref="A1044:C1044"/>
    <mergeCell ref="A1045:B1045"/>
    <mergeCell ref="A989:B989"/>
    <mergeCell ref="A990:C990"/>
    <mergeCell ref="A993:C995"/>
    <mergeCell ref="A1003:D1003"/>
    <mergeCell ref="A1004:C1004"/>
    <mergeCell ref="A1040:B1040"/>
    <mergeCell ref="A1041:B1041"/>
    <mergeCell ref="I984:J984"/>
    <mergeCell ref="L984:L990"/>
    <mergeCell ref="I985:J985"/>
    <mergeCell ref="I986:J986"/>
    <mergeCell ref="I987:J987"/>
    <mergeCell ref="I988:J988"/>
    <mergeCell ref="I989:J989"/>
    <mergeCell ref="I990:K990"/>
    <mergeCell ref="I993:K995"/>
    <mergeCell ref="I1003:L1003"/>
    <mergeCell ref="I1004:K1004"/>
    <mergeCell ref="I1005:K1005"/>
    <mergeCell ref="I1006:J1006"/>
    <mergeCell ref="I1007:J1007"/>
    <mergeCell ref="I1008:J1008"/>
    <mergeCell ref="I1009:J1009"/>
    <mergeCell ref="I1010:J1010"/>
    <mergeCell ref="I1011:J1011"/>
    <mergeCell ref="I1012:K1012"/>
    <mergeCell ref="I1013:K1013"/>
    <mergeCell ref="I1014:J1014"/>
    <mergeCell ref="I1015:J1015"/>
    <mergeCell ref="L1015:L1021"/>
    <mergeCell ref="I1016:J1016"/>
    <mergeCell ref="I1017:J1017"/>
    <mergeCell ref="I1018:J1018"/>
    <mergeCell ref="I1019:J1019"/>
    <mergeCell ref="I1020:J1020"/>
    <mergeCell ref="I1039:J1039"/>
    <mergeCell ref="I1040:J1040"/>
    <mergeCell ref="I1041:J1041"/>
    <mergeCell ref="I1042:J1042"/>
    <mergeCell ref="I1043:K1043"/>
    <mergeCell ref="I1044:K1044"/>
    <mergeCell ref="I1045:J1045"/>
    <mergeCell ref="I1021:K1021"/>
    <mergeCell ref="I1024:K1026"/>
    <mergeCell ref="I1034:L1034"/>
    <mergeCell ref="I1035:K1035"/>
    <mergeCell ref="I1036:K1036"/>
    <mergeCell ref="I1037:J1037"/>
    <mergeCell ref="I1038:J1038"/>
    <mergeCell ref="A949:B949"/>
    <mergeCell ref="A950:C950"/>
    <mergeCell ref="A928:C928"/>
    <mergeCell ref="A931:C933"/>
    <mergeCell ref="A941:D941"/>
    <mergeCell ref="A942:C942"/>
    <mergeCell ref="D942:G952"/>
    <mergeCell ref="A943:C943"/>
    <mergeCell ref="A944:B944"/>
    <mergeCell ref="A955:B955"/>
    <mergeCell ref="A956:B956"/>
    <mergeCell ref="A954:B954"/>
    <mergeCell ref="A957:B957"/>
    <mergeCell ref="A951:C951"/>
    <mergeCell ref="A952:B952"/>
    <mergeCell ref="A953:B953"/>
    <mergeCell ref="D953:D959"/>
    <mergeCell ref="E953:F955"/>
    <mergeCell ref="G953:G955"/>
    <mergeCell ref="E956:G959"/>
    <mergeCell ref="A958:B958"/>
    <mergeCell ref="A959:C959"/>
    <mergeCell ref="A962:C964"/>
    <mergeCell ref="A972:D972"/>
    <mergeCell ref="A973:C973"/>
    <mergeCell ref="A974:C974"/>
    <mergeCell ref="A975:B975"/>
    <mergeCell ref="E962:G962"/>
    <mergeCell ref="E963:G963"/>
    <mergeCell ref="E964:G964"/>
    <mergeCell ref="D973:G983"/>
    <mergeCell ref="E984:F986"/>
    <mergeCell ref="G984:G986"/>
    <mergeCell ref="E987:G990"/>
    <mergeCell ref="I391:J391"/>
    <mergeCell ref="I392:K392"/>
    <mergeCell ref="I404:K406"/>
    <mergeCell ref="M404:O404"/>
    <mergeCell ref="M405:O405"/>
    <mergeCell ref="M406:O406"/>
    <mergeCell ref="L415:O425"/>
    <mergeCell ref="I425:J425"/>
    <mergeCell ref="I423:K423"/>
    <mergeCell ref="I424:K424"/>
    <mergeCell ref="I426:J426"/>
    <mergeCell ref="L426:L432"/>
    <mergeCell ref="M426:N428"/>
    <mergeCell ref="O426:O428"/>
    <mergeCell ref="M429:O432"/>
    <mergeCell ref="I450:J450"/>
    <mergeCell ref="I451:J451"/>
    <mergeCell ref="I452:J452"/>
    <mergeCell ref="I453:J453"/>
    <mergeCell ref="I459:J459"/>
    <mergeCell ref="I460:J460"/>
    <mergeCell ref="I458:J458"/>
    <mergeCell ref="I461:J461"/>
    <mergeCell ref="I462:J462"/>
    <mergeCell ref="I463:K463"/>
    <mergeCell ref="I466:K468"/>
    <mergeCell ref="M466:O466"/>
    <mergeCell ref="M467:O467"/>
    <mergeCell ref="M468:O468"/>
    <mergeCell ref="I476:L476"/>
    <mergeCell ref="I415:K415"/>
    <mergeCell ref="I416:K416"/>
    <mergeCell ref="I417:J417"/>
    <mergeCell ref="I418:J418"/>
    <mergeCell ref="I419:J419"/>
    <mergeCell ref="I420:J420"/>
    <mergeCell ref="I421:J421"/>
    <mergeCell ref="I422:J422"/>
    <mergeCell ref="I428:J428"/>
    <mergeCell ref="I429:J429"/>
    <mergeCell ref="I431:J431"/>
    <mergeCell ref="I432:K432"/>
    <mergeCell ref="I435:K437"/>
    <mergeCell ref="I445:L445"/>
    <mergeCell ref="I446:K446"/>
    <mergeCell ref="I427:J427"/>
    <mergeCell ref="I430:J430"/>
    <mergeCell ref="I528:K530"/>
    <mergeCell ref="M528:O528"/>
    <mergeCell ref="M529:O529"/>
    <mergeCell ref="M530:O530"/>
    <mergeCell ref="I539:K539"/>
    <mergeCell ref="M590:O590"/>
    <mergeCell ref="M591:O591"/>
    <mergeCell ref="M592:O592"/>
    <mergeCell ref="I602:K602"/>
    <mergeCell ref="I603:J603"/>
    <mergeCell ref="I604:J604"/>
    <mergeCell ref="I605:J605"/>
    <mergeCell ref="M623:O623"/>
    <mergeCell ref="L632:O642"/>
    <mergeCell ref="I637:J637"/>
    <mergeCell ref="I638:J638"/>
    <mergeCell ref="I639:J639"/>
    <mergeCell ref="I640:K640"/>
    <mergeCell ref="I641:K641"/>
    <mergeCell ref="I642:J642"/>
    <mergeCell ref="L601:O611"/>
    <mergeCell ref="L612:L618"/>
    <mergeCell ref="M612:N614"/>
    <mergeCell ref="O612:O614"/>
    <mergeCell ref="M615:O618"/>
    <mergeCell ref="M621:O621"/>
    <mergeCell ref="M622:O622"/>
    <mergeCell ref="I580:J580"/>
    <mergeCell ref="I581:J581"/>
    <mergeCell ref="L581:L587"/>
    <mergeCell ref="I582:J582"/>
    <mergeCell ref="I583:J583"/>
    <mergeCell ref="I584:J584"/>
    <mergeCell ref="I585:J585"/>
    <mergeCell ref="I586:J586"/>
    <mergeCell ref="I587:K587"/>
    <mergeCell ref="I590:K592"/>
    <mergeCell ref="I600:L600"/>
    <mergeCell ref="I601:K601"/>
    <mergeCell ref="A606:B606"/>
    <mergeCell ref="A607:B607"/>
    <mergeCell ref="A608:B608"/>
    <mergeCell ref="I608:J608"/>
    <mergeCell ref="A609:C609"/>
    <mergeCell ref="I609:K609"/>
    <mergeCell ref="A610:C610"/>
    <mergeCell ref="I610:K610"/>
    <mergeCell ref="I611:J611"/>
    <mergeCell ref="I606:J606"/>
    <mergeCell ref="I607:J607"/>
    <mergeCell ref="I612:J612"/>
    <mergeCell ref="I613:J613"/>
    <mergeCell ref="I614:J614"/>
    <mergeCell ref="I615:J615"/>
    <mergeCell ref="I616:J616"/>
    <mergeCell ref="A611:B611"/>
    <mergeCell ref="A612:B612"/>
    <mergeCell ref="A613:B613"/>
    <mergeCell ref="A614:B614"/>
    <mergeCell ref="A615:B615"/>
    <mergeCell ref="A616:B616"/>
    <mergeCell ref="A617:B617"/>
    <mergeCell ref="A618:C618"/>
    <mergeCell ref="A621:C623"/>
    <mergeCell ref="E621:G621"/>
    <mergeCell ref="E622:G622"/>
    <mergeCell ref="E623:G623"/>
    <mergeCell ref="A631:D631"/>
    <mergeCell ref="A632:C632"/>
    <mergeCell ref="A640:C640"/>
    <mergeCell ref="A641:C641"/>
    <mergeCell ref="A642:B642"/>
    <mergeCell ref="A633:C633"/>
    <mergeCell ref="A634:B634"/>
    <mergeCell ref="A635:B635"/>
    <mergeCell ref="A636:B636"/>
    <mergeCell ref="A637:B637"/>
    <mergeCell ref="A638:B638"/>
    <mergeCell ref="A639:B639"/>
    <mergeCell ref="A675:B675"/>
    <mergeCell ref="A676:B676"/>
    <mergeCell ref="I676:J676"/>
    <mergeCell ref="A669:B669"/>
    <mergeCell ref="A670:B670"/>
    <mergeCell ref="A671:C671"/>
    <mergeCell ref="A672:C672"/>
    <mergeCell ref="A673:B673"/>
    <mergeCell ref="A674:B674"/>
    <mergeCell ref="I674:J674"/>
    <mergeCell ref="I635:J635"/>
    <mergeCell ref="I636:J636"/>
    <mergeCell ref="A643:B643"/>
    <mergeCell ref="I643:J643"/>
    <mergeCell ref="M643:N645"/>
    <mergeCell ref="O643:O645"/>
    <mergeCell ref="I644:J644"/>
    <mergeCell ref="I617:J617"/>
    <mergeCell ref="I618:K618"/>
    <mergeCell ref="I621:K623"/>
    <mergeCell ref="I631:L631"/>
    <mergeCell ref="I632:K632"/>
    <mergeCell ref="I633:K633"/>
    <mergeCell ref="I634:J634"/>
    <mergeCell ref="E646:G649"/>
    <mergeCell ref="E652:G652"/>
    <mergeCell ref="E653:G653"/>
    <mergeCell ref="E654:G654"/>
    <mergeCell ref="M646:O649"/>
    <mergeCell ref="M652:O652"/>
    <mergeCell ref="M653:O653"/>
    <mergeCell ref="M654:O654"/>
    <mergeCell ref="A644:B644"/>
    <mergeCell ref="A645:B645"/>
    <mergeCell ref="A646:B646"/>
    <mergeCell ref="A647:B647"/>
    <mergeCell ref="A648:B648"/>
    <mergeCell ref="A649:C649"/>
    <mergeCell ref="A652:C654"/>
    <mergeCell ref="L643:L649"/>
    <mergeCell ref="I645:J645"/>
    <mergeCell ref="I646:J646"/>
    <mergeCell ref="I647:J647"/>
    <mergeCell ref="I648:J648"/>
    <mergeCell ref="I649:K649"/>
    <mergeCell ref="I652:K654"/>
    <mergeCell ref="A662:D662"/>
    <mergeCell ref="A663:C663"/>
    <mergeCell ref="A664:C664"/>
    <mergeCell ref="A665:B665"/>
    <mergeCell ref="A666:B666"/>
    <mergeCell ref="A667:B667"/>
    <mergeCell ref="A668:B668"/>
    <mergeCell ref="A679:B679"/>
    <mergeCell ref="I679:J679"/>
    <mergeCell ref="A680:C680"/>
    <mergeCell ref="I680:K680"/>
    <mergeCell ref="A683:C685"/>
    <mergeCell ref="E683:G683"/>
    <mergeCell ref="I683:K685"/>
    <mergeCell ref="E684:G684"/>
    <mergeCell ref="E685:G685"/>
    <mergeCell ref="A701:B701"/>
    <mergeCell ref="A702:C702"/>
    <mergeCell ref="A703:C703"/>
    <mergeCell ref="I697:J697"/>
    <mergeCell ref="I698:J698"/>
    <mergeCell ref="A699:B699"/>
    <mergeCell ref="I699:J699"/>
    <mergeCell ref="A700:B700"/>
    <mergeCell ref="I700:J700"/>
    <mergeCell ref="I701:J701"/>
    <mergeCell ref="I668:J668"/>
    <mergeCell ref="I669:J669"/>
    <mergeCell ref="I670:J670"/>
    <mergeCell ref="I671:K671"/>
    <mergeCell ref="I662:L662"/>
    <mergeCell ref="I663:K663"/>
    <mergeCell ref="L663:O673"/>
    <mergeCell ref="I664:K664"/>
    <mergeCell ref="I665:J665"/>
    <mergeCell ref="I666:J666"/>
    <mergeCell ref="I667:J667"/>
    <mergeCell ref="M674:N676"/>
    <mergeCell ref="M677:O680"/>
    <mergeCell ref="M683:O683"/>
    <mergeCell ref="M684:O684"/>
    <mergeCell ref="M685:O685"/>
    <mergeCell ref="L694:O704"/>
    <mergeCell ref="I677:J677"/>
    <mergeCell ref="I678:J678"/>
    <mergeCell ref="I672:K672"/>
    <mergeCell ref="I673:J673"/>
    <mergeCell ref="L674:L680"/>
    <mergeCell ref="O674:O676"/>
    <mergeCell ref="I675:J675"/>
    <mergeCell ref="A677:B677"/>
    <mergeCell ref="A678:B678"/>
    <mergeCell ref="I702:K702"/>
    <mergeCell ref="I703:K703"/>
    <mergeCell ref="A704:B704"/>
    <mergeCell ref="I704:J704"/>
    <mergeCell ref="I383:L383"/>
    <mergeCell ref="I384:K384"/>
    <mergeCell ref="L384:O394"/>
    <mergeCell ref="I385:K385"/>
    <mergeCell ref="I386:J386"/>
    <mergeCell ref="I387:J387"/>
    <mergeCell ref="I388:J388"/>
    <mergeCell ref="M395:N397"/>
    <mergeCell ref="M398:O401"/>
    <mergeCell ref="I399:J399"/>
    <mergeCell ref="I400:J400"/>
    <mergeCell ref="I414:L414"/>
    <mergeCell ref="I393:K393"/>
    <mergeCell ref="I394:J394"/>
    <mergeCell ref="L395:L401"/>
    <mergeCell ref="O395:O397"/>
    <mergeCell ref="I396:J396"/>
    <mergeCell ref="I397:J397"/>
    <mergeCell ref="I398:J398"/>
    <mergeCell ref="I401:K401"/>
    <mergeCell ref="M364:N366"/>
    <mergeCell ref="M367:O370"/>
    <mergeCell ref="M373:O373"/>
    <mergeCell ref="M374:O374"/>
    <mergeCell ref="M375:O375"/>
    <mergeCell ref="I364:J364"/>
    <mergeCell ref="L364:L370"/>
    <mergeCell ref="O364:O366"/>
    <mergeCell ref="I365:J365"/>
    <mergeCell ref="I366:J366"/>
    <mergeCell ref="E367:G370"/>
    <mergeCell ref="I367:J367"/>
    <mergeCell ref="I370:K370"/>
    <mergeCell ref="I389:J389"/>
    <mergeCell ref="I390:J390"/>
    <mergeCell ref="I368:J368"/>
    <mergeCell ref="I369:J369"/>
    <mergeCell ref="E373:G373"/>
    <mergeCell ref="I373:K375"/>
    <mergeCell ref="E374:G374"/>
    <mergeCell ref="E375:G375"/>
    <mergeCell ref="D384:G394"/>
    <mergeCell ref="I395:J395"/>
    <mergeCell ref="A385:C385"/>
    <mergeCell ref="A386:B386"/>
    <mergeCell ref="A387:B387"/>
    <mergeCell ref="A388:B388"/>
    <mergeCell ref="A389:B389"/>
    <mergeCell ref="A390:B390"/>
    <mergeCell ref="A391:B391"/>
    <mergeCell ref="A392:C392"/>
    <mergeCell ref="A393:C393"/>
    <mergeCell ref="A394:B394"/>
    <mergeCell ref="A395:B395"/>
    <mergeCell ref="E395:F397"/>
    <mergeCell ref="G395:G397"/>
    <mergeCell ref="E398:G401"/>
    <mergeCell ref="A419:B419"/>
    <mergeCell ref="A420:B420"/>
    <mergeCell ref="M435:O435"/>
    <mergeCell ref="M436:O436"/>
    <mergeCell ref="M437:O437"/>
    <mergeCell ref="L446:O456"/>
    <mergeCell ref="I447:K447"/>
    <mergeCell ref="I448:J448"/>
    <mergeCell ref="I449:J449"/>
    <mergeCell ref="I456:J456"/>
    <mergeCell ref="I454:K454"/>
    <mergeCell ref="I455:K455"/>
    <mergeCell ref="I457:J457"/>
    <mergeCell ref="L457:L463"/>
    <mergeCell ref="M457:N459"/>
    <mergeCell ref="O457:O459"/>
    <mergeCell ref="M460:O463"/>
    <mergeCell ref="A421:B421"/>
    <mergeCell ref="A422:B422"/>
    <mergeCell ref="E404:G404"/>
    <mergeCell ref="E405:G405"/>
    <mergeCell ref="E406:G406"/>
    <mergeCell ref="A416:C416"/>
    <mergeCell ref="A417:B417"/>
    <mergeCell ref="A418:B418"/>
    <mergeCell ref="A425:B425"/>
    <mergeCell ref="A423:C423"/>
    <mergeCell ref="A424:C424"/>
    <mergeCell ref="A426:B426"/>
    <mergeCell ref="A447:C447"/>
    <mergeCell ref="A448:B448"/>
    <mergeCell ref="A449:B449"/>
    <mergeCell ref="A450:B450"/>
    <mergeCell ref="D415:G425"/>
    <mergeCell ref="E426:F428"/>
    <mergeCell ref="G426:G428"/>
    <mergeCell ref="E429:G432"/>
    <mergeCell ref="E435:G435"/>
    <mergeCell ref="E436:G436"/>
    <mergeCell ref="E437:G437"/>
    <mergeCell ref="A451:B451"/>
    <mergeCell ref="A452:B452"/>
    <mergeCell ref="A453:B453"/>
    <mergeCell ref="A454:C454"/>
    <mergeCell ref="A455:C455"/>
    <mergeCell ref="A456:B456"/>
    <mergeCell ref="A457:B457"/>
    <mergeCell ref="A478:C478"/>
    <mergeCell ref="A479:B479"/>
    <mergeCell ref="A480:B480"/>
    <mergeCell ref="A481:B481"/>
    <mergeCell ref="A482:B482"/>
    <mergeCell ref="A483:B483"/>
    <mergeCell ref="A484:B484"/>
    <mergeCell ref="A485:C485"/>
    <mergeCell ref="A486:C486"/>
    <mergeCell ref="A487:B487"/>
    <mergeCell ref="A488:B488"/>
    <mergeCell ref="A509:C509"/>
    <mergeCell ref="A510:B510"/>
    <mergeCell ref="A511:B511"/>
    <mergeCell ref="I540:K540"/>
    <mergeCell ref="I541:J541"/>
    <mergeCell ref="I542:J542"/>
    <mergeCell ref="I543:J543"/>
    <mergeCell ref="I544:J544"/>
    <mergeCell ref="I545:J545"/>
    <mergeCell ref="I546:J546"/>
    <mergeCell ref="I552:J552"/>
    <mergeCell ref="I553:J553"/>
    <mergeCell ref="I551:J551"/>
    <mergeCell ref="I554:J554"/>
    <mergeCell ref="I547:K547"/>
    <mergeCell ref="I548:K548"/>
    <mergeCell ref="I549:J549"/>
    <mergeCell ref="I550:J550"/>
    <mergeCell ref="M550:N552"/>
    <mergeCell ref="O550:O552"/>
    <mergeCell ref="M553:O556"/>
    <mergeCell ref="I555:J555"/>
    <mergeCell ref="I556:K556"/>
    <mergeCell ref="I559:K561"/>
    <mergeCell ref="I569:L569"/>
    <mergeCell ref="I570:K570"/>
    <mergeCell ref="I571:K571"/>
    <mergeCell ref="I572:J572"/>
    <mergeCell ref="I573:J573"/>
    <mergeCell ref="I574:J574"/>
    <mergeCell ref="I575:J575"/>
    <mergeCell ref="I576:J576"/>
    <mergeCell ref="I577:J577"/>
    <mergeCell ref="I578:K578"/>
    <mergeCell ref="I579:K579"/>
    <mergeCell ref="M559:O559"/>
    <mergeCell ref="M560:O560"/>
    <mergeCell ref="M561:O561"/>
    <mergeCell ref="L570:O580"/>
    <mergeCell ref="M581:N583"/>
    <mergeCell ref="O581:O583"/>
    <mergeCell ref="M584:O587"/>
    <mergeCell ref="E674:F676"/>
    <mergeCell ref="E677:G680"/>
    <mergeCell ref="E615:G618"/>
    <mergeCell ref="D632:G642"/>
    <mergeCell ref="E643:F645"/>
    <mergeCell ref="G643:G645"/>
    <mergeCell ref="D663:G673"/>
    <mergeCell ref="D674:D680"/>
    <mergeCell ref="G674:G676"/>
    <mergeCell ref="D446:G456"/>
    <mergeCell ref="E457:F459"/>
    <mergeCell ref="G457:G459"/>
    <mergeCell ref="E460:G463"/>
    <mergeCell ref="E466:G466"/>
    <mergeCell ref="E467:G467"/>
    <mergeCell ref="E468:G468"/>
    <mergeCell ref="D477:G487"/>
    <mergeCell ref="E488:F490"/>
    <mergeCell ref="G488:G490"/>
    <mergeCell ref="E491:G494"/>
    <mergeCell ref="E497:G497"/>
    <mergeCell ref="E498:G498"/>
    <mergeCell ref="E499:G499"/>
    <mergeCell ref="D508:G518"/>
    <mergeCell ref="E519:F521"/>
    <mergeCell ref="G519:G521"/>
    <mergeCell ref="E522:G525"/>
    <mergeCell ref="E528:G528"/>
    <mergeCell ref="E529:G529"/>
    <mergeCell ref="E530:G530"/>
    <mergeCell ref="D539:G549"/>
    <mergeCell ref="E550:F552"/>
    <mergeCell ref="G550:G552"/>
    <mergeCell ref="E553:G556"/>
    <mergeCell ref="E559:G559"/>
    <mergeCell ref="E560:G560"/>
    <mergeCell ref="E561:G561"/>
    <mergeCell ref="D601:G611"/>
    <mergeCell ref="E612:F614"/>
    <mergeCell ref="G612:G614"/>
    <mergeCell ref="E581:F583"/>
    <mergeCell ref="G581:G583"/>
    <mergeCell ref="E584:G587"/>
    <mergeCell ref="E590:G590"/>
    <mergeCell ref="E591:G591"/>
    <mergeCell ref="E592:G592"/>
    <mergeCell ref="D612:D618"/>
    <mergeCell ref="D694:G704"/>
    <mergeCell ref="E705:F707"/>
    <mergeCell ref="G705:G707"/>
    <mergeCell ref="I821:J821"/>
    <mergeCell ref="I822:J822"/>
    <mergeCell ref="I803:J803"/>
    <mergeCell ref="I804:K804"/>
    <mergeCell ref="I807:K809"/>
    <mergeCell ref="I817:L817"/>
    <mergeCell ref="I818:K818"/>
    <mergeCell ref="I819:K819"/>
    <mergeCell ref="I820:J820"/>
    <mergeCell ref="I791:J791"/>
    <mergeCell ref="I792:J792"/>
    <mergeCell ref="I793:J793"/>
    <mergeCell ref="I794:J794"/>
    <mergeCell ref="M776:O776"/>
    <mergeCell ref="M777:O777"/>
    <mergeCell ref="M778:O778"/>
    <mergeCell ref="L787:O797"/>
    <mergeCell ref="I788:K788"/>
    <mergeCell ref="I789:J789"/>
    <mergeCell ref="I790:J790"/>
    <mergeCell ref="I797:J797"/>
    <mergeCell ref="I800:J800"/>
    <mergeCell ref="I801:J801"/>
    <mergeCell ref="M807:O807"/>
    <mergeCell ref="M808:O808"/>
    <mergeCell ref="M809:O809"/>
    <mergeCell ref="L818:O828"/>
    <mergeCell ref="M829:N831"/>
    <mergeCell ref="O829:O831"/>
    <mergeCell ref="M832:O835"/>
    <mergeCell ref="I795:K795"/>
    <mergeCell ref="I796:K796"/>
    <mergeCell ref="I798:J798"/>
    <mergeCell ref="L798:L804"/>
    <mergeCell ref="M798:N800"/>
    <mergeCell ref="O798:O800"/>
    <mergeCell ref="M801:O804"/>
    <mergeCell ref="I799:J799"/>
    <mergeCell ref="I802:J802"/>
    <mergeCell ref="I823:J823"/>
    <mergeCell ref="I824:J824"/>
    <mergeCell ref="I825:J825"/>
    <mergeCell ref="I826:K826"/>
    <mergeCell ref="I827:K827"/>
    <mergeCell ref="I1076:J1076"/>
    <mergeCell ref="I1077:J1077"/>
    <mergeCell ref="L1077:L1083"/>
    <mergeCell ref="I1078:J1078"/>
    <mergeCell ref="I1079:J1079"/>
    <mergeCell ref="I1080:J1080"/>
    <mergeCell ref="I1081:J1081"/>
    <mergeCell ref="I1082:J1082"/>
    <mergeCell ref="I1083:K1083"/>
    <mergeCell ref="I1086:K1088"/>
    <mergeCell ref="I1096:L1096"/>
    <mergeCell ref="I1097:K1097"/>
    <mergeCell ref="I1098:K1098"/>
    <mergeCell ref="I1099:J1099"/>
    <mergeCell ref="I1132:J1132"/>
    <mergeCell ref="I1133:J1133"/>
    <mergeCell ref="I1134:J1134"/>
    <mergeCell ref="I1135:J1135"/>
    <mergeCell ref="I1136:K1136"/>
    <mergeCell ref="I1137:K1137"/>
    <mergeCell ref="I1140:J1140"/>
    <mergeCell ref="I1141:J1141"/>
    <mergeCell ref="I1143:J1143"/>
    <mergeCell ref="I1144:J1144"/>
    <mergeCell ref="I1145:K1145"/>
    <mergeCell ref="L1128:O1138"/>
    <mergeCell ref="M1139:N1141"/>
    <mergeCell ref="O1139:O1141"/>
    <mergeCell ref="M1142:O1145"/>
    <mergeCell ref="M1117:O1117"/>
    <mergeCell ref="M1118:O1118"/>
    <mergeCell ref="M1119:O1119"/>
    <mergeCell ref="I1129:K1129"/>
    <mergeCell ref="I1130:J1130"/>
    <mergeCell ref="I1131:J1131"/>
    <mergeCell ref="I1138:J1138"/>
    <mergeCell ref="I1049:J1049"/>
    <mergeCell ref="I1050:J1050"/>
    <mergeCell ref="I1046:J1046"/>
    <mergeCell ref="L1046:L1052"/>
    <mergeCell ref="M1046:N1048"/>
    <mergeCell ref="O1046:O1048"/>
    <mergeCell ref="I1047:J1047"/>
    <mergeCell ref="I1048:J1048"/>
    <mergeCell ref="M1049:O1052"/>
    <mergeCell ref="I1051:J1051"/>
    <mergeCell ref="I1052:K1052"/>
    <mergeCell ref="I1055:K1057"/>
    <mergeCell ref="I1065:L1065"/>
    <mergeCell ref="I1066:K1066"/>
    <mergeCell ref="I1067:K1067"/>
    <mergeCell ref="I1068:J1068"/>
    <mergeCell ref="I1069:J1069"/>
    <mergeCell ref="I1070:J1070"/>
    <mergeCell ref="I1071:J1071"/>
    <mergeCell ref="I1072:J1072"/>
    <mergeCell ref="I1073:J1073"/>
    <mergeCell ref="I1074:K1074"/>
    <mergeCell ref="I1075:K1075"/>
    <mergeCell ref="M1055:O1055"/>
    <mergeCell ref="M1056:O1056"/>
    <mergeCell ref="M1057:O1057"/>
    <mergeCell ref="L1066:O1076"/>
    <mergeCell ref="M1077:N1079"/>
    <mergeCell ref="O1077:O1079"/>
    <mergeCell ref="M1080:O1083"/>
    <mergeCell ref="I1100:J1100"/>
    <mergeCell ref="I1101:J1101"/>
    <mergeCell ref="I1102:J1102"/>
    <mergeCell ref="I1103:J1103"/>
    <mergeCell ref="I1104:J1104"/>
    <mergeCell ref="I1105:K1105"/>
    <mergeCell ref="I1106:K1106"/>
    <mergeCell ref="M1086:O1086"/>
    <mergeCell ref="M1087:O1087"/>
    <mergeCell ref="M1088:O1088"/>
    <mergeCell ref="L1097:O1107"/>
    <mergeCell ref="M1108:N1110"/>
    <mergeCell ref="O1108:O1110"/>
    <mergeCell ref="M1111:O1114"/>
    <mergeCell ref="A1038:B1038"/>
    <mergeCell ref="A1039:B1039"/>
    <mergeCell ref="A1020:B1020"/>
    <mergeCell ref="A1021:C1021"/>
    <mergeCell ref="A1024:C1026"/>
    <mergeCell ref="A1034:D1034"/>
    <mergeCell ref="A1035:C1035"/>
    <mergeCell ref="A1036:C1036"/>
    <mergeCell ref="A1037:B1037"/>
    <mergeCell ref="E1049:G1052"/>
    <mergeCell ref="E1055:G1055"/>
    <mergeCell ref="E1024:G1024"/>
    <mergeCell ref="E1025:G1025"/>
    <mergeCell ref="E1026:G1026"/>
    <mergeCell ref="D1035:G1045"/>
    <mergeCell ref="D1046:D1052"/>
    <mergeCell ref="E1046:F1048"/>
    <mergeCell ref="G1046:G1048"/>
    <mergeCell ref="A1008:B1008"/>
    <mergeCell ref="A1009:B1009"/>
    <mergeCell ref="A1010:B1010"/>
    <mergeCell ref="A1011:B1011"/>
    <mergeCell ref="E993:G993"/>
    <mergeCell ref="E994:G994"/>
    <mergeCell ref="E995:G995"/>
    <mergeCell ref="D1004:G1014"/>
    <mergeCell ref="A1005:C1005"/>
    <mergeCell ref="A1006:B1006"/>
    <mergeCell ref="A1007:B1007"/>
    <mergeCell ref="A1014:B1014"/>
    <mergeCell ref="A1017:B1017"/>
    <mergeCell ref="A1018:B1018"/>
    <mergeCell ref="A1012:C1012"/>
    <mergeCell ref="A1013:C1013"/>
    <mergeCell ref="A1015:B1015"/>
    <mergeCell ref="D1015:D1021"/>
    <mergeCell ref="E1015:F1017"/>
    <mergeCell ref="G1015:G1017"/>
    <mergeCell ref="E1018:G1021"/>
    <mergeCell ref="A1016:B1016"/>
    <mergeCell ref="A1019:B1019"/>
    <mergeCell ref="A1046:B1046"/>
    <mergeCell ref="A1047:B1047"/>
    <mergeCell ref="A1048:B1048"/>
    <mergeCell ref="A1049:B1049"/>
    <mergeCell ref="A1050:B1050"/>
    <mergeCell ref="A1068:B1068"/>
    <mergeCell ref="A1069:B1069"/>
    <mergeCell ref="A1051:B1051"/>
    <mergeCell ref="A1052:C1052"/>
    <mergeCell ref="A1055:C1057"/>
    <mergeCell ref="E1056:G1056"/>
    <mergeCell ref="E1057:G1057"/>
    <mergeCell ref="A1065:D1065"/>
    <mergeCell ref="D1066:G1076"/>
    <mergeCell ref="A1076:B1076"/>
    <mergeCell ref="A1074:C1074"/>
    <mergeCell ref="A1075:C1075"/>
    <mergeCell ref="A1077:B1077"/>
    <mergeCell ref="D1077:D1083"/>
    <mergeCell ref="E1077:F1079"/>
    <mergeCell ref="G1077:G1079"/>
    <mergeCell ref="E1080:G1083"/>
    <mergeCell ref="A1100:B1100"/>
    <mergeCell ref="A1101:B1101"/>
    <mergeCell ref="A1102:B1102"/>
    <mergeCell ref="A1103:B1103"/>
    <mergeCell ref="A1104:B1104"/>
    <mergeCell ref="A1105:C1105"/>
    <mergeCell ref="A1106:C1106"/>
    <mergeCell ref="A1113:B1113"/>
    <mergeCell ref="A1114:C1114"/>
    <mergeCell ref="A1117:C1119"/>
    <mergeCell ref="A1127:D1127"/>
    <mergeCell ref="A1128:C1128"/>
    <mergeCell ref="A1107:B1107"/>
    <mergeCell ref="A1108:B1108"/>
    <mergeCell ref="D1108:D1114"/>
    <mergeCell ref="A1109:B1109"/>
    <mergeCell ref="A1110:B1110"/>
    <mergeCell ref="A1111:B1111"/>
    <mergeCell ref="A1112:B1112"/>
    <mergeCell ref="I1113:J1113"/>
    <mergeCell ref="I1114:K1114"/>
    <mergeCell ref="I1117:K1119"/>
    <mergeCell ref="I1127:L1127"/>
    <mergeCell ref="I1128:K1128"/>
    <mergeCell ref="I1139:J1139"/>
    <mergeCell ref="L1139:L1145"/>
    <mergeCell ref="I1142:J1142"/>
    <mergeCell ref="I1107:J1107"/>
    <mergeCell ref="I1108:J1108"/>
    <mergeCell ref="L1108:L1114"/>
    <mergeCell ref="I1109:J1109"/>
    <mergeCell ref="I1110:J1110"/>
    <mergeCell ref="I1111:J1111"/>
    <mergeCell ref="I1112:J1112"/>
    <mergeCell ref="A1132:B1132"/>
    <mergeCell ref="A1133:B1133"/>
    <mergeCell ref="A1134:B1134"/>
    <mergeCell ref="A1135:B1135"/>
    <mergeCell ref="E1117:G1117"/>
    <mergeCell ref="E1118:G1118"/>
    <mergeCell ref="E1119:G1119"/>
    <mergeCell ref="D1128:G1138"/>
    <mergeCell ref="A1129:C1129"/>
    <mergeCell ref="A1130:B1130"/>
    <mergeCell ref="A1131:B1131"/>
    <mergeCell ref="A1138:B1138"/>
    <mergeCell ref="A1141:B1141"/>
    <mergeCell ref="A1142:B1142"/>
    <mergeCell ref="A1140:B1140"/>
    <mergeCell ref="A1143:B1143"/>
    <mergeCell ref="A1144:B1144"/>
    <mergeCell ref="A1145:C1145"/>
    <mergeCell ref="A1136:C1136"/>
    <mergeCell ref="A1137:C1137"/>
    <mergeCell ref="A1139:B1139"/>
    <mergeCell ref="D1139:D1145"/>
    <mergeCell ref="E1139:F1141"/>
    <mergeCell ref="G1139:G1141"/>
    <mergeCell ref="E1142:G1145"/>
    <mergeCell ref="A1066:C1066"/>
    <mergeCell ref="A1067:C1067"/>
    <mergeCell ref="A1070:B1070"/>
    <mergeCell ref="A1071:B1071"/>
    <mergeCell ref="A1072:B1072"/>
    <mergeCell ref="A1073:B1073"/>
    <mergeCell ref="A1079:B1079"/>
    <mergeCell ref="A1080:B1080"/>
    <mergeCell ref="A1078:B1078"/>
    <mergeCell ref="A1081:B1081"/>
    <mergeCell ref="A1082:B1082"/>
    <mergeCell ref="A1083:C1083"/>
    <mergeCell ref="A1086:C1088"/>
    <mergeCell ref="A1096:D1096"/>
    <mergeCell ref="A1097:C1097"/>
    <mergeCell ref="A1098:C1098"/>
    <mergeCell ref="A1099:B1099"/>
    <mergeCell ref="E1086:G1086"/>
    <mergeCell ref="E1087:G1087"/>
    <mergeCell ref="E1088:G1088"/>
    <mergeCell ref="D1097:G1107"/>
    <mergeCell ref="E1108:F1110"/>
    <mergeCell ref="G1108:G1110"/>
    <mergeCell ref="E1111:G1114"/>
  </mergeCells>
  <drawing r:id="rId2"/>
  <legacyDrawing r:id="rId3"/>
  <tableParts count="77"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1" max="1" width="1.5"/>
    <col customWidth="1" min="2" max="2" width="23.4"/>
    <col customWidth="1" min="3" max="3" width="12.5"/>
    <col customWidth="1" min="4" max="4" width="18.8"/>
    <col customWidth="1" min="5" max="5" width="24.3"/>
    <col customWidth="1" min="6" max="6" width="15.6"/>
    <col customWidth="1" min="9" max="9" width="4.3"/>
    <col customWidth="1" min="10" max="10" width="23.3"/>
    <col customWidth="1" min="11" max="11" width="14.5"/>
    <col customWidth="1" min="12" max="12" width="25.5"/>
    <col customWidth="1" min="13" max="13" width="24.3"/>
    <col customWidth="1" min="14" max="14" width="18.6"/>
    <col customWidth="1" min="21" max="21" width="18.0"/>
    <col customWidth="1" min="31" max="31" width="11.8"/>
  </cols>
  <sheetData>
    <row r="1">
      <c r="A1" s="372"/>
      <c r="B1" s="3" t="s">
        <v>2</v>
      </c>
      <c r="C1" s="4" t="s">
        <v>3</v>
      </c>
      <c r="D1" s="5" t="s">
        <v>4</v>
      </c>
      <c r="E1" s="4" t="s">
        <v>5</v>
      </c>
      <c r="F1" s="4" t="s">
        <v>6</v>
      </c>
      <c r="G1" s="4" t="s">
        <v>7</v>
      </c>
      <c r="H1" s="6" t="s">
        <v>8</v>
      </c>
      <c r="I1" s="7" t="s">
        <v>9</v>
      </c>
      <c r="J1" s="4" t="s">
        <v>10</v>
      </c>
      <c r="K1" s="4" t="s">
        <v>11</v>
      </c>
      <c r="L1" s="4" t="s">
        <v>12</v>
      </c>
      <c r="M1" s="199"/>
      <c r="N1" s="379"/>
      <c r="O1" s="380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</row>
    <row r="2">
      <c r="A2" s="372"/>
      <c r="B2" s="10" t="s">
        <v>1437</v>
      </c>
      <c r="C2" s="10" t="s">
        <v>1438</v>
      </c>
      <c r="D2" s="11">
        <v>45990.0</v>
      </c>
      <c r="E2" s="10" t="s">
        <v>1159</v>
      </c>
      <c r="F2" s="10" t="s">
        <v>1160</v>
      </c>
      <c r="G2" s="10" t="s">
        <v>1161</v>
      </c>
      <c r="H2" s="12">
        <v>2100.0</v>
      </c>
      <c r="I2" s="13">
        <v>1012.0</v>
      </c>
      <c r="J2" s="10" t="s">
        <v>1162</v>
      </c>
      <c r="K2" s="10" t="s">
        <v>153</v>
      </c>
      <c r="L2" s="10">
        <v>3301.0</v>
      </c>
      <c r="M2" s="10" t="s">
        <v>1439</v>
      </c>
      <c r="N2" s="379"/>
      <c r="O2" s="380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  <c r="AD2" s="378"/>
      <c r="AE2" s="378"/>
      <c r="AF2" s="378"/>
      <c r="AG2" s="378"/>
    </row>
    <row r="3">
      <c r="A3" s="372"/>
      <c r="B3" s="10" t="s">
        <v>1437</v>
      </c>
      <c r="C3" s="10" t="s">
        <v>139</v>
      </c>
      <c r="D3" s="11">
        <v>45990.0</v>
      </c>
      <c r="E3" s="10">
        <v>14256.0</v>
      </c>
      <c r="F3" s="10" t="s">
        <v>1156</v>
      </c>
      <c r="G3" s="10" t="s">
        <v>1157</v>
      </c>
      <c r="H3" s="12">
        <v>700.0</v>
      </c>
      <c r="I3" s="13">
        <v>680.0</v>
      </c>
      <c r="J3" s="10" t="s">
        <v>1158</v>
      </c>
      <c r="K3" s="10" t="s">
        <v>103</v>
      </c>
      <c r="L3" s="10">
        <v>2675.0</v>
      </c>
      <c r="M3" s="10" t="s">
        <v>1440</v>
      </c>
      <c r="N3" s="379"/>
      <c r="O3" s="380"/>
      <c r="P3" s="378"/>
      <c r="Q3" s="378"/>
      <c r="R3" s="378"/>
      <c r="S3" s="378"/>
      <c r="T3" s="378"/>
      <c r="U3" s="378"/>
      <c r="V3" s="378"/>
      <c r="W3" s="378"/>
      <c r="X3" s="378"/>
      <c r="Y3" s="378"/>
      <c r="Z3" s="378"/>
      <c r="AA3" s="378"/>
      <c r="AB3" s="378"/>
      <c r="AC3" s="378"/>
      <c r="AD3" s="378"/>
      <c r="AE3" s="378"/>
      <c r="AF3" s="378"/>
      <c r="AG3" s="378"/>
    </row>
    <row r="4">
      <c r="A4" s="372"/>
      <c r="B4" s="10" t="s">
        <v>1437</v>
      </c>
      <c r="C4" s="10" t="s">
        <v>1441</v>
      </c>
      <c r="D4" s="11">
        <v>45990.0</v>
      </c>
      <c r="E4" s="10">
        <v>12639.0</v>
      </c>
      <c r="F4" s="10" t="s">
        <v>1153</v>
      </c>
      <c r="G4" s="10" t="s">
        <v>1154</v>
      </c>
      <c r="H4" s="12">
        <v>3000.0</v>
      </c>
      <c r="I4" s="13">
        <v>1872.33</v>
      </c>
      <c r="J4" s="10" t="s">
        <v>1155</v>
      </c>
      <c r="K4" s="10" t="s">
        <v>103</v>
      </c>
      <c r="L4" s="10">
        <v>2675.0</v>
      </c>
      <c r="M4" s="10" t="s">
        <v>1439</v>
      </c>
      <c r="N4" s="379"/>
      <c r="O4" s="380"/>
      <c r="P4" s="378"/>
      <c r="Q4" s="378"/>
      <c r="R4" s="378"/>
      <c r="S4" s="378"/>
      <c r="T4" s="378"/>
      <c r="U4" s="378"/>
      <c r="V4" s="378"/>
      <c r="W4" s="378"/>
      <c r="X4" s="378"/>
      <c r="Y4" s="378"/>
      <c r="Z4" s="378"/>
      <c r="AA4" s="378"/>
      <c r="AB4" s="378"/>
      <c r="AC4" s="378"/>
      <c r="AD4" s="378"/>
      <c r="AE4" s="378"/>
      <c r="AF4" s="378"/>
      <c r="AG4" s="378"/>
    </row>
    <row r="5">
      <c r="A5" s="372"/>
      <c r="B5" s="10" t="s">
        <v>1437</v>
      </c>
      <c r="C5" s="10" t="s">
        <v>1442</v>
      </c>
      <c r="D5" s="11">
        <v>45989.0</v>
      </c>
      <c r="E5" s="10">
        <v>396969.0</v>
      </c>
      <c r="F5" s="10" t="s">
        <v>1150</v>
      </c>
      <c r="G5" s="10" t="s">
        <v>1151</v>
      </c>
      <c r="H5" s="12">
        <v>870.0</v>
      </c>
      <c r="I5" s="13">
        <v>397.0</v>
      </c>
      <c r="J5" s="10" t="s">
        <v>1152</v>
      </c>
      <c r="K5" s="10" t="s">
        <v>153</v>
      </c>
      <c r="L5" s="10">
        <v>3301.0</v>
      </c>
      <c r="M5" s="10" t="s">
        <v>1443</v>
      </c>
      <c r="N5" s="379"/>
      <c r="O5" s="380"/>
      <c r="P5" s="378"/>
      <c r="Q5" s="378"/>
      <c r="R5" s="378"/>
      <c r="S5" s="378"/>
      <c r="T5" s="378"/>
      <c r="U5" s="378"/>
      <c r="V5" s="378"/>
      <c r="W5" s="378"/>
      <c r="X5" s="378"/>
      <c r="Y5" s="378"/>
      <c r="Z5" s="378"/>
      <c r="AA5" s="378"/>
      <c r="AB5" s="378"/>
      <c r="AC5" s="378"/>
      <c r="AD5" s="378"/>
      <c r="AE5" s="378"/>
      <c r="AF5" s="378"/>
      <c r="AG5" s="378"/>
    </row>
    <row r="6">
      <c r="A6" s="372"/>
      <c r="B6" s="10" t="s">
        <v>1437</v>
      </c>
      <c r="C6" s="10" t="s">
        <v>1444</v>
      </c>
      <c r="D6" s="11">
        <v>45989.0</v>
      </c>
      <c r="E6" s="10" t="s">
        <v>1147</v>
      </c>
      <c r="F6" s="10" t="s">
        <v>1148</v>
      </c>
      <c r="G6" s="10" t="s">
        <v>200</v>
      </c>
      <c r="H6" s="12">
        <v>6400.0</v>
      </c>
      <c r="I6" s="13">
        <v>2663.0</v>
      </c>
      <c r="J6" s="10" t="s">
        <v>1149</v>
      </c>
      <c r="K6" s="10" t="s">
        <v>37</v>
      </c>
      <c r="L6" s="10">
        <v>659.0</v>
      </c>
      <c r="M6" s="10" t="s">
        <v>1440</v>
      </c>
      <c r="N6" s="379"/>
      <c r="O6" s="380"/>
      <c r="P6" s="378"/>
      <c r="Q6" s="378"/>
      <c r="R6" s="378"/>
      <c r="S6" s="378"/>
      <c r="T6" s="378"/>
      <c r="U6" s="378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</row>
    <row r="7">
      <c r="A7" s="372"/>
      <c r="B7" s="10" t="s">
        <v>1437</v>
      </c>
      <c r="C7" s="10" t="s">
        <v>128</v>
      </c>
      <c r="D7" s="11">
        <v>45989.0</v>
      </c>
      <c r="E7" s="10">
        <v>2795724.0</v>
      </c>
      <c r="F7" s="10" t="s">
        <v>1145</v>
      </c>
      <c r="G7" s="10" t="s">
        <v>190</v>
      </c>
      <c r="H7" s="12">
        <v>2200.0</v>
      </c>
      <c r="I7" s="13">
        <v>935.0</v>
      </c>
      <c r="J7" s="10" t="s">
        <v>1146</v>
      </c>
      <c r="K7" s="10" t="s">
        <v>185</v>
      </c>
      <c r="L7" s="10">
        <v>3881.0</v>
      </c>
      <c r="M7" s="10" t="s">
        <v>1440</v>
      </c>
      <c r="N7" s="379"/>
      <c r="O7" s="380"/>
      <c r="P7" s="378"/>
      <c r="Q7" s="378"/>
      <c r="R7" s="378"/>
      <c r="S7" s="378"/>
      <c r="T7" s="378"/>
      <c r="U7" s="378"/>
      <c r="V7" s="378"/>
      <c r="W7" s="378"/>
      <c r="X7" s="378"/>
      <c r="Y7" s="378"/>
      <c r="Z7" s="378"/>
      <c r="AA7" s="378"/>
      <c r="AB7" s="378"/>
      <c r="AC7" s="378"/>
      <c r="AD7" s="378"/>
      <c r="AE7" s="378"/>
      <c r="AF7" s="378"/>
      <c r="AG7" s="378"/>
    </row>
    <row r="8">
      <c r="A8" s="372"/>
      <c r="B8" s="10" t="s">
        <v>1437</v>
      </c>
      <c r="C8" s="10" t="s">
        <v>186</v>
      </c>
      <c r="D8" s="11">
        <v>45989.0</v>
      </c>
      <c r="E8" s="10">
        <v>5.35457817E8</v>
      </c>
      <c r="F8" s="10" t="s">
        <v>1141</v>
      </c>
      <c r="G8" s="10" t="s">
        <v>1142</v>
      </c>
      <c r="H8" s="12">
        <v>2350.0</v>
      </c>
      <c r="I8" s="13">
        <v>1254.0</v>
      </c>
      <c r="J8" s="10" t="s">
        <v>1143</v>
      </c>
      <c r="K8" s="10" t="s">
        <v>1144</v>
      </c>
      <c r="L8" s="10">
        <v>2774.0</v>
      </c>
      <c r="M8" s="10" t="s">
        <v>1440</v>
      </c>
      <c r="N8" s="379"/>
      <c r="O8" s="380"/>
      <c r="P8" s="378"/>
      <c r="Q8" s="378"/>
      <c r="R8" s="378"/>
      <c r="S8" s="378"/>
      <c r="T8" s="378"/>
      <c r="U8" s="378"/>
      <c r="V8" s="378"/>
      <c r="W8" s="378"/>
      <c r="X8" s="378"/>
      <c r="Y8" s="378"/>
      <c r="Z8" s="378"/>
      <c r="AA8" s="378"/>
      <c r="AB8" s="378"/>
      <c r="AC8" s="378"/>
      <c r="AD8" s="378"/>
      <c r="AE8" s="378"/>
      <c r="AF8" s="378"/>
      <c r="AG8" s="378"/>
    </row>
    <row r="9">
      <c r="A9" s="372"/>
      <c r="B9" s="10" t="s">
        <v>1437</v>
      </c>
      <c r="C9" s="10" t="s">
        <v>54</v>
      </c>
      <c r="D9" s="11">
        <v>45986.0</v>
      </c>
      <c r="E9" s="10" t="s">
        <v>1137</v>
      </c>
      <c r="F9" s="10" t="s">
        <v>1132</v>
      </c>
      <c r="G9" s="10" t="s">
        <v>1138</v>
      </c>
      <c r="H9" s="12">
        <v>1425.0</v>
      </c>
      <c r="I9" s="13">
        <v>0.0</v>
      </c>
      <c r="J9" s="10" t="s">
        <v>1140</v>
      </c>
      <c r="K9" s="10" t="s">
        <v>175</v>
      </c>
      <c r="L9" s="10">
        <v>3819.0</v>
      </c>
      <c r="M9" s="10" t="s">
        <v>1440</v>
      </c>
      <c r="N9" s="379"/>
      <c r="O9" s="380"/>
      <c r="P9" s="378"/>
      <c r="Q9" s="378"/>
      <c r="R9" s="378"/>
      <c r="S9" s="378"/>
      <c r="T9" s="378"/>
      <c r="U9" s="378"/>
      <c r="V9" s="378"/>
      <c r="W9" s="378"/>
      <c r="X9" s="378"/>
      <c r="Y9" s="378"/>
      <c r="Z9" s="378"/>
      <c r="AA9" s="378"/>
      <c r="AB9" s="378"/>
      <c r="AC9" s="378"/>
      <c r="AD9" s="378"/>
      <c r="AE9" s="378"/>
      <c r="AF9" s="378"/>
      <c r="AG9" s="378"/>
    </row>
    <row r="10">
      <c r="A10" s="372"/>
      <c r="B10" s="10" t="s">
        <v>1437</v>
      </c>
      <c r="C10" s="10" t="s">
        <v>54</v>
      </c>
      <c r="D10" s="11">
        <v>45986.0</v>
      </c>
      <c r="E10" s="10" t="s">
        <v>1137</v>
      </c>
      <c r="F10" s="10" t="s">
        <v>1132</v>
      </c>
      <c r="G10" s="10" t="s">
        <v>1138</v>
      </c>
      <c r="H10" s="12">
        <v>0.0</v>
      </c>
      <c r="I10" s="13">
        <v>0.0</v>
      </c>
      <c r="J10" s="10" t="s">
        <v>1139</v>
      </c>
      <c r="K10" s="708"/>
      <c r="L10" s="708"/>
      <c r="M10" s="10" t="s">
        <v>1445</v>
      </c>
      <c r="N10" s="379"/>
      <c r="O10" s="380"/>
      <c r="P10" s="378"/>
      <c r="Q10" s="378"/>
      <c r="R10" s="378"/>
      <c r="S10" s="378"/>
      <c r="T10" s="378"/>
      <c r="U10" s="378"/>
      <c r="V10" s="378"/>
      <c r="W10" s="378"/>
      <c r="X10" s="378"/>
      <c r="Y10" s="378"/>
      <c r="Z10" s="378"/>
      <c r="AA10" s="378"/>
      <c r="AB10" s="378"/>
      <c r="AC10" s="378"/>
      <c r="AD10" s="378"/>
      <c r="AE10" s="378"/>
      <c r="AF10" s="378"/>
      <c r="AG10" s="378"/>
    </row>
    <row r="11">
      <c r="A11" s="372"/>
      <c r="B11" s="10" t="s">
        <v>1437</v>
      </c>
      <c r="C11" s="10" t="s">
        <v>54</v>
      </c>
      <c r="D11" s="11">
        <v>45987.0</v>
      </c>
      <c r="E11" s="10" t="s">
        <v>1135</v>
      </c>
      <c r="F11" s="10" t="s">
        <v>1132</v>
      </c>
      <c r="G11" s="10" t="s">
        <v>331</v>
      </c>
      <c r="H11" s="12">
        <v>1350.0</v>
      </c>
      <c r="I11" s="13">
        <v>0.0</v>
      </c>
      <c r="J11" s="10" t="s">
        <v>1136</v>
      </c>
      <c r="K11" s="10" t="s">
        <v>175</v>
      </c>
      <c r="L11" s="10">
        <v>3819.0</v>
      </c>
      <c r="M11" s="10" t="s">
        <v>1440</v>
      </c>
      <c r="N11" s="379"/>
      <c r="O11" s="380"/>
      <c r="P11" s="378"/>
      <c r="Q11" s="378"/>
      <c r="R11" s="378"/>
      <c r="S11" s="378"/>
      <c r="T11" s="378"/>
      <c r="U11" s="378"/>
      <c r="V11" s="378"/>
      <c r="W11" s="378"/>
      <c r="X11" s="378"/>
      <c r="Y11" s="378"/>
      <c r="Z11" s="378"/>
      <c r="AA11" s="378"/>
      <c r="AB11" s="378"/>
      <c r="AC11" s="378"/>
      <c r="AD11" s="378"/>
      <c r="AE11" s="378"/>
      <c r="AF11" s="378"/>
      <c r="AG11" s="378"/>
    </row>
    <row r="12">
      <c r="A12" s="372"/>
      <c r="B12" s="10" t="s">
        <v>1437</v>
      </c>
      <c r="C12" s="10" t="s">
        <v>54</v>
      </c>
      <c r="D12" s="11">
        <v>45987.0</v>
      </c>
      <c r="E12" s="10" t="s">
        <v>1131</v>
      </c>
      <c r="F12" s="10" t="s">
        <v>1132</v>
      </c>
      <c r="G12" s="10" t="s">
        <v>1133</v>
      </c>
      <c r="H12" s="12">
        <v>1025.0</v>
      </c>
      <c r="I12" s="13">
        <v>2155.0</v>
      </c>
      <c r="J12" s="10" t="s">
        <v>1134</v>
      </c>
      <c r="K12" s="10" t="s">
        <v>175</v>
      </c>
      <c r="L12" s="10">
        <v>3819.0</v>
      </c>
      <c r="M12" s="10" t="s">
        <v>1440</v>
      </c>
      <c r="N12" s="379"/>
      <c r="O12" s="380"/>
      <c r="P12" s="378"/>
      <c r="Q12" s="378"/>
      <c r="R12" s="378"/>
      <c r="S12" s="378"/>
      <c r="T12" s="378"/>
      <c r="U12" s="378"/>
      <c r="V12" s="378"/>
      <c r="W12" s="378"/>
      <c r="X12" s="378"/>
      <c r="Y12" s="378"/>
      <c r="Z12" s="378"/>
      <c r="AA12" s="378"/>
      <c r="AB12" s="378"/>
      <c r="AC12" s="378"/>
      <c r="AD12" s="378"/>
      <c r="AE12" s="378"/>
      <c r="AF12" s="378"/>
      <c r="AG12" s="378"/>
    </row>
    <row r="13">
      <c r="A13" s="372"/>
      <c r="B13" s="10" t="s">
        <v>1437</v>
      </c>
      <c r="C13" s="10" t="s">
        <v>186</v>
      </c>
      <c r="D13" s="11">
        <v>45987.0</v>
      </c>
      <c r="E13" s="10">
        <v>5.36172052E8</v>
      </c>
      <c r="F13" s="10" t="s">
        <v>1128</v>
      </c>
      <c r="G13" s="10" t="s">
        <v>1129</v>
      </c>
      <c r="H13" s="12">
        <v>2400.0</v>
      </c>
      <c r="I13" s="13">
        <v>930.0</v>
      </c>
      <c r="J13" s="10" t="s">
        <v>1130</v>
      </c>
      <c r="K13" s="10" t="s">
        <v>1063</v>
      </c>
      <c r="L13" s="10">
        <v>913.0</v>
      </c>
      <c r="M13" s="10" t="s">
        <v>1443</v>
      </c>
      <c r="N13" s="379"/>
      <c r="O13" s="380"/>
      <c r="P13" s="378"/>
      <c r="Q13" s="378"/>
      <c r="R13" s="378"/>
      <c r="S13" s="378"/>
      <c r="T13" s="378"/>
      <c r="U13" s="378"/>
      <c r="V13" s="378"/>
      <c r="W13" s="378"/>
      <c r="X13" s="378"/>
      <c r="Y13" s="378"/>
      <c r="Z13" s="378"/>
      <c r="AA13" s="378"/>
      <c r="AB13" s="378"/>
      <c r="AC13" s="378"/>
      <c r="AD13" s="378"/>
      <c r="AE13" s="378"/>
      <c r="AF13" s="378"/>
      <c r="AG13" s="378"/>
    </row>
    <row r="14">
      <c r="A14" s="372"/>
      <c r="B14" s="10" t="s">
        <v>1437</v>
      </c>
      <c r="C14" s="10" t="s">
        <v>186</v>
      </c>
      <c r="D14" s="11">
        <v>45987.0</v>
      </c>
      <c r="E14" s="10">
        <v>5.36184345E8</v>
      </c>
      <c r="F14" s="10" t="s">
        <v>1124</v>
      </c>
      <c r="G14" s="10" t="s">
        <v>1125</v>
      </c>
      <c r="H14" s="12">
        <v>800.0</v>
      </c>
      <c r="I14" s="13">
        <v>411.0</v>
      </c>
      <c r="J14" s="10" t="s">
        <v>1127</v>
      </c>
      <c r="K14" s="10" t="s">
        <v>215</v>
      </c>
      <c r="L14" s="10">
        <v>6813.0</v>
      </c>
      <c r="M14" s="10" t="s">
        <v>1440</v>
      </c>
      <c r="N14" s="379"/>
      <c r="O14" s="380"/>
      <c r="P14" s="378"/>
      <c r="Q14" s="378"/>
      <c r="R14" s="378"/>
      <c r="S14" s="378"/>
      <c r="T14" s="378"/>
      <c r="U14" s="378"/>
      <c r="V14" s="378"/>
      <c r="W14" s="378"/>
      <c r="X14" s="378"/>
      <c r="Y14" s="378"/>
      <c r="Z14" s="378"/>
      <c r="AA14" s="378"/>
      <c r="AB14" s="378"/>
      <c r="AC14" s="378"/>
      <c r="AD14" s="378"/>
      <c r="AE14" s="378"/>
      <c r="AF14" s="378"/>
      <c r="AG14" s="378"/>
    </row>
    <row r="15">
      <c r="A15" s="372"/>
      <c r="B15" s="10" t="s">
        <v>1437</v>
      </c>
      <c r="C15" s="10" t="s">
        <v>186</v>
      </c>
      <c r="D15" s="11">
        <v>45987.0</v>
      </c>
      <c r="E15" s="10">
        <v>5.36184345E8</v>
      </c>
      <c r="F15" s="10" t="s">
        <v>1124</v>
      </c>
      <c r="G15" s="10" t="s">
        <v>1125</v>
      </c>
      <c r="H15" s="12">
        <v>0.0</v>
      </c>
      <c r="I15" s="13">
        <v>0.0</v>
      </c>
      <c r="J15" s="10" t="s">
        <v>1126</v>
      </c>
      <c r="K15" s="708"/>
      <c r="L15" s="708"/>
      <c r="M15" s="10" t="s">
        <v>1445</v>
      </c>
      <c r="N15" s="379"/>
      <c r="O15" s="380"/>
      <c r="P15" s="378"/>
      <c r="Q15" s="378"/>
      <c r="R15" s="378"/>
      <c r="S15" s="378"/>
      <c r="T15" s="378"/>
      <c r="U15" s="378"/>
      <c r="V15" s="378"/>
      <c r="W15" s="378"/>
      <c r="X15" s="378"/>
      <c r="Y15" s="378"/>
      <c r="Z15" s="378"/>
      <c r="AA15" s="378"/>
      <c r="AB15" s="378"/>
      <c r="AC15" s="378"/>
      <c r="AD15" s="378"/>
      <c r="AE15" s="378"/>
      <c r="AF15" s="378"/>
      <c r="AG15" s="378"/>
    </row>
    <row r="16">
      <c r="A16" s="372"/>
      <c r="B16" s="10" t="s">
        <v>1437</v>
      </c>
      <c r="C16" s="10" t="s">
        <v>20</v>
      </c>
      <c r="D16" s="11">
        <v>45987.0</v>
      </c>
      <c r="E16" s="10">
        <v>2.0714865E7</v>
      </c>
      <c r="F16" s="10" t="s">
        <v>269</v>
      </c>
      <c r="G16" s="10" t="s">
        <v>1122</v>
      </c>
      <c r="H16" s="12">
        <v>800.0</v>
      </c>
      <c r="I16" s="13">
        <v>424.0</v>
      </c>
      <c r="J16" s="10" t="s">
        <v>1123</v>
      </c>
      <c r="K16" s="10" t="s">
        <v>37</v>
      </c>
      <c r="L16" s="10">
        <v>659.0</v>
      </c>
      <c r="M16" s="10" t="s">
        <v>1443</v>
      </c>
      <c r="N16" s="379"/>
      <c r="O16" s="380"/>
      <c r="P16" s="378"/>
      <c r="Q16" s="378"/>
      <c r="R16" s="378"/>
      <c r="S16" s="378"/>
      <c r="T16" s="378"/>
      <c r="U16" s="378"/>
      <c r="V16" s="378"/>
      <c r="W16" s="378"/>
      <c r="X16" s="378"/>
      <c r="Y16" s="378"/>
      <c r="Z16" s="378"/>
      <c r="AA16" s="378"/>
      <c r="AB16" s="378"/>
      <c r="AC16" s="378"/>
      <c r="AD16" s="378"/>
      <c r="AE16" s="378"/>
      <c r="AF16" s="378"/>
      <c r="AG16" s="378"/>
    </row>
    <row r="17">
      <c r="A17" s="372"/>
      <c r="B17" s="10" t="s">
        <v>1437</v>
      </c>
      <c r="C17" s="10" t="s">
        <v>198</v>
      </c>
      <c r="D17" s="11">
        <v>45987.0</v>
      </c>
      <c r="E17" s="10">
        <v>2177290.0</v>
      </c>
      <c r="F17" s="10" t="s">
        <v>1119</v>
      </c>
      <c r="G17" s="10" t="s">
        <v>1120</v>
      </c>
      <c r="H17" s="12">
        <v>2500.0</v>
      </c>
      <c r="I17" s="13">
        <v>782.0</v>
      </c>
      <c r="J17" s="10" t="s">
        <v>1121</v>
      </c>
      <c r="K17" s="10" t="s">
        <v>197</v>
      </c>
      <c r="L17" s="10">
        <v>6643.0</v>
      </c>
      <c r="M17" s="10" t="s">
        <v>1443</v>
      </c>
      <c r="N17" s="379"/>
      <c r="O17" s="380"/>
      <c r="P17" s="378"/>
      <c r="Q17" s="378"/>
      <c r="R17" s="378"/>
      <c r="S17" s="378"/>
      <c r="T17" s="378"/>
      <c r="U17" s="378"/>
      <c r="V17" s="378"/>
      <c r="W17" s="378"/>
      <c r="X17" s="378"/>
      <c r="Y17" s="378"/>
      <c r="Z17" s="378"/>
      <c r="AA17" s="378"/>
      <c r="AB17" s="378"/>
      <c r="AC17" s="378"/>
      <c r="AD17" s="378"/>
      <c r="AE17" s="378"/>
      <c r="AF17" s="378"/>
      <c r="AG17" s="378"/>
    </row>
    <row r="18">
      <c r="A18" s="372"/>
      <c r="B18" s="10" t="s">
        <v>1437</v>
      </c>
      <c r="C18" s="10" t="s">
        <v>63</v>
      </c>
      <c r="D18" s="11">
        <v>45987.0</v>
      </c>
      <c r="E18" s="10">
        <v>1243985.0</v>
      </c>
      <c r="F18" s="10" t="s">
        <v>1117</v>
      </c>
      <c r="G18" s="10" t="s">
        <v>1046</v>
      </c>
      <c r="H18" s="12">
        <v>6100.0</v>
      </c>
      <c r="I18" s="13">
        <v>2823.0</v>
      </c>
      <c r="J18" s="10" t="s">
        <v>1118</v>
      </c>
      <c r="K18" s="10" t="s">
        <v>274</v>
      </c>
      <c r="L18" s="10">
        <v>7352.0</v>
      </c>
      <c r="M18" s="10" t="s">
        <v>1440</v>
      </c>
      <c r="N18" s="379"/>
      <c r="O18" s="380"/>
      <c r="P18" s="378"/>
      <c r="Q18" s="378"/>
      <c r="R18" s="378"/>
      <c r="S18" s="378"/>
      <c r="T18" s="378"/>
      <c r="U18" s="378"/>
      <c r="V18" s="378"/>
      <c r="W18" s="378"/>
      <c r="X18" s="378"/>
      <c r="Y18" s="378"/>
      <c r="Z18" s="378"/>
      <c r="AA18" s="378"/>
      <c r="AB18" s="378"/>
      <c r="AC18" s="378"/>
      <c r="AD18" s="378"/>
      <c r="AE18" s="378"/>
      <c r="AF18" s="378"/>
      <c r="AG18" s="378"/>
    </row>
    <row r="19">
      <c r="A19" s="372"/>
      <c r="B19" s="10" t="s">
        <v>1437</v>
      </c>
      <c r="C19" s="10" t="s">
        <v>206</v>
      </c>
      <c r="D19" s="11">
        <v>45987.0</v>
      </c>
      <c r="E19" s="10" t="s">
        <v>1113</v>
      </c>
      <c r="F19" s="10" t="s">
        <v>1114</v>
      </c>
      <c r="G19" s="10" t="s">
        <v>1115</v>
      </c>
      <c r="H19" s="12">
        <v>1200.0</v>
      </c>
      <c r="I19" s="13">
        <v>429.0</v>
      </c>
      <c r="J19" s="10" t="s">
        <v>1116</v>
      </c>
      <c r="K19" s="10" t="s">
        <v>103</v>
      </c>
      <c r="L19" s="10">
        <v>2675.0</v>
      </c>
      <c r="M19" s="10" t="s">
        <v>1443</v>
      </c>
      <c r="N19" s="379"/>
      <c r="O19" s="380"/>
      <c r="P19" s="378"/>
      <c r="Q19" s="378"/>
      <c r="R19" s="378"/>
      <c r="S19" s="378"/>
      <c r="T19" s="378"/>
      <c r="U19" s="378"/>
      <c r="V19" s="378"/>
      <c r="W19" s="378"/>
      <c r="X19" s="378"/>
      <c r="Y19" s="378"/>
      <c r="Z19" s="378"/>
      <c r="AA19" s="378"/>
      <c r="AB19" s="378"/>
      <c r="AC19" s="378"/>
      <c r="AD19" s="378"/>
      <c r="AE19" s="378"/>
      <c r="AF19" s="378"/>
      <c r="AG19" s="378"/>
    </row>
    <row r="20">
      <c r="A20" s="372"/>
      <c r="B20" s="10" t="s">
        <v>1437</v>
      </c>
      <c r="C20" s="10" t="s">
        <v>338</v>
      </c>
      <c r="D20" s="11">
        <v>45987.0</v>
      </c>
      <c r="E20" s="10">
        <v>1.5486212E7</v>
      </c>
      <c r="F20" s="10" t="s">
        <v>136</v>
      </c>
      <c r="G20" s="10" t="s">
        <v>1111</v>
      </c>
      <c r="H20" s="12">
        <v>5700.0</v>
      </c>
      <c r="I20" s="13">
        <v>3029.0</v>
      </c>
      <c r="J20" s="10" t="s">
        <v>1112</v>
      </c>
      <c r="K20" s="10" t="s">
        <v>320</v>
      </c>
      <c r="L20" s="10">
        <v>9348.0</v>
      </c>
      <c r="M20" s="10" t="s">
        <v>1440</v>
      </c>
      <c r="N20" s="379"/>
      <c r="O20" s="380"/>
      <c r="P20" s="378"/>
      <c r="Q20" s="378"/>
      <c r="R20" s="378"/>
      <c r="S20" s="378"/>
      <c r="T20" s="378"/>
      <c r="U20" s="378"/>
      <c r="V20" s="378"/>
      <c r="W20" s="378"/>
      <c r="X20" s="378"/>
      <c r="Y20" s="378"/>
      <c r="Z20" s="378"/>
      <c r="AA20" s="378"/>
      <c r="AB20" s="378"/>
      <c r="AC20" s="378"/>
      <c r="AD20" s="378"/>
      <c r="AE20" s="378"/>
      <c r="AF20" s="378"/>
      <c r="AG20" s="378"/>
    </row>
    <row r="21">
      <c r="A21" s="372"/>
      <c r="B21" s="10" t="s">
        <v>1437</v>
      </c>
      <c r="C21" s="10" t="s">
        <v>1446</v>
      </c>
      <c r="D21" s="11">
        <v>45987.0</v>
      </c>
      <c r="E21" s="10" t="s">
        <v>1107</v>
      </c>
      <c r="F21" s="10" t="s">
        <v>1108</v>
      </c>
      <c r="G21" s="10" t="s">
        <v>1109</v>
      </c>
      <c r="H21" s="12">
        <v>4100.0</v>
      </c>
      <c r="I21" s="13">
        <v>2263.0</v>
      </c>
      <c r="J21" s="10" t="s">
        <v>1110</v>
      </c>
      <c r="K21" s="10" t="s">
        <v>1002</v>
      </c>
      <c r="L21" s="10">
        <v>9334.0</v>
      </c>
      <c r="M21" s="10" t="s">
        <v>1440</v>
      </c>
      <c r="N21" s="379"/>
      <c r="O21" s="380"/>
      <c r="P21" s="378"/>
      <c r="Q21" s="378"/>
      <c r="R21" s="378"/>
      <c r="S21" s="378"/>
      <c r="T21" s="378"/>
      <c r="U21" s="378"/>
      <c r="V21" s="378"/>
      <c r="W21" s="378"/>
      <c r="X21" s="378"/>
      <c r="Y21" s="378"/>
      <c r="Z21" s="378"/>
      <c r="AA21" s="378"/>
      <c r="AB21" s="378"/>
      <c r="AC21" s="378"/>
      <c r="AD21" s="378"/>
      <c r="AE21" s="378"/>
      <c r="AF21" s="378"/>
      <c r="AG21" s="378"/>
    </row>
    <row r="22">
      <c r="A22" s="372"/>
      <c r="B22" s="10" t="s">
        <v>1437</v>
      </c>
      <c r="C22" s="10" t="s">
        <v>186</v>
      </c>
      <c r="D22" s="11">
        <v>45987.0</v>
      </c>
      <c r="E22" s="10">
        <v>5.34524106E8</v>
      </c>
      <c r="F22" s="10" t="s">
        <v>1104</v>
      </c>
      <c r="G22" s="22" t="s">
        <v>1105</v>
      </c>
      <c r="H22" s="12">
        <v>1440.0</v>
      </c>
      <c r="I22" s="13">
        <v>733.0</v>
      </c>
      <c r="J22" s="10" t="s">
        <v>1106</v>
      </c>
      <c r="K22" s="10" t="s">
        <v>185</v>
      </c>
      <c r="L22" s="10">
        <v>3881.0</v>
      </c>
      <c r="M22" s="10" t="s">
        <v>1443</v>
      </c>
      <c r="N22" s="379"/>
      <c r="O22" s="380"/>
      <c r="P22" s="378"/>
      <c r="Q22" s="378"/>
      <c r="R22" s="378"/>
      <c r="S22" s="378"/>
      <c r="T22" s="378"/>
      <c r="U22" s="378"/>
      <c r="V22" s="378"/>
      <c r="W22" s="378"/>
      <c r="X22" s="378"/>
      <c r="Y22" s="378"/>
      <c r="Z22" s="378"/>
      <c r="AA22" s="378"/>
      <c r="AB22" s="378"/>
      <c r="AC22" s="378"/>
      <c r="AD22" s="378"/>
      <c r="AE22" s="378"/>
      <c r="AF22" s="378"/>
      <c r="AG22" s="378"/>
    </row>
    <row r="23">
      <c r="A23" s="372"/>
      <c r="B23" s="10" t="s">
        <v>1437</v>
      </c>
      <c r="C23" s="10" t="s">
        <v>186</v>
      </c>
      <c r="D23" s="11">
        <v>45987.0</v>
      </c>
      <c r="E23" s="10">
        <v>5.36270638E8</v>
      </c>
      <c r="F23" s="10" t="s">
        <v>1101</v>
      </c>
      <c r="G23" s="10" t="s">
        <v>1102</v>
      </c>
      <c r="H23" s="12">
        <v>2800.0</v>
      </c>
      <c r="I23" s="13">
        <v>1921.0</v>
      </c>
      <c r="J23" s="10" t="s">
        <v>1103</v>
      </c>
      <c r="K23" s="10" t="s">
        <v>278</v>
      </c>
      <c r="L23" s="10">
        <v>3866.0</v>
      </c>
      <c r="M23" s="10" t="s">
        <v>1440</v>
      </c>
      <c r="N23" s="379"/>
      <c r="O23" s="380"/>
      <c r="P23" s="378"/>
      <c r="Q23" s="378"/>
      <c r="R23" s="378"/>
      <c r="S23" s="378"/>
      <c r="T23" s="378"/>
      <c r="U23" s="378"/>
      <c r="V23" s="378"/>
      <c r="W23" s="378"/>
      <c r="X23" s="378"/>
      <c r="Y23" s="378"/>
      <c r="Z23" s="378"/>
      <c r="AA23" s="378"/>
      <c r="AB23" s="378"/>
      <c r="AC23" s="378"/>
      <c r="AD23" s="378"/>
      <c r="AE23" s="378"/>
      <c r="AF23" s="378"/>
      <c r="AG23" s="378"/>
    </row>
    <row r="24">
      <c r="A24" s="372"/>
      <c r="B24" s="10" t="s">
        <v>1437</v>
      </c>
      <c r="C24" s="10" t="s">
        <v>1447</v>
      </c>
      <c r="D24" s="11">
        <v>45987.0</v>
      </c>
      <c r="E24" s="10">
        <v>6.5171572E7</v>
      </c>
      <c r="F24" s="10" t="s">
        <v>1098</v>
      </c>
      <c r="G24" s="10" t="s">
        <v>1099</v>
      </c>
      <c r="H24" s="12">
        <v>4700.0</v>
      </c>
      <c r="I24" s="13">
        <v>2887.0</v>
      </c>
      <c r="J24" s="10" t="s">
        <v>1100</v>
      </c>
      <c r="K24" s="10" t="s">
        <v>79</v>
      </c>
      <c r="L24" s="10">
        <v>2316.0</v>
      </c>
      <c r="M24" s="10" t="s">
        <v>1440</v>
      </c>
      <c r="N24" s="379"/>
      <c r="O24" s="380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8"/>
      <c r="AC24" s="378"/>
      <c r="AD24" s="378"/>
      <c r="AE24" s="378"/>
      <c r="AF24" s="378"/>
      <c r="AG24" s="378"/>
    </row>
    <row r="25">
      <c r="A25" s="372"/>
      <c r="B25" s="10" t="s">
        <v>1437</v>
      </c>
      <c r="C25" s="10" t="s">
        <v>186</v>
      </c>
      <c r="D25" s="11">
        <v>45987.0</v>
      </c>
      <c r="E25" s="10">
        <v>5.34465726E8</v>
      </c>
      <c r="F25" s="10" t="s">
        <v>1095</v>
      </c>
      <c r="G25" s="10" t="s">
        <v>1096</v>
      </c>
      <c r="H25" s="12">
        <v>2960.0</v>
      </c>
      <c r="I25" s="13">
        <v>1565.0</v>
      </c>
      <c r="J25" s="10" t="s">
        <v>1097</v>
      </c>
      <c r="K25" s="10" t="s">
        <v>1028</v>
      </c>
      <c r="L25" s="10">
        <v>6339.0</v>
      </c>
      <c r="M25" s="10" t="s">
        <v>1443</v>
      </c>
      <c r="N25" s="379"/>
      <c r="O25" s="380"/>
      <c r="P25" s="378"/>
      <c r="Q25" s="378"/>
      <c r="R25" s="378"/>
      <c r="S25" s="378"/>
      <c r="T25" s="378"/>
      <c r="U25" s="378"/>
      <c r="V25" s="378"/>
      <c r="W25" s="378"/>
      <c r="X25" s="378"/>
      <c r="Y25" s="378"/>
      <c r="Z25" s="378"/>
      <c r="AA25" s="378"/>
      <c r="AB25" s="378"/>
      <c r="AC25" s="378"/>
      <c r="AD25" s="378"/>
      <c r="AE25" s="378"/>
      <c r="AF25" s="378"/>
      <c r="AG25" s="378"/>
    </row>
    <row r="26">
      <c r="A26" s="372"/>
      <c r="B26" s="10" t="s">
        <v>1437</v>
      </c>
      <c r="C26" s="10" t="s">
        <v>186</v>
      </c>
      <c r="D26" s="11">
        <v>45987.0</v>
      </c>
      <c r="E26" s="10">
        <v>5.35945871E8</v>
      </c>
      <c r="F26" s="10" t="s">
        <v>1448</v>
      </c>
      <c r="G26" s="10" t="s">
        <v>1449</v>
      </c>
      <c r="H26" s="12">
        <v>1650.0</v>
      </c>
      <c r="I26" s="13">
        <v>747.39</v>
      </c>
      <c r="J26" s="10" t="s">
        <v>1450</v>
      </c>
      <c r="K26" s="10" t="s">
        <v>1144</v>
      </c>
      <c r="L26" s="10">
        <v>2774.0</v>
      </c>
      <c r="M26" s="10" t="s">
        <v>1451</v>
      </c>
      <c r="N26" s="379"/>
      <c r="O26" s="380"/>
      <c r="P26" s="378"/>
      <c r="Q26" s="378"/>
      <c r="R26" s="378"/>
      <c r="S26" s="378"/>
      <c r="T26" s="378"/>
      <c r="U26" s="378"/>
      <c r="V26" s="378"/>
      <c r="W26" s="378"/>
      <c r="X26" s="378"/>
      <c r="Y26" s="378"/>
      <c r="Z26" s="378"/>
      <c r="AA26" s="378"/>
      <c r="AB26" s="378"/>
      <c r="AC26" s="378"/>
      <c r="AD26" s="378"/>
      <c r="AE26" s="378"/>
      <c r="AF26" s="378"/>
      <c r="AG26" s="378"/>
    </row>
    <row r="27">
      <c r="A27" s="372"/>
      <c r="B27" s="10" t="s">
        <v>1437</v>
      </c>
      <c r="C27" s="10" t="s">
        <v>104</v>
      </c>
      <c r="D27" s="11">
        <v>45986.0</v>
      </c>
      <c r="E27" s="10">
        <v>5.35758159E8</v>
      </c>
      <c r="F27" s="10" t="s">
        <v>1092</v>
      </c>
      <c r="G27" s="10" t="s">
        <v>1093</v>
      </c>
      <c r="H27" s="12">
        <v>708.8</v>
      </c>
      <c r="I27" s="13">
        <v>352.0</v>
      </c>
      <c r="J27" s="10" t="s">
        <v>1094</v>
      </c>
      <c r="K27" s="10" t="s">
        <v>37</v>
      </c>
      <c r="L27" s="10">
        <v>659.0</v>
      </c>
      <c r="M27" s="10" t="s">
        <v>1452</v>
      </c>
      <c r="N27" s="379"/>
      <c r="O27" s="380"/>
      <c r="P27" s="378"/>
      <c r="Q27" s="378"/>
      <c r="R27" s="378"/>
      <c r="S27" s="378"/>
      <c r="T27" s="378"/>
      <c r="U27" s="378"/>
      <c r="V27" s="378"/>
      <c r="W27" s="378"/>
      <c r="X27" s="378"/>
      <c r="Y27" s="378"/>
      <c r="Z27" s="378"/>
      <c r="AA27" s="378"/>
      <c r="AB27" s="378"/>
      <c r="AC27" s="378"/>
      <c r="AD27" s="378"/>
      <c r="AE27" s="378"/>
      <c r="AF27" s="378"/>
      <c r="AG27" s="378"/>
    </row>
    <row r="28">
      <c r="A28" s="372"/>
      <c r="B28" s="10" t="s">
        <v>1437</v>
      </c>
      <c r="C28" s="10" t="s">
        <v>186</v>
      </c>
      <c r="D28" s="11">
        <v>45986.0</v>
      </c>
      <c r="E28" s="10">
        <v>5.35949541E8</v>
      </c>
      <c r="F28" s="10" t="s">
        <v>130</v>
      </c>
      <c r="G28" s="10" t="s">
        <v>1090</v>
      </c>
      <c r="H28" s="12">
        <v>1700.0</v>
      </c>
      <c r="I28" s="13">
        <v>448.0</v>
      </c>
      <c r="J28" s="10" t="s">
        <v>1091</v>
      </c>
      <c r="K28" s="10" t="s">
        <v>278</v>
      </c>
      <c r="L28" s="10">
        <v>3866.0</v>
      </c>
      <c r="M28" s="10" t="s">
        <v>1452</v>
      </c>
      <c r="N28" s="379"/>
      <c r="O28" s="380"/>
      <c r="P28" s="378"/>
      <c r="Q28" s="378"/>
      <c r="R28" s="378"/>
      <c r="S28" s="378"/>
      <c r="T28" s="378"/>
      <c r="U28" s="378"/>
      <c r="V28" s="378"/>
      <c r="W28" s="378"/>
      <c r="X28" s="378"/>
      <c r="Y28" s="378"/>
      <c r="Z28" s="378"/>
      <c r="AA28" s="378"/>
      <c r="AB28" s="378"/>
      <c r="AC28" s="378"/>
      <c r="AD28" s="378"/>
      <c r="AE28" s="378"/>
      <c r="AF28" s="378"/>
      <c r="AG28" s="378"/>
    </row>
    <row r="29">
      <c r="A29" s="372"/>
      <c r="B29" s="10" t="s">
        <v>1437</v>
      </c>
      <c r="C29" s="10" t="s">
        <v>236</v>
      </c>
      <c r="D29" s="11">
        <v>45986.0</v>
      </c>
      <c r="E29" s="10">
        <v>6912758.0</v>
      </c>
      <c r="F29" s="10" t="s">
        <v>1087</v>
      </c>
      <c r="G29" s="10" t="s">
        <v>1088</v>
      </c>
      <c r="H29" s="12">
        <v>3400.0</v>
      </c>
      <c r="I29" s="13">
        <v>1778.0</v>
      </c>
      <c r="J29" s="10" t="s">
        <v>1089</v>
      </c>
      <c r="K29" s="10" t="s">
        <v>19</v>
      </c>
      <c r="L29" s="10">
        <v>427.0</v>
      </c>
      <c r="M29" s="10" t="s">
        <v>1443</v>
      </c>
      <c r="N29" s="379"/>
      <c r="O29" s="380"/>
      <c r="P29" s="378"/>
      <c r="Q29" s="378"/>
      <c r="R29" s="378"/>
      <c r="S29" s="378"/>
      <c r="T29" s="378"/>
      <c r="U29" s="378"/>
      <c r="V29" s="378"/>
      <c r="W29" s="378"/>
      <c r="X29" s="378"/>
      <c r="Y29" s="378"/>
      <c r="Z29" s="378"/>
      <c r="AA29" s="378"/>
      <c r="AB29" s="378"/>
      <c r="AC29" s="378"/>
      <c r="AD29" s="378"/>
      <c r="AE29" s="378"/>
      <c r="AF29" s="378"/>
      <c r="AG29" s="378"/>
    </row>
    <row r="30">
      <c r="A30" s="372"/>
      <c r="B30" s="10" t="s">
        <v>1437</v>
      </c>
      <c r="C30" s="10" t="s">
        <v>1453</v>
      </c>
      <c r="D30" s="11">
        <v>45986.0</v>
      </c>
      <c r="E30" s="10">
        <v>2026142.0</v>
      </c>
      <c r="F30" s="10" t="s">
        <v>1085</v>
      </c>
      <c r="G30" s="10" t="s">
        <v>17</v>
      </c>
      <c r="H30" s="12">
        <v>750.0</v>
      </c>
      <c r="I30" s="13">
        <v>531.0</v>
      </c>
      <c r="J30" s="10" t="s">
        <v>1086</v>
      </c>
      <c r="K30" s="10" t="s">
        <v>1002</v>
      </c>
      <c r="L30" s="10">
        <v>9334.0</v>
      </c>
      <c r="M30" s="10" t="s">
        <v>1452</v>
      </c>
      <c r="N30" s="379"/>
      <c r="O30" s="380"/>
      <c r="P30" s="378"/>
      <c r="Q30" s="378"/>
      <c r="R30" s="378"/>
      <c r="S30" s="378"/>
      <c r="T30" s="378"/>
      <c r="U30" s="378"/>
      <c r="V30" s="378"/>
      <c r="W30" s="378"/>
      <c r="X30" s="378"/>
      <c r="Y30" s="378"/>
      <c r="Z30" s="378"/>
      <c r="AA30" s="378"/>
      <c r="AB30" s="378"/>
      <c r="AC30" s="378"/>
      <c r="AD30" s="378"/>
      <c r="AE30" s="378"/>
      <c r="AF30" s="378"/>
      <c r="AG30" s="378"/>
    </row>
    <row r="31">
      <c r="A31" s="372"/>
      <c r="B31" s="10" t="s">
        <v>1437</v>
      </c>
      <c r="C31" s="10" t="s">
        <v>1454</v>
      </c>
      <c r="D31" s="11">
        <v>45986.0</v>
      </c>
      <c r="E31" s="10" t="s">
        <v>1081</v>
      </c>
      <c r="F31" s="10" t="s">
        <v>1082</v>
      </c>
      <c r="G31" s="10" t="s">
        <v>1083</v>
      </c>
      <c r="H31" s="12">
        <v>1650.0</v>
      </c>
      <c r="I31" s="13">
        <v>871.0</v>
      </c>
      <c r="J31" s="10" t="s">
        <v>1084</v>
      </c>
      <c r="K31" s="10" t="s">
        <v>320</v>
      </c>
      <c r="L31" s="10">
        <v>9348.0</v>
      </c>
      <c r="M31" s="10" t="s">
        <v>1452</v>
      </c>
      <c r="N31" s="379"/>
      <c r="O31" s="380"/>
      <c r="P31" s="378"/>
      <c r="Q31" s="378"/>
      <c r="R31" s="378"/>
      <c r="S31" s="378"/>
      <c r="T31" s="378"/>
      <c r="U31" s="378"/>
      <c r="V31" s="378"/>
      <c r="W31" s="378"/>
      <c r="X31" s="378"/>
      <c r="Y31" s="378"/>
      <c r="Z31" s="378"/>
      <c r="AA31" s="378"/>
      <c r="AB31" s="378"/>
      <c r="AC31" s="378"/>
      <c r="AD31" s="378"/>
      <c r="AE31" s="378"/>
      <c r="AF31" s="378"/>
      <c r="AG31" s="378"/>
    </row>
    <row r="32">
      <c r="A32" s="372"/>
      <c r="B32" s="10" t="s">
        <v>1437</v>
      </c>
      <c r="C32" s="10" t="s">
        <v>1442</v>
      </c>
      <c r="D32" s="11">
        <v>45986.0</v>
      </c>
      <c r="E32" s="10">
        <v>393581.0</v>
      </c>
      <c r="F32" s="10" t="s">
        <v>1078</v>
      </c>
      <c r="G32" s="10" t="s">
        <v>1079</v>
      </c>
      <c r="H32" s="12">
        <v>2350.0</v>
      </c>
      <c r="I32" s="13">
        <v>1025.0</v>
      </c>
      <c r="J32" s="10" t="s">
        <v>1080</v>
      </c>
      <c r="K32" s="10" t="s">
        <v>287</v>
      </c>
      <c r="L32" s="10">
        <v>7807.0</v>
      </c>
      <c r="M32" s="10" t="s">
        <v>1440</v>
      </c>
      <c r="N32" s="379"/>
      <c r="O32" s="380"/>
      <c r="P32" s="378"/>
      <c r="Q32" s="378"/>
      <c r="R32" s="378"/>
      <c r="S32" s="378"/>
      <c r="T32" s="378"/>
      <c r="U32" s="378"/>
      <c r="V32" s="378"/>
      <c r="W32" s="378"/>
      <c r="X32" s="378"/>
      <c r="Y32" s="378"/>
      <c r="Z32" s="378"/>
      <c r="AA32" s="378"/>
      <c r="AB32" s="378"/>
      <c r="AC32" s="378"/>
      <c r="AD32" s="378"/>
      <c r="AE32" s="378"/>
      <c r="AF32" s="378"/>
      <c r="AG32" s="378"/>
    </row>
    <row r="33">
      <c r="A33" s="372"/>
      <c r="B33" s="10" t="s">
        <v>1437</v>
      </c>
      <c r="C33" s="10" t="s">
        <v>1438</v>
      </c>
      <c r="D33" s="11">
        <v>45987.0</v>
      </c>
      <c r="E33" s="10" t="s">
        <v>1074</v>
      </c>
      <c r="F33" s="10" t="s">
        <v>1075</v>
      </c>
      <c r="G33" s="10" t="s">
        <v>1076</v>
      </c>
      <c r="H33" s="12">
        <v>1900.0</v>
      </c>
      <c r="I33" s="13">
        <v>1346.0</v>
      </c>
      <c r="J33" s="10" t="s">
        <v>1077</v>
      </c>
      <c r="K33" s="10" t="s">
        <v>153</v>
      </c>
      <c r="L33" s="10">
        <v>3301.0</v>
      </c>
      <c r="M33" s="10" t="s">
        <v>1443</v>
      </c>
      <c r="N33" s="379"/>
      <c r="O33" s="380"/>
      <c r="P33" s="378"/>
      <c r="Q33" s="378"/>
      <c r="R33" s="378"/>
      <c r="S33" s="378"/>
      <c r="T33" s="378"/>
      <c r="U33" s="378"/>
      <c r="V33" s="378"/>
      <c r="W33" s="378"/>
      <c r="X33" s="378"/>
      <c r="Y33" s="378"/>
      <c r="Z33" s="378"/>
      <c r="AA33" s="378"/>
      <c r="AB33" s="378"/>
      <c r="AC33" s="378"/>
      <c r="AD33" s="378"/>
      <c r="AE33" s="378"/>
      <c r="AF33" s="378"/>
      <c r="AG33" s="378"/>
    </row>
    <row r="34">
      <c r="A34" s="372"/>
      <c r="B34" s="10" t="s">
        <v>1437</v>
      </c>
      <c r="C34" s="10" t="s">
        <v>1455</v>
      </c>
      <c r="D34" s="11">
        <v>45987.0</v>
      </c>
      <c r="E34" s="10">
        <v>1.26138229E8</v>
      </c>
      <c r="F34" s="10" t="s">
        <v>1071</v>
      </c>
      <c r="G34" s="10" t="s">
        <v>1072</v>
      </c>
      <c r="H34" s="12">
        <v>2500.0</v>
      </c>
      <c r="I34" s="13">
        <v>1361.0</v>
      </c>
      <c r="J34" s="10" t="s">
        <v>1073</v>
      </c>
      <c r="K34" s="10" t="s">
        <v>115</v>
      </c>
      <c r="L34" s="10">
        <v>2693.0</v>
      </c>
      <c r="M34" s="10" t="s">
        <v>1440</v>
      </c>
      <c r="N34" s="379"/>
      <c r="O34" s="380"/>
      <c r="P34" s="378"/>
      <c r="Q34" s="378"/>
      <c r="R34" s="378"/>
      <c r="S34" s="378"/>
      <c r="T34" s="378"/>
      <c r="U34" s="378"/>
      <c r="V34" s="378"/>
      <c r="W34" s="378"/>
      <c r="X34" s="378"/>
      <c r="Y34" s="378"/>
      <c r="Z34" s="378"/>
      <c r="AA34" s="378"/>
      <c r="AB34" s="378"/>
      <c r="AC34" s="378"/>
      <c r="AD34" s="378"/>
      <c r="AE34" s="378"/>
      <c r="AF34" s="378"/>
      <c r="AG34" s="378"/>
    </row>
    <row r="35">
      <c r="A35" s="372"/>
      <c r="B35" s="10" t="s">
        <v>1437</v>
      </c>
      <c r="C35" s="10" t="s">
        <v>99</v>
      </c>
      <c r="D35" s="11">
        <v>45986.0</v>
      </c>
      <c r="E35" s="10">
        <v>2884255.0</v>
      </c>
      <c r="F35" s="10" t="s">
        <v>1068</v>
      </c>
      <c r="G35" s="10" t="s">
        <v>1069</v>
      </c>
      <c r="H35" s="12">
        <v>2185.0</v>
      </c>
      <c r="I35" s="13">
        <v>847.0</v>
      </c>
      <c r="J35" s="10" t="s">
        <v>1070</v>
      </c>
      <c r="K35" s="10" t="s">
        <v>115</v>
      </c>
      <c r="L35" s="10">
        <v>2693.0</v>
      </c>
      <c r="M35" s="10" t="s">
        <v>1452</v>
      </c>
      <c r="N35" s="379"/>
      <c r="O35" s="380"/>
      <c r="P35" s="378"/>
      <c r="Q35" s="378"/>
      <c r="R35" s="378"/>
      <c r="S35" s="378"/>
      <c r="T35" s="378"/>
      <c r="U35" s="378"/>
      <c r="V35" s="378"/>
      <c r="W35" s="378"/>
      <c r="X35" s="378"/>
      <c r="Y35" s="378"/>
      <c r="Z35" s="378"/>
      <c r="AA35" s="378"/>
      <c r="AB35" s="378"/>
      <c r="AC35" s="378"/>
      <c r="AD35" s="378"/>
      <c r="AE35" s="378"/>
      <c r="AF35" s="378"/>
      <c r="AG35" s="378"/>
    </row>
    <row r="36">
      <c r="A36" s="372"/>
      <c r="B36" s="10" t="s">
        <v>1437</v>
      </c>
      <c r="C36" s="10" t="s">
        <v>1438</v>
      </c>
      <c r="D36" s="11">
        <v>45986.0</v>
      </c>
      <c r="E36" s="10" t="s">
        <v>1064</v>
      </c>
      <c r="F36" s="10" t="s">
        <v>1065</v>
      </c>
      <c r="G36" s="10" t="s">
        <v>1066</v>
      </c>
      <c r="H36" s="12">
        <v>1600.0</v>
      </c>
      <c r="I36" s="13">
        <v>357.0</v>
      </c>
      <c r="J36" s="10" t="s">
        <v>1067</v>
      </c>
      <c r="K36" s="10" t="s">
        <v>153</v>
      </c>
      <c r="L36" s="10">
        <v>3301.0</v>
      </c>
      <c r="M36" s="10" t="s">
        <v>1452</v>
      </c>
      <c r="N36" s="379"/>
      <c r="O36" s="380"/>
      <c r="P36" s="378"/>
      <c r="Q36" s="378"/>
      <c r="R36" s="378"/>
      <c r="S36" s="378"/>
      <c r="T36" s="378"/>
      <c r="U36" s="378"/>
      <c r="V36" s="378"/>
      <c r="W36" s="378"/>
      <c r="X36" s="378"/>
      <c r="Y36" s="378"/>
      <c r="Z36" s="378"/>
      <c r="AA36" s="378"/>
      <c r="AB36" s="378"/>
      <c r="AC36" s="378"/>
      <c r="AD36" s="378"/>
      <c r="AE36" s="378"/>
      <c r="AF36" s="378"/>
      <c r="AG36" s="378"/>
    </row>
    <row r="37">
      <c r="A37" s="372"/>
      <c r="B37" s="10" t="s">
        <v>1437</v>
      </c>
      <c r="C37" s="10" t="s">
        <v>1456</v>
      </c>
      <c r="D37" s="11">
        <v>45986.0</v>
      </c>
      <c r="E37" s="10">
        <v>642799.0</v>
      </c>
      <c r="F37" s="10" t="s">
        <v>1060</v>
      </c>
      <c r="G37" s="10" t="s">
        <v>1061</v>
      </c>
      <c r="H37" s="12">
        <v>1300.0</v>
      </c>
      <c r="I37" s="13">
        <v>727.0</v>
      </c>
      <c r="J37" s="10" t="s">
        <v>1062</v>
      </c>
      <c r="K37" s="10" t="s">
        <v>1063</v>
      </c>
      <c r="L37" s="10">
        <v>913.0</v>
      </c>
      <c r="M37" s="10" t="s">
        <v>1452</v>
      </c>
      <c r="N37" s="379"/>
      <c r="O37" s="380"/>
      <c r="P37" s="378"/>
      <c r="Q37" s="378"/>
      <c r="R37" s="378"/>
      <c r="S37" s="378"/>
      <c r="T37" s="378"/>
      <c r="U37" s="378"/>
      <c r="V37" s="378"/>
      <c r="W37" s="378"/>
      <c r="X37" s="378"/>
      <c r="Y37" s="378"/>
      <c r="Z37" s="378"/>
      <c r="AA37" s="378"/>
      <c r="AB37" s="378"/>
      <c r="AC37" s="378"/>
      <c r="AD37" s="378"/>
      <c r="AE37" s="378"/>
      <c r="AF37" s="378"/>
      <c r="AG37" s="378"/>
    </row>
    <row r="38">
      <c r="A38" s="372"/>
      <c r="B38" s="10" t="s">
        <v>1437</v>
      </c>
      <c r="C38" s="10" t="s">
        <v>1457</v>
      </c>
      <c r="D38" s="11">
        <v>45986.0</v>
      </c>
      <c r="E38" s="10">
        <v>120482.0</v>
      </c>
      <c r="F38" s="10" t="s">
        <v>1057</v>
      </c>
      <c r="G38" s="10" t="s">
        <v>1058</v>
      </c>
      <c r="H38" s="12">
        <v>1800.0</v>
      </c>
      <c r="I38" s="13">
        <v>434.0</v>
      </c>
      <c r="J38" s="10" t="s">
        <v>1059</v>
      </c>
      <c r="K38" s="10" t="s">
        <v>103</v>
      </c>
      <c r="L38" s="10">
        <v>2675.0</v>
      </c>
      <c r="M38" s="10" t="s">
        <v>1452</v>
      </c>
      <c r="N38" s="379"/>
      <c r="O38" s="380"/>
      <c r="P38" s="378"/>
      <c r="Q38" s="378"/>
      <c r="R38" s="378"/>
      <c r="S38" s="378"/>
      <c r="T38" s="378"/>
      <c r="U38" s="378"/>
      <c r="V38" s="378"/>
      <c r="W38" s="378"/>
      <c r="X38" s="378"/>
      <c r="Y38" s="378"/>
      <c r="Z38" s="378"/>
      <c r="AA38" s="378"/>
      <c r="AB38" s="378"/>
      <c r="AC38" s="378"/>
      <c r="AD38" s="378"/>
      <c r="AE38" s="378"/>
      <c r="AF38" s="378"/>
      <c r="AG38" s="378"/>
    </row>
    <row r="39">
      <c r="A39" s="372"/>
      <c r="B39" s="10" t="s">
        <v>1437</v>
      </c>
      <c r="C39" s="10" t="s">
        <v>198</v>
      </c>
      <c r="D39" s="11">
        <v>45986.0</v>
      </c>
      <c r="E39" s="10">
        <v>2174307.0</v>
      </c>
      <c r="F39" s="10" t="s">
        <v>1054</v>
      </c>
      <c r="G39" s="10" t="s">
        <v>1055</v>
      </c>
      <c r="H39" s="12">
        <v>1550.0</v>
      </c>
      <c r="I39" s="13">
        <v>411.0</v>
      </c>
      <c r="J39" s="10" t="s">
        <v>1056</v>
      </c>
      <c r="K39" s="10" t="s">
        <v>197</v>
      </c>
      <c r="L39" s="10">
        <v>6643.0</v>
      </c>
      <c r="M39" s="10" t="s">
        <v>1452</v>
      </c>
      <c r="N39" s="379"/>
      <c r="O39" s="380"/>
      <c r="P39" s="378"/>
      <c r="Q39" s="378"/>
      <c r="R39" s="378"/>
      <c r="S39" s="378"/>
      <c r="T39" s="378"/>
      <c r="U39" s="378"/>
      <c r="V39" s="378"/>
      <c r="W39" s="378"/>
      <c r="X39" s="378"/>
      <c r="Y39" s="378"/>
      <c r="Z39" s="378"/>
      <c r="AA39" s="378"/>
      <c r="AB39" s="378"/>
      <c r="AC39" s="378"/>
      <c r="AD39" s="378"/>
      <c r="AE39" s="378"/>
      <c r="AF39" s="378"/>
      <c r="AG39" s="378"/>
    </row>
    <row r="40">
      <c r="A40" s="372"/>
      <c r="B40" s="10" t="s">
        <v>1437</v>
      </c>
      <c r="C40" s="10" t="s">
        <v>1458</v>
      </c>
      <c r="D40" s="11">
        <v>45986.0</v>
      </c>
      <c r="E40" s="10">
        <v>1257186.0</v>
      </c>
      <c r="F40" s="10" t="s">
        <v>1046</v>
      </c>
      <c r="G40" s="10" t="s">
        <v>1047</v>
      </c>
      <c r="H40" s="12">
        <v>2900.0</v>
      </c>
      <c r="I40" s="13">
        <v>1505.0</v>
      </c>
      <c r="J40" s="10" t="s">
        <v>1048</v>
      </c>
      <c r="K40" s="10" t="s">
        <v>262</v>
      </c>
      <c r="L40" s="10">
        <v>7265.0</v>
      </c>
      <c r="M40" s="10" t="s">
        <v>1443</v>
      </c>
      <c r="N40" s="379"/>
      <c r="O40" s="380"/>
      <c r="P40" s="378"/>
      <c r="Q40" s="378"/>
      <c r="R40" s="378"/>
      <c r="S40" s="378"/>
      <c r="T40" s="378"/>
      <c r="U40" s="378"/>
      <c r="V40" s="378"/>
      <c r="W40" s="378"/>
      <c r="X40" s="378"/>
      <c r="Y40" s="378"/>
      <c r="Z40" s="378"/>
      <c r="AA40" s="378"/>
      <c r="AB40" s="378"/>
      <c r="AC40" s="378"/>
      <c r="AD40" s="378"/>
      <c r="AE40" s="378"/>
      <c r="AF40" s="378"/>
      <c r="AG40" s="378"/>
    </row>
    <row r="41">
      <c r="A41" s="372"/>
      <c r="B41" s="10" t="s">
        <v>1437</v>
      </c>
      <c r="C41" s="10" t="s">
        <v>59</v>
      </c>
      <c r="D41" s="11">
        <v>45986.0</v>
      </c>
      <c r="E41" s="10">
        <v>5542555.0</v>
      </c>
      <c r="F41" s="10" t="s">
        <v>1041</v>
      </c>
      <c r="G41" s="10" t="s">
        <v>1042</v>
      </c>
      <c r="H41" s="12">
        <v>1900.0</v>
      </c>
      <c r="I41" s="13">
        <v>1185.0</v>
      </c>
      <c r="J41" s="10" t="s">
        <v>1043</v>
      </c>
      <c r="K41" s="10" t="s">
        <v>58</v>
      </c>
      <c r="L41" s="10">
        <v>997.0</v>
      </c>
      <c r="M41" s="10" t="s">
        <v>1440</v>
      </c>
      <c r="N41" s="379"/>
      <c r="O41" s="380"/>
      <c r="P41" s="378"/>
      <c r="Q41" s="378"/>
      <c r="R41" s="378"/>
      <c r="S41" s="378"/>
      <c r="T41" s="378"/>
      <c r="U41" s="378"/>
      <c r="V41" s="378"/>
      <c r="W41" s="378"/>
      <c r="X41" s="378"/>
      <c r="Y41" s="378"/>
      <c r="Z41" s="378"/>
      <c r="AA41" s="378"/>
      <c r="AB41" s="378"/>
      <c r="AC41" s="378"/>
      <c r="AD41" s="378"/>
      <c r="AE41" s="378"/>
      <c r="AF41" s="378"/>
      <c r="AG41" s="378"/>
    </row>
    <row r="42">
      <c r="A42" s="372"/>
      <c r="B42" s="10" t="s">
        <v>1437</v>
      </c>
      <c r="C42" s="10" t="s">
        <v>80</v>
      </c>
      <c r="D42" s="11">
        <v>45986.0</v>
      </c>
      <c r="E42" s="10">
        <v>1540219.0</v>
      </c>
      <c r="F42" s="10" t="s">
        <v>1038</v>
      </c>
      <c r="G42" s="10" t="s">
        <v>1039</v>
      </c>
      <c r="H42" s="12">
        <v>1360.0</v>
      </c>
      <c r="I42" s="13">
        <v>809.0</v>
      </c>
      <c r="J42" s="10" t="s">
        <v>1040</v>
      </c>
      <c r="K42" s="10" t="s">
        <v>980</v>
      </c>
      <c r="L42" s="10">
        <v>6338.0</v>
      </c>
      <c r="M42" s="10" t="s">
        <v>1452</v>
      </c>
      <c r="N42" s="379"/>
      <c r="O42" s="380"/>
      <c r="P42" s="378"/>
      <c r="Q42" s="378"/>
      <c r="R42" s="378"/>
      <c r="S42" s="378"/>
      <c r="T42" s="378"/>
      <c r="U42" s="378"/>
      <c r="V42" s="378"/>
      <c r="W42" s="378"/>
      <c r="X42" s="378"/>
      <c r="Y42" s="378"/>
      <c r="Z42" s="378"/>
      <c r="AA42" s="378"/>
      <c r="AB42" s="378"/>
      <c r="AC42" s="378"/>
      <c r="AD42" s="378"/>
      <c r="AE42" s="378"/>
      <c r="AF42" s="378"/>
      <c r="AG42" s="378"/>
    </row>
    <row r="43">
      <c r="A43" s="372"/>
      <c r="B43" s="10" t="s">
        <v>1437</v>
      </c>
      <c r="C43" s="10" t="s">
        <v>1458</v>
      </c>
      <c r="D43" s="11">
        <v>45986.0</v>
      </c>
      <c r="E43" s="10">
        <v>1258418.0</v>
      </c>
      <c r="F43" s="10" t="s">
        <v>1034</v>
      </c>
      <c r="G43" s="10" t="s">
        <v>1035</v>
      </c>
      <c r="H43" s="12">
        <v>400.0</v>
      </c>
      <c r="I43" s="13">
        <v>918.06</v>
      </c>
      <c r="J43" s="10" t="s">
        <v>1036</v>
      </c>
      <c r="K43" s="10" t="s">
        <v>980</v>
      </c>
      <c r="L43" s="10">
        <v>6338.0</v>
      </c>
      <c r="M43" s="10" t="s">
        <v>1440</v>
      </c>
      <c r="N43" s="379"/>
      <c r="O43" s="380"/>
      <c r="P43" s="378"/>
      <c r="Q43" s="378"/>
      <c r="R43" s="378"/>
      <c r="S43" s="378"/>
      <c r="T43" s="378"/>
      <c r="U43" s="378"/>
      <c r="V43" s="378"/>
      <c r="W43" s="378"/>
      <c r="X43" s="378"/>
      <c r="Y43" s="378"/>
      <c r="Z43" s="378"/>
      <c r="AA43" s="378"/>
      <c r="AB43" s="378"/>
      <c r="AC43" s="378"/>
      <c r="AD43" s="378"/>
      <c r="AE43" s="378"/>
      <c r="AF43" s="378"/>
      <c r="AG43" s="378"/>
    </row>
    <row r="44">
      <c r="A44" s="372"/>
      <c r="B44" s="10" t="s">
        <v>1437</v>
      </c>
      <c r="C44" s="10" t="s">
        <v>1459</v>
      </c>
      <c r="D44" s="11">
        <v>45986.0</v>
      </c>
      <c r="E44" s="10">
        <v>170800.0</v>
      </c>
      <c r="F44" s="10" t="s">
        <v>1030</v>
      </c>
      <c r="G44" s="10" t="s">
        <v>1031</v>
      </c>
      <c r="H44" s="12">
        <v>2300.0</v>
      </c>
      <c r="I44" s="13">
        <v>1079.0</v>
      </c>
      <c r="J44" s="10" t="s">
        <v>1032</v>
      </c>
      <c r="K44" s="10" t="s">
        <v>132</v>
      </c>
      <c r="L44" s="10">
        <v>2890.0</v>
      </c>
      <c r="M44" s="10" t="s">
        <v>1452</v>
      </c>
      <c r="N44" s="379"/>
      <c r="O44" s="380"/>
      <c r="P44" s="378"/>
      <c r="Q44" s="378"/>
      <c r="R44" s="378"/>
      <c r="S44" s="378"/>
      <c r="T44" s="378"/>
      <c r="U44" s="378"/>
      <c r="V44" s="378"/>
      <c r="W44" s="378"/>
      <c r="X44" s="378"/>
      <c r="Y44" s="378"/>
      <c r="Z44" s="378"/>
      <c r="AA44" s="378"/>
      <c r="AB44" s="378"/>
      <c r="AC44" s="378"/>
      <c r="AD44" s="378"/>
      <c r="AE44" s="378"/>
      <c r="AF44" s="378"/>
      <c r="AG44" s="378"/>
    </row>
    <row r="45">
      <c r="A45" s="372"/>
      <c r="B45" s="10" t="s">
        <v>1437</v>
      </c>
      <c r="C45" s="10" t="s">
        <v>186</v>
      </c>
      <c r="D45" s="11">
        <v>45986.0</v>
      </c>
      <c r="E45" s="10">
        <v>5.36013958E8</v>
      </c>
      <c r="F45" s="10" t="s">
        <v>1025</v>
      </c>
      <c r="G45" s="10" t="s">
        <v>1026</v>
      </c>
      <c r="H45" s="12">
        <v>1500.0</v>
      </c>
      <c r="I45" s="13">
        <v>902.0</v>
      </c>
      <c r="J45" s="10" t="s">
        <v>1027</v>
      </c>
      <c r="K45" s="10" t="s">
        <v>1028</v>
      </c>
      <c r="L45" s="10">
        <v>6339.0</v>
      </c>
      <c r="M45" s="10" t="s">
        <v>1452</v>
      </c>
      <c r="N45" s="379"/>
      <c r="O45" s="380"/>
      <c r="P45" s="378"/>
      <c r="Q45" s="378"/>
      <c r="R45" s="378"/>
      <c r="S45" s="378"/>
      <c r="T45" s="378"/>
      <c r="U45" s="378"/>
      <c r="V45" s="378"/>
      <c r="W45" s="378"/>
      <c r="X45" s="378"/>
      <c r="Y45" s="378"/>
      <c r="Z45" s="378"/>
      <c r="AA45" s="378"/>
      <c r="AB45" s="378"/>
      <c r="AC45" s="378"/>
      <c r="AD45" s="378"/>
      <c r="AE45" s="378"/>
      <c r="AF45" s="378"/>
      <c r="AG45" s="378"/>
    </row>
    <row r="46">
      <c r="A46" s="372"/>
      <c r="B46" s="10" t="s">
        <v>1437</v>
      </c>
      <c r="C46" s="10" t="s">
        <v>104</v>
      </c>
      <c r="D46" s="11">
        <v>45985.0</v>
      </c>
      <c r="E46" s="10">
        <v>5.34890703E8</v>
      </c>
      <c r="F46" s="10" t="s">
        <v>1021</v>
      </c>
      <c r="G46" s="10" t="s">
        <v>1022</v>
      </c>
      <c r="H46" s="12">
        <v>1000.0</v>
      </c>
      <c r="I46" s="13">
        <v>391.0</v>
      </c>
      <c r="J46" s="10" t="s">
        <v>1023</v>
      </c>
      <c r="K46" s="10" t="s">
        <v>274</v>
      </c>
      <c r="L46" s="10">
        <v>7352.0</v>
      </c>
      <c r="M46" s="10" t="s">
        <v>1452</v>
      </c>
      <c r="N46" s="379"/>
      <c r="O46" s="380"/>
      <c r="P46" s="378"/>
      <c r="Q46" s="378"/>
      <c r="R46" s="378"/>
      <c r="S46" s="378"/>
      <c r="T46" s="378"/>
      <c r="U46" s="378"/>
      <c r="V46" s="378"/>
      <c r="W46" s="378"/>
      <c r="X46" s="378"/>
      <c r="Y46" s="378"/>
      <c r="Z46" s="378"/>
      <c r="AA46" s="378"/>
      <c r="AB46" s="378"/>
      <c r="AC46" s="378"/>
      <c r="AD46" s="378"/>
      <c r="AE46" s="378"/>
      <c r="AF46" s="378"/>
      <c r="AG46" s="378"/>
    </row>
    <row r="47">
      <c r="A47" s="372"/>
      <c r="B47" s="10" t="s">
        <v>1437</v>
      </c>
      <c r="C47" s="10" t="s">
        <v>20</v>
      </c>
      <c r="D47" s="11">
        <v>45985.0</v>
      </c>
      <c r="E47" s="10">
        <v>2.0649044E7</v>
      </c>
      <c r="F47" s="10" t="s">
        <v>1018</v>
      </c>
      <c r="G47" s="10" t="s">
        <v>1460</v>
      </c>
      <c r="H47" s="12">
        <v>2300.0</v>
      </c>
      <c r="I47" s="13">
        <v>900.0</v>
      </c>
      <c r="J47" s="10" t="s">
        <v>1020</v>
      </c>
      <c r="K47" s="10" t="s">
        <v>220</v>
      </c>
      <c r="L47" s="10">
        <v>6960.0</v>
      </c>
      <c r="M47" s="10" t="s">
        <v>1452</v>
      </c>
      <c r="N47" s="379"/>
      <c r="O47" s="380"/>
      <c r="P47" s="378"/>
      <c r="Q47" s="378"/>
      <c r="R47" s="378"/>
      <c r="S47" s="378"/>
      <c r="T47" s="378"/>
      <c r="U47" s="378"/>
      <c r="V47" s="378"/>
      <c r="W47" s="378"/>
      <c r="X47" s="378"/>
      <c r="Y47" s="378"/>
      <c r="Z47" s="378"/>
      <c r="AA47" s="378"/>
      <c r="AB47" s="378"/>
      <c r="AC47" s="378"/>
      <c r="AD47" s="378"/>
      <c r="AE47" s="378"/>
      <c r="AF47" s="378"/>
      <c r="AG47" s="378"/>
    </row>
    <row r="48">
      <c r="A48" s="372"/>
      <c r="B48" s="10" t="s">
        <v>1437</v>
      </c>
      <c r="C48" s="10" t="s">
        <v>1461</v>
      </c>
      <c r="D48" s="11">
        <v>45985.0</v>
      </c>
      <c r="E48" s="10">
        <v>4.0115064E7</v>
      </c>
      <c r="F48" s="10" t="s">
        <v>1014</v>
      </c>
      <c r="G48" s="10" t="s">
        <v>1015</v>
      </c>
      <c r="H48" s="12">
        <v>1200.0</v>
      </c>
      <c r="I48" s="13">
        <v>598.0</v>
      </c>
      <c r="J48" s="10" t="s">
        <v>1016</v>
      </c>
      <c r="K48" s="10" t="s">
        <v>103</v>
      </c>
      <c r="L48" s="10">
        <v>2675.0</v>
      </c>
      <c r="M48" s="10" t="s">
        <v>1452</v>
      </c>
      <c r="N48" s="379"/>
      <c r="O48" s="380"/>
      <c r="P48" s="378"/>
      <c r="Q48" s="378"/>
      <c r="R48" s="378"/>
      <c r="S48" s="378"/>
      <c r="T48" s="378"/>
      <c r="U48" s="378"/>
      <c r="V48" s="378"/>
      <c r="W48" s="378"/>
      <c r="X48" s="378"/>
      <c r="Y48" s="378"/>
      <c r="Z48" s="378"/>
      <c r="AA48" s="378"/>
      <c r="AB48" s="378"/>
      <c r="AC48" s="378"/>
      <c r="AD48" s="378"/>
      <c r="AE48" s="378"/>
      <c r="AF48" s="378"/>
      <c r="AG48" s="378"/>
    </row>
    <row r="49">
      <c r="A49" s="372"/>
      <c r="B49" s="10" t="s">
        <v>1437</v>
      </c>
      <c r="C49" s="10" t="s">
        <v>20</v>
      </c>
      <c r="D49" s="11">
        <v>45985.0</v>
      </c>
      <c r="E49" s="10">
        <v>2.0638176E7</v>
      </c>
      <c r="F49" s="10" t="s">
        <v>1011</v>
      </c>
      <c r="G49" s="10" t="s">
        <v>1012</v>
      </c>
      <c r="H49" s="12">
        <v>1400.0</v>
      </c>
      <c r="I49" s="13">
        <v>598.0</v>
      </c>
      <c r="J49" s="10" t="s">
        <v>1013</v>
      </c>
      <c r="K49" s="10" t="s">
        <v>197</v>
      </c>
      <c r="L49" s="10">
        <v>6643.0</v>
      </c>
      <c r="M49" s="10" t="s">
        <v>1452</v>
      </c>
      <c r="N49" s="379"/>
      <c r="O49" s="380"/>
      <c r="P49" s="378"/>
      <c r="Q49" s="378"/>
      <c r="R49" s="378"/>
      <c r="S49" s="378"/>
      <c r="T49" s="378"/>
      <c r="U49" s="378"/>
      <c r="V49" s="378"/>
      <c r="W49" s="378"/>
      <c r="X49" s="378"/>
      <c r="Y49" s="378"/>
      <c r="Z49" s="378"/>
      <c r="AA49" s="378"/>
      <c r="AB49" s="378"/>
      <c r="AC49" s="378"/>
      <c r="AD49" s="378"/>
      <c r="AE49" s="378"/>
      <c r="AF49" s="378"/>
      <c r="AG49" s="378"/>
    </row>
    <row r="50">
      <c r="A50" s="372"/>
      <c r="B50" s="10" t="s">
        <v>1437</v>
      </c>
      <c r="C50" s="10" t="s">
        <v>104</v>
      </c>
      <c r="D50" s="11">
        <v>45985.0</v>
      </c>
      <c r="E50" s="10">
        <v>5.3548805E8</v>
      </c>
      <c r="F50" s="10" t="s">
        <v>1007</v>
      </c>
      <c r="G50" s="10" t="s">
        <v>1008</v>
      </c>
      <c r="H50" s="12">
        <v>820.0</v>
      </c>
      <c r="I50" s="13">
        <v>498.0</v>
      </c>
      <c r="J50" s="10" t="s">
        <v>1009</v>
      </c>
      <c r="K50" s="10" t="s">
        <v>153</v>
      </c>
      <c r="L50" s="10">
        <v>3301.0</v>
      </c>
      <c r="M50" s="10" t="s">
        <v>1452</v>
      </c>
      <c r="N50" s="379"/>
      <c r="O50" s="380"/>
      <c r="P50" s="378"/>
      <c r="Q50" s="378"/>
      <c r="R50" s="378"/>
      <c r="S50" s="378"/>
      <c r="T50" s="378"/>
      <c r="U50" s="378"/>
      <c r="V50" s="378"/>
      <c r="W50" s="378"/>
      <c r="X50" s="378"/>
      <c r="Y50" s="378"/>
      <c r="Z50" s="378"/>
      <c r="AA50" s="378"/>
      <c r="AB50" s="378"/>
      <c r="AC50" s="378"/>
      <c r="AD50" s="378"/>
      <c r="AE50" s="378"/>
      <c r="AF50" s="378"/>
      <c r="AG50" s="378"/>
    </row>
    <row r="51">
      <c r="A51" s="372"/>
      <c r="B51" s="10" t="s">
        <v>1437</v>
      </c>
      <c r="C51" s="10" t="s">
        <v>206</v>
      </c>
      <c r="D51" s="11">
        <v>45985.0</v>
      </c>
      <c r="E51" s="10" t="s">
        <v>1003</v>
      </c>
      <c r="F51" s="10" t="s">
        <v>246</v>
      </c>
      <c r="G51" s="10" t="s">
        <v>1004</v>
      </c>
      <c r="H51" s="12">
        <v>849.0</v>
      </c>
      <c r="I51" s="13">
        <v>554.0</v>
      </c>
      <c r="J51" s="10" t="s">
        <v>1005</v>
      </c>
      <c r="K51" s="10" t="s">
        <v>278</v>
      </c>
      <c r="L51" s="10">
        <v>3866.0</v>
      </c>
      <c r="M51" s="10" t="s">
        <v>1452</v>
      </c>
      <c r="N51" s="379"/>
      <c r="O51" s="380"/>
      <c r="P51" s="378"/>
      <c r="Q51" s="378"/>
      <c r="R51" s="378"/>
      <c r="S51" s="378"/>
      <c r="T51" s="378"/>
      <c r="U51" s="378"/>
      <c r="V51" s="378"/>
      <c r="W51" s="378"/>
      <c r="X51" s="378"/>
      <c r="Y51" s="378"/>
      <c r="Z51" s="378"/>
      <c r="AA51" s="378"/>
      <c r="AB51" s="378"/>
      <c r="AC51" s="378"/>
      <c r="AD51" s="378"/>
      <c r="AE51" s="378"/>
      <c r="AF51" s="378"/>
      <c r="AG51" s="378"/>
    </row>
    <row r="52">
      <c r="A52" s="372"/>
      <c r="B52" s="10" t="s">
        <v>1437</v>
      </c>
      <c r="C52" s="10" t="s">
        <v>1458</v>
      </c>
      <c r="D52" s="11">
        <v>45985.0</v>
      </c>
      <c r="E52" s="10">
        <v>1259248.0</v>
      </c>
      <c r="F52" s="10" t="s">
        <v>999</v>
      </c>
      <c r="G52" s="10" t="s">
        <v>1000</v>
      </c>
      <c r="H52" s="12">
        <v>2000.0</v>
      </c>
      <c r="I52" s="13">
        <v>693.0</v>
      </c>
      <c r="J52" s="10" t="s">
        <v>1001</v>
      </c>
      <c r="K52" s="10" t="s">
        <v>1002</v>
      </c>
      <c r="L52" s="10">
        <v>9334.0</v>
      </c>
      <c r="M52" s="10" t="s">
        <v>1452</v>
      </c>
      <c r="N52" s="379"/>
      <c r="O52" s="380"/>
      <c r="P52" s="378"/>
      <c r="Q52" s="378"/>
      <c r="R52" s="378"/>
      <c r="S52" s="378"/>
      <c r="T52" s="378"/>
      <c r="U52" s="378"/>
      <c r="V52" s="378"/>
      <c r="W52" s="378"/>
      <c r="X52" s="378"/>
      <c r="Y52" s="378"/>
      <c r="Z52" s="378"/>
      <c r="AA52" s="378"/>
      <c r="AB52" s="378"/>
      <c r="AC52" s="378"/>
      <c r="AD52" s="378"/>
      <c r="AE52" s="378"/>
      <c r="AF52" s="378"/>
      <c r="AG52" s="378"/>
    </row>
    <row r="53">
      <c r="A53" s="372"/>
      <c r="B53" s="10" t="s">
        <v>1437</v>
      </c>
      <c r="C53" s="10" t="s">
        <v>1462</v>
      </c>
      <c r="D53" s="11">
        <v>45985.0</v>
      </c>
      <c r="E53" s="10">
        <v>794771.0</v>
      </c>
      <c r="F53" s="10" t="s">
        <v>995</v>
      </c>
      <c r="G53" s="10" t="s">
        <v>996</v>
      </c>
      <c r="H53" s="12">
        <v>675.0</v>
      </c>
      <c r="I53" s="13">
        <v>571.0</v>
      </c>
      <c r="J53" s="10" t="s">
        <v>997</v>
      </c>
      <c r="K53" s="10" t="s">
        <v>287</v>
      </c>
      <c r="L53" s="10">
        <v>7807.0</v>
      </c>
      <c r="M53" s="10" t="s">
        <v>1452</v>
      </c>
      <c r="N53" s="379"/>
      <c r="O53" s="380"/>
      <c r="P53" s="378"/>
      <c r="Q53" s="378"/>
      <c r="R53" s="378"/>
      <c r="S53" s="378"/>
      <c r="T53" s="378"/>
      <c r="U53" s="378"/>
      <c r="V53" s="378"/>
      <c r="W53" s="378"/>
      <c r="X53" s="378"/>
      <c r="Y53" s="378"/>
      <c r="Z53" s="378"/>
      <c r="AA53" s="378"/>
      <c r="AB53" s="378"/>
      <c r="AC53" s="378"/>
      <c r="AD53" s="378"/>
      <c r="AE53" s="378"/>
      <c r="AF53" s="378"/>
      <c r="AG53" s="378"/>
    </row>
    <row r="54">
      <c r="A54" s="372"/>
      <c r="B54" s="10" t="s">
        <v>1437</v>
      </c>
      <c r="C54" s="10" t="s">
        <v>206</v>
      </c>
      <c r="D54" s="11">
        <v>45985.0</v>
      </c>
      <c r="E54" s="10" t="s">
        <v>992</v>
      </c>
      <c r="F54" s="10" t="s">
        <v>246</v>
      </c>
      <c r="G54" s="10" t="s">
        <v>993</v>
      </c>
      <c r="H54" s="12">
        <v>816.0</v>
      </c>
      <c r="I54" s="13">
        <v>562.0</v>
      </c>
      <c r="J54" s="10" t="s">
        <v>994</v>
      </c>
      <c r="K54" s="10" t="s">
        <v>320</v>
      </c>
      <c r="L54" s="10">
        <v>9348.0</v>
      </c>
      <c r="M54" s="10" t="s">
        <v>1452</v>
      </c>
      <c r="N54" s="379"/>
      <c r="O54" s="380"/>
      <c r="P54" s="378"/>
      <c r="Q54" s="378"/>
      <c r="R54" s="378"/>
      <c r="S54" s="378"/>
      <c r="T54" s="378"/>
      <c r="U54" s="378"/>
      <c r="V54" s="378"/>
      <c r="W54" s="378"/>
      <c r="X54" s="378"/>
      <c r="Y54" s="378"/>
      <c r="Z54" s="378"/>
      <c r="AA54" s="378"/>
      <c r="AB54" s="378"/>
      <c r="AC54" s="378"/>
      <c r="AD54" s="378"/>
      <c r="AE54" s="378"/>
      <c r="AF54" s="378"/>
      <c r="AG54" s="378"/>
    </row>
    <row r="55">
      <c r="A55" s="372"/>
      <c r="B55" s="10" t="s">
        <v>1437</v>
      </c>
      <c r="C55" s="10" t="s">
        <v>186</v>
      </c>
      <c r="D55" s="11">
        <v>45985.0</v>
      </c>
      <c r="E55" s="10">
        <v>5.35295368E8</v>
      </c>
      <c r="F55" s="10" t="s">
        <v>988</v>
      </c>
      <c r="G55" s="10" t="s">
        <v>989</v>
      </c>
      <c r="H55" s="12">
        <v>2300.0</v>
      </c>
      <c r="I55" s="13">
        <v>1153.95</v>
      </c>
      <c r="J55" s="10" t="s">
        <v>990</v>
      </c>
      <c r="K55" s="10" t="s">
        <v>185</v>
      </c>
      <c r="L55" s="10">
        <v>3881.0</v>
      </c>
      <c r="M55" s="10" t="s">
        <v>1452</v>
      </c>
      <c r="N55" s="379"/>
      <c r="O55" s="380"/>
      <c r="P55" s="378"/>
      <c r="Q55" s="378"/>
      <c r="R55" s="378"/>
      <c r="S55" s="378"/>
      <c r="T55" s="378"/>
      <c r="U55" s="378"/>
      <c r="V55" s="378"/>
      <c r="W55" s="378"/>
      <c r="X55" s="378"/>
      <c r="Y55" s="378"/>
      <c r="Z55" s="378"/>
      <c r="AA55" s="378"/>
      <c r="AB55" s="378"/>
      <c r="AC55" s="378"/>
      <c r="AD55" s="378"/>
      <c r="AE55" s="378"/>
      <c r="AF55" s="378"/>
      <c r="AG55" s="378"/>
    </row>
    <row r="56">
      <c r="A56" s="372"/>
      <c r="B56" s="10" t="s">
        <v>1437</v>
      </c>
      <c r="C56" s="10" t="s">
        <v>1463</v>
      </c>
      <c r="D56" s="11">
        <v>45985.0</v>
      </c>
      <c r="E56" s="10" t="s">
        <v>983</v>
      </c>
      <c r="F56" s="10" t="s">
        <v>984</v>
      </c>
      <c r="G56" s="10" t="s">
        <v>985</v>
      </c>
      <c r="H56" s="12">
        <v>2800.0</v>
      </c>
      <c r="I56" s="13">
        <v>1318.0</v>
      </c>
      <c r="J56" s="10" t="s">
        <v>986</v>
      </c>
      <c r="K56" s="10" t="s">
        <v>95</v>
      </c>
      <c r="L56" s="10">
        <v>2516.0</v>
      </c>
      <c r="M56" s="10" t="s">
        <v>1452</v>
      </c>
      <c r="N56" s="379"/>
      <c r="O56" s="380"/>
      <c r="P56" s="378"/>
      <c r="Q56" s="378"/>
      <c r="R56" s="378"/>
      <c r="S56" s="378"/>
      <c r="T56" s="378"/>
      <c r="U56" s="378"/>
      <c r="V56" s="378"/>
      <c r="W56" s="378"/>
      <c r="X56" s="378"/>
      <c r="Y56" s="378"/>
      <c r="Z56" s="378"/>
      <c r="AA56" s="378"/>
      <c r="AB56" s="378"/>
      <c r="AC56" s="378"/>
      <c r="AD56" s="378"/>
      <c r="AE56" s="378"/>
      <c r="AF56" s="378"/>
      <c r="AG56" s="378"/>
    </row>
    <row r="57">
      <c r="A57" s="372"/>
      <c r="B57" s="10" t="s">
        <v>1437</v>
      </c>
      <c r="C57" s="10" t="s">
        <v>1464</v>
      </c>
      <c r="D57" s="11">
        <v>45985.0</v>
      </c>
      <c r="E57" s="10">
        <v>161551.0</v>
      </c>
      <c r="F57" s="10" t="s">
        <v>977</v>
      </c>
      <c r="G57" s="10" t="s">
        <v>978</v>
      </c>
      <c r="H57" s="12">
        <v>1050.0</v>
      </c>
      <c r="I57" s="13">
        <v>659.0</v>
      </c>
      <c r="J57" s="10" t="s">
        <v>979</v>
      </c>
      <c r="K57" s="10" t="s">
        <v>980</v>
      </c>
      <c r="L57" s="10">
        <v>6338.0</v>
      </c>
      <c r="M57" s="10" t="s">
        <v>1452</v>
      </c>
      <c r="N57" s="379"/>
      <c r="O57" s="380"/>
      <c r="P57" s="378"/>
      <c r="Q57" s="378"/>
      <c r="R57" s="378"/>
      <c r="S57" s="378"/>
      <c r="T57" s="378"/>
      <c r="U57" s="378"/>
      <c r="V57" s="378"/>
      <c r="W57" s="378"/>
      <c r="X57" s="378"/>
      <c r="Y57" s="378"/>
      <c r="Z57" s="378"/>
      <c r="AA57" s="378"/>
      <c r="AB57" s="378"/>
      <c r="AC57" s="378"/>
      <c r="AD57" s="378"/>
      <c r="AE57" s="378"/>
      <c r="AF57" s="378"/>
      <c r="AG57" s="378"/>
    </row>
    <row r="58">
      <c r="A58" s="372"/>
      <c r="B58" s="10" t="s">
        <v>1437</v>
      </c>
      <c r="C58" s="10" t="s">
        <v>1465</v>
      </c>
      <c r="D58" s="11">
        <v>45985.0</v>
      </c>
      <c r="E58" s="10">
        <v>1572898.0</v>
      </c>
      <c r="F58" s="10" t="s">
        <v>974</v>
      </c>
      <c r="G58" s="10" t="s">
        <v>975</v>
      </c>
      <c r="H58" s="12">
        <v>3100.0</v>
      </c>
      <c r="I58" s="13">
        <v>1528.0</v>
      </c>
      <c r="J58" s="10" t="s">
        <v>976</v>
      </c>
      <c r="K58" s="10" t="s">
        <v>249</v>
      </c>
      <c r="L58" s="10">
        <v>7048.0</v>
      </c>
      <c r="M58" s="10" t="s">
        <v>1452</v>
      </c>
      <c r="N58" s="379"/>
      <c r="O58" s="380"/>
      <c r="P58" s="378"/>
      <c r="Q58" s="378"/>
      <c r="R58" s="378"/>
      <c r="S58" s="378"/>
      <c r="T58" s="378"/>
      <c r="U58" s="378"/>
      <c r="V58" s="378"/>
      <c r="W58" s="378"/>
      <c r="X58" s="378"/>
      <c r="Y58" s="378"/>
      <c r="Z58" s="378"/>
      <c r="AA58" s="378"/>
      <c r="AB58" s="378"/>
      <c r="AC58" s="378"/>
      <c r="AD58" s="378"/>
      <c r="AE58" s="378"/>
      <c r="AF58" s="378"/>
      <c r="AG58" s="378"/>
    </row>
    <row r="59">
      <c r="A59" s="372"/>
      <c r="B59" s="10" t="s">
        <v>1437</v>
      </c>
      <c r="C59" s="10" t="s">
        <v>186</v>
      </c>
      <c r="D59" s="11">
        <v>45985.0</v>
      </c>
      <c r="E59" s="10">
        <v>5.35801219E8</v>
      </c>
      <c r="F59" s="10" t="s">
        <v>969</v>
      </c>
      <c r="G59" s="22" t="s">
        <v>970</v>
      </c>
      <c r="H59" s="12">
        <v>0.0</v>
      </c>
      <c r="I59" s="13">
        <v>0.0</v>
      </c>
      <c r="J59" s="10" t="s">
        <v>971</v>
      </c>
      <c r="K59" s="708"/>
      <c r="L59" s="708"/>
      <c r="M59" s="10" t="s">
        <v>1445</v>
      </c>
      <c r="N59" s="379"/>
      <c r="O59" s="380"/>
      <c r="P59" s="378"/>
      <c r="Q59" s="378"/>
      <c r="R59" s="378"/>
      <c r="S59" s="378"/>
      <c r="T59" s="378"/>
      <c r="U59" s="378"/>
      <c r="V59" s="378"/>
      <c r="W59" s="378"/>
      <c r="X59" s="378"/>
      <c r="Y59" s="378"/>
      <c r="Z59" s="378"/>
      <c r="AA59" s="378"/>
      <c r="AB59" s="378"/>
      <c r="AC59" s="378"/>
      <c r="AD59" s="378"/>
      <c r="AE59" s="378"/>
      <c r="AF59" s="378"/>
      <c r="AG59" s="378"/>
    </row>
    <row r="60">
      <c r="A60" s="372"/>
      <c r="B60" s="10" t="s">
        <v>1437</v>
      </c>
      <c r="C60" s="10" t="s">
        <v>325</v>
      </c>
      <c r="D60" s="11">
        <v>45986.0</v>
      </c>
      <c r="E60" s="10">
        <v>9.340326E7</v>
      </c>
      <c r="F60" s="10" t="s">
        <v>965</v>
      </c>
      <c r="G60" s="10" t="s">
        <v>966</v>
      </c>
      <c r="H60" s="12">
        <v>1600.0</v>
      </c>
      <c r="I60" s="13">
        <v>2868.44</v>
      </c>
      <c r="J60" s="10" t="s">
        <v>967</v>
      </c>
      <c r="K60" s="708"/>
      <c r="L60" s="708"/>
      <c r="M60" s="10" t="s">
        <v>1466</v>
      </c>
      <c r="N60" s="379"/>
      <c r="O60" s="380"/>
      <c r="P60" s="378"/>
      <c r="Q60" s="378"/>
      <c r="R60" s="378"/>
      <c r="S60" s="378"/>
      <c r="T60" s="378"/>
      <c r="U60" s="378"/>
      <c r="V60" s="378"/>
      <c r="W60" s="378"/>
      <c r="X60" s="378"/>
      <c r="Y60" s="378"/>
      <c r="Z60" s="378"/>
      <c r="AA60" s="378"/>
      <c r="AB60" s="378"/>
      <c r="AC60" s="378"/>
      <c r="AD60" s="378"/>
      <c r="AE60" s="378"/>
      <c r="AF60" s="378"/>
      <c r="AG60" s="378"/>
    </row>
    <row r="61">
      <c r="A61" s="372"/>
      <c r="B61" s="992"/>
      <c r="C61" s="708"/>
      <c r="D61" s="948"/>
      <c r="E61" s="708"/>
      <c r="F61" s="708"/>
      <c r="G61" s="708"/>
      <c r="H61" s="6">
        <f t="shared" ref="H61:I61" si="1">SUM(H2:H60)</f>
        <v>114233.8</v>
      </c>
      <c r="I61" s="7">
        <f t="shared" si="1"/>
        <v>59691.17</v>
      </c>
      <c r="J61" s="708"/>
      <c r="K61" s="708"/>
      <c r="L61" s="708"/>
      <c r="M61" s="992"/>
      <c r="N61" s="379"/>
      <c r="O61" s="380"/>
      <c r="P61" s="378"/>
      <c r="Q61" s="378"/>
      <c r="R61" s="378"/>
      <c r="S61" s="378"/>
      <c r="T61" s="378"/>
      <c r="U61" s="378"/>
      <c r="V61" s="378"/>
      <c r="W61" s="378"/>
      <c r="X61" s="378"/>
      <c r="Y61" s="378"/>
      <c r="Z61" s="378"/>
      <c r="AA61" s="378"/>
      <c r="AB61" s="378"/>
      <c r="AC61" s="378"/>
      <c r="AD61" s="378"/>
      <c r="AE61" s="378"/>
      <c r="AF61" s="378"/>
      <c r="AG61" s="378"/>
    </row>
    <row r="62">
      <c r="A62" s="372"/>
      <c r="B62" s="373"/>
      <c r="C62" s="372"/>
      <c r="D62" s="374"/>
      <c r="E62" s="374"/>
      <c r="F62" s="375"/>
      <c r="G62" s="375"/>
      <c r="H62" s="375"/>
      <c r="I62" s="376"/>
      <c r="J62" s="377"/>
      <c r="K62" s="378"/>
      <c r="L62" s="378"/>
      <c r="M62" s="378"/>
      <c r="N62" s="379"/>
      <c r="O62" s="380"/>
      <c r="P62" s="378"/>
      <c r="Q62" s="378"/>
      <c r="R62" s="378"/>
      <c r="S62" s="378"/>
      <c r="T62" s="378"/>
      <c r="U62" s="378"/>
      <c r="V62" s="378"/>
      <c r="W62" s="378"/>
      <c r="X62" s="378"/>
      <c r="Y62" s="378"/>
      <c r="Z62" s="378"/>
      <c r="AA62" s="378"/>
      <c r="AB62" s="378"/>
      <c r="AC62" s="378"/>
      <c r="AD62" s="378"/>
      <c r="AE62" s="378"/>
      <c r="AF62" s="378"/>
      <c r="AG62" s="378"/>
    </row>
    <row r="63">
      <c r="A63" s="372"/>
      <c r="B63" s="373"/>
      <c r="C63" s="372"/>
      <c r="D63" s="374"/>
      <c r="E63" s="374"/>
      <c r="F63" s="375"/>
      <c r="G63" s="375"/>
      <c r="H63" s="375"/>
      <c r="I63" s="376"/>
      <c r="J63" s="377"/>
      <c r="K63" s="378"/>
      <c r="L63" s="378"/>
      <c r="M63" s="378"/>
      <c r="N63" s="379"/>
      <c r="O63" s="380"/>
      <c r="P63" s="378"/>
      <c r="Q63" s="378"/>
      <c r="R63" s="378"/>
      <c r="S63" s="378"/>
      <c r="T63" s="378"/>
      <c r="U63" s="378"/>
      <c r="V63" s="378"/>
      <c r="W63" s="378"/>
      <c r="X63" s="378"/>
      <c r="Y63" s="378"/>
      <c r="Z63" s="378"/>
      <c r="AA63" s="378"/>
      <c r="AB63" s="378"/>
      <c r="AC63" s="378"/>
      <c r="AD63" s="378"/>
      <c r="AE63" s="378"/>
      <c r="AF63" s="378"/>
      <c r="AG63" s="378"/>
    </row>
    <row r="64">
      <c r="A64" s="372"/>
      <c r="B64" s="373"/>
      <c r="C64" s="372"/>
      <c r="D64" s="374"/>
      <c r="E64" s="374"/>
      <c r="F64" s="375"/>
      <c r="G64" s="375"/>
      <c r="H64" s="375"/>
      <c r="I64" s="376"/>
      <c r="J64" s="377"/>
      <c r="K64" s="378"/>
      <c r="L64" s="378"/>
      <c r="M64" s="378"/>
      <c r="N64" s="379"/>
      <c r="O64" s="380"/>
      <c r="P64" s="378"/>
      <c r="Q64" s="378"/>
      <c r="R64" s="378"/>
      <c r="S64" s="378"/>
      <c r="T64" s="378"/>
      <c r="U64" s="378"/>
      <c r="V64" s="378"/>
      <c r="W64" s="378"/>
      <c r="X64" s="378"/>
      <c r="Y64" s="378"/>
      <c r="Z64" s="378"/>
      <c r="AA64" s="378"/>
      <c r="AB64" s="378"/>
      <c r="AC64" s="378"/>
      <c r="AD64" s="378"/>
      <c r="AE64" s="378"/>
      <c r="AF64" s="378"/>
      <c r="AG64" s="378"/>
    </row>
    <row r="65">
      <c r="A65" s="372"/>
      <c r="B65" s="373"/>
      <c r="C65" s="372"/>
      <c r="D65" s="374"/>
      <c r="E65" s="374"/>
      <c r="F65" s="375"/>
      <c r="G65" s="375"/>
      <c r="H65" s="375"/>
      <c r="I65" s="376"/>
      <c r="J65" s="377"/>
      <c r="K65" s="378"/>
      <c r="L65" s="378"/>
      <c r="M65" s="378"/>
      <c r="N65" s="379"/>
      <c r="O65" s="380"/>
      <c r="P65" s="378"/>
      <c r="Q65" s="378"/>
      <c r="R65" s="378"/>
      <c r="S65" s="378"/>
      <c r="T65" s="378"/>
      <c r="U65" s="378"/>
      <c r="V65" s="378"/>
      <c r="W65" s="378"/>
      <c r="X65" s="378"/>
      <c r="Y65" s="378"/>
      <c r="Z65" s="378"/>
      <c r="AA65" s="378"/>
      <c r="AB65" s="378"/>
      <c r="AC65" s="378"/>
      <c r="AD65" s="378"/>
      <c r="AE65" s="378"/>
      <c r="AF65" s="378"/>
      <c r="AG65" s="378"/>
    </row>
    <row r="66">
      <c r="A66" s="372"/>
      <c r="B66" s="373"/>
      <c r="C66" s="372"/>
      <c r="D66" s="374"/>
      <c r="E66" s="374"/>
      <c r="F66" s="375"/>
      <c r="G66" s="375"/>
      <c r="H66" s="375"/>
      <c r="I66" s="376"/>
      <c r="J66" s="377"/>
      <c r="K66" s="378"/>
      <c r="L66" s="378"/>
      <c r="M66" s="378"/>
      <c r="N66" s="379"/>
      <c r="O66" s="380"/>
      <c r="P66" s="378"/>
      <c r="Q66" s="378"/>
      <c r="R66" s="378"/>
      <c r="S66" s="378"/>
      <c r="T66" s="378"/>
      <c r="U66" s="378"/>
      <c r="V66" s="378"/>
      <c r="W66" s="378"/>
      <c r="X66" s="378"/>
      <c r="Y66" s="378"/>
      <c r="Z66" s="378"/>
      <c r="AA66" s="378"/>
      <c r="AB66" s="378"/>
      <c r="AC66" s="378"/>
      <c r="AD66" s="378"/>
      <c r="AE66" s="378"/>
      <c r="AF66" s="378"/>
      <c r="AG66" s="378"/>
    </row>
    <row r="67">
      <c r="A67" s="372"/>
      <c r="B67" s="373"/>
      <c r="C67" s="372"/>
      <c r="D67" s="374"/>
      <c r="E67" s="374"/>
      <c r="F67" s="375"/>
      <c r="G67" s="375"/>
      <c r="H67" s="375"/>
      <c r="I67" s="376"/>
      <c r="J67" s="377"/>
      <c r="K67" s="378"/>
      <c r="L67" s="378"/>
      <c r="M67" s="378"/>
      <c r="N67" s="379"/>
      <c r="O67" s="380"/>
      <c r="P67" s="378"/>
      <c r="Q67" s="378"/>
      <c r="R67" s="378"/>
      <c r="S67" s="378"/>
      <c r="T67" s="378"/>
      <c r="U67" s="378"/>
      <c r="V67" s="378"/>
      <c r="W67" s="378"/>
      <c r="X67" s="378"/>
      <c r="Y67" s="378"/>
      <c r="Z67" s="378"/>
      <c r="AA67" s="378"/>
      <c r="AB67" s="378"/>
      <c r="AC67" s="378"/>
      <c r="AD67" s="378"/>
      <c r="AE67" s="378"/>
      <c r="AF67" s="378"/>
      <c r="AG67" s="378"/>
    </row>
    <row r="68">
      <c r="A68" s="372"/>
      <c r="B68" s="373"/>
      <c r="C68" s="372"/>
      <c r="D68" s="374"/>
      <c r="E68" s="374"/>
      <c r="F68" s="375"/>
      <c r="G68" s="375"/>
      <c r="H68" s="375"/>
      <c r="I68" s="376"/>
      <c r="J68" s="377"/>
      <c r="K68" s="378"/>
      <c r="L68" s="378"/>
      <c r="M68" s="378"/>
      <c r="N68" s="379"/>
      <c r="O68" s="380"/>
      <c r="P68" s="378"/>
      <c r="Q68" s="378"/>
      <c r="R68" s="378"/>
      <c r="S68" s="378"/>
      <c r="T68" s="378"/>
      <c r="U68" s="378"/>
      <c r="V68" s="378"/>
      <c r="W68" s="378"/>
      <c r="X68" s="378"/>
      <c r="Y68" s="378"/>
      <c r="Z68" s="378"/>
      <c r="AA68" s="378"/>
      <c r="AB68" s="378"/>
      <c r="AC68" s="378"/>
      <c r="AD68" s="378"/>
      <c r="AE68" s="378"/>
      <c r="AF68" s="378"/>
      <c r="AG68" s="378"/>
    </row>
    <row r="69">
      <c r="A69" s="372"/>
      <c r="B69" s="373"/>
      <c r="C69" s="372"/>
      <c r="D69" s="374"/>
      <c r="E69" s="374"/>
      <c r="F69" s="375"/>
      <c r="G69" s="375"/>
      <c r="H69" s="375"/>
      <c r="I69" s="376"/>
      <c r="J69" s="377"/>
      <c r="K69" s="378"/>
      <c r="L69" s="378"/>
      <c r="M69" s="378"/>
      <c r="N69" s="379"/>
      <c r="O69" s="380"/>
      <c r="P69" s="378"/>
      <c r="Q69" s="378"/>
      <c r="R69" s="378"/>
      <c r="S69" s="378"/>
      <c r="T69" s="378"/>
      <c r="U69" s="378"/>
      <c r="V69" s="378"/>
      <c r="W69" s="378"/>
      <c r="X69" s="378"/>
      <c r="Y69" s="378"/>
      <c r="Z69" s="378"/>
      <c r="AA69" s="378"/>
      <c r="AB69" s="378"/>
      <c r="AC69" s="378"/>
      <c r="AD69" s="378"/>
      <c r="AE69" s="378"/>
      <c r="AF69" s="378"/>
      <c r="AG69" s="378"/>
    </row>
    <row r="70">
      <c r="A70" s="372"/>
      <c r="B70" s="373"/>
      <c r="C70" s="372"/>
      <c r="D70" s="374"/>
      <c r="E70" s="374"/>
      <c r="F70" s="375"/>
      <c r="G70" s="375"/>
      <c r="H70" s="375"/>
      <c r="I70" s="376"/>
      <c r="J70" s="377"/>
      <c r="K70" s="378"/>
      <c r="L70" s="378"/>
      <c r="M70" s="378"/>
      <c r="N70" s="379"/>
      <c r="O70" s="380"/>
      <c r="P70" s="378"/>
      <c r="Q70" s="378"/>
      <c r="R70" s="378"/>
      <c r="S70" s="378"/>
      <c r="T70" s="378"/>
      <c r="U70" s="378"/>
      <c r="V70" s="378"/>
      <c r="W70" s="378"/>
      <c r="X70" s="378"/>
      <c r="Y70" s="378"/>
      <c r="Z70" s="378"/>
      <c r="AA70" s="378"/>
      <c r="AB70" s="378"/>
      <c r="AC70" s="378"/>
      <c r="AD70" s="378"/>
      <c r="AE70" s="378"/>
      <c r="AF70" s="378"/>
      <c r="AG70" s="378"/>
    </row>
    <row r="71">
      <c r="A71" s="372"/>
      <c r="B71" s="373"/>
      <c r="C71" s="372"/>
      <c r="D71" s="374"/>
      <c r="E71" s="374"/>
      <c r="F71" s="375"/>
      <c r="G71" s="375"/>
      <c r="H71" s="375"/>
      <c r="I71" s="376"/>
      <c r="J71" s="377"/>
      <c r="K71" s="378"/>
      <c r="L71" s="378"/>
      <c r="M71" s="378"/>
      <c r="N71" s="379"/>
      <c r="O71" s="380"/>
      <c r="P71" s="378"/>
      <c r="Q71" s="378"/>
      <c r="R71" s="378"/>
      <c r="S71" s="378"/>
      <c r="T71" s="378"/>
      <c r="U71" s="378"/>
      <c r="V71" s="378"/>
      <c r="W71" s="378"/>
      <c r="X71" s="378"/>
      <c r="Y71" s="378"/>
      <c r="Z71" s="378"/>
      <c r="AA71" s="378"/>
      <c r="AB71" s="378"/>
      <c r="AC71" s="378"/>
      <c r="AD71" s="378"/>
      <c r="AE71" s="378"/>
      <c r="AF71" s="378"/>
      <c r="AG71" s="378"/>
    </row>
    <row r="72">
      <c r="A72" s="372"/>
      <c r="B72" s="373"/>
      <c r="C72" s="372"/>
      <c r="D72" s="374"/>
      <c r="E72" s="374"/>
      <c r="F72" s="375"/>
      <c r="G72" s="375"/>
      <c r="H72" s="375"/>
      <c r="I72" s="376"/>
      <c r="J72" s="377"/>
      <c r="K72" s="378"/>
      <c r="L72" s="378"/>
      <c r="M72" s="378"/>
      <c r="N72" s="379"/>
      <c r="O72" s="380"/>
      <c r="P72" s="378"/>
      <c r="Q72" s="378"/>
      <c r="R72" s="378"/>
      <c r="S72" s="378"/>
      <c r="T72" s="378"/>
      <c r="U72" s="378"/>
      <c r="V72" s="378"/>
      <c r="W72" s="378"/>
      <c r="X72" s="378"/>
      <c r="Y72" s="378"/>
      <c r="Z72" s="378"/>
      <c r="AA72" s="378"/>
      <c r="AB72" s="378"/>
      <c r="AC72" s="378"/>
      <c r="AD72" s="378"/>
      <c r="AE72" s="378"/>
      <c r="AF72" s="378"/>
      <c r="AG72" s="378"/>
    </row>
    <row r="73">
      <c r="A73" s="372"/>
      <c r="B73" s="373"/>
      <c r="C73" s="372"/>
      <c r="D73" s="374"/>
      <c r="E73" s="374"/>
      <c r="F73" s="375"/>
      <c r="G73" s="375"/>
      <c r="H73" s="375"/>
      <c r="I73" s="376"/>
      <c r="J73" s="377"/>
      <c r="K73" s="378"/>
      <c r="L73" s="378"/>
      <c r="M73" s="378"/>
      <c r="N73" s="379"/>
      <c r="O73" s="380"/>
      <c r="P73" s="378"/>
      <c r="Q73" s="378"/>
      <c r="R73" s="378"/>
      <c r="S73" s="378"/>
      <c r="T73" s="378"/>
      <c r="U73" s="378"/>
      <c r="V73" s="378"/>
      <c r="W73" s="378"/>
      <c r="X73" s="378"/>
      <c r="Y73" s="378"/>
      <c r="Z73" s="378"/>
      <c r="AA73" s="378"/>
      <c r="AB73" s="378"/>
      <c r="AC73" s="378"/>
      <c r="AD73" s="378"/>
      <c r="AE73" s="378"/>
      <c r="AF73" s="378"/>
      <c r="AG73" s="378"/>
    </row>
    <row r="74">
      <c r="A74" s="372"/>
      <c r="B74" s="373"/>
      <c r="C74" s="372"/>
      <c r="D74" s="374"/>
      <c r="E74" s="374"/>
      <c r="F74" s="375"/>
      <c r="G74" s="375"/>
      <c r="H74" s="375"/>
      <c r="I74" s="376"/>
      <c r="J74" s="377"/>
      <c r="K74" s="378"/>
      <c r="L74" s="378"/>
      <c r="M74" s="378"/>
      <c r="N74" s="379"/>
      <c r="O74" s="380"/>
      <c r="P74" s="378"/>
      <c r="Q74" s="378"/>
      <c r="R74" s="378"/>
      <c r="S74" s="378"/>
      <c r="T74" s="378"/>
      <c r="U74" s="378"/>
      <c r="V74" s="378"/>
      <c r="W74" s="378"/>
      <c r="X74" s="378"/>
      <c r="Y74" s="378"/>
      <c r="Z74" s="378"/>
      <c r="AA74" s="378"/>
      <c r="AB74" s="378"/>
      <c r="AC74" s="378"/>
      <c r="AD74" s="378"/>
      <c r="AE74" s="378"/>
      <c r="AF74" s="378"/>
      <c r="AG74" s="378"/>
    </row>
    <row r="75">
      <c r="A75" s="372"/>
      <c r="B75" s="373"/>
      <c r="C75" s="372"/>
      <c r="D75" s="374"/>
      <c r="E75" s="374"/>
      <c r="F75" s="375"/>
      <c r="G75" s="375"/>
      <c r="H75" s="375"/>
      <c r="I75" s="376"/>
      <c r="J75" s="377"/>
      <c r="K75" s="378"/>
      <c r="L75" s="378"/>
      <c r="M75" s="378"/>
      <c r="N75" s="379"/>
      <c r="O75" s="380"/>
      <c r="P75" s="378"/>
      <c r="Q75" s="378"/>
      <c r="R75" s="378"/>
      <c r="S75" s="378"/>
      <c r="T75" s="378"/>
      <c r="U75" s="378"/>
      <c r="V75" s="378"/>
      <c r="W75" s="378"/>
      <c r="X75" s="378"/>
      <c r="Y75" s="378"/>
      <c r="Z75" s="378"/>
      <c r="AA75" s="378"/>
      <c r="AB75" s="378"/>
      <c r="AC75" s="378"/>
      <c r="AD75" s="378"/>
      <c r="AE75" s="378"/>
      <c r="AF75" s="378"/>
      <c r="AG75" s="378"/>
    </row>
    <row r="76">
      <c r="A76" s="372"/>
      <c r="B76" s="373"/>
      <c r="C76" s="372"/>
      <c r="D76" s="374"/>
      <c r="E76" s="374"/>
      <c r="F76" s="375"/>
      <c r="G76" s="375"/>
      <c r="H76" s="375"/>
      <c r="I76" s="376"/>
      <c r="J76" s="377"/>
      <c r="K76" s="378"/>
      <c r="L76" s="378"/>
      <c r="M76" s="378"/>
      <c r="N76" s="379"/>
      <c r="O76" s="380"/>
      <c r="P76" s="378"/>
      <c r="Q76" s="378"/>
      <c r="R76" s="378"/>
      <c r="S76" s="378"/>
      <c r="T76" s="378"/>
      <c r="U76" s="378"/>
      <c r="V76" s="378"/>
      <c r="W76" s="378"/>
      <c r="X76" s="378"/>
      <c r="Y76" s="378"/>
      <c r="Z76" s="378"/>
      <c r="AA76" s="378"/>
      <c r="AB76" s="378"/>
      <c r="AC76" s="378"/>
      <c r="AD76" s="378"/>
      <c r="AE76" s="378"/>
      <c r="AF76" s="378"/>
      <c r="AG76" s="378"/>
    </row>
    <row r="77">
      <c r="A77" s="372"/>
      <c r="B77" s="373"/>
      <c r="C77" s="372"/>
      <c r="D77" s="374"/>
      <c r="E77" s="374"/>
      <c r="F77" s="375"/>
      <c r="G77" s="375"/>
      <c r="H77" s="375"/>
      <c r="I77" s="376"/>
      <c r="J77" s="377"/>
      <c r="K77" s="378"/>
      <c r="L77" s="378"/>
      <c r="M77" s="378"/>
      <c r="N77" s="379"/>
      <c r="O77" s="380"/>
      <c r="P77" s="378"/>
      <c r="Q77" s="378"/>
      <c r="R77" s="378"/>
      <c r="S77" s="378"/>
      <c r="T77" s="378"/>
      <c r="U77" s="378"/>
      <c r="V77" s="378"/>
      <c r="W77" s="378"/>
      <c r="X77" s="378"/>
      <c r="Y77" s="378"/>
      <c r="Z77" s="378"/>
      <c r="AA77" s="378"/>
      <c r="AB77" s="378"/>
      <c r="AC77" s="378"/>
      <c r="AD77" s="378"/>
      <c r="AE77" s="378"/>
      <c r="AF77" s="378"/>
      <c r="AG77" s="378"/>
    </row>
    <row r="78">
      <c r="A78" s="372"/>
      <c r="B78" s="373"/>
      <c r="C78" s="372"/>
      <c r="D78" s="374"/>
      <c r="E78" s="374"/>
      <c r="F78" s="375"/>
      <c r="G78" s="375"/>
      <c r="H78" s="375"/>
      <c r="I78" s="376"/>
      <c r="J78" s="377"/>
      <c r="K78" s="378"/>
      <c r="L78" s="378"/>
      <c r="M78" s="378"/>
      <c r="N78" s="379"/>
      <c r="O78" s="380"/>
      <c r="P78" s="378"/>
      <c r="Q78" s="378"/>
      <c r="R78" s="378"/>
      <c r="S78" s="378"/>
      <c r="T78" s="378"/>
      <c r="U78" s="378"/>
      <c r="V78" s="378"/>
      <c r="W78" s="378"/>
      <c r="X78" s="378"/>
      <c r="Y78" s="378"/>
      <c r="Z78" s="378"/>
      <c r="AA78" s="378"/>
      <c r="AB78" s="378"/>
      <c r="AC78" s="378"/>
      <c r="AD78" s="378"/>
      <c r="AE78" s="378"/>
      <c r="AF78" s="378"/>
      <c r="AG78" s="378"/>
    </row>
    <row r="79">
      <c r="A79" s="372"/>
      <c r="B79" s="373"/>
      <c r="C79" s="372"/>
      <c r="D79" s="374"/>
      <c r="E79" s="374"/>
      <c r="F79" s="375"/>
      <c r="G79" s="375"/>
      <c r="H79" s="375"/>
      <c r="I79" s="376"/>
      <c r="J79" s="377"/>
      <c r="K79" s="378"/>
      <c r="L79" s="378"/>
      <c r="M79" s="378"/>
      <c r="N79" s="379"/>
      <c r="O79" s="380"/>
      <c r="P79" s="378"/>
      <c r="Q79" s="378"/>
      <c r="R79" s="378"/>
      <c r="S79" s="378"/>
      <c r="T79" s="378"/>
      <c r="U79" s="378"/>
      <c r="V79" s="378"/>
      <c r="W79" s="378"/>
      <c r="X79" s="378"/>
      <c r="Y79" s="378"/>
      <c r="Z79" s="378"/>
      <c r="AA79" s="378"/>
      <c r="AB79" s="378"/>
      <c r="AC79" s="378"/>
      <c r="AD79" s="378"/>
      <c r="AE79" s="378"/>
      <c r="AF79" s="378"/>
      <c r="AG79" s="378"/>
    </row>
    <row r="80">
      <c r="A80" s="372"/>
      <c r="B80" s="373"/>
      <c r="C80" s="372"/>
      <c r="D80" s="374"/>
      <c r="E80" s="374"/>
      <c r="F80" s="375"/>
      <c r="G80" s="375"/>
      <c r="H80" s="375"/>
      <c r="I80" s="376"/>
      <c r="J80" s="381" t="s">
        <v>830</v>
      </c>
      <c r="K80" s="378"/>
      <c r="L80" s="378"/>
      <c r="M80" s="378"/>
      <c r="N80" s="379"/>
      <c r="O80" s="380"/>
      <c r="P80" s="378"/>
      <c r="Q80" s="378"/>
      <c r="R80" s="378"/>
      <c r="S80" s="378"/>
      <c r="T80" s="378"/>
      <c r="U80" s="378"/>
      <c r="V80" s="378"/>
      <c r="W80" s="378"/>
      <c r="X80" s="378"/>
      <c r="Y80" s="378"/>
      <c r="Z80" s="378"/>
      <c r="AA80" s="378"/>
      <c r="AB80" s="378"/>
      <c r="AC80" s="378"/>
      <c r="AD80" s="378"/>
      <c r="AE80" s="378"/>
      <c r="AF80" s="378"/>
      <c r="AG80" s="378"/>
    </row>
    <row r="81">
      <c r="A81" s="374">
        <v>1.0</v>
      </c>
      <c r="B81" s="382"/>
      <c r="C81" s="383"/>
      <c r="D81" s="384"/>
      <c r="E81" s="385" t="s">
        <v>700</v>
      </c>
      <c r="F81" s="385" t="str">
        <f>B2</f>
        <v>11.24.25-11.30.25</v>
      </c>
      <c r="G81" s="213"/>
      <c r="H81" s="211"/>
      <c r="I81" s="386">
        <v>1.0</v>
      </c>
      <c r="J81" s="387"/>
      <c r="K81" s="388"/>
      <c r="L81" s="384"/>
      <c r="M81" s="385" t="s">
        <v>700</v>
      </c>
      <c r="N81" s="385" t="str">
        <f>F81</f>
        <v>11.24.25-11.30.25</v>
      </c>
      <c r="O81" s="213"/>
      <c r="P81" s="211"/>
      <c r="Q81" s="378"/>
      <c r="R81" s="389" t="s">
        <v>831</v>
      </c>
      <c r="S81" s="389" t="s">
        <v>652</v>
      </c>
      <c r="T81" s="390" t="s">
        <v>832</v>
      </c>
      <c r="U81" s="391" t="s">
        <v>833</v>
      </c>
      <c r="V81" s="389" t="s">
        <v>655</v>
      </c>
      <c r="W81" s="389" t="s">
        <v>8</v>
      </c>
      <c r="X81" s="389" t="s">
        <v>656</v>
      </c>
      <c r="Y81" s="390" t="s">
        <v>834</v>
      </c>
      <c r="Z81" s="392" t="s">
        <v>835</v>
      </c>
      <c r="AA81" s="390" t="s">
        <v>836</v>
      </c>
      <c r="AB81" s="390" t="s">
        <v>837</v>
      </c>
      <c r="AC81" s="393" t="s">
        <v>716</v>
      </c>
      <c r="AD81" s="393" t="s">
        <v>717</v>
      </c>
      <c r="AE81" s="393" t="s">
        <v>718</v>
      </c>
      <c r="AF81" s="394" t="s">
        <v>838</v>
      </c>
      <c r="AG81" s="394"/>
    </row>
    <row r="82">
      <c r="A82" s="372"/>
      <c r="B82" s="395"/>
      <c r="C82" s="372"/>
      <c r="D82" s="396"/>
      <c r="E82" s="385" t="s">
        <v>702</v>
      </c>
      <c r="F82" s="385" t="s">
        <v>664</v>
      </c>
      <c r="G82" s="213"/>
      <c r="H82" s="211"/>
      <c r="I82" s="376"/>
      <c r="J82" s="397"/>
      <c r="K82" s="372"/>
      <c r="L82" s="396"/>
      <c r="M82" s="385" t="s">
        <v>351</v>
      </c>
      <c r="N82" s="385" t="str">
        <f t="array" ref="N82">XLOOKUP(N83,Board!K:K,Board!J:J)</f>
        <v>VICTOR DEMCHENKO</v>
      </c>
      <c r="O82" s="213"/>
      <c r="P82" s="211"/>
      <c r="Q82" s="378"/>
      <c r="R82" s="398">
        <f>I81</f>
        <v>1</v>
      </c>
      <c r="S82" s="398">
        <f>F83</f>
        <v>427</v>
      </c>
      <c r="T82" s="399">
        <f>G103</f>
        <v>1535.1</v>
      </c>
      <c r="U82" s="378" t="str">
        <f>N82</f>
        <v>VICTOR DEMCHENKO</v>
      </c>
      <c r="V82" s="399">
        <f>O103</f>
        <v>1155.7</v>
      </c>
      <c r="W82" s="399">
        <f>P91</f>
        <v>1155.7</v>
      </c>
      <c r="X82" s="399">
        <f>C102</f>
        <v>470.15</v>
      </c>
      <c r="Y82" s="400">
        <f>N91</f>
        <v>1778</v>
      </c>
      <c r="Z82" s="399">
        <f>V83-V82</f>
        <v>379.4</v>
      </c>
      <c r="AA82" s="378"/>
      <c r="AB82" s="378"/>
      <c r="AC82" s="401" t="str">
        <f>C99</f>
        <v/>
      </c>
      <c r="AD82" s="401" t="str">
        <f>C100</f>
        <v/>
      </c>
      <c r="AE82" s="401" t="str">
        <f>C101</f>
        <v/>
      </c>
      <c r="AF82" s="401">
        <f>C103+C104+C105+C106+C107</f>
        <v>1394.75</v>
      </c>
      <c r="AG82" s="398"/>
    </row>
    <row r="83">
      <c r="A83" s="372"/>
      <c r="B83" s="395"/>
      <c r="C83" s="372"/>
      <c r="D83" s="402"/>
      <c r="E83" s="385" t="s">
        <v>703</v>
      </c>
      <c r="F83" s="385">
        <v>427.0</v>
      </c>
      <c r="G83" s="213"/>
      <c r="H83" s="211"/>
      <c r="I83" s="376"/>
      <c r="J83" s="397"/>
      <c r="K83" s="372"/>
      <c r="L83" s="402"/>
      <c r="M83" s="385" t="s">
        <v>703</v>
      </c>
      <c r="N83" s="385">
        <f>F83</f>
        <v>427</v>
      </c>
      <c r="O83" s="213"/>
      <c r="P83" s="211"/>
      <c r="Q83" s="378"/>
      <c r="R83" s="378"/>
      <c r="S83" s="378"/>
      <c r="T83" s="378"/>
      <c r="U83" s="378" t="str">
        <f>F82</f>
        <v>Ada Fleet LLC</v>
      </c>
      <c r="V83" s="399">
        <f>G103</f>
        <v>1535.1</v>
      </c>
      <c r="W83" s="399">
        <f>H91</f>
        <v>3400</v>
      </c>
      <c r="X83" s="378"/>
      <c r="Y83" s="378"/>
      <c r="Z83" s="378"/>
      <c r="AA83" s="378"/>
      <c r="AB83" s="378"/>
      <c r="AC83" s="378"/>
      <c r="AD83" s="378"/>
      <c r="AE83" s="378"/>
      <c r="AF83" s="378"/>
      <c r="AG83" s="378"/>
    </row>
    <row r="84">
      <c r="A84" s="375"/>
      <c r="B84" s="403" t="s">
        <v>704</v>
      </c>
      <c r="C84" s="404" t="s">
        <v>5</v>
      </c>
      <c r="D84" s="405" t="s">
        <v>6</v>
      </c>
      <c r="E84" s="406" t="s">
        <v>7</v>
      </c>
      <c r="F84" s="404" t="s">
        <v>8</v>
      </c>
      <c r="G84" s="404" t="s">
        <v>706</v>
      </c>
      <c r="H84" s="404" t="s">
        <v>707</v>
      </c>
      <c r="I84" s="376"/>
      <c r="J84" s="407" t="s">
        <v>704</v>
      </c>
      <c r="K84" s="404" t="s">
        <v>5</v>
      </c>
      <c r="L84" s="405" t="s">
        <v>6</v>
      </c>
      <c r="M84" s="406" t="s">
        <v>7</v>
      </c>
      <c r="N84" s="404" t="s">
        <v>591</v>
      </c>
      <c r="O84" s="408" t="s">
        <v>839</v>
      </c>
      <c r="P84" s="404" t="s">
        <v>707</v>
      </c>
      <c r="Q84" s="378"/>
      <c r="R84" s="378"/>
      <c r="S84" s="378"/>
      <c r="T84" s="378"/>
      <c r="U84" s="378"/>
      <c r="V84" s="378"/>
      <c r="W84" s="378"/>
      <c r="X84" s="378"/>
      <c r="Y84" s="378"/>
      <c r="Z84" s="378"/>
      <c r="AA84" s="378"/>
      <c r="AB84" s="378"/>
      <c r="AC84" s="378"/>
      <c r="AD84" s="378"/>
      <c r="AE84" s="378"/>
      <c r="AF84" s="378"/>
      <c r="AG84" s="378"/>
    </row>
    <row r="85">
      <c r="A85" s="409"/>
      <c r="B85" s="410">
        <f>IFERROR(__xludf.DUMMYFUNCTION("FILTER(D2:H60,L2:L60=F83)"),45986.0)</f>
        <v>45986</v>
      </c>
      <c r="C85" s="411">
        <f>IFERROR(__xludf.DUMMYFUNCTION("""COMPUTED_VALUE"""),6912758.0)</f>
        <v>6912758</v>
      </c>
      <c r="D85" s="411" t="str">
        <f>IFERROR(__xludf.DUMMYFUNCTION("""COMPUTED_VALUE"""),"Bridgewater, NJ,")</f>
        <v>Bridgewater, NJ,</v>
      </c>
      <c r="E85" s="411" t="str">
        <f>IFERROR(__xludf.DUMMYFUNCTION("""COMPUTED_VALUE"""),"Belle Fourche, WY, 82710")</f>
        <v>Belle Fourche, WY, 82710</v>
      </c>
      <c r="F85" s="412">
        <f>IFERROR(__xludf.DUMMYFUNCTION("""COMPUTED_VALUE"""),3400.0)</f>
        <v>3400</v>
      </c>
      <c r="G85" s="413">
        <v>1.0</v>
      </c>
      <c r="H85" s="414">
        <f t="shared" ref="H85:H86" si="2">F85*G85</f>
        <v>3400</v>
      </c>
      <c r="I85" s="376"/>
      <c r="J85" s="415">
        <f>IFERROR(__xludf.DUMMYFUNCTION("FILTER(D2:G60,L2:L60=N83)"),45986.0)</f>
        <v>45986</v>
      </c>
      <c r="K85" s="411">
        <f>IFERROR(__xludf.DUMMYFUNCTION("""COMPUTED_VALUE"""),6912758.0)</f>
        <v>6912758</v>
      </c>
      <c r="L85" s="411" t="str">
        <f>IFERROR(__xludf.DUMMYFUNCTION("""COMPUTED_VALUE"""),"Bridgewater, NJ,")</f>
        <v>Bridgewater, NJ,</v>
      </c>
      <c r="M85" s="411" t="str">
        <f>IFERROR(__xludf.DUMMYFUNCTION("""COMPUTED_VALUE"""),"Belle Fourche, WY, 82710")</f>
        <v>Belle Fourche, WY, 82710</v>
      </c>
      <c r="N85" s="416">
        <f>IFERROR(__xludf.DUMMYFUNCTION("FILTER(I2:I60,L2:L60=N83)"),1778.0)</f>
        <v>1778</v>
      </c>
      <c r="O85" s="408">
        <v>0.65</v>
      </c>
      <c r="P85" s="417">
        <f>N85*O85</f>
        <v>1155.7</v>
      </c>
      <c r="Q85" s="378"/>
      <c r="R85" s="378"/>
      <c r="S85" s="378"/>
      <c r="T85" s="378"/>
      <c r="U85" s="378"/>
      <c r="V85" s="378"/>
      <c r="W85" s="378"/>
      <c r="X85" s="378"/>
      <c r="Y85" s="378"/>
      <c r="Z85" s="378"/>
      <c r="AA85" s="378"/>
      <c r="AB85" s="378"/>
      <c r="AC85" s="378"/>
      <c r="AD85" s="378"/>
      <c r="AE85" s="378"/>
      <c r="AF85" s="378"/>
      <c r="AG85" s="378"/>
    </row>
    <row r="86">
      <c r="A86" s="409"/>
      <c r="B86" s="410"/>
      <c r="C86" s="411"/>
      <c r="D86" s="411"/>
      <c r="E86" s="411"/>
      <c r="F86" s="412"/>
      <c r="G86" s="413">
        <v>1.0</v>
      </c>
      <c r="H86" s="414">
        <f t="shared" si="2"/>
        <v>0</v>
      </c>
      <c r="I86" s="376"/>
      <c r="J86" s="418"/>
      <c r="K86" s="411"/>
      <c r="L86" s="411"/>
      <c r="M86" s="411"/>
      <c r="N86" s="411"/>
      <c r="O86" s="408"/>
      <c r="P86" s="417"/>
      <c r="Q86" s="378"/>
      <c r="R86" s="378"/>
      <c r="S86" s="378"/>
      <c r="T86" s="378"/>
      <c r="U86" s="378"/>
      <c r="V86" s="378"/>
      <c r="W86" s="378"/>
      <c r="X86" s="378"/>
      <c r="Y86" s="378"/>
      <c r="Z86" s="378"/>
      <c r="AA86" s="378"/>
      <c r="AB86" s="378"/>
      <c r="AC86" s="378"/>
      <c r="AD86" s="378"/>
      <c r="AE86" s="378"/>
      <c r="AF86" s="378"/>
      <c r="AG86" s="378"/>
    </row>
    <row r="87">
      <c r="A87" s="419"/>
      <c r="B87" s="420"/>
      <c r="C87" s="421"/>
      <c r="D87" s="422"/>
      <c r="E87" s="423"/>
      <c r="F87" s="421"/>
      <c r="G87" s="413"/>
      <c r="H87" s="414"/>
      <c r="I87" s="376"/>
      <c r="J87" s="424"/>
      <c r="K87" s="421"/>
      <c r="L87" s="422"/>
      <c r="M87" s="423"/>
      <c r="N87" s="425"/>
      <c r="O87" s="408"/>
      <c r="P87" s="414"/>
      <c r="Q87" s="378"/>
      <c r="R87" s="378"/>
      <c r="S87" s="378"/>
      <c r="T87" s="378"/>
      <c r="U87" s="378"/>
      <c r="V87" s="378"/>
      <c r="W87" s="378"/>
      <c r="X87" s="378"/>
      <c r="Y87" s="378"/>
      <c r="Z87" s="378"/>
      <c r="AA87" s="378"/>
      <c r="AB87" s="378"/>
      <c r="AC87" s="378"/>
      <c r="AD87" s="378"/>
      <c r="AE87" s="378"/>
      <c r="AF87" s="378"/>
      <c r="AG87" s="378"/>
    </row>
    <row r="88">
      <c r="A88" s="419"/>
      <c r="B88" s="420"/>
      <c r="C88" s="421"/>
      <c r="D88" s="422"/>
      <c r="E88" s="423"/>
      <c r="F88" s="421"/>
      <c r="G88" s="413"/>
      <c r="H88" s="414"/>
      <c r="I88" s="376"/>
      <c r="J88" s="424"/>
      <c r="K88" s="421"/>
      <c r="L88" s="422"/>
      <c r="M88" s="423"/>
      <c r="N88" s="425"/>
      <c r="O88" s="408"/>
      <c r="P88" s="414"/>
      <c r="Q88" s="378"/>
      <c r="R88" s="378"/>
      <c r="S88" s="378"/>
      <c r="T88" s="378"/>
      <c r="U88" s="378"/>
      <c r="V88" s="378"/>
      <c r="W88" s="378"/>
      <c r="X88" s="378"/>
      <c r="Y88" s="378"/>
      <c r="Z88" s="378"/>
      <c r="AA88" s="378"/>
      <c r="AB88" s="378"/>
      <c r="AC88" s="378"/>
      <c r="AD88" s="378"/>
      <c r="AE88" s="378"/>
      <c r="AF88" s="378"/>
      <c r="AG88" s="378"/>
    </row>
    <row r="89">
      <c r="A89" s="419"/>
      <c r="B89" s="420"/>
      <c r="C89" s="421"/>
      <c r="D89" s="422"/>
      <c r="E89" s="423"/>
      <c r="F89" s="421"/>
      <c r="G89" s="413"/>
      <c r="H89" s="414"/>
      <c r="I89" s="376"/>
      <c r="J89" s="424"/>
      <c r="K89" s="421"/>
      <c r="L89" s="422"/>
      <c r="M89" s="423"/>
      <c r="N89" s="425"/>
      <c r="O89" s="408"/>
      <c r="P89" s="414"/>
      <c r="Q89" s="378"/>
      <c r="R89" s="378"/>
      <c r="S89" s="378"/>
      <c r="T89" s="378"/>
      <c r="U89" s="378"/>
      <c r="V89" s="378"/>
      <c r="W89" s="378"/>
      <c r="X89" s="378"/>
      <c r="Y89" s="378"/>
      <c r="Z89" s="378"/>
      <c r="AA89" s="378"/>
      <c r="AB89" s="378"/>
      <c r="AC89" s="378"/>
      <c r="AD89" s="378"/>
      <c r="AE89" s="378"/>
      <c r="AF89" s="378"/>
      <c r="AG89" s="378"/>
    </row>
    <row r="90">
      <c r="A90" s="419"/>
      <c r="B90" s="420"/>
      <c r="C90" s="421"/>
      <c r="D90" s="422"/>
      <c r="E90" s="423"/>
      <c r="F90" s="421"/>
      <c r="G90" s="413"/>
      <c r="H90" s="414"/>
      <c r="I90" s="376"/>
      <c r="J90" s="424"/>
      <c r="K90" s="421"/>
      <c r="L90" s="422"/>
      <c r="M90" s="423"/>
      <c r="N90" s="425"/>
      <c r="O90" s="408"/>
      <c r="P90" s="414"/>
      <c r="Q90" s="378"/>
      <c r="R90" s="378"/>
      <c r="S90" s="378"/>
      <c r="T90" s="378"/>
      <c r="U90" s="378"/>
      <c r="V90" s="378"/>
      <c r="W90" s="378"/>
      <c r="X90" s="378"/>
      <c r="Y90" s="378"/>
      <c r="Z90" s="378"/>
      <c r="AA90" s="378"/>
      <c r="AB90" s="378"/>
      <c r="AC90" s="378"/>
      <c r="AD90" s="378"/>
      <c r="AE90" s="378"/>
      <c r="AF90" s="378"/>
      <c r="AG90" s="378"/>
    </row>
    <row r="91">
      <c r="A91" s="375"/>
      <c r="B91" s="403" t="s">
        <v>711</v>
      </c>
      <c r="C91" s="224"/>
      <c r="D91" s="224"/>
      <c r="E91" s="222"/>
      <c r="F91" s="414">
        <f>SUM(F85:F90)</f>
        <v>3400</v>
      </c>
      <c r="G91" s="421"/>
      <c r="H91" s="414">
        <f>SUM(H85:H90)</f>
        <v>3400</v>
      </c>
      <c r="I91" s="376"/>
      <c r="J91" s="407" t="s">
        <v>711</v>
      </c>
      <c r="K91" s="224"/>
      <c r="L91" s="224"/>
      <c r="M91" s="222"/>
      <c r="N91" s="426">
        <f>SUM(N85:N90)</f>
        <v>1778</v>
      </c>
      <c r="O91" s="427"/>
      <c r="P91" s="414">
        <f>SUM(P85:P90)</f>
        <v>1155.7</v>
      </c>
      <c r="Q91" s="378"/>
      <c r="R91" s="378"/>
      <c r="S91" s="378"/>
      <c r="T91" s="378"/>
      <c r="U91" s="378"/>
      <c r="V91" s="378"/>
      <c r="W91" s="378"/>
      <c r="X91" s="378"/>
      <c r="Y91" s="378"/>
      <c r="Z91" s="378"/>
      <c r="AA91" s="378"/>
      <c r="AB91" s="378"/>
      <c r="AC91" s="378"/>
      <c r="AD91" s="378"/>
      <c r="AE91" s="378"/>
      <c r="AF91" s="378"/>
      <c r="AG91" s="378"/>
    </row>
    <row r="92">
      <c r="A92" s="419"/>
      <c r="B92" s="428"/>
      <c r="C92" s="419"/>
      <c r="D92" s="419"/>
      <c r="E92" s="419"/>
      <c r="F92" s="419"/>
      <c r="G92" s="419"/>
      <c r="H92" s="429"/>
      <c r="I92" s="376"/>
      <c r="J92" s="430"/>
      <c r="K92" s="419"/>
      <c r="L92" s="419"/>
      <c r="M92" s="419"/>
      <c r="N92" s="431"/>
      <c r="O92" s="432"/>
      <c r="P92" s="429"/>
      <c r="Q92" s="378"/>
      <c r="R92" s="378"/>
      <c r="S92" s="378"/>
      <c r="T92" s="378"/>
      <c r="U92" s="378"/>
      <c r="V92" s="378"/>
      <c r="W92" s="378"/>
      <c r="X92" s="378"/>
      <c r="Y92" s="378"/>
      <c r="Z92" s="378"/>
      <c r="AA92" s="378"/>
      <c r="AB92" s="378"/>
      <c r="AC92" s="378"/>
      <c r="AD92" s="378"/>
      <c r="AE92" s="378"/>
      <c r="AF92" s="378"/>
      <c r="AG92" s="378"/>
    </row>
    <row r="93">
      <c r="A93" s="375"/>
      <c r="B93" s="433" t="s">
        <v>712</v>
      </c>
      <c r="C93" s="434"/>
      <c r="D93" s="435"/>
      <c r="E93" s="419"/>
      <c r="F93" s="228"/>
      <c r="G93" s="228"/>
      <c r="H93" s="228"/>
      <c r="I93" s="376"/>
      <c r="J93" s="437" t="s">
        <v>712</v>
      </c>
      <c r="K93" s="434"/>
      <c r="L93" s="435"/>
      <c r="M93" s="419"/>
      <c r="N93" s="431"/>
      <c r="O93" s="432"/>
      <c r="P93" s="429"/>
      <c r="Q93" s="378"/>
      <c r="R93" s="378"/>
      <c r="S93" s="378"/>
      <c r="T93" s="378"/>
      <c r="U93" s="378"/>
      <c r="V93" s="378"/>
      <c r="W93" s="378"/>
      <c r="X93" s="378"/>
      <c r="Y93" s="378"/>
      <c r="Z93" s="378"/>
      <c r="AA93" s="378"/>
      <c r="AB93" s="378"/>
      <c r="AC93" s="378"/>
      <c r="AD93" s="378"/>
      <c r="AE93" s="378"/>
      <c r="AF93" s="378"/>
      <c r="AG93" s="378"/>
    </row>
    <row r="94">
      <c r="A94" s="375"/>
      <c r="B94" s="438" t="s">
        <v>657</v>
      </c>
      <c r="C94" s="439">
        <f>G103-O103</f>
        <v>379.4</v>
      </c>
      <c r="D94" s="440" t="s">
        <v>840</v>
      </c>
      <c r="E94" s="419"/>
      <c r="F94" s="237"/>
      <c r="G94" s="365"/>
      <c r="H94" s="237"/>
      <c r="I94" s="376"/>
      <c r="J94" s="443"/>
      <c r="K94" s="439"/>
      <c r="L94" s="440"/>
      <c r="M94" s="419"/>
      <c r="N94" s="431"/>
      <c r="O94" s="432"/>
      <c r="P94" s="429"/>
      <c r="Q94" s="378"/>
      <c r="R94" s="378"/>
      <c r="S94" s="378"/>
      <c r="T94" s="378"/>
      <c r="U94" s="378"/>
      <c r="V94" s="378"/>
      <c r="W94" s="378"/>
      <c r="X94" s="378"/>
      <c r="Y94" s="378"/>
      <c r="Z94" s="378"/>
      <c r="AA94" s="378"/>
      <c r="AB94" s="378"/>
      <c r="AC94" s="378"/>
      <c r="AD94" s="378"/>
      <c r="AE94" s="378"/>
      <c r="AF94" s="378"/>
      <c r="AG94" s="378"/>
    </row>
    <row r="95">
      <c r="A95" s="419"/>
      <c r="B95" s="444"/>
      <c r="C95" s="434"/>
      <c r="D95" s="435"/>
      <c r="E95" s="419"/>
      <c r="F95" s="237"/>
      <c r="G95" s="365"/>
      <c r="H95" s="237"/>
      <c r="I95" s="376"/>
      <c r="J95" s="445"/>
      <c r="K95" s="434"/>
      <c r="L95" s="435"/>
      <c r="M95" s="419"/>
      <c r="N95" s="446"/>
      <c r="O95" s="447"/>
      <c r="P95" s="448"/>
      <c r="Q95" s="378"/>
      <c r="R95" s="378"/>
      <c r="S95" s="378"/>
      <c r="T95" s="378"/>
      <c r="U95" s="378"/>
      <c r="V95" s="378"/>
      <c r="W95" s="378"/>
      <c r="X95" s="378"/>
      <c r="Y95" s="378"/>
      <c r="Z95" s="378"/>
      <c r="AA95" s="378"/>
      <c r="AB95" s="378"/>
      <c r="AC95" s="378"/>
      <c r="AD95" s="378"/>
      <c r="AE95" s="378"/>
      <c r="AF95" s="378"/>
      <c r="AG95" s="378"/>
    </row>
    <row r="96">
      <c r="A96" s="375"/>
      <c r="B96" s="438" t="s">
        <v>714</v>
      </c>
      <c r="C96" s="439"/>
      <c r="D96" s="440"/>
      <c r="E96" s="419"/>
      <c r="F96" s="244"/>
      <c r="G96" s="365"/>
      <c r="H96" s="237"/>
      <c r="I96" s="376"/>
      <c r="J96" s="443" t="s">
        <v>714</v>
      </c>
      <c r="K96" s="439">
        <f>SUM(K93:K95)</f>
        <v>0</v>
      </c>
      <c r="L96" s="440"/>
      <c r="M96" s="419"/>
      <c r="N96" s="446"/>
      <c r="O96" s="447"/>
      <c r="P96" s="448"/>
      <c r="Q96" s="378"/>
      <c r="R96" s="378"/>
      <c r="S96" s="378"/>
      <c r="T96" s="378"/>
      <c r="U96" s="378"/>
      <c r="V96" s="378"/>
      <c r="W96" s="378"/>
      <c r="X96" s="378"/>
      <c r="Y96" s="378"/>
      <c r="Z96" s="378"/>
      <c r="AA96" s="378"/>
      <c r="AB96" s="378"/>
      <c r="AC96" s="378"/>
      <c r="AD96" s="378"/>
      <c r="AE96" s="378"/>
      <c r="AF96" s="378"/>
      <c r="AG96" s="378"/>
    </row>
    <row r="97">
      <c r="A97" s="419"/>
      <c r="B97" s="450"/>
      <c r="C97" s="451"/>
      <c r="D97" s="419"/>
      <c r="E97" s="419"/>
      <c r="F97" s="244"/>
      <c r="G97" s="365"/>
      <c r="H97" s="237"/>
      <c r="I97" s="376"/>
      <c r="J97" s="452"/>
      <c r="K97" s="453"/>
      <c r="L97" s="419"/>
      <c r="M97" s="419"/>
      <c r="N97" s="446"/>
      <c r="O97" s="447"/>
      <c r="P97" s="448"/>
      <c r="Q97" s="378"/>
      <c r="R97" s="378"/>
      <c r="S97" s="378"/>
      <c r="T97" s="378"/>
      <c r="U97" s="378"/>
      <c r="V97" s="378"/>
      <c r="W97" s="378"/>
      <c r="X97" s="378"/>
      <c r="Y97" s="378"/>
      <c r="Z97" s="378"/>
      <c r="AA97" s="378"/>
      <c r="AB97" s="378"/>
      <c r="AC97" s="378"/>
      <c r="AD97" s="378"/>
      <c r="AE97" s="378"/>
      <c r="AF97" s="378"/>
      <c r="AG97" s="378"/>
    </row>
    <row r="98">
      <c r="A98" s="375"/>
      <c r="B98" s="454" t="s">
        <v>715</v>
      </c>
      <c r="C98" s="455"/>
      <c r="D98" s="456" t="s">
        <v>841</v>
      </c>
      <c r="E98" s="419"/>
      <c r="F98" s="993"/>
      <c r="G98" s="244"/>
      <c r="H98" s="993"/>
      <c r="I98" s="376"/>
      <c r="J98" s="458" t="s">
        <v>715</v>
      </c>
      <c r="K98" s="455"/>
      <c r="L98" s="435"/>
      <c r="M98" s="419"/>
      <c r="N98" s="446"/>
      <c r="O98" s="447"/>
      <c r="P98" s="448"/>
      <c r="Q98" s="378"/>
      <c r="R98" s="378"/>
      <c r="S98" s="378"/>
      <c r="T98" s="378"/>
      <c r="U98" s="378"/>
      <c r="V98" s="378"/>
      <c r="W98" s="378"/>
      <c r="X98" s="378"/>
      <c r="Y98" s="378"/>
      <c r="Z98" s="378"/>
      <c r="AA98" s="378"/>
      <c r="AB98" s="378"/>
      <c r="AC98" s="378"/>
      <c r="AD98" s="378"/>
      <c r="AE98" s="378"/>
      <c r="AF98" s="378"/>
      <c r="AG98" s="378"/>
    </row>
    <row r="99">
      <c r="A99" s="375"/>
      <c r="B99" s="459" t="s">
        <v>716</v>
      </c>
      <c r="C99" s="460"/>
      <c r="D99" s="440"/>
      <c r="E99" s="419"/>
      <c r="F99" s="633"/>
      <c r="G99" s="244"/>
      <c r="H99" s="633"/>
      <c r="I99" s="376"/>
      <c r="J99" s="462"/>
      <c r="K99" s="460"/>
      <c r="L99" s="440"/>
      <c r="M99" s="419"/>
      <c r="N99" s="446"/>
      <c r="O99" s="447"/>
      <c r="P99" s="448"/>
      <c r="Q99" s="378"/>
      <c r="R99" s="378"/>
      <c r="S99" s="378"/>
      <c r="T99" s="378"/>
      <c r="U99" s="378"/>
      <c r="V99" s="378"/>
      <c r="W99" s="378"/>
      <c r="X99" s="378"/>
      <c r="Y99" s="378"/>
      <c r="Z99" s="378"/>
      <c r="AA99" s="378"/>
      <c r="AB99" s="378"/>
      <c r="AC99" s="378"/>
      <c r="AD99" s="378"/>
      <c r="AE99" s="378"/>
      <c r="AF99" s="378"/>
      <c r="AG99" s="378"/>
    </row>
    <row r="100">
      <c r="A100" s="375"/>
      <c r="B100" s="459" t="s">
        <v>717</v>
      </c>
      <c r="C100" s="460"/>
      <c r="D100" s="440"/>
      <c r="E100" s="419"/>
      <c r="F100" s="463"/>
      <c r="G100" s="463"/>
      <c r="H100" s="448"/>
      <c r="I100" s="376"/>
      <c r="J100" s="462"/>
      <c r="K100" s="460"/>
      <c r="L100" s="440"/>
      <c r="M100" s="419"/>
      <c r="N100" s="446"/>
      <c r="O100" s="447"/>
      <c r="P100" s="448"/>
      <c r="Q100" s="378"/>
      <c r="R100" s="378"/>
      <c r="S100" s="378"/>
      <c r="T100" s="378"/>
      <c r="U100" s="378"/>
      <c r="V100" s="378"/>
      <c r="W100" s="378"/>
      <c r="X100" s="378"/>
      <c r="Y100" s="378"/>
      <c r="Z100" s="378"/>
      <c r="AA100" s="378"/>
      <c r="AB100" s="378"/>
      <c r="AC100" s="378"/>
      <c r="AD100" s="378"/>
      <c r="AE100" s="378"/>
      <c r="AF100" s="378"/>
      <c r="AG100" s="378"/>
    </row>
    <row r="101">
      <c r="A101" s="375"/>
      <c r="B101" s="459" t="s">
        <v>718</v>
      </c>
      <c r="C101" s="460"/>
      <c r="D101" s="440"/>
      <c r="E101" s="419"/>
      <c r="F101" s="463"/>
      <c r="G101" s="463"/>
      <c r="H101" s="448"/>
      <c r="I101" s="376"/>
      <c r="J101" s="462"/>
      <c r="K101" s="460"/>
      <c r="L101" s="440"/>
      <c r="M101" s="419"/>
      <c r="N101" s="446"/>
      <c r="O101" s="447"/>
      <c r="P101" s="448"/>
      <c r="Q101" s="378"/>
      <c r="R101" s="378"/>
      <c r="S101" s="378"/>
      <c r="T101" s="378"/>
      <c r="U101" s="378"/>
      <c r="V101" s="378"/>
      <c r="W101" s="378"/>
      <c r="X101" s="378"/>
      <c r="Y101" s="378"/>
      <c r="Z101" s="378"/>
      <c r="AA101" s="378"/>
      <c r="AB101" s="378"/>
      <c r="AC101" s="378"/>
      <c r="AD101" s="378"/>
      <c r="AE101" s="378"/>
      <c r="AF101" s="378"/>
      <c r="AG101" s="378"/>
    </row>
    <row r="102">
      <c r="A102" s="375"/>
      <c r="B102" s="459" t="s">
        <v>656</v>
      </c>
      <c r="C102" s="460">
        <f>IFERROR(__xludf.DUMMYFUNCTION("FILTER(D1045:D1130,C1045:C1130=F83)"),470.15)</f>
        <v>470.15</v>
      </c>
      <c r="D102" s="440"/>
      <c r="E102" s="419"/>
      <c r="F102" s="463"/>
      <c r="G102" s="463"/>
      <c r="H102" s="448"/>
      <c r="I102" s="376"/>
      <c r="J102" s="462"/>
      <c r="K102" s="460"/>
      <c r="L102" s="440"/>
      <c r="M102" s="419"/>
      <c r="N102" s="446"/>
      <c r="O102" s="447"/>
      <c r="P102" s="448"/>
      <c r="Q102" s="378"/>
      <c r="R102" s="378"/>
      <c r="S102" s="378"/>
      <c r="T102" s="378"/>
      <c r="U102" s="378"/>
      <c r="V102" s="378"/>
      <c r="W102" s="378"/>
      <c r="X102" s="378"/>
      <c r="Y102" s="378"/>
      <c r="Z102" s="378"/>
      <c r="AA102" s="378"/>
      <c r="AB102" s="378"/>
      <c r="AC102" s="378"/>
      <c r="AD102" s="378"/>
      <c r="AE102" s="378"/>
      <c r="AF102" s="378"/>
      <c r="AG102" s="378"/>
    </row>
    <row r="103">
      <c r="A103" s="419"/>
      <c r="B103" s="464"/>
      <c r="C103" s="994">
        <f>IFERROR(__xludf.DUMMYFUNCTION("""COMPUTED_VALUE"""),781.64)</f>
        <v>781.64</v>
      </c>
      <c r="D103" s="435"/>
      <c r="E103" s="419"/>
      <c r="F103" s="465" t="s">
        <v>842</v>
      </c>
      <c r="G103" s="466">
        <f>H91+C96-C108</f>
        <v>1535.1</v>
      </c>
      <c r="H103" s="211"/>
      <c r="I103" s="376"/>
      <c r="J103" s="467"/>
      <c r="K103" s="455"/>
      <c r="L103" s="435"/>
      <c r="M103" s="419"/>
      <c r="N103" s="468" t="s">
        <v>842</v>
      </c>
      <c r="O103" s="466">
        <f>P91+K96-K108</f>
        <v>1155.7</v>
      </c>
      <c r="P103" s="211"/>
      <c r="Q103" s="378"/>
      <c r="R103" s="378"/>
      <c r="S103" s="378"/>
      <c r="T103" s="378"/>
      <c r="U103" s="378"/>
      <c r="V103" s="378"/>
      <c r="W103" s="378"/>
      <c r="X103" s="378"/>
      <c r="Y103" s="378"/>
      <c r="Z103" s="378"/>
      <c r="AA103" s="378"/>
      <c r="AB103" s="378"/>
      <c r="AC103" s="378"/>
      <c r="AD103" s="378"/>
      <c r="AE103" s="378"/>
      <c r="AF103" s="378"/>
      <c r="AG103" s="378"/>
    </row>
    <row r="104">
      <c r="A104" s="419"/>
      <c r="B104" s="464"/>
      <c r="C104" s="994">
        <f>IFERROR(__xludf.DUMMYFUNCTION("""COMPUTED_VALUE"""),613.11)</f>
        <v>613.11</v>
      </c>
      <c r="D104" s="435"/>
      <c r="E104" s="419"/>
      <c r="F104" s="469" t="s">
        <v>843</v>
      </c>
      <c r="G104" s="278"/>
      <c r="H104" s="56"/>
      <c r="I104" s="376"/>
      <c r="J104" s="467"/>
      <c r="K104" s="455"/>
      <c r="L104" s="435"/>
      <c r="M104" s="419"/>
      <c r="N104" s="469" t="s">
        <v>844</v>
      </c>
      <c r="O104" s="278"/>
      <c r="P104" s="56"/>
      <c r="Q104" s="378"/>
      <c r="R104" s="378"/>
      <c r="S104" s="378"/>
      <c r="T104" s="378"/>
      <c r="U104" s="378"/>
      <c r="V104" s="378"/>
      <c r="W104" s="378"/>
      <c r="X104" s="378"/>
      <c r="Y104" s="378"/>
      <c r="Z104" s="378"/>
      <c r="AA104" s="378"/>
      <c r="AB104" s="378"/>
      <c r="AC104" s="378"/>
      <c r="AD104" s="378"/>
      <c r="AE104" s="378"/>
      <c r="AF104" s="378"/>
      <c r="AG104" s="378"/>
    </row>
    <row r="105">
      <c r="A105" s="419"/>
      <c r="B105" s="464"/>
      <c r="C105" s="455"/>
      <c r="D105" s="435"/>
      <c r="E105" s="419"/>
      <c r="F105" s="470"/>
      <c r="G105" s="215"/>
      <c r="H105" s="64"/>
      <c r="I105" s="376"/>
      <c r="J105" s="467"/>
      <c r="K105" s="455"/>
      <c r="L105" s="435"/>
      <c r="M105" s="419"/>
      <c r="N105" s="470"/>
      <c r="O105" s="215"/>
      <c r="P105" s="64"/>
      <c r="Q105" s="378"/>
      <c r="R105" s="378"/>
      <c r="S105" s="378"/>
      <c r="T105" s="378"/>
      <c r="U105" s="378"/>
      <c r="V105" s="378"/>
      <c r="W105" s="378"/>
      <c r="X105" s="378"/>
      <c r="Y105" s="378"/>
      <c r="Z105" s="378"/>
      <c r="AA105" s="378"/>
      <c r="AB105" s="378"/>
      <c r="AC105" s="378"/>
      <c r="AD105" s="378"/>
      <c r="AE105" s="378"/>
      <c r="AF105" s="378"/>
      <c r="AG105" s="378"/>
    </row>
    <row r="106">
      <c r="A106" s="419"/>
      <c r="B106" s="464"/>
      <c r="C106" s="455"/>
      <c r="D106" s="435"/>
      <c r="E106" s="419"/>
      <c r="F106" s="419"/>
      <c r="G106" s="419"/>
      <c r="H106" s="429"/>
      <c r="I106" s="376"/>
      <c r="J106" s="467"/>
      <c r="K106" s="455"/>
      <c r="L106" s="435"/>
      <c r="M106" s="419"/>
      <c r="N106" s="431"/>
      <c r="O106" s="432"/>
      <c r="P106" s="429"/>
      <c r="Q106" s="378"/>
      <c r="R106" s="378"/>
      <c r="S106" s="378"/>
      <c r="T106" s="378"/>
      <c r="U106" s="378"/>
      <c r="V106" s="378"/>
      <c r="W106" s="378"/>
      <c r="X106" s="378"/>
      <c r="Y106" s="378"/>
      <c r="Z106" s="378"/>
      <c r="AA106" s="378"/>
      <c r="AB106" s="378"/>
      <c r="AC106" s="378"/>
      <c r="AD106" s="378"/>
      <c r="AE106" s="398" t="s">
        <v>845</v>
      </c>
      <c r="AF106" s="380"/>
      <c r="AG106" s="380"/>
    </row>
    <row r="107">
      <c r="A107" s="419"/>
      <c r="B107" s="464"/>
      <c r="C107" s="455"/>
      <c r="D107" s="435"/>
      <c r="E107" s="419"/>
      <c r="F107" s="419"/>
      <c r="G107" s="419"/>
      <c r="H107" s="429"/>
      <c r="I107" s="376"/>
      <c r="J107" s="467"/>
      <c r="K107" s="455"/>
      <c r="L107" s="435"/>
      <c r="M107" s="419"/>
      <c r="N107" s="431"/>
      <c r="O107" s="432"/>
      <c r="P107" s="429"/>
      <c r="Q107" s="378"/>
      <c r="R107" s="378"/>
      <c r="S107" s="378"/>
      <c r="T107" s="378"/>
      <c r="U107" s="378"/>
      <c r="V107" s="378"/>
      <c r="W107" s="378"/>
      <c r="X107" s="378"/>
      <c r="Y107" s="378"/>
      <c r="Z107" s="378"/>
      <c r="AA107" s="378"/>
      <c r="AB107" s="378"/>
      <c r="AC107" s="378"/>
      <c r="AD107" s="378"/>
      <c r="AE107" s="398" t="s">
        <v>846</v>
      </c>
      <c r="AF107" s="380"/>
      <c r="AG107" s="380"/>
    </row>
    <row r="108">
      <c r="A108" s="375"/>
      <c r="B108" s="454" t="s">
        <v>721</v>
      </c>
      <c r="C108" s="460">
        <f>SUM(C99:C107)</f>
        <v>1864.9</v>
      </c>
      <c r="D108" s="440"/>
      <c r="E108" s="419"/>
      <c r="F108" s="419"/>
      <c r="G108" s="419"/>
      <c r="H108" s="429"/>
      <c r="I108" s="376"/>
      <c r="J108" s="458" t="s">
        <v>721</v>
      </c>
      <c r="K108" s="460">
        <f>SUM(K99:K107)</f>
        <v>0</v>
      </c>
      <c r="L108" s="440"/>
      <c r="M108" s="419"/>
      <c r="N108" s="431"/>
      <c r="O108" s="432"/>
      <c r="P108" s="429"/>
      <c r="Q108" s="378"/>
      <c r="R108" s="378"/>
      <c r="S108" s="378"/>
      <c r="T108" s="378"/>
      <c r="U108" s="378"/>
      <c r="V108" s="378"/>
      <c r="W108" s="378"/>
      <c r="X108" s="378"/>
      <c r="Y108" s="378"/>
      <c r="Z108" s="378"/>
      <c r="AA108" s="378"/>
      <c r="AB108" s="378"/>
      <c r="AC108" s="378"/>
      <c r="AD108" s="378"/>
      <c r="AE108" s="398" t="s">
        <v>847</v>
      </c>
      <c r="AF108" s="380"/>
      <c r="AG108" s="380"/>
    </row>
    <row r="109">
      <c r="A109" s="378"/>
      <c r="B109" s="471"/>
      <c r="C109" s="472"/>
      <c r="D109" s="472"/>
      <c r="E109" s="472"/>
      <c r="F109" s="472"/>
      <c r="G109" s="472"/>
      <c r="H109" s="473"/>
      <c r="I109" s="376"/>
      <c r="J109" s="474"/>
      <c r="K109" s="472"/>
      <c r="L109" s="472"/>
      <c r="M109" s="472"/>
      <c r="N109" s="475"/>
      <c r="O109" s="476"/>
      <c r="P109" s="473"/>
      <c r="Q109" s="378"/>
      <c r="R109" s="378"/>
      <c r="S109" s="378"/>
      <c r="T109" s="378"/>
      <c r="U109" s="378"/>
      <c r="V109" s="378"/>
      <c r="W109" s="378"/>
      <c r="X109" s="378"/>
      <c r="Y109" s="378"/>
      <c r="Z109" s="378"/>
      <c r="AA109" s="378"/>
      <c r="AB109" s="378"/>
      <c r="AC109" s="378"/>
      <c r="AD109" s="378"/>
      <c r="AE109" s="398" t="s">
        <v>848</v>
      </c>
      <c r="AF109" s="380"/>
      <c r="AG109" s="380"/>
    </row>
    <row r="110">
      <c r="A110" s="378"/>
      <c r="B110" s="477"/>
      <c r="C110" s="378"/>
      <c r="D110" s="378"/>
      <c r="E110" s="378"/>
      <c r="F110" s="378"/>
      <c r="G110" s="378"/>
      <c r="H110" s="378"/>
      <c r="I110" s="376"/>
      <c r="J110" s="381"/>
      <c r="K110" s="378"/>
      <c r="L110" s="378"/>
      <c r="M110" s="478"/>
      <c r="N110" s="379"/>
      <c r="O110" s="380"/>
      <c r="P110" s="378"/>
      <c r="Q110" s="378"/>
      <c r="R110" s="378"/>
      <c r="S110" s="378"/>
      <c r="T110" s="378"/>
      <c r="U110" s="378"/>
      <c r="V110" s="378"/>
      <c r="W110" s="378"/>
      <c r="X110" s="378"/>
      <c r="Y110" s="378"/>
      <c r="Z110" s="378"/>
      <c r="AA110" s="378"/>
      <c r="AB110" s="378"/>
      <c r="AC110" s="378"/>
      <c r="AD110" s="378"/>
      <c r="AE110" s="378"/>
      <c r="AF110" s="378"/>
      <c r="AG110" s="378"/>
    </row>
    <row r="111">
      <c r="A111" s="378"/>
      <c r="B111" s="477"/>
      <c r="C111" s="378"/>
      <c r="D111" s="378"/>
      <c r="E111" s="378"/>
      <c r="F111" s="378"/>
      <c r="G111" s="378"/>
      <c r="H111" s="378"/>
      <c r="I111" s="376"/>
      <c r="J111" s="381"/>
      <c r="K111" s="378"/>
      <c r="L111" s="378"/>
      <c r="M111" s="478"/>
      <c r="N111" s="379"/>
      <c r="O111" s="380"/>
      <c r="P111" s="378"/>
      <c r="Q111" s="378"/>
      <c r="R111" s="378"/>
      <c r="S111" s="378"/>
      <c r="T111" s="378"/>
      <c r="U111" s="378"/>
      <c r="V111" s="378"/>
      <c r="W111" s="378"/>
      <c r="X111" s="378"/>
      <c r="Y111" s="378"/>
      <c r="Z111" s="378"/>
      <c r="AA111" s="378"/>
      <c r="AB111" s="378"/>
      <c r="AC111" s="378"/>
      <c r="AD111" s="378"/>
      <c r="AE111" s="378"/>
      <c r="AF111" s="378"/>
      <c r="AG111" s="378"/>
    </row>
    <row r="112">
      <c r="A112" s="374">
        <v>2.0</v>
      </c>
      <c r="B112" s="382"/>
      <c r="C112" s="479"/>
      <c r="D112" s="480"/>
      <c r="E112" s="385" t="s">
        <v>700</v>
      </c>
      <c r="F112" s="385" t="str">
        <f>B2</f>
        <v>11.24.25-11.30.25</v>
      </c>
      <c r="G112" s="213"/>
      <c r="H112" s="211"/>
      <c r="I112" s="386">
        <v>2.0</v>
      </c>
      <c r="J112" s="481"/>
      <c r="K112" s="482"/>
      <c r="L112" s="483"/>
      <c r="M112" s="484" t="s">
        <v>700</v>
      </c>
      <c r="N112" s="484" t="str">
        <f>Board!A2</f>
        <v>11.17.25-11.23.25</v>
      </c>
      <c r="O112" s="213"/>
      <c r="P112" s="211"/>
      <c r="Q112" s="378"/>
      <c r="R112" s="389" t="s">
        <v>831</v>
      </c>
      <c r="S112" s="389" t="s">
        <v>652</v>
      </c>
      <c r="T112" s="390" t="s">
        <v>832</v>
      </c>
      <c r="U112" s="391" t="s">
        <v>833</v>
      </c>
      <c r="V112" s="389" t="s">
        <v>655</v>
      </c>
      <c r="W112" s="389" t="s">
        <v>8</v>
      </c>
      <c r="X112" s="389" t="s">
        <v>656</v>
      </c>
      <c r="Y112" s="390" t="s">
        <v>834</v>
      </c>
      <c r="Z112" s="392" t="s">
        <v>835</v>
      </c>
      <c r="AA112" s="390" t="s">
        <v>836</v>
      </c>
      <c r="AB112" s="390" t="s">
        <v>837</v>
      </c>
      <c r="AC112" s="393" t="s">
        <v>716</v>
      </c>
      <c r="AD112" s="393" t="s">
        <v>717</v>
      </c>
      <c r="AE112" s="393" t="s">
        <v>718</v>
      </c>
      <c r="AF112" s="394" t="s">
        <v>838</v>
      </c>
      <c r="AG112" s="394"/>
    </row>
    <row r="113">
      <c r="A113" s="372"/>
      <c r="B113" s="395"/>
      <c r="C113" s="372"/>
      <c r="D113" s="396"/>
      <c r="E113" s="385" t="s">
        <v>702</v>
      </c>
      <c r="F113" s="385" t="str">
        <f t="array" ref="F113">XLOOKUP(F114,Board!K:K,Board!J:J)</f>
        <v>FERHAT BAL</v>
      </c>
      <c r="G113" s="213"/>
      <c r="H113" s="211"/>
      <c r="I113" s="376"/>
      <c r="J113" s="485"/>
      <c r="K113" s="486"/>
      <c r="L113" s="487"/>
      <c r="M113" s="484" t="s">
        <v>351</v>
      </c>
      <c r="N113" s="484"/>
      <c r="O113" s="213"/>
      <c r="P113" s="211"/>
      <c r="Q113" s="378"/>
      <c r="R113" s="398">
        <f>I112</f>
        <v>2</v>
      </c>
      <c r="S113" s="398">
        <f>F114</f>
        <v>6643</v>
      </c>
      <c r="T113" s="399" t="str">
        <f>G134</f>
        <v>#N/A</v>
      </c>
      <c r="U113" s="378" t="str">
        <f>N113</f>
        <v/>
      </c>
      <c r="V113" s="380" t="str">
        <f>O134</f>
        <v/>
      </c>
      <c r="W113" s="399" t="str">
        <f>P122</f>
        <v/>
      </c>
      <c r="X113" s="399" t="str">
        <f>C133</f>
        <v>#N/A</v>
      </c>
      <c r="Y113" s="378" t="str">
        <f>N122</f>
        <v/>
      </c>
      <c r="Z113" s="378" t="str">
        <f>V114-V113</f>
        <v>#N/A</v>
      </c>
      <c r="AA113" s="378"/>
      <c r="AB113" s="378"/>
      <c r="AC113" s="401">
        <f>C130</f>
        <v>150</v>
      </c>
      <c r="AD113" s="401">
        <f>C131</f>
        <v>400</v>
      </c>
      <c r="AE113" s="401" t="str">
        <f>C132</f>
        <v/>
      </c>
      <c r="AF113" s="398">
        <f>C134+C135+C136+C137+C138</f>
        <v>0</v>
      </c>
      <c r="AG113" s="398"/>
    </row>
    <row r="114">
      <c r="A114" s="372"/>
      <c r="B114" s="395"/>
      <c r="C114" s="372"/>
      <c r="D114" s="402"/>
      <c r="E114" s="385" t="s">
        <v>703</v>
      </c>
      <c r="F114" s="385">
        <v>6643.0</v>
      </c>
      <c r="G114" s="213"/>
      <c r="H114" s="211"/>
      <c r="I114" s="376"/>
      <c r="J114" s="485"/>
      <c r="K114" s="486"/>
      <c r="L114" s="488"/>
      <c r="M114" s="484" t="s">
        <v>703</v>
      </c>
      <c r="N114" s="484"/>
      <c r="O114" s="213"/>
      <c r="P114" s="211"/>
      <c r="Q114" s="378"/>
      <c r="R114" s="378"/>
      <c r="S114" s="378"/>
      <c r="T114" s="378"/>
      <c r="U114" s="378" t="str">
        <f>F113</f>
        <v>FERHAT BAL</v>
      </c>
      <c r="V114" s="399" t="str">
        <f>G134</f>
        <v>#N/A</v>
      </c>
      <c r="W114" s="399">
        <f>H122</f>
        <v>4796</v>
      </c>
      <c r="X114" s="378"/>
      <c r="Y114" s="378"/>
      <c r="Z114" s="378"/>
      <c r="AA114" s="378"/>
      <c r="AB114" s="378"/>
      <c r="AC114" s="378"/>
      <c r="AD114" s="378"/>
      <c r="AE114" s="378"/>
      <c r="AF114" s="378"/>
      <c r="AG114" s="378"/>
    </row>
    <row r="115">
      <c r="A115" s="372"/>
      <c r="B115" s="403" t="s">
        <v>704</v>
      </c>
      <c r="C115" s="404" t="s">
        <v>5</v>
      </c>
      <c r="D115" s="405" t="s">
        <v>6</v>
      </c>
      <c r="E115" s="406" t="s">
        <v>7</v>
      </c>
      <c r="F115" s="404" t="s">
        <v>8</v>
      </c>
      <c r="G115" s="404" t="s">
        <v>706</v>
      </c>
      <c r="H115" s="404" t="s">
        <v>707</v>
      </c>
      <c r="I115" s="376"/>
      <c r="J115" s="489" t="s">
        <v>704</v>
      </c>
      <c r="K115" s="490" t="s">
        <v>5</v>
      </c>
      <c r="L115" s="491" t="s">
        <v>6</v>
      </c>
      <c r="M115" s="492" t="s">
        <v>7</v>
      </c>
      <c r="N115" s="490" t="s">
        <v>591</v>
      </c>
      <c r="O115" s="493" t="s">
        <v>839</v>
      </c>
      <c r="P115" s="490" t="s">
        <v>707</v>
      </c>
      <c r="Q115" s="378"/>
      <c r="R115" s="378"/>
      <c r="S115" s="378"/>
      <c r="T115" s="378"/>
      <c r="U115" s="398"/>
      <c r="V115" s="378"/>
      <c r="W115" s="378"/>
      <c r="X115" s="398"/>
      <c r="Y115" s="380"/>
      <c r="Z115" s="380"/>
      <c r="AA115" s="380"/>
      <c r="AB115" s="380"/>
      <c r="AC115" s="380"/>
      <c r="AD115" s="380"/>
      <c r="AE115" s="380"/>
      <c r="AF115" s="380"/>
      <c r="AG115" s="380"/>
    </row>
    <row r="116">
      <c r="A116" s="372"/>
      <c r="B116" s="494">
        <f>IFERROR(__xludf.DUMMYFUNCTION("FILTER(D2:H60,L2:L60=F114)"),45987.0)</f>
        <v>45987</v>
      </c>
      <c r="C116" s="411">
        <f>IFERROR(__xludf.DUMMYFUNCTION("""COMPUTED_VALUE"""),2177290.0)</f>
        <v>2177290</v>
      </c>
      <c r="D116" s="411" t="str">
        <f>IFERROR(__xludf.DUMMYFUNCTION("""COMPUTED_VALUE"""),"Mattoon, IL, 61938")</f>
        <v>Mattoon, IL, 61938</v>
      </c>
      <c r="E116" s="411" t="str">
        <f>IFERROR(__xludf.DUMMYFUNCTION("""COMPUTED_VALUE"""),"Columbia, SC, 29209")</f>
        <v>Columbia, SC, 29209</v>
      </c>
      <c r="F116" s="412">
        <f>IFERROR(__xludf.DUMMYFUNCTION("""COMPUTED_VALUE"""),2500.0)</f>
        <v>2500</v>
      </c>
      <c r="G116" s="413">
        <v>0.88</v>
      </c>
      <c r="H116" s="414">
        <f t="shared" ref="H116:H119" si="3">F116*G116</f>
        <v>2200</v>
      </c>
      <c r="I116" s="376"/>
      <c r="J116" s="495"/>
      <c r="K116" s="496"/>
      <c r="L116" s="496"/>
      <c r="M116" s="496"/>
      <c r="N116" s="496"/>
      <c r="O116" s="493"/>
      <c r="P116" s="497"/>
      <c r="Q116" s="378"/>
      <c r="R116" s="378"/>
      <c r="S116" s="378"/>
      <c r="T116" s="378"/>
      <c r="U116" s="379"/>
      <c r="V116" s="378"/>
      <c r="W116" s="378"/>
      <c r="X116" s="378"/>
      <c r="Y116" s="378"/>
      <c r="Z116" s="378"/>
      <c r="AA116" s="378"/>
      <c r="AB116" s="378"/>
      <c r="AC116" s="378"/>
      <c r="AD116" s="378"/>
      <c r="AE116" s="378"/>
      <c r="AF116" s="378"/>
      <c r="AG116" s="378"/>
    </row>
    <row r="117">
      <c r="A117" s="372"/>
      <c r="B117" s="410">
        <f>IFERROR(__xludf.DUMMYFUNCTION("""COMPUTED_VALUE"""),45986.0)</f>
        <v>45986</v>
      </c>
      <c r="C117" s="411">
        <f>IFERROR(__xludf.DUMMYFUNCTION("""COMPUTED_VALUE"""),2174307.0)</f>
        <v>2174307</v>
      </c>
      <c r="D117" s="411" t="str">
        <f>IFERROR(__xludf.DUMMYFUNCTION("""COMPUTED_VALUE"""),"Olathe, KS, 66062")</f>
        <v>Olathe, KS, 66062</v>
      </c>
      <c r="E117" s="411" t="str">
        <f>IFERROR(__xludf.DUMMYFUNCTION("""COMPUTED_VALUE"""),"Champaign, IL, 61822")</f>
        <v>Champaign, IL, 61822</v>
      </c>
      <c r="F117" s="412">
        <f>IFERROR(__xludf.DUMMYFUNCTION("""COMPUTED_VALUE"""),1550.0)</f>
        <v>1550</v>
      </c>
      <c r="G117" s="413">
        <v>0.88</v>
      </c>
      <c r="H117" s="414">
        <f t="shared" si="3"/>
        <v>1364</v>
      </c>
      <c r="I117" s="376"/>
      <c r="J117" s="498"/>
      <c r="K117" s="496"/>
      <c r="L117" s="496"/>
      <c r="M117" s="496"/>
      <c r="N117" s="496"/>
      <c r="O117" s="493"/>
      <c r="P117" s="497"/>
      <c r="Q117" s="378"/>
      <c r="R117" s="378"/>
      <c r="S117" s="378"/>
      <c r="T117" s="378"/>
      <c r="U117" s="378"/>
      <c r="V117" s="378"/>
      <c r="W117" s="378"/>
      <c r="X117" s="378"/>
      <c r="Y117" s="378"/>
      <c r="Z117" s="378"/>
      <c r="AA117" s="378"/>
      <c r="AB117" s="378"/>
      <c r="AC117" s="378"/>
      <c r="AD117" s="378"/>
      <c r="AE117" s="378"/>
      <c r="AF117" s="378"/>
      <c r="AG117" s="378"/>
    </row>
    <row r="118">
      <c r="A118" s="375"/>
      <c r="B118" s="499">
        <f>IFERROR(__xludf.DUMMYFUNCTION("""COMPUTED_VALUE"""),45985.0)</f>
        <v>45985</v>
      </c>
      <c r="C118" s="421">
        <f>IFERROR(__xludf.DUMMYFUNCTION("""COMPUTED_VALUE"""),2.0638176E7)</f>
        <v>20638176</v>
      </c>
      <c r="D118" s="422" t="str">
        <f>IFERROR(__xludf.DUMMYFUNCTION("""COMPUTED_VALUE"""),"Lemont, IL, 60439")</f>
        <v>Lemont, IL, 60439</v>
      </c>
      <c r="E118" s="423" t="str">
        <f>IFERROR(__xludf.DUMMYFUNCTION("""COMPUTED_VALUE"""),"North Kansas City, MO, 64116")</f>
        <v>North Kansas City, MO, 64116</v>
      </c>
      <c r="F118" s="500">
        <f>IFERROR(__xludf.DUMMYFUNCTION("""COMPUTED_VALUE"""),1400.0)</f>
        <v>1400</v>
      </c>
      <c r="G118" s="413">
        <v>0.88</v>
      </c>
      <c r="H118" s="414">
        <f t="shared" si="3"/>
        <v>1232</v>
      </c>
      <c r="I118" s="376"/>
      <c r="J118" s="501"/>
      <c r="K118" s="502"/>
      <c r="L118" s="503"/>
      <c r="M118" s="504"/>
      <c r="N118" s="505"/>
      <c r="O118" s="493"/>
      <c r="P118" s="497"/>
      <c r="Q118" s="378"/>
      <c r="R118" s="378"/>
      <c r="S118" s="378"/>
      <c r="T118" s="378"/>
      <c r="U118" s="378"/>
      <c r="V118" s="378"/>
      <c r="W118" s="378"/>
      <c r="X118" s="378"/>
      <c r="Y118" s="378"/>
      <c r="Z118" s="378"/>
      <c r="AA118" s="378"/>
      <c r="AB118" s="378"/>
      <c r="AC118" s="378"/>
      <c r="AD118" s="378"/>
      <c r="AE118" s="378"/>
      <c r="AF118" s="378"/>
      <c r="AG118" s="378"/>
    </row>
    <row r="119">
      <c r="A119" s="409"/>
      <c r="B119" s="420"/>
      <c r="C119" s="421"/>
      <c r="D119" s="422"/>
      <c r="E119" s="423"/>
      <c r="F119" s="421"/>
      <c r="G119" s="413">
        <v>0.88</v>
      </c>
      <c r="H119" s="414">
        <f t="shared" si="3"/>
        <v>0</v>
      </c>
      <c r="I119" s="376"/>
      <c r="J119" s="501"/>
      <c r="K119" s="502"/>
      <c r="L119" s="503"/>
      <c r="M119" s="504"/>
      <c r="N119" s="505"/>
      <c r="O119" s="493"/>
      <c r="P119" s="497"/>
      <c r="Q119" s="378"/>
      <c r="R119" s="378"/>
      <c r="S119" s="378"/>
      <c r="T119" s="378"/>
      <c r="U119" s="378"/>
      <c r="V119" s="378"/>
      <c r="W119" s="378"/>
      <c r="X119" s="378"/>
      <c r="Y119" s="378"/>
      <c r="Z119" s="378"/>
      <c r="AA119" s="378"/>
      <c r="AB119" s="378"/>
      <c r="AC119" s="378"/>
      <c r="AD119" s="378"/>
      <c r="AE119" s="378"/>
      <c r="AF119" s="378"/>
      <c r="AG119" s="378"/>
    </row>
    <row r="120">
      <c r="A120" s="409"/>
      <c r="B120" s="420"/>
      <c r="C120" s="421"/>
      <c r="D120" s="422"/>
      <c r="E120" s="423"/>
      <c r="F120" s="421"/>
      <c r="G120" s="413"/>
      <c r="H120" s="414"/>
      <c r="I120" s="376"/>
      <c r="J120" s="501"/>
      <c r="K120" s="502"/>
      <c r="L120" s="503"/>
      <c r="M120" s="504"/>
      <c r="N120" s="505"/>
      <c r="O120" s="493"/>
      <c r="P120" s="497"/>
      <c r="Q120" s="378"/>
      <c r="R120" s="378"/>
      <c r="S120" s="378"/>
      <c r="T120" s="378"/>
      <c r="U120" s="378"/>
      <c r="V120" s="378"/>
      <c r="W120" s="378"/>
      <c r="X120" s="378"/>
      <c r="Y120" s="378"/>
      <c r="Z120" s="378"/>
      <c r="AA120" s="378"/>
      <c r="AB120" s="378"/>
      <c r="AC120" s="378"/>
      <c r="AD120" s="378"/>
      <c r="AE120" s="378"/>
      <c r="AF120" s="378"/>
      <c r="AG120" s="378"/>
    </row>
    <row r="121">
      <c r="A121" s="409"/>
      <c r="B121" s="420"/>
      <c r="C121" s="421"/>
      <c r="D121" s="422"/>
      <c r="E121" s="423"/>
      <c r="F121" s="421"/>
      <c r="G121" s="413"/>
      <c r="H121" s="414"/>
      <c r="I121" s="376"/>
      <c r="J121" s="501"/>
      <c r="K121" s="502"/>
      <c r="L121" s="503"/>
      <c r="M121" s="504"/>
      <c r="N121" s="505"/>
      <c r="O121" s="493"/>
      <c r="P121" s="497"/>
      <c r="Q121" s="378"/>
      <c r="R121" s="378"/>
      <c r="S121" s="378"/>
      <c r="T121" s="378"/>
      <c r="U121" s="378"/>
      <c r="V121" s="378"/>
      <c r="W121" s="378"/>
      <c r="X121" s="378"/>
      <c r="Y121" s="378"/>
      <c r="Z121" s="378"/>
      <c r="AA121" s="378"/>
      <c r="AB121" s="378"/>
      <c r="AC121" s="378"/>
      <c r="AD121" s="378"/>
      <c r="AE121" s="378"/>
      <c r="AF121" s="378"/>
      <c r="AG121" s="378"/>
    </row>
    <row r="122">
      <c r="A122" s="419"/>
      <c r="B122" s="403" t="s">
        <v>711</v>
      </c>
      <c r="C122" s="224"/>
      <c r="D122" s="224"/>
      <c r="E122" s="222"/>
      <c r="F122" s="414">
        <f>SUM(F116:F121)</f>
        <v>5450</v>
      </c>
      <c r="G122" s="421"/>
      <c r="H122" s="414">
        <f>SUM(H116:H121)</f>
        <v>4796</v>
      </c>
      <c r="I122" s="376"/>
      <c r="J122" s="489"/>
      <c r="K122" s="224"/>
      <c r="L122" s="224"/>
      <c r="M122" s="222"/>
      <c r="N122" s="490"/>
      <c r="O122" s="506"/>
      <c r="P122" s="497"/>
      <c r="Q122" s="378"/>
      <c r="R122" s="378"/>
      <c r="S122" s="378"/>
      <c r="T122" s="378"/>
      <c r="U122" s="378"/>
      <c r="V122" s="378"/>
      <c r="W122" s="378"/>
      <c r="X122" s="378"/>
      <c r="Y122" s="378"/>
      <c r="Z122" s="378"/>
      <c r="AA122" s="378"/>
      <c r="AB122" s="378"/>
      <c r="AC122" s="378"/>
      <c r="AD122" s="378"/>
      <c r="AE122" s="378"/>
      <c r="AF122" s="378"/>
      <c r="AG122" s="378"/>
    </row>
    <row r="123">
      <c r="A123" s="375"/>
      <c r="B123" s="428"/>
      <c r="C123" s="419"/>
      <c r="D123" s="419"/>
      <c r="E123" s="419"/>
      <c r="F123" s="419"/>
      <c r="G123" s="419"/>
      <c r="H123" s="429"/>
      <c r="I123" s="376"/>
      <c r="J123" s="507"/>
      <c r="K123" s="508"/>
      <c r="L123" s="508"/>
      <c r="M123" s="508"/>
      <c r="N123" s="509"/>
      <c r="O123" s="510"/>
      <c r="P123" s="511"/>
      <c r="Q123" s="378"/>
      <c r="R123" s="378"/>
      <c r="S123" s="378"/>
      <c r="T123" s="378"/>
      <c r="U123" s="378"/>
      <c r="V123" s="378"/>
      <c r="W123" s="378"/>
      <c r="X123" s="378"/>
      <c r="Y123" s="378"/>
      <c r="Z123" s="378"/>
      <c r="AA123" s="378"/>
      <c r="AB123" s="378"/>
      <c r="AC123" s="378"/>
      <c r="AD123" s="378"/>
      <c r="AE123" s="378"/>
      <c r="AF123" s="378"/>
      <c r="AG123" s="378"/>
    </row>
    <row r="124">
      <c r="A124" s="419"/>
      <c r="B124" s="433" t="s">
        <v>712</v>
      </c>
      <c r="C124" s="434"/>
      <c r="D124" s="435"/>
      <c r="E124" s="419"/>
      <c r="F124" s="419"/>
      <c r="G124" s="419"/>
      <c r="H124" s="429"/>
      <c r="I124" s="376"/>
      <c r="J124" s="512"/>
      <c r="K124" s="504"/>
      <c r="L124" s="513"/>
      <c r="M124" s="508"/>
      <c r="N124" s="509"/>
      <c r="O124" s="510"/>
      <c r="P124" s="511"/>
      <c r="Q124" s="378"/>
      <c r="R124" s="378"/>
      <c r="S124" s="378"/>
      <c r="T124" s="378"/>
      <c r="U124" s="378"/>
      <c r="V124" s="378"/>
      <c r="W124" s="378"/>
      <c r="X124" s="378"/>
      <c r="Y124" s="378"/>
      <c r="Z124" s="378"/>
      <c r="AA124" s="378"/>
      <c r="AB124" s="378"/>
      <c r="AC124" s="378"/>
      <c r="AD124" s="378"/>
      <c r="AE124" s="378"/>
      <c r="AF124" s="378"/>
      <c r="AG124" s="378"/>
    </row>
    <row r="125">
      <c r="A125" s="375"/>
      <c r="B125" s="438"/>
      <c r="C125" s="439"/>
      <c r="D125" s="440"/>
      <c r="E125" s="419"/>
      <c r="F125" s="419"/>
      <c r="G125" s="419"/>
      <c r="H125" s="429"/>
      <c r="I125" s="376"/>
      <c r="J125" s="489"/>
      <c r="K125" s="514"/>
      <c r="L125" s="515"/>
      <c r="M125" s="508"/>
      <c r="N125" s="509"/>
      <c r="O125" s="510"/>
      <c r="P125" s="511"/>
      <c r="Q125" s="378"/>
      <c r="R125" s="378"/>
      <c r="S125" s="378"/>
      <c r="T125" s="378"/>
      <c r="U125" s="378"/>
      <c r="V125" s="378"/>
      <c r="W125" s="378"/>
      <c r="X125" s="378"/>
      <c r="Y125" s="378"/>
      <c r="Z125" s="378"/>
      <c r="AA125" s="378"/>
      <c r="AB125" s="378"/>
      <c r="AC125" s="378"/>
      <c r="AD125" s="378"/>
      <c r="AE125" s="378"/>
      <c r="AF125" s="378"/>
      <c r="AG125" s="378"/>
    </row>
    <row r="126">
      <c r="A126" s="419"/>
      <c r="B126" s="444"/>
      <c r="C126" s="434"/>
      <c r="D126" s="435"/>
      <c r="E126" s="419"/>
      <c r="F126" s="463"/>
      <c r="G126" s="463"/>
      <c r="H126" s="448"/>
      <c r="I126" s="376"/>
      <c r="J126" s="516"/>
      <c r="K126" s="504"/>
      <c r="L126" s="513"/>
      <c r="M126" s="508"/>
      <c r="N126" s="517"/>
      <c r="O126" s="518"/>
      <c r="P126" s="519"/>
      <c r="Q126" s="378"/>
      <c r="R126" s="378"/>
      <c r="S126" s="378"/>
      <c r="T126" s="378"/>
      <c r="U126" s="378"/>
      <c r="V126" s="378"/>
      <c r="W126" s="378"/>
      <c r="X126" s="378"/>
      <c r="Y126" s="378"/>
      <c r="Z126" s="378"/>
      <c r="AA126" s="378"/>
      <c r="AB126" s="378"/>
      <c r="AC126" s="378"/>
      <c r="AD126" s="378"/>
      <c r="AE126" s="378"/>
      <c r="AF126" s="378"/>
      <c r="AG126" s="378"/>
    </row>
    <row r="127">
      <c r="A127" s="419"/>
      <c r="B127" s="438" t="s">
        <v>714</v>
      </c>
      <c r="C127" s="439">
        <f>SUM(C125:C126)</f>
        <v>0</v>
      </c>
      <c r="D127" s="440"/>
      <c r="E127" s="419"/>
      <c r="F127" s="463"/>
      <c r="G127" s="463"/>
      <c r="H127" s="448"/>
      <c r="I127" s="376"/>
      <c r="J127" s="489"/>
      <c r="K127" s="514"/>
      <c r="L127" s="515"/>
      <c r="M127" s="508"/>
      <c r="N127" s="517"/>
      <c r="O127" s="518"/>
      <c r="P127" s="519"/>
      <c r="Q127" s="378"/>
      <c r="R127" s="378"/>
      <c r="S127" s="378"/>
      <c r="T127" s="378"/>
      <c r="U127" s="378"/>
      <c r="V127" s="378"/>
      <c r="W127" s="378"/>
      <c r="X127" s="378"/>
      <c r="Y127" s="378"/>
      <c r="Z127" s="378"/>
      <c r="AA127" s="378"/>
      <c r="AB127" s="378"/>
      <c r="AC127" s="378"/>
      <c r="AD127" s="378"/>
      <c r="AE127" s="378"/>
      <c r="AF127" s="378"/>
      <c r="AG127" s="378"/>
    </row>
    <row r="128">
      <c r="A128" s="375"/>
      <c r="B128" s="450"/>
      <c r="C128" s="451"/>
      <c r="D128" s="419"/>
      <c r="E128" s="419"/>
      <c r="F128" s="463"/>
      <c r="G128" s="463"/>
      <c r="H128" s="448"/>
      <c r="I128" s="376"/>
      <c r="J128" s="516"/>
      <c r="K128" s="520"/>
      <c r="L128" s="508"/>
      <c r="M128" s="508"/>
      <c r="N128" s="517"/>
      <c r="O128" s="518"/>
      <c r="P128" s="519"/>
      <c r="Q128" s="378"/>
      <c r="R128" s="378"/>
      <c r="S128" s="378"/>
      <c r="T128" s="378"/>
      <c r="U128" s="378"/>
      <c r="V128" s="378"/>
      <c r="W128" s="378"/>
      <c r="X128" s="378"/>
      <c r="Y128" s="378"/>
      <c r="Z128" s="378"/>
      <c r="AA128" s="378"/>
      <c r="AB128" s="378"/>
      <c r="AC128" s="378"/>
      <c r="AD128" s="378"/>
      <c r="AE128" s="378"/>
      <c r="AF128" s="378"/>
      <c r="AG128" s="378"/>
    </row>
    <row r="129">
      <c r="A129" s="419"/>
      <c r="B129" s="454" t="s">
        <v>715</v>
      </c>
      <c r="C129" s="455"/>
      <c r="D129" s="521"/>
      <c r="E129" s="419"/>
      <c r="F129" s="463"/>
      <c r="G129" s="463"/>
      <c r="H129" s="448"/>
      <c r="I129" s="376"/>
      <c r="J129" s="512"/>
      <c r="K129" s="504"/>
      <c r="L129" s="513"/>
      <c r="M129" s="508"/>
      <c r="N129" s="517"/>
      <c r="O129" s="518"/>
      <c r="P129" s="519"/>
      <c r="Q129" s="378"/>
      <c r="R129" s="378"/>
      <c r="S129" s="378"/>
      <c r="T129" s="378"/>
      <c r="U129" s="378"/>
      <c r="V129" s="378"/>
      <c r="W129" s="378"/>
      <c r="X129" s="378"/>
      <c r="Y129" s="378"/>
      <c r="Z129" s="378"/>
      <c r="AA129" s="378"/>
      <c r="AB129" s="378"/>
      <c r="AC129" s="378"/>
      <c r="AD129" s="378"/>
      <c r="AE129" s="378"/>
      <c r="AF129" s="378"/>
      <c r="AG129" s="378"/>
    </row>
    <row r="130">
      <c r="A130" s="375"/>
      <c r="B130" s="459" t="s">
        <v>716</v>
      </c>
      <c r="C130" s="460">
        <v>150.0</v>
      </c>
      <c r="D130" s="440"/>
      <c r="E130" s="419"/>
      <c r="F130" s="463"/>
      <c r="G130" s="463"/>
      <c r="H130" s="448"/>
      <c r="I130" s="376"/>
      <c r="J130" s="489"/>
      <c r="K130" s="514"/>
      <c r="L130" s="515"/>
      <c r="M130" s="508"/>
      <c r="N130" s="517"/>
      <c r="O130" s="518"/>
      <c r="P130" s="519"/>
      <c r="Q130" s="378"/>
      <c r="R130" s="378"/>
      <c r="S130" s="378"/>
      <c r="T130" s="378"/>
      <c r="U130" s="378"/>
      <c r="V130" s="378"/>
      <c r="W130" s="378"/>
      <c r="X130" s="378"/>
      <c r="Y130" s="378"/>
      <c r="Z130" s="378"/>
      <c r="AA130" s="378"/>
      <c r="AB130" s="378"/>
      <c r="AC130" s="378"/>
      <c r="AD130" s="378"/>
      <c r="AE130" s="378"/>
      <c r="AF130" s="378"/>
      <c r="AG130" s="378"/>
    </row>
    <row r="131">
      <c r="A131" s="375"/>
      <c r="B131" s="459" t="s">
        <v>717</v>
      </c>
      <c r="C131" s="460">
        <v>400.0</v>
      </c>
      <c r="D131" s="440"/>
      <c r="E131" s="419"/>
      <c r="F131" s="463"/>
      <c r="G131" s="463"/>
      <c r="H131" s="448"/>
      <c r="I131" s="376"/>
      <c r="J131" s="489"/>
      <c r="K131" s="514"/>
      <c r="L131" s="515"/>
      <c r="M131" s="508"/>
      <c r="N131" s="517"/>
      <c r="O131" s="518"/>
      <c r="P131" s="519"/>
      <c r="Q131" s="378"/>
      <c r="R131" s="378"/>
      <c r="S131" s="378"/>
      <c r="T131" s="378"/>
      <c r="U131" s="378"/>
      <c r="V131" s="378"/>
      <c r="W131" s="378"/>
      <c r="X131" s="378"/>
      <c r="Y131" s="378"/>
      <c r="Z131" s="378"/>
      <c r="AA131" s="378"/>
      <c r="AB131" s="378"/>
      <c r="AC131" s="378"/>
      <c r="AD131" s="378"/>
      <c r="AE131" s="378"/>
      <c r="AF131" s="378"/>
      <c r="AG131" s="378"/>
    </row>
    <row r="132">
      <c r="A132" s="375"/>
      <c r="B132" s="459" t="s">
        <v>718</v>
      </c>
      <c r="C132" s="460"/>
      <c r="D132" s="440"/>
      <c r="E132" s="419"/>
      <c r="F132" s="463"/>
      <c r="G132" s="463"/>
      <c r="H132" s="448"/>
      <c r="I132" s="376"/>
      <c r="J132" s="489"/>
      <c r="K132" s="514"/>
      <c r="L132" s="515"/>
      <c r="M132" s="508"/>
      <c r="N132" s="517"/>
      <c r="O132" s="518"/>
      <c r="P132" s="519"/>
      <c r="Q132" s="378"/>
      <c r="R132" s="378"/>
      <c r="S132" s="378"/>
      <c r="T132" s="378"/>
      <c r="U132" s="378"/>
      <c r="V132" s="378"/>
      <c r="W132" s="378"/>
      <c r="X132" s="378"/>
      <c r="Y132" s="378"/>
      <c r="Z132" s="378"/>
      <c r="AA132" s="378"/>
      <c r="AB132" s="378"/>
      <c r="AC132" s="378"/>
      <c r="AD132" s="378"/>
      <c r="AE132" s="378"/>
      <c r="AF132" s="378"/>
      <c r="AG132" s="378"/>
    </row>
    <row r="133">
      <c r="A133" s="375"/>
      <c r="B133" s="459" t="s">
        <v>656</v>
      </c>
      <c r="C133" s="460" t="str">
        <f>IFERROR(__xludf.DUMMYFUNCTION("FILTER(D1045:D1073,C1045:C1073=F114)"),"#N/A")</f>
        <v>#N/A</v>
      </c>
      <c r="D133" s="440"/>
      <c r="E133" s="419"/>
      <c r="F133" s="463"/>
      <c r="G133" s="463"/>
      <c r="H133" s="448"/>
      <c r="I133" s="376"/>
      <c r="J133" s="489"/>
      <c r="K133" s="514"/>
      <c r="L133" s="515"/>
      <c r="M133" s="508"/>
      <c r="N133" s="517"/>
      <c r="O133" s="518"/>
      <c r="P133" s="519"/>
      <c r="Q133" s="378"/>
      <c r="R133" s="378"/>
      <c r="S133" s="378"/>
      <c r="T133" s="378"/>
      <c r="U133" s="378"/>
      <c r="V133" s="378"/>
      <c r="W133" s="378"/>
      <c r="X133" s="378"/>
      <c r="Y133" s="378"/>
      <c r="Z133" s="378"/>
      <c r="AA133" s="378"/>
      <c r="AB133" s="378"/>
      <c r="AC133" s="378"/>
      <c r="AD133" s="378"/>
      <c r="AE133" s="378"/>
      <c r="AF133" s="378"/>
      <c r="AG133" s="378"/>
    </row>
    <row r="134">
      <c r="A134" s="375"/>
      <c r="B134" s="464"/>
      <c r="C134" s="455"/>
      <c r="D134" s="435"/>
      <c r="E134" s="419"/>
      <c r="F134" s="468" t="s">
        <v>842</v>
      </c>
      <c r="G134" s="466" t="str">
        <f>H122+C127-C139</f>
        <v>#N/A</v>
      </c>
      <c r="H134" s="211"/>
      <c r="I134" s="376"/>
      <c r="J134" s="501"/>
      <c r="K134" s="504"/>
      <c r="L134" s="513"/>
      <c r="M134" s="508"/>
      <c r="N134" s="522"/>
      <c r="O134" s="523"/>
      <c r="P134" s="211"/>
      <c r="Q134" s="378"/>
      <c r="R134" s="378"/>
      <c r="S134" s="378"/>
      <c r="T134" s="378"/>
      <c r="U134" s="378"/>
      <c r="V134" s="378"/>
      <c r="W134" s="378"/>
      <c r="X134" s="378"/>
      <c r="Y134" s="378"/>
      <c r="Z134" s="378"/>
      <c r="AA134" s="378"/>
      <c r="AB134" s="378"/>
      <c r="AC134" s="378"/>
      <c r="AD134" s="378"/>
      <c r="AE134" s="378"/>
      <c r="AF134" s="378"/>
      <c r="AG134" s="378"/>
    </row>
    <row r="135">
      <c r="A135" s="419"/>
      <c r="B135" s="464"/>
      <c r="C135" s="455"/>
      <c r="D135" s="435"/>
      <c r="E135" s="419"/>
      <c r="F135" s="469" t="s">
        <v>843</v>
      </c>
      <c r="G135" s="278"/>
      <c r="H135" s="56"/>
      <c r="I135" s="376"/>
      <c r="J135" s="501"/>
      <c r="K135" s="504"/>
      <c r="L135" s="513"/>
      <c r="M135" s="508"/>
      <c r="N135" s="55"/>
      <c r="O135" s="278"/>
      <c r="P135" s="56"/>
      <c r="Q135" s="378"/>
      <c r="R135" s="378"/>
      <c r="S135" s="378"/>
      <c r="T135" s="378"/>
      <c r="U135" s="378"/>
      <c r="V135" s="378"/>
      <c r="W135" s="378"/>
      <c r="X135" s="378"/>
      <c r="Y135" s="378"/>
      <c r="Z135" s="378"/>
      <c r="AA135" s="378"/>
      <c r="AB135" s="378"/>
      <c r="AC135" s="378"/>
      <c r="AD135" s="378"/>
      <c r="AE135" s="378"/>
      <c r="AF135" s="378"/>
      <c r="AG135" s="378"/>
    </row>
    <row r="136">
      <c r="A136" s="419"/>
      <c r="B136" s="464"/>
      <c r="C136" s="455"/>
      <c r="D136" s="435"/>
      <c r="E136" s="419"/>
      <c r="F136" s="470"/>
      <c r="G136" s="215"/>
      <c r="H136" s="64"/>
      <c r="I136" s="376"/>
      <c r="J136" s="501"/>
      <c r="K136" s="504"/>
      <c r="L136" s="513"/>
      <c r="M136" s="508"/>
      <c r="N136" s="60"/>
      <c r="O136" s="215"/>
      <c r="P136" s="64"/>
      <c r="Q136" s="378"/>
      <c r="R136" s="378"/>
      <c r="S136" s="378"/>
      <c r="T136" s="378"/>
      <c r="U136" s="378"/>
      <c r="V136" s="378"/>
      <c r="W136" s="378"/>
      <c r="X136" s="378"/>
      <c r="Y136" s="378"/>
      <c r="Z136" s="378"/>
      <c r="AA136" s="378"/>
      <c r="AB136" s="378"/>
      <c r="AC136" s="378"/>
      <c r="AD136" s="378"/>
      <c r="AE136" s="378"/>
      <c r="AF136" s="378"/>
      <c r="AG136" s="378"/>
    </row>
    <row r="137">
      <c r="A137" s="419"/>
      <c r="B137" s="464"/>
      <c r="C137" s="455"/>
      <c r="D137" s="435"/>
      <c r="E137" s="419"/>
      <c r="F137" s="419"/>
      <c r="G137" s="419"/>
      <c r="H137" s="429"/>
      <c r="I137" s="376"/>
      <c r="J137" s="501"/>
      <c r="K137" s="504"/>
      <c r="L137" s="513"/>
      <c r="M137" s="508"/>
      <c r="N137" s="509"/>
      <c r="O137" s="510"/>
      <c r="P137" s="511"/>
      <c r="Q137" s="378"/>
      <c r="R137" s="378"/>
      <c r="S137" s="378"/>
      <c r="T137" s="378"/>
      <c r="U137" s="378"/>
      <c r="V137" s="378"/>
      <c r="W137" s="378"/>
      <c r="X137" s="378"/>
      <c r="Y137" s="378"/>
      <c r="Z137" s="378"/>
      <c r="AA137" s="378"/>
      <c r="AB137" s="378"/>
      <c r="AC137" s="378"/>
      <c r="AD137" s="378"/>
      <c r="AE137" s="378"/>
      <c r="AF137" s="378"/>
      <c r="AG137" s="378"/>
    </row>
    <row r="138">
      <c r="A138" s="419"/>
      <c r="B138" s="464"/>
      <c r="C138" s="455"/>
      <c r="D138" s="435"/>
      <c r="E138" s="419"/>
      <c r="F138" s="419"/>
      <c r="G138" s="419"/>
      <c r="H138" s="429"/>
      <c r="I138" s="376"/>
      <c r="J138" s="501"/>
      <c r="K138" s="504"/>
      <c r="L138" s="513"/>
      <c r="M138" s="508"/>
      <c r="N138" s="509"/>
      <c r="O138" s="510"/>
      <c r="P138" s="511"/>
      <c r="Q138" s="378"/>
      <c r="R138" s="378"/>
      <c r="S138" s="378"/>
      <c r="T138" s="378"/>
      <c r="U138" s="378"/>
      <c r="V138" s="378"/>
      <c r="W138" s="378"/>
      <c r="X138" s="378"/>
      <c r="Y138" s="378"/>
      <c r="Z138" s="378"/>
      <c r="AA138" s="378"/>
      <c r="AB138" s="378"/>
      <c r="AC138" s="378"/>
      <c r="AD138" s="378"/>
      <c r="AE138" s="378"/>
      <c r="AF138" s="378"/>
      <c r="AG138" s="378"/>
    </row>
    <row r="139">
      <c r="A139" s="419"/>
      <c r="B139" s="454" t="s">
        <v>721</v>
      </c>
      <c r="C139" s="460" t="str">
        <f>SUM(C130:C138)</f>
        <v>#N/A</v>
      </c>
      <c r="D139" s="440"/>
      <c r="E139" s="419"/>
      <c r="F139" s="419"/>
      <c r="G139" s="419"/>
      <c r="H139" s="429"/>
      <c r="I139" s="376"/>
      <c r="J139" s="512"/>
      <c r="K139" s="514"/>
      <c r="L139" s="515"/>
      <c r="M139" s="508"/>
      <c r="N139" s="509"/>
      <c r="O139" s="510"/>
      <c r="P139" s="511"/>
      <c r="Q139" s="378"/>
      <c r="R139" s="378"/>
      <c r="S139" s="378"/>
      <c r="T139" s="378"/>
      <c r="U139" s="378"/>
      <c r="V139" s="378"/>
      <c r="W139" s="378"/>
      <c r="X139" s="378"/>
      <c r="Y139" s="378"/>
      <c r="Z139" s="378"/>
      <c r="AA139" s="378"/>
      <c r="AB139" s="378"/>
      <c r="AC139" s="378"/>
      <c r="AD139" s="378"/>
      <c r="AE139" s="378"/>
      <c r="AF139" s="378"/>
      <c r="AG139" s="378"/>
    </row>
    <row r="140">
      <c r="A140" s="375"/>
      <c r="B140" s="471"/>
      <c r="C140" s="472"/>
      <c r="D140" s="472"/>
      <c r="E140" s="472"/>
      <c r="F140" s="472"/>
      <c r="G140" s="472"/>
      <c r="H140" s="473"/>
      <c r="I140" s="376"/>
      <c r="J140" s="524"/>
      <c r="K140" s="525"/>
      <c r="L140" s="525"/>
      <c r="M140" s="525"/>
      <c r="N140" s="526"/>
      <c r="O140" s="527"/>
      <c r="P140" s="528"/>
      <c r="Q140" s="378"/>
      <c r="R140" s="378"/>
      <c r="S140" s="378"/>
      <c r="T140" s="378"/>
      <c r="U140" s="378"/>
      <c r="V140" s="378"/>
      <c r="W140" s="378"/>
      <c r="X140" s="378"/>
      <c r="Y140" s="378"/>
      <c r="Z140" s="378"/>
      <c r="AA140" s="378"/>
      <c r="AB140" s="378"/>
      <c r="AC140" s="378"/>
      <c r="AD140" s="378"/>
      <c r="AE140" s="378"/>
      <c r="AF140" s="378"/>
      <c r="AG140" s="378"/>
    </row>
    <row r="141">
      <c r="A141" s="372"/>
      <c r="B141" s="373"/>
      <c r="C141" s="372"/>
      <c r="D141" s="374"/>
      <c r="E141" s="372"/>
      <c r="F141" s="375"/>
      <c r="G141" s="375"/>
      <c r="H141" s="375"/>
      <c r="I141" s="376"/>
      <c r="J141" s="377"/>
      <c r="K141" s="378"/>
      <c r="L141" s="378"/>
      <c r="M141" s="478"/>
      <c r="N141" s="379"/>
      <c r="O141" s="380"/>
      <c r="P141" s="378"/>
      <c r="Q141" s="378"/>
      <c r="R141" s="378"/>
      <c r="S141" s="378"/>
      <c r="T141" s="378"/>
      <c r="U141" s="378"/>
      <c r="V141" s="378"/>
      <c r="W141" s="378"/>
      <c r="X141" s="378"/>
      <c r="Y141" s="378"/>
      <c r="Z141" s="378"/>
      <c r="AA141" s="378"/>
      <c r="AB141" s="378"/>
      <c r="AC141" s="378"/>
      <c r="AD141" s="378"/>
      <c r="AE141" s="378"/>
      <c r="AF141" s="378"/>
      <c r="AG141" s="378"/>
    </row>
    <row r="142">
      <c r="A142" s="372"/>
      <c r="B142" s="373"/>
      <c r="C142" s="372"/>
      <c r="D142" s="374"/>
      <c r="E142" s="372"/>
      <c r="F142" s="375"/>
      <c r="G142" s="529">
        <v>2653.0</v>
      </c>
      <c r="H142" s="529" t="s">
        <v>849</v>
      </c>
      <c r="I142" s="376"/>
      <c r="J142" s="377"/>
      <c r="K142" s="378"/>
      <c r="L142" s="378"/>
      <c r="M142" s="478"/>
      <c r="N142" s="379"/>
      <c r="O142" s="380"/>
      <c r="P142" s="378"/>
      <c r="Q142" s="378"/>
      <c r="R142" s="378"/>
      <c r="S142" s="378"/>
      <c r="T142" s="378"/>
      <c r="U142" s="378"/>
      <c r="V142" s="378"/>
      <c r="W142" s="378"/>
      <c r="X142" s="378"/>
      <c r="Y142" s="378"/>
      <c r="Z142" s="378"/>
      <c r="AA142" s="378"/>
      <c r="AB142" s="378"/>
      <c r="AC142" s="378"/>
      <c r="AD142" s="378"/>
      <c r="AE142" s="378"/>
      <c r="AF142" s="378"/>
      <c r="AG142" s="378"/>
    </row>
    <row r="143">
      <c r="A143" s="372"/>
      <c r="B143" s="382"/>
      <c r="C143" s="388"/>
      <c r="D143" s="384"/>
      <c r="E143" s="385" t="s">
        <v>700</v>
      </c>
      <c r="F143" s="385" t="str">
        <f>Board!A2</f>
        <v>11.17.25-11.23.25</v>
      </c>
      <c r="G143" s="213"/>
      <c r="H143" s="211"/>
      <c r="I143" s="386">
        <v>3.0</v>
      </c>
      <c r="J143" s="387"/>
      <c r="K143" s="388"/>
      <c r="L143" s="384"/>
      <c r="M143" s="385" t="s">
        <v>700</v>
      </c>
      <c r="N143" s="385" t="str">
        <f>Board!A2</f>
        <v>11.17.25-11.23.25</v>
      </c>
      <c r="O143" s="213"/>
      <c r="P143" s="211"/>
      <c r="Q143" s="378"/>
      <c r="R143" s="389" t="s">
        <v>831</v>
      </c>
      <c r="S143" s="389" t="s">
        <v>652</v>
      </c>
      <c r="T143" s="390" t="s">
        <v>832</v>
      </c>
      <c r="U143" s="391" t="s">
        <v>833</v>
      </c>
      <c r="V143" s="389" t="s">
        <v>655</v>
      </c>
      <c r="W143" s="389" t="s">
        <v>8</v>
      </c>
      <c r="X143" s="389" t="s">
        <v>656</v>
      </c>
      <c r="Y143" s="390" t="s">
        <v>834</v>
      </c>
      <c r="Z143" s="392" t="s">
        <v>835</v>
      </c>
      <c r="AA143" s="390" t="s">
        <v>836</v>
      </c>
      <c r="AB143" s="390" t="s">
        <v>837</v>
      </c>
      <c r="AC143" s="393" t="s">
        <v>716</v>
      </c>
      <c r="AD143" s="393" t="s">
        <v>717</v>
      </c>
      <c r="AE143" s="393" t="s">
        <v>718</v>
      </c>
      <c r="AF143" s="394" t="s">
        <v>838</v>
      </c>
      <c r="AG143" s="394"/>
    </row>
    <row r="144">
      <c r="A144" s="374">
        <v>3.0</v>
      </c>
      <c r="B144" s="395"/>
      <c r="C144" s="372"/>
      <c r="D144" s="396"/>
      <c r="E144" s="385" t="s">
        <v>702</v>
      </c>
      <c r="F144" s="385" t="s">
        <v>802</v>
      </c>
      <c r="G144" s="213"/>
      <c r="H144" s="211"/>
      <c r="I144" s="376"/>
      <c r="J144" s="397"/>
      <c r="K144" s="372"/>
      <c r="L144" s="396"/>
      <c r="M144" s="385" t="s">
        <v>351</v>
      </c>
      <c r="N144" s="385" t="str">
        <f t="array" ref="N144">XLOOKUP(N145,Board!K:K,Board!J:J)</f>
        <v>LOUIS JUSTE EMMANUEL</v>
      </c>
      <c r="O144" s="213"/>
      <c r="P144" s="211"/>
      <c r="Q144" s="378"/>
      <c r="R144" s="398">
        <f>I143</f>
        <v>3</v>
      </c>
      <c r="S144" s="398">
        <f>F145</f>
        <v>515</v>
      </c>
      <c r="T144" s="399" t="str">
        <f>G165</f>
        <v>#N/A</v>
      </c>
      <c r="U144" s="378" t="str">
        <f>N144</f>
        <v>LOUIS JUSTE EMMANUEL</v>
      </c>
      <c r="V144" s="380">
        <f>O165</f>
        <v>269.8</v>
      </c>
      <c r="W144" s="399">
        <f>P153</f>
        <v>685.2</v>
      </c>
      <c r="X144" s="399" t="str">
        <f>C164</f>
        <v>#N/A</v>
      </c>
      <c r="Y144" s="400">
        <f>N153</f>
        <v>1142</v>
      </c>
      <c r="Z144" s="378" t="str">
        <f>V145-V144</f>
        <v>#N/A</v>
      </c>
      <c r="AA144" s="378"/>
      <c r="AB144" s="378"/>
      <c r="AC144" s="401">
        <f>C161</f>
        <v>100</v>
      </c>
      <c r="AD144" s="401">
        <f>C162</f>
        <v>400</v>
      </c>
      <c r="AE144" s="401">
        <f>C163</f>
        <v>0</v>
      </c>
      <c r="AF144" s="530">
        <f>C165+C166+C167+C168+C170</f>
        <v>3807.711667</v>
      </c>
      <c r="AG144" s="398"/>
    </row>
    <row r="145">
      <c r="A145" s="372"/>
      <c r="B145" s="395"/>
      <c r="C145" s="372"/>
      <c r="D145" s="402"/>
      <c r="E145" s="385" t="s">
        <v>703</v>
      </c>
      <c r="F145" s="531">
        <v>515.0</v>
      </c>
      <c r="G145" s="532">
        <v>2653.0</v>
      </c>
      <c r="H145" s="533"/>
      <c r="I145" s="376"/>
      <c r="J145" s="397"/>
      <c r="K145" s="372"/>
      <c r="L145" s="402"/>
      <c r="M145" s="385" t="s">
        <v>703</v>
      </c>
      <c r="N145" s="534">
        <f>F145</f>
        <v>515</v>
      </c>
      <c r="O145" s="532">
        <v>2653.0</v>
      </c>
      <c r="P145" s="533"/>
      <c r="Q145" s="378"/>
      <c r="R145" s="378"/>
      <c r="S145" s="378"/>
      <c r="T145" s="378"/>
      <c r="U145" s="378" t="str">
        <f>F144</f>
        <v>Velox Limo LLC</v>
      </c>
      <c r="V145" s="399" t="str">
        <f>G165</f>
        <v>#N/A</v>
      </c>
      <c r="W145" s="399">
        <f>H153</f>
        <v>0</v>
      </c>
      <c r="X145" s="378"/>
      <c r="Y145" s="378"/>
      <c r="Z145" s="378"/>
      <c r="AA145" s="378"/>
      <c r="AB145" s="378"/>
      <c r="AC145" s="378"/>
      <c r="AD145" s="378"/>
      <c r="AE145" s="378"/>
      <c r="AF145" s="378"/>
      <c r="AG145" s="378"/>
    </row>
    <row r="146">
      <c r="A146" s="372"/>
      <c r="B146" s="403" t="s">
        <v>704</v>
      </c>
      <c r="C146" s="404" t="s">
        <v>5</v>
      </c>
      <c r="D146" s="405" t="s">
        <v>6</v>
      </c>
      <c r="E146" s="406" t="s">
        <v>7</v>
      </c>
      <c r="F146" s="404" t="s">
        <v>8</v>
      </c>
      <c r="G146" s="404" t="s">
        <v>706</v>
      </c>
      <c r="H146" s="404" t="s">
        <v>707</v>
      </c>
      <c r="I146" s="376"/>
      <c r="J146" s="407" t="s">
        <v>704</v>
      </c>
      <c r="K146" s="404" t="s">
        <v>5</v>
      </c>
      <c r="L146" s="405" t="s">
        <v>6</v>
      </c>
      <c r="M146" s="406" t="s">
        <v>7</v>
      </c>
      <c r="N146" s="404" t="s">
        <v>591</v>
      </c>
      <c r="O146" s="408" t="s">
        <v>839</v>
      </c>
      <c r="P146" s="404" t="s">
        <v>707</v>
      </c>
      <c r="Q146" s="378"/>
      <c r="R146" s="378"/>
      <c r="S146" s="378"/>
      <c r="T146" s="378"/>
      <c r="U146" s="378"/>
      <c r="V146" s="378"/>
      <c r="W146" s="378"/>
      <c r="X146" s="378"/>
      <c r="Y146" s="378"/>
      <c r="Z146" s="378"/>
      <c r="AA146" s="378"/>
      <c r="AB146" s="378"/>
      <c r="AC146" s="378"/>
      <c r="AD146" s="378"/>
      <c r="AE146" s="378"/>
      <c r="AF146" s="378"/>
      <c r="AG146" s="378"/>
    </row>
    <row r="147">
      <c r="A147" s="372"/>
      <c r="B147" s="410" t="str">
        <f>IFERROR(__xludf.DUMMYFUNCTION("FILTER(D2:H60,L2:L60=F145)"),"#N/A")</f>
        <v>#N/A</v>
      </c>
      <c r="C147" s="411"/>
      <c r="D147" s="411"/>
      <c r="E147" s="411"/>
      <c r="F147" s="412"/>
      <c r="G147" s="413">
        <v>0.88</v>
      </c>
      <c r="H147" s="414">
        <f t="shared" ref="H147:H148" si="4">F147*G147</f>
        <v>0</v>
      </c>
      <c r="I147" s="376"/>
      <c r="J147" s="415">
        <f>IFERROR(__xludf.DUMMYFUNCTION("FILTER(Board!C:F,Board!K:K=N145)"),45980.0)</f>
        <v>45980</v>
      </c>
      <c r="K147" s="411">
        <f>IFERROR(__xludf.DUMMYFUNCTION("""COMPUTED_VALUE"""),7982712.0)</f>
        <v>7982712</v>
      </c>
      <c r="L147" s="411" t="str">
        <f>IFERROR(__xludf.DUMMYFUNCTION("""COMPUTED_VALUE"""),"Chester, VA, 23836")</f>
        <v>Chester, VA, 23836</v>
      </c>
      <c r="M147" s="411" t="str">
        <f>IFERROR(__xludf.DUMMYFUNCTION("""COMPUTED_VALUE"""),", SC, 29072")</f>
        <v>, SC, 29072</v>
      </c>
      <c r="N147" s="416">
        <f>IFERROR(__xludf.DUMMYFUNCTION("FILTER(Board!H:H,Board!K:K=N145)"),433.0)</f>
        <v>433</v>
      </c>
      <c r="O147" s="408">
        <v>0.6</v>
      </c>
      <c r="P147" s="414">
        <f t="shared" ref="P147:P148" si="5">N147*O147</f>
        <v>259.8</v>
      </c>
      <c r="Q147" s="378"/>
      <c r="R147" s="378"/>
      <c r="S147" s="378"/>
      <c r="T147" s="378"/>
      <c r="U147" s="378"/>
      <c r="V147" s="378"/>
      <c r="W147" s="378"/>
      <c r="X147" s="378"/>
      <c r="Y147" s="378"/>
      <c r="Z147" s="378"/>
      <c r="AA147" s="378"/>
      <c r="AB147" s="378"/>
      <c r="AC147" s="378"/>
      <c r="AD147" s="378"/>
      <c r="AE147" s="378"/>
      <c r="AF147" s="378"/>
      <c r="AG147" s="378"/>
    </row>
    <row r="148">
      <c r="A148" s="372"/>
      <c r="B148" s="410"/>
      <c r="C148" s="411"/>
      <c r="D148" s="411"/>
      <c r="E148" s="411"/>
      <c r="F148" s="412"/>
      <c r="G148" s="413">
        <v>0.88</v>
      </c>
      <c r="H148" s="414">
        <f t="shared" si="4"/>
        <v>0</v>
      </c>
      <c r="I148" s="376"/>
      <c r="J148" s="418">
        <f>IFERROR(__xludf.DUMMYFUNCTION("""COMPUTED_VALUE"""),45981.0)</f>
        <v>45981</v>
      </c>
      <c r="K148" s="411">
        <f>IFERROR(__xludf.DUMMYFUNCTION("""COMPUTED_VALUE"""),2091995.0)</f>
        <v>2091995</v>
      </c>
      <c r="L148" s="411" t="str">
        <f>IFERROR(__xludf.DUMMYFUNCTION("""COMPUTED_VALUE"""),"Kennesaw, GA, 30144")</f>
        <v>Kennesaw, GA, 30144</v>
      </c>
      <c r="M148" s="411" t="str">
        <f>IFERROR(__xludf.DUMMYFUNCTION("""COMPUTED_VALUE"""),"Sumterville, FL, 33585")</f>
        <v>Sumterville, FL, 33585</v>
      </c>
      <c r="N148" s="416">
        <f>IFERROR(__xludf.DUMMYFUNCTION("""COMPUTED_VALUE"""),709.0)</f>
        <v>709</v>
      </c>
      <c r="O148" s="408">
        <v>0.6</v>
      </c>
      <c r="P148" s="414">
        <f t="shared" si="5"/>
        <v>425.4</v>
      </c>
      <c r="Q148" s="378"/>
      <c r="R148" s="378"/>
      <c r="S148" s="378"/>
      <c r="T148" s="378"/>
      <c r="U148" s="378"/>
      <c r="V148" s="378"/>
      <c r="W148" s="378"/>
      <c r="X148" s="378"/>
      <c r="Y148" s="378"/>
      <c r="Z148" s="378"/>
      <c r="AA148" s="378"/>
      <c r="AB148" s="378"/>
      <c r="AC148" s="378"/>
      <c r="AD148" s="378"/>
      <c r="AE148" s="378"/>
      <c r="AF148" s="378"/>
      <c r="AG148" s="378"/>
    </row>
    <row r="149">
      <c r="A149" s="375"/>
      <c r="B149" s="420"/>
      <c r="C149" s="421"/>
      <c r="D149" s="422"/>
      <c r="E149" s="423"/>
      <c r="F149" s="421"/>
      <c r="G149" s="413"/>
      <c r="H149" s="414"/>
      <c r="I149" s="376"/>
      <c r="J149" s="424"/>
      <c r="K149" s="421"/>
      <c r="L149" s="422"/>
      <c r="M149" s="423"/>
      <c r="N149" s="425"/>
      <c r="O149" s="408"/>
      <c r="P149" s="414"/>
      <c r="Q149" s="378"/>
      <c r="R149" s="378"/>
      <c r="S149" s="378"/>
      <c r="T149" s="378"/>
      <c r="U149" s="378"/>
      <c r="V149" s="378"/>
      <c r="W149" s="378"/>
      <c r="X149" s="378"/>
      <c r="Y149" s="378"/>
      <c r="Z149" s="378"/>
      <c r="AA149" s="378"/>
      <c r="AB149" s="378"/>
      <c r="AC149" s="378"/>
      <c r="AD149" s="378"/>
      <c r="AE149" s="378"/>
      <c r="AF149" s="378"/>
      <c r="AG149" s="378"/>
    </row>
    <row r="150">
      <c r="A150" s="409"/>
      <c r="B150" s="420"/>
      <c r="C150" s="421"/>
      <c r="D150" s="422"/>
      <c r="E150" s="423"/>
      <c r="F150" s="421"/>
      <c r="G150" s="413"/>
      <c r="H150" s="414"/>
      <c r="I150" s="376"/>
      <c r="J150" s="424"/>
      <c r="K150" s="421"/>
      <c r="L150" s="422"/>
      <c r="M150" s="423"/>
      <c r="N150" s="425"/>
      <c r="O150" s="408"/>
      <c r="P150" s="414"/>
      <c r="Q150" s="378"/>
      <c r="R150" s="378"/>
      <c r="S150" s="378"/>
      <c r="T150" s="378"/>
      <c r="U150" s="378"/>
      <c r="V150" s="378"/>
      <c r="W150" s="378"/>
      <c r="X150" s="378"/>
      <c r="Y150" s="378"/>
      <c r="Z150" s="378"/>
      <c r="AA150" s="378"/>
      <c r="AB150" s="378"/>
      <c r="AC150" s="378"/>
      <c r="AD150" s="378"/>
      <c r="AE150" s="378"/>
      <c r="AF150" s="378"/>
      <c r="AG150" s="378"/>
    </row>
    <row r="151">
      <c r="A151" s="409"/>
      <c r="B151" s="420"/>
      <c r="C151" s="421"/>
      <c r="D151" s="422"/>
      <c r="E151" s="423"/>
      <c r="F151" s="421"/>
      <c r="G151" s="413"/>
      <c r="H151" s="414"/>
      <c r="I151" s="376"/>
      <c r="J151" s="424"/>
      <c r="K151" s="421"/>
      <c r="L151" s="422"/>
      <c r="M151" s="423"/>
      <c r="N151" s="425"/>
      <c r="O151" s="408"/>
      <c r="P151" s="414"/>
      <c r="Q151" s="378"/>
      <c r="R151" s="378"/>
      <c r="S151" s="378"/>
      <c r="T151" s="378"/>
      <c r="U151" s="378"/>
      <c r="V151" s="378"/>
      <c r="W151" s="378"/>
      <c r="X151" s="378"/>
      <c r="Y151" s="378"/>
      <c r="Z151" s="378"/>
      <c r="AA151" s="378"/>
      <c r="AB151" s="378"/>
      <c r="AC151" s="378"/>
      <c r="AD151" s="378"/>
      <c r="AE151" s="378"/>
      <c r="AF151" s="378"/>
      <c r="AG151" s="378"/>
    </row>
    <row r="152">
      <c r="A152" s="409"/>
      <c r="B152" s="420"/>
      <c r="C152" s="421"/>
      <c r="D152" s="422"/>
      <c r="E152" s="423"/>
      <c r="F152" s="421"/>
      <c r="G152" s="413"/>
      <c r="H152" s="414"/>
      <c r="I152" s="376"/>
      <c r="J152" s="424"/>
      <c r="K152" s="421"/>
      <c r="L152" s="422"/>
      <c r="M152" s="423"/>
      <c r="N152" s="425"/>
      <c r="O152" s="408"/>
      <c r="P152" s="414"/>
      <c r="Q152" s="378"/>
      <c r="R152" s="378"/>
      <c r="S152" s="378"/>
      <c r="T152" s="378"/>
      <c r="U152" s="378"/>
      <c r="V152" s="378"/>
      <c r="W152" s="378"/>
      <c r="X152" s="378"/>
      <c r="Y152" s="378"/>
      <c r="Z152" s="378"/>
      <c r="AA152" s="378"/>
      <c r="AB152" s="378"/>
      <c r="AC152" s="378"/>
      <c r="AD152" s="378"/>
      <c r="AE152" s="378"/>
      <c r="AF152" s="378"/>
      <c r="AG152" s="378"/>
    </row>
    <row r="153">
      <c r="A153" s="419"/>
      <c r="B153" s="403" t="s">
        <v>711</v>
      </c>
      <c r="C153" s="224"/>
      <c r="D153" s="224"/>
      <c r="E153" s="222"/>
      <c r="F153" s="414">
        <f>SUM(F147:F152)</f>
        <v>0</v>
      </c>
      <c r="G153" s="421"/>
      <c r="H153" s="414">
        <f>SUM(H147:H152)</f>
        <v>0</v>
      </c>
      <c r="I153" s="376"/>
      <c r="J153" s="407" t="s">
        <v>711</v>
      </c>
      <c r="K153" s="224"/>
      <c r="L153" s="224"/>
      <c r="M153" s="222"/>
      <c r="N153" s="426">
        <f>SUM(N147:N152)</f>
        <v>1142</v>
      </c>
      <c r="O153" s="427"/>
      <c r="P153" s="414">
        <f>SUM(P147:P152)</f>
        <v>685.2</v>
      </c>
      <c r="Q153" s="378"/>
      <c r="R153" s="378"/>
      <c r="S153" s="378"/>
      <c r="T153" s="378"/>
      <c r="U153" s="378"/>
      <c r="V153" s="378"/>
      <c r="W153" s="378"/>
      <c r="X153" s="378"/>
      <c r="Y153" s="378"/>
      <c r="Z153" s="378"/>
      <c r="AA153" s="378"/>
      <c r="AB153" s="378"/>
      <c r="AC153" s="378"/>
      <c r="AD153" s="378"/>
      <c r="AE153" s="378"/>
      <c r="AF153" s="378"/>
      <c r="AG153" s="378"/>
    </row>
    <row r="154">
      <c r="A154" s="419"/>
      <c r="B154" s="428"/>
      <c r="C154" s="419"/>
      <c r="D154" s="419"/>
      <c r="E154" s="419"/>
      <c r="F154" s="419"/>
      <c r="G154" s="419"/>
      <c r="H154" s="429"/>
      <c r="I154" s="376"/>
      <c r="J154" s="430"/>
      <c r="K154" s="419"/>
      <c r="L154" s="419"/>
      <c r="M154" s="419"/>
      <c r="N154" s="431"/>
      <c r="O154" s="432"/>
      <c r="P154" s="429"/>
      <c r="Q154" s="378"/>
      <c r="R154" s="378"/>
      <c r="S154" s="378"/>
      <c r="T154" s="378"/>
      <c r="U154" s="378"/>
      <c r="V154" s="378"/>
      <c r="W154" s="378"/>
      <c r="X154" s="378"/>
      <c r="Y154" s="378"/>
      <c r="Z154" s="378"/>
      <c r="AA154" s="378"/>
      <c r="AB154" s="378"/>
      <c r="AC154" s="378"/>
      <c r="AD154" s="378"/>
      <c r="AE154" s="378"/>
      <c r="AF154" s="378"/>
      <c r="AG154" s="378"/>
    </row>
    <row r="155">
      <c r="A155" s="375"/>
      <c r="B155" s="433" t="s">
        <v>712</v>
      </c>
      <c r="C155" s="434"/>
      <c r="D155" s="435"/>
      <c r="E155" s="419"/>
      <c r="F155" s="419"/>
      <c r="G155" s="419"/>
      <c r="H155" s="429"/>
      <c r="I155" s="376"/>
      <c r="J155" s="437" t="s">
        <v>712</v>
      </c>
      <c r="K155" s="434"/>
      <c r="L155" s="435"/>
      <c r="M155" s="419"/>
      <c r="N155" s="431"/>
      <c r="O155" s="432"/>
      <c r="P155" s="429"/>
      <c r="Q155" s="378"/>
      <c r="R155" s="378"/>
      <c r="S155" s="378"/>
      <c r="T155" s="378"/>
      <c r="U155" s="378"/>
      <c r="V155" s="378"/>
      <c r="W155" s="378"/>
      <c r="X155" s="378"/>
      <c r="Y155" s="378"/>
      <c r="Z155" s="378"/>
      <c r="AA155" s="378"/>
      <c r="AB155" s="378"/>
      <c r="AC155" s="378"/>
      <c r="AD155" s="378"/>
      <c r="AE155" s="378"/>
      <c r="AF155" s="378"/>
      <c r="AG155" s="378"/>
    </row>
    <row r="156">
      <c r="A156" s="419"/>
      <c r="B156" s="438"/>
      <c r="C156" s="439"/>
      <c r="D156" s="440"/>
      <c r="E156" s="419"/>
      <c r="F156" s="419"/>
      <c r="G156" s="419"/>
      <c r="H156" s="429"/>
      <c r="I156" s="376"/>
      <c r="J156" s="443"/>
      <c r="K156" s="439"/>
      <c r="L156" s="440"/>
      <c r="M156" s="419"/>
      <c r="N156" s="431"/>
      <c r="O156" s="432"/>
      <c r="P156" s="429"/>
      <c r="Q156" s="378"/>
      <c r="R156" s="378"/>
      <c r="S156" s="378"/>
      <c r="T156" s="378"/>
      <c r="U156" s="378"/>
      <c r="V156" s="378"/>
      <c r="W156" s="378"/>
      <c r="X156" s="378"/>
      <c r="Y156" s="378"/>
      <c r="Z156" s="378"/>
      <c r="AA156" s="378"/>
      <c r="AB156" s="378"/>
      <c r="AC156" s="378"/>
      <c r="AD156" s="378"/>
      <c r="AE156" s="378"/>
      <c r="AF156" s="378"/>
      <c r="AG156" s="378"/>
    </row>
    <row r="157">
      <c r="A157" s="375"/>
      <c r="B157" s="444"/>
      <c r="C157" s="434"/>
      <c r="D157" s="435"/>
      <c r="E157" s="419"/>
      <c r="F157" s="463"/>
      <c r="G157" s="463"/>
      <c r="H157" s="448"/>
      <c r="I157" s="376"/>
      <c r="J157" s="445"/>
      <c r="K157" s="434"/>
      <c r="L157" s="435"/>
      <c r="M157" s="419"/>
      <c r="N157" s="446"/>
      <c r="O157" s="447"/>
      <c r="P157" s="448"/>
      <c r="Q157" s="378"/>
      <c r="R157" s="378"/>
      <c r="S157" s="378"/>
      <c r="T157" s="378"/>
      <c r="U157" s="378"/>
      <c r="V157" s="378"/>
      <c r="W157" s="378"/>
      <c r="X157" s="378"/>
      <c r="Y157" s="378"/>
      <c r="Z157" s="378"/>
      <c r="AA157" s="378"/>
      <c r="AB157" s="378"/>
      <c r="AC157" s="378"/>
      <c r="AD157" s="378"/>
      <c r="AE157" s="378"/>
      <c r="AF157" s="378"/>
      <c r="AG157" s="378"/>
    </row>
    <row r="158">
      <c r="A158" s="419"/>
      <c r="B158" s="438" t="s">
        <v>714</v>
      </c>
      <c r="C158" s="439"/>
      <c r="D158" s="440"/>
      <c r="E158" s="419"/>
      <c r="F158" s="463"/>
      <c r="G158" s="463"/>
      <c r="H158" s="448"/>
      <c r="I158" s="376"/>
      <c r="J158" s="443" t="s">
        <v>714</v>
      </c>
      <c r="K158" s="439">
        <f>SUM(K156:K157)</f>
        <v>0</v>
      </c>
      <c r="L158" s="440"/>
      <c r="M158" s="419"/>
      <c r="N158" s="446"/>
      <c r="O158" s="447"/>
      <c r="P158" s="448"/>
      <c r="Q158" s="378"/>
      <c r="R158" s="378"/>
      <c r="S158" s="378"/>
      <c r="T158" s="378"/>
      <c r="U158" s="378"/>
      <c r="V158" s="378"/>
      <c r="W158" s="378"/>
      <c r="X158" s="378"/>
      <c r="Y158" s="378"/>
      <c r="Z158" s="378"/>
      <c r="AA158" s="378"/>
      <c r="AB158" s="378"/>
      <c r="AC158" s="378"/>
      <c r="AD158" s="378"/>
      <c r="AE158" s="378"/>
      <c r="AF158" s="378"/>
      <c r="AG158" s="378"/>
    </row>
    <row r="159">
      <c r="A159" s="419"/>
      <c r="B159" s="450"/>
      <c r="C159" s="451"/>
      <c r="D159" s="419"/>
      <c r="E159" s="419"/>
      <c r="F159" s="463"/>
      <c r="G159" s="463"/>
      <c r="H159" s="448"/>
      <c r="I159" s="376"/>
      <c r="J159" s="535"/>
      <c r="K159" s="451"/>
      <c r="L159" s="419"/>
      <c r="M159" s="419"/>
      <c r="N159" s="446"/>
      <c r="O159" s="447"/>
      <c r="P159" s="448"/>
      <c r="Q159" s="378"/>
      <c r="R159" s="378"/>
      <c r="S159" s="378"/>
      <c r="T159" s="378"/>
      <c r="U159" s="378"/>
      <c r="V159" s="378"/>
      <c r="W159" s="378"/>
      <c r="X159" s="378"/>
      <c r="Y159" s="378"/>
      <c r="Z159" s="378"/>
      <c r="AA159" s="378"/>
      <c r="AB159" s="378"/>
      <c r="AC159" s="378"/>
      <c r="AD159" s="378"/>
      <c r="AE159" s="378"/>
      <c r="AF159" s="378"/>
      <c r="AG159" s="378"/>
    </row>
    <row r="160">
      <c r="A160" s="375"/>
      <c r="B160" s="454" t="s">
        <v>715</v>
      </c>
      <c r="C160" s="455"/>
      <c r="D160" s="435"/>
      <c r="E160" s="419"/>
      <c r="F160" s="463"/>
      <c r="G160" s="463"/>
      <c r="H160" s="448"/>
      <c r="I160" s="376"/>
      <c r="J160" s="458" t="s">
        <v>715</v>
      </c>
      <c r="K160" s="455"/>
      <c r="L160" s="435"/>
      <c r="M160" s="419"/>
      <c r="N160" s="446"/>
      <c r="O160" s="447"/>
      <c r="P160" s="448"/>
      <c r="Q160" s="378"/>
      <c r="R160" s="378"/>
      <c r="S160" s="378"/>
      <c r="T160" s="378"/>
      <c r="U160" s="378"/>
      <c r="V160" s="378"/>
      <c r="W160" s="378"/>
      <c r="X160" s="378"/>
      <c r="Y160" s="378"/>
      <c r="Z160" s="378"/>
      <c r="AA160" s="378"/>
      <c r="AB160" s="378"/>
      <c r="AC160" s="378"/>
      <c r="AD160" s="378"/>
      <c r="AE160" s="378"/>
      <c r="AF160" s="378"/>
      <c r="AG160" s="378"/>
    </row>
    <row r="161">
      <c r="A161" s="419"/>
      <c r="B161" s="459" t="s">
        <v>716</v>
      </c>
      <c r="C161" s="460">
        <v>100.0</v>
      </c>
      <c r="D161" s="440" t="s">
        <v>850</v>
      </c>
      <c r="E161" s="536" t="s">
        <v>851</v>
      </c>
      <c r="F161" s="463"/>
      <c r="G161" s="463"/>
      <c r="H161" s="448"/>
      <c r="I161" s="376"/>
      <c r="J161" s="458" t="s">
        <v>852</v>
      </c>
      <c r="K161" s="460">
        <v>415.4</v>
      </c>
      <c r="L161" s="440"/>
      <c r="M161" s="419"/>
      <c r="N161" s="446"/>
      <c r="O161" s="447"/>
      <c r="P161" s="448"/>
      <c r="Q161" s="378"/>
      <c r="R161" s="378"/>
      <c r="S161" s="378"/>
      <c r="T161" s="378"/>
      <c r="U161" s="378"/>
      <c r="V161" s="378"/>
      <c r="W161" s="378"/>
      <c r="X161" s="378"/>
      <c r="Y161" s="378"/>
      <c r="Z161" s="378"/>
      <c r="AA161" s="378"/>
      <c r="AB161" s="378"/>
      <c r="AC161" s="378"/>
      <c r="AD161" s="378"/>
      <c r="AE161" s="378"/>
      <c r="AF161" s="378"/>
      <c r="AG161" s="378"/>
    </row>
    <row r="162">
      <c r="A162" s="375"/>
      <c r="B162" s="459" t="s">
        <v>717</v>
      </c>
      <c r="C162" s="460">
        <v>400.0</v>
      </c>
      <c r="D162" s="440"/>
      <c r="E162" s="419"/>
      <c r="F162" s="463"/>
      <c r="G162" s="463"/>
      <c r="H162" s="448"/>
      <c r="I162" s="376"/>
      <c r="J162" s="462"/>
      <c r="K162" s="460"/>
      <c r="L162" s="440"/>
      <c r="M162" s="419"/>
      <c r="N162" s="446"/>
      <c r="O162" s="447"/>
      <c r="P162" s="448"/>
      <c r="Q162" s="378"/>
      <c r="R162" s="378"/>
      <c r="S162" s="378"/>
      <c r="T162" s="378"/>
      <c r="U162" s="378"/>
      <c r="V162" s="378"/>
      <c r="W162" s="378"/>
      <c r="X162" s="378"/>
      <c r="Y162" s="378"/>
      <c r="Z162" s="378"/>
      <c r="AA162" s="378"/>
      <c r="AB162" s="378"/>
      <c r="AC162" s="378"/>
      <c r="AD162" s="378"/>
      <c r="AE162" s="378"/>
      <c r="AF162" s="378"/>
      <c r="AG162" s="378"/>
    </row>
    <row r="163">
      <c r="A163" s="375"/>
      <c r="B163" s="459" t="s">
        <v>718</v>
      </c>
      <c r="C163" s="460">
        <v>0.0</v>
      </c>
      <c r="D163" s="440"/>
      <c r="E163" s="419"/>
      <c r="F163" s="463"/>
      <c r="G163" s="463"/>
      <c r="H163" s="448"/>
      <c r="I163" s="376"/>
      <c r="J163" s="462"/>
      <c r="K163" s="460"/>
      <c r="L163" s="440"/>
      <c r="M163" s="419"/>
      <c r="N163" s="446"/>
      <c r="O163" s="447"/>
      <c r="P163" s="448"/>
      <c r="Q163" s="378"/>
      <c r="R163" s="378"/>
      <c r="S163" s="378"/>
      <c r="T163" s="378"/>
      <c r="U163" s="378"/>
      <c r="V163" s="378"/>
      <c r="W163" s="378"/>
      <c r="X163" s="378"/>
      <c r="Y163" s="378"/>
      <c r="Z163" s="378"/>
      <c r="AA163" s="378"/>
      <c r="AB163" s="378"/>
      <c r="AC163" s="378"/>
      <c r="AD163" s="378"/>
      <c r="AE163" s="378"/>
      <c r="AF163" s="378"/>
      <c r="AG163" s="378"/>
    </row>
    <row r="164">
      <c r="A164" s="375"/>
      <c r="B164" s="459" t="s">
        <v>656</v>
      </c>
      <c r="C164" s="460" t="str">
        <f>IFERROR(__xludf.DUMMYFUNCTION("FILTER(D1045:D1073,C1045:C1073=G145)"),"#N/A")</f>
        <v>#N/A</v>
      </c>
      <c r="D164" s="440"/>
      <c r="E164" s="419"/>
      <c r="F164" s="463"/>
      <c r="G164" s="463"/>
      <c r="H164" s="448"/>
      <c r="I164" s="376"/>
      <c r="J164" s="462"/>
      <c r="K164" s="460"/>
      <c r="L164" s="440"/>
      <c r="M164" s="419"/>
      <c r="N164" s="446"/>
      <c r="O164" s="447"/>
      <c r="P164" s="448"/>
      <c r="Q164" s="378"/>
      <c r="R164" s="378"/>
      <c r="S164" s="378"/>
      <c r="T164" s="378"/>
      <c r="U164" s="378"/>
      <c r="V164" s="378"/>
      <c r="W164" s="378"/>
      <c r="X164" s="378"/>
      <c r="Y164" s="378"/>
      <c r="Z164" s="378"/>
      <c r="AA164" s="378"/>
      <c r="AB164" s="378"/>
      <c r="AC164" s="378"/>
      <c r="AD164" s="378"/>
      <c r="AE164" s="378"/>
      <c r="AF164" s="378"/>
      <c r="AG164" s="378"/>
    </row>
    <row r="165">
      <c r="A165" s="375"/>
      <c r="B165" s="454" t="s">
        <v>852</v>
      </c>
      <c r="C165" s="537">
        <v>415.4</v>
      </c>
      <c r="D165" s="435"/>
      <c r="E165" s="419"/>
      <c r="F165" s="468" t="s">
        <v>842</v>
      </c>
      <c r="G165" s="538" t="str">
        <f>H153+C158-C171</f>
        <v>#N/A</v>
      </c>
      <c r="H165" s="211"/>
      <c r="I165" s="376"/>
      <c r="J165" s="467"/>
      <c r="K165" s="455"/>
      <c r="L165" s="435"/>
      <c r="M165" s="419"/>
      <c r="N165" s="468" t="s">
        <v>842</v>
      </c>
      <c r="O165" s="539">
        <f>P153+K158-K171</f>
        <v>269.8</v>
      </c>
      <c r="P165" s="211"/>
      <c r="Q165" s="378"/>
      <c r="R165" s="378"/>
      <c r="S165" s="378"/>
      <c r="T165" s="378"/>
      <c r="U165" s="378"/>
      <c r="V165" s="378"/>
      <c r="W165" s="378"/>
      <c r="X165" s="378"/>
      <c r="Y165" s="378"/>
      <c r="Z165" s="378"/>
      <c r="AA165" s="378"/>
      <c r="AB165" s="378"/>
      <c r="AC165" s="378"/>
      <c r="AD165" s="378"/>
      <c r="AE165" s="378"/>
      <c r="AF165" s="378"/>
      <c r="AG165" s="378"/>
    </row>
    <row r="166">
      <c r="A166" s="375"/>
      <c r="B166" s="540" t="s">
        <v>853</v>
      </c>
      <c r="C166" s="537">
        <v>69.13</v>
      </c>
      <c r="D166" s="435"/>
      <c r="E166" s="419"/>
      <c r="F166" s="469" t="s">
        <v>843</v>
      </c>
      <c r="G166" s="278"/>
      <c r="H166" s="56"/>
      <c r="I166" s="376"/>
      <c r="J166" s="467"/>
      <c r="K166" s="455"/>
      <c r="L166" s="435"/>
      <c r="M166" s="419"/>
      <c r="N166" s="469" t="s">
        <v>854</v>
      </c>
      <c r="O166" s="278"/>
      <c r="P166" s="56"/>
      <c r="Q166" s="378"/>
      <c r="R166" s="378"/>
      <c r="S166" s="378"/>
      <c r="T166" s="378"/>
      <c r="U166" s="378"/>
      <c r="V166" s="378"/>
      <c r="W166" s="378"/>
      <c r="X166" s="378"/>
      <c r="Y166" s="378"/>
      <c r="Z166" s="378"/>
      <c r="AA166" s="378"/>
      <c r="AB166" s="378"/>
      <c r="AC166" s="378"/>
      <c r="AD166" s="378"/>
      <c r="AE166" s="378"/>
      <c r="AF166" s="378"/>
      <c r="AG166" s="378"/>
    </row>
    <row r="167">
      <c r="A167" s="541"/>
      <c r="B167" s="542" t="s">
        <v>855</v>
      </c>
      <c r="C167" s="543">
        <f>6285.91/6</f>
        <v>1047.651667</v>
      </c>
      <c r="D167" s="435"/>
      <c r="E167" s="419"/>
      <c r="F167" s="470"/>
      <c r="G167" s="215"/>
      <c r="H167" s="64"/>
      <c r="I167" s="376"/>
      <c r="J167" s="467"/>
      <c r="K167" s="455"/>
      <c r="L167" s="435"/>
      <c r="M167" s="419"/>
      <c r="N167" s="470"/>
      <c r="O167" s="215"/>
      <c r="P167" s="64"/>
      <c r="Q167" s="378"/>
      <c r="R167" s="378"/>
      <c r="S167" s="378"/>
      <c r="T167" s="378"/>
      <c r="U167" s="378"/>
      <c r="V167" s="378"/>
      <c r="W167" s="378"/>
      <c r="X167" s="378"/>
      <c r="Y167" s="378"/>
      <c r="Z167" s="378"/>
      <c r="AA167" s="378"/>
      <c r="AB167" s="378"/>
      <c r="AC167" s="378"/>
      <c r="AD167" s="378"/>
      <c r="AE167" s="378"/>
      <c r="AF167" s="378"/>
      <c r="AG167" s="378"/>
    </row>
    <row r="168">
      <c r="A168" s="541"/>
      <c r="B168" s="540" t="s">
        <v>856</v>
      </c>
      <c r="C168" s="537">
        <v>1358.25</v>
      </c>
      <c r="D168" s="435"/>
      <c r="E168" s="419"/>
      <c r="F168" s="419"/>
      <c r="G168" s="419"/>
      <c r="H168" s="429"/>
      <c r="I168" s="376"/>
      <c r="J168" s="467"/>
      <c r="K168" s="455"/>
      <c r="L168" s="435"/>
      <c r="M168" s="419"/>
      <c r="N168" s="431"/>
      <c r="O168" s="432"/>
      <c r="P168" s="429"/>
      <c r="Q168" s="378"/>
      <c r="R168" s="378"/>
      <c r="S168" s="378"/>
      <c r="T168" s="378"/>
      <c r="U168" s="378"/>
      <c r="V168" s="378"/>
      <c r="W168" s="378"/>
      <c r="X168" s="378"/>
      <c r="Y168" s="378"/>
      <c r="Z168" s="378"/>
      <c r="AA168" s="378"/>
      <c r="AB168" s="378"/>
      <c r="AC168" s="378"/>
      <c r="AD168" s="378"/>
      <c r="AE168" s="378"/>
      <c r="AF168" s="378"/>
      <c r="AG168" s="378"/>
    </row>
    <row r="169">
      <c r="A169" s="375"/>
      <c r="B169" s="540" t="s">
        <v>857</v>
      </c>
      <c r="C169" s="537">
        <v>917.28</v>
      </c>
      <c r="D169" s="435"/>
      <c r="E169" s="419"/>
      <c r="F169" s="419"/>
      <c r="G169" s="419"/>
      <c r="H169" s="429"/>
      <c r="I169" s="376"/>
      <c r="J169" s="467"/>
      <c r="K169" s="455"/>
      <c r="L169" s="435"/>
      <c r="M169" s="419"/>
      <c r="N169" s="431"/>
      <c r="O169" s="432"/>
      <c r="P169" s="429"/>
      <c r="Q169" s="378"/>
      <c r="R169" s="378"/>
      <c r="S169" s="378"/>
      <c r="T169" s="378"/>
      <c r="U169" s="378"/>
      <c r="V169" s="378"/>
      <c r="W169" s="378"/>
      <c r="X169" s="378"/>
      <c r="Y169" s="378"/>
      <c r="Z169" s="378"/>
      <c r="AA169" s="378"/>
      <c r="AB169" s="378"/>
      <c r="AC169" s="378"/>
      <c r="AD169" s="378"/>
      <c r="AE169" s="378"/>
      <c r="AF169" s="378"/>
      <c r="AG169" s="378"/>
    </row>
    <row r="170">
      <c r="A170" s="375"/>
      <c r="B170" s="542" t="s">
        <v>858</v>
      </c>
      <c r="C170" s="537">
        <v>917.28</v>
      </c>
      <c r="D170" s="435"/>
      <c r="E170" s="419"/>
      <c r="F170" s="419"/>
      <c r="G170" s="419"/>
      <c r="H170" s="429"/>
      <c r="I170" s="376"/>
      <c r="J170" s="467"/>
      <c r="K170" s="455"/>
      <c r="L170" s="435"/>
      <c r="M170" s="419"/>
      <c r="N170" s="431"/>
      <c r="O170" s="432"/>
      <c r="P170" s="429"/>
      <c r="Q170" s="378"/>
      <c r="R170" s="378"/>
      <c r="S170" s="378"/>
      <c r="T170" s="378"/>
      <c r="U170" s="378"/>
      <c r="V170" s="378"/>
      <c r="W170" s="378"/>
      <c r="X170" s="378"/>
      <c r="Y170" s="378"/>
      <c r="Z170" s="378"/>
      <c r="AA170" s="378"/>
      <c r="AB170" s="378"/>
      <c r="AC170" s="378"/>
      <c r="AD170" s="378"/>
      <c r="AE170" s="378"/>
      <c r="AF170" s="378"/>
      <c r="AG170" s="378"/>
    </row>
    <row r="171">
      <c r="A171" s="419"/>
      <c r="B171" s="454" t="s">
        <v>721</v>
      </c>
      <c r="C171" s="460" t="str">
        <f>SUM(C161:C170)</f>
        <v>#N/A</v>
      </c>
      <c r="D171" s="440"/>
      <c r="E171" s="419"/>
      <c r="F171" s="419"/>
      <c r="G171" s="419"/>
      <c r="H171" s="429"/>
      <c r="I171" s="376"/>
      <c r="J171" s="458" t="s">
        <v>721</v>
      </c>
      <c r="K171" s="460">
        <f>SUM(K161:K170)</f>
        <v>415.4</v>
      </c>
      <c r="L171" s="440"/>
      <c r="M171" s="419"/>
      <c r="N171" s="431"/>
      <c r="O171" s="432"/>
      <c r="P171" s="429"/>
      <c r="Q171" s="378"/>
      <c r="R171" s="378"/>
      <c r="S171" s="378"/>
      <c r="T171" s="378"/>
      <c r="U171" s="378"/>
      <c r="V171" s="378"/>
      <c r="W171" s="378"/>
      <c r="X171" s="378"/>
      <c r="Y171" s="378"/>
      <c r="Z171" s="378"/>
      <c r="AA171" s="378"/>
      <c r="AB171" s="378"/>
      <c r="AC171" s="378"/>
      <c r="AD171" s="378"/>
      <c r="AE171" s="378"/>
      <c r="AF171" s="378"/>
      <c r="AG171" s="378"/>
    </row>
    <row r="172">
      <c r="A172" s="419"/>
      <c r="B172" s="471"/>
      <c r="C172" s="472"/>
      <c r="D172" s="472"/>
      <c r="E172" s="472"/>
      <c r="F172" s="472"/>
      <c r="G172" s="472"/>
      <c r="H172" s="473"/>
      <c r="I172" s="376"/>
      <c r="J172" s="474"/>
      <c r="K172" s="472"/>
      <c r="L172" s="472"/>
      <c r="M172" s="472"/>
      <c r="N172" s="475"/>
      <c r="O172" s="476"/>
      <c r="P172" s="473"/>
      <c r="Q172" s="378"/>
      <c r="R172" s="378"/>
      <c r="S172" s="378"/>
      <c r="T172" s="378"/>
      <c r="U172" s="378"/>
      <c r="V172" s="378"/>
      <c r="W172" s="378"/>
      <c r="X172" s="378"/>
      <c r="Y172" s="378"/>
      <c r="Z172" s="378"/>
      <c r="AA172" s="378"/>
      <c r="AB172" s="378"/>
      <c r="AC172" s="378"/>
      <c r="AD172" s="378"/>
      <c r="AE172" s="378"/>
      <c r="AF172" s="378"/>
      <c r="AG172" s="378"/>
    </row>
    <row r="173">
      <c r="A173" s="378"/>
      <c r="B173" s="477"/>
      <c r="C173" s="378"/>
      <c r="D173" s="378"/>
      <c r="E173" s="378"/>
      <c r="F173" s="378"/>
      <c r="G173" s="378"/>
      <c r="H173" s="378"/>
      <c r="I173" s="376"/>
      <c r="J173" s="377"/>
      <c r="K173" s="378"/>
      <c r="L173" s="378"/>
      <c r="M173" s="446"/>
      <c r="N173" s="379"/>
      <c r="O173" s="380"/>
      <c r="P173" s="378"/>
      <c r="Q173" s="378"/>
      <c r="R173" s="378"/>
      <c r="S173" s="378"/>
      <c r="T173" s="378"/>
      <c r="U173" s="378"/>
      <c r="V173" s="378"/>
      <c r="W173" s="378"/>
      <c r="X173" s="378"/>
      <c r="Y173" s="378"/>
      <c r="Z173" s="378"/>
      <c r="AA173" s="378"/>
      <c r="AB173" s="378"/>
      <c r="AC173" s="378"/>
      <c r="AD173" s="378"/>
      <c r="AE173" s="378"/>
      <c r="AF173" s="378"/>
      <c r="AG173" s="378"/>
    </row>
    <row r="174">
      <c r="A174" s="378"/>
      <c r="B174" s="477"/>
      <c r="C174" s="378"/>
      <c r="D174" s="378"/>
      <c r="E174" s="378"/>
      <c r="F174" s="378"/>
      <c r="G174" s="544">
        <v>689.0</v>
      </c>
      <c r="H174" s="544" t="s">
        <v>849</v>
      </c>
      <c r="I174" s="376"/>
      <c r="J174" s="377"/>
      <c r="K174" s="378"/>
      <c r="L174" s="378"/>
      <c r="M174" s="378"/>
      <c r="N174" s="379"/>
      <c r="O174" s="380"/>
      <c r="P174" s="378"/>
      <c r="Q174" s="378"/>
      <c r="R174" s="378"/>
      <c r="S174" s="378"/>
      <c r="T174" s="378"/>
      <c r="U174" s="378"/>
      <c r="V174" s="378"/>
      <c r="W174" s="378"/>
      <c r="X174" s="378"/>
      <c r="Y174" s="378"/>
      <c r="Z174" s="378"/>
      <c r="AA174" s="378"/>
      <c r="AB174" s="378"/>
      <c r="AC174" s="378"/>
      <c r="AD174" s="378"/>
      <c r="AE174" s="378"/>
      <c r="AF174" s="378"/>
      <c r="AG174" s="378"/>
    </row>
    <row r="175">
      <c r="A175" s="398">
        <v>4.0</v>
      </c>
      <c r="B175" s="382"/>
      <c r="C175" s="388"/>
      <c r="D175" s="384"/>
      <c r="E175" s="385" t="s">
        <v>700</v>
      </c>
      <c r="F175" s="385" t="str">
        <f>Board!A2</f>
        <v>11.17.25-11.23.25</v>
      </c>
      <c r="G175" s="213"/>
      <c r="H175" s="211"/>
      <c r="I175" s="386">
        <v>4.0</v>
      </c>
      <c r="J175" s="387"/>
      <c r="K175" s="388"/>
      <c r="L175" s="384"/>
      <c r="M175" s="385" t="s">
        <v>700</v>
      </c>
      <c r="N175" s="385" t="str">
        <f>Board!A2</f>
        <v>11.17.25-11.23.25</v>
      </c>
      <c r="O175" s="213"/>
      <c r="P175" s="211"/>
      <c r="Q175" s="378"/>
      <c r="R175" s="389" t="s">
        <v>831</v>
      </c>
      <c r="S175" s="389" t="s">
        <v>652</v>
      </c>
      <c r="T175" s="390" t="s">
        <v>832</v>
      </c>
      <c r="U175" s="391" t="s">
        <v>833</v>
      </c>
      <c r="V175" s="389" t="s">
        <v>655</v>
      </c>
      <c r="W175" s="389" t="s">
        <v>8</v>
      </c>
      <c r="X175" s="389" t="s">
        <v>656</v>
      </c>
      <c r="Y175" s="390" t="s">
        <v>834</v>
      </c>
      <c r="Z175" s="392" t="s">
        <v>835</v>
      </c>
      <c r="AA175" s="390" t="s">
        <v>836</v>
      </c>
      <c r="AB175" s="390" t="s">
        <v>837</v>
      </c>
      <c r="AC175" s="393" t="s">
        <v>716</v>
      </c>
      <c r="AD175" s="393" t="s">
        <v>717</v>
      </c>
      <c r="AE175" s="393" t="s">
        <v>718</v>
      </c>
      <c r="AF175" s="394" t="s">
        <v>838</v>
      </c>
      <c r="AG175" s="394"/>
    </row>
    <row r="176">
      <c r="A176" s="378"/>
      <c r="B176" s="395"/>
      <c r="C176" s="372"/>
      <c r="D176" s="396"/>
      <c r="E176" s="385" t="s">
        <v>702</v>
      </c>
      <c r="F176" s="385" t="s">
        <v>680</v>
      </c>
      <c r="G176" s="213"/>
      <c r="H176" s="211"/>
      <c r="I176" s="376"/>
      <c r="J176" s="397"/>
      <c r="K176" s="372"/>
      <c r="L176" s="396"/>
      <c r="M176" s="385" t="s">
        <v>351</v>
      </c>
      <c r="N176" s="385" t="str">
        <f t="array" ref="N176">XLOOKUP(N177,Board!K:K,Board!J:J)</f>
        <v>GLADIMY JULME</v>
      </c>
      <c r="O176" s="213"/>
      <c r="P176" s="211"/>
      <c r="Q176" s="378"/>
      <c r="R176" s="398">
        <f>I175</f>
        <v>4</v>
      </c>
      <c r="S176" s="398">
        <f>F177</f>
        <v>659</v>
      </c>
      <c r="T176" s="399">
        <f>G197</f>
        <v>4075.234</v>
      </c>
      <c r="U176" s="378" t="str">
        <f>N176</f>
        <v>GLADIMY JULME</v>
      </c>
      <c r="V176" s="380">
        <f>O197</f>
        <v>3125.85</v>
      </c>
      <c r="W176" s="399">
        <f>P185</f>
        <v>3125.85</v>
      </c>
      <c r="X176" s="399">
        <f>C196</f>
        <v>481.74</v>
      </c>
      <c r="Y176" s="400">
        <f>N185</f>
        <v>4809</v>
      </c>
      <c r="Z176" s="399">
        <f>V177-V176</f>
        <v>949.384</v>
      </c>
      <c r="AA176" s="378"/>
      <c r="AB176" s="378"/>
      <c r="AC176" s="401">
        <f>C193</f>
        <v>150</v>
      </c>
      <c r="AD176" s="401">
        <f>C194</f>
        <v>400</v>
      </c>
      <c r="AE176" s="401">
        <f>C195</f>
        <v>200</v>
      </c>
      <c r="AF176" s="401">
        <f>C197+C198+C199+C200+C201</f>
        <v>1652.77</v>
      </c>
      <c r="AG176" s="398"/>
    </row>
    <row r="177">
      <c r="A177" s="378"/>
      <c r="B177" s="395"/>
      <c r="C177" s="372"/>
      <c r="D177" s="402"/>
      <c r="E177" s="385" t="s">
        <v>703</v>
      </c>
      <c r="F177" s="531">
        <v>659.0</v>
      </c>
      <c r="G177" s="532">
        <v>689.0</v>
      </c>
      <c r="H177" s="533"/>
      <c r="I177" s="376"/>
      <c r="J177" s="397"/>
      <c r="K177" s="372"/>
      <c r="L177" s="402"/>
      <c r="M177" s="385" t="s">
        <v>703</v>
      </c>
      <c r="N177" s="385">
        <f>F177</f>
        <v>659</v>
      </c>
      <c r="O177" s="213"/>
      <c r="P177" s="211"/>
      <c r="Q177" s="378"/>
      <c r="R177" s="378"/>
      <c r="S177" s="378"/>
      <c r="T177" s="378"/>
      <c r="U177" s="378" t="str">
        <f>F176</f>
        <v>EDT Logistics LLC</v>
      </c>
      <c r="V177" s="399">
        <f>G197</f>
        <v>4075.234</v>
      </c>
      <c r="W177" s="399">
        <f>H185</f>
        <v>6959.744</v>
      </c>
      <c r="X177" s="378"/>
      <c r="Y177" s="378"/>
      <c r="Z177" s="378"/>
      <c r="AA177" s="378"/>
      <c r="AB177" s="378"/>
      <c r="AC177" s="378"/>
      <c r="AD177" s="378"/>
      <c r="AE177" s="378"/>
      <c r="AF177" s="378"/>
      <c r="AG177" s="378"/>
    </row>
    <row r="178">
      <c r="A178" s="378"/>
      <c r="B178" s="403" t="s">
        <v>704</v>
      </c>
      <c r="C178" s="404" t="s">
        <v>5</v>
      </c>
      <c r="D178" s="405" t="s">
        <v>6</v>
      </c>
      <c r="E178" s="406" t="s">
        <v>7</v>
      </c>
      <c r="F178" s="404" t="s">
        <v>8</v>
      </c>
      <c r="G178" s="404" t="s">
        <v>706</v>
      </c>
      <c r="H178" s="404" t="s">
        <v>707</v>
      </c>
      <c r="I178" s="376"/>
      <c r="J178" s="407" t="s">
        <v>704</v>
      </c>
      <c r="K178" s="404" t="s">
        <v>5</v>
      </c>
      <c r="L178" s="405" t="s">
        <v>6</v>
      </c>
      <c r="M178" s="406" t="s">
        <v>7</v>
      </c>
      <c r="N178" s="404" t="s">
        <v>591</v>
      </c>
      <c r="O178" s="408" t="s">
        <v>839</v>
      </c>
      <c r="P178" s="404" t="s">
        <v>707</v>
      </c>
      <c r="Q178" s="378"/>
      <c r="R178" s="378"/>
      <c r="S178" s="378"/>
      <c r="T178" s="378"/>
      <c r="U178" s="378"/>
      <c r="V178" s="378"/>
      <c r="W178" s="378"/>
      <c r="X178" s="378"/>
      <c r="Y178" s="378"/>
      <c r="Z178" s="378"/>
      <c r="AA178" s="378"/>
      <c r="AB178" s="378"/>
      <c r="AC178" s="378"/>
      <c r="AD178" s="378"/>
      <c r="AE178" s="378"/>
      <c r="AF178" s="378"/>
      <c r="AG178" s="378"/>
    </row>
    <row r="179">
      <c r="A179" s="378"/>
      <c r="B179" s="410">
        <f>IFERROR(__xludf.DUMMYFUNCTION("FILTER(D2:H60,L2:L60=F177)"),45989.0)</f>
        <v>45989</v>
      </c>
      <c r="C179" s="411" t="str">
        <f>IFERROR(__xludf.DUMMYFUNCTION("""COMPUTED_VALUE"""),"OR463319")</f>
        <v>OR463319</v>
      </c>
      <c r="D179" s="411" t="str">
        <f>IFERROR(__xludf.DUMMYFUNCTION("""COMPUTED_VALUE"""),"Ontario, CA, 91761")</f>
        <v>Ontario, CA, 91761</v>
      </c>
      <c r="E179" s="411" t="str">
        <f>IFERROR(__xludf.DUMMYFUNCTION("""COMPUTED_VALUE"""),"Charlotte, NC, 28214")</f>
        <v>Charlotte, NC, 28214</v>
      </c>
      <c r="F179" s="412">
        <f>IFERROR(__xludf.DUMMYFUNCTION("""COMPUTED_VALUE"""),6400.0)</f>
        <v>6400</v>
      </c>
      <c r="G179" s="413">
        <v>0.88</v>
      </c>
      <c r="H179" s="414">
        <f t="shared" ref="H179:H182" si="6">F179*G179</f>
        <v>5632</v>
      </c>
      <c r="I179" s="376"/>
      <c r="J179" s="415">
        <f>IFERROR(__xludf.DUMMYFUNCTION("FILTER(Board!C:F,Board!K:K=N177)"),45978.0)</f>
        <v>45978</v>
      </c>
      <c r="K179" s="411">
        <f>IFERROR(__xludf.DUMMYFUNCTION("""COMPUTED_VALUE"""),2.0256418E7)</f>
        <v>20256418</v>
      </c>
      <c r="L179" s="411" t="str">
        <f>IFERROR(__xludf.DUMMYFUNCTION("""COMPUTED_VALUE"""),"Holly Hill, FL, 32117")</f>
        <v>Holly Hill, FL, 32117</v>
      </c>
      <c r="M179" s="411" t="str">
        <f>IFERROR(__xludf.DUMMYFUNCTION("""COMPUTED_VALUE"""),"Twinsburg, OH, 44087")</f>
        <v>Twinsburg, OH, 44087</v>
      </c>
      <c r="N179" s="416">
        <f>IFERROR(__xludf.DUMMYFUNCTION("FILTER(Board!H:H,Board!K:K=N177)"),1025.0)</f>
        <v>1025</v>
      </c>
      <c r="O179" s="408">
        <v>0.65</v>
      </c>
      <c r="P179" s="414">
        <f t="shared" ref="P179:P182" si="7">N179*O179</f>
        <v>666.25</v>
      </c>
      <c r="Q179" s="378"/>
      <c r="R179" s="378"/>
      <c r="S179" s="378"/>
      <c r="T179" s="378"/>
      <c r="U179" s="378"/>
      <c r="V179" s="378"/>
      <c r="W179" s="378"/>
      <c r="X179" s="378"/>
      <c r="Y179" s="378"/>
      <c r="Z179" s="378"/>
      <c r="AA179" s="378"/>
      <c r="AB179" s="378"/>
      <c r="AC179" s="378"/>
      <c r="AD179" s="378"/>
      <c r="AE179" s="378"/>
      <c r="AF179" s="378"/>
      <c r="AG179" s="378"/>
    </row>
    <row r="180">
      <c r="A180" s="378"/>
      <c r="B180" s="410">
        <f>IFERROR(__xludf.DUMMYFUNCTION("""COMPUTED_VALUE"""),45987.0)</f>
        <v>45987</v>
      </c>
      <c r="C180" s="411">
        <f>IFERROR(__xludf.DUMMYFUNCTION("""COMPUTED_VALUE"""),2.0714865E7)</f>
        <v>20714865</v>
      </c>
      <c r="D180" s="411" t="str">
        <f>IFERROR(__xludf.DUMMYFUNCTION("""COMPUTED_VALUE"""),"Salinas, CA, 93901")</f>
        <v>Salinas, CA, 93901</v>
      </c>
      <c r="E180" s="411" t="str">
        <f>IFERROR(__xludf.DUMMYFUNCTION("""COMPUTED_VALUE"""),"Apple Valley, CA, 92307")</f>
        <v>Apple Valley, CA, 92307</v>
      </c>
      <c r="F180" s="412">
        <f>IFERROR(__xludf.DUMMYFUNCTION("""COMPUTED_VALUE"""),800.0)</f>
        <v>800</v>
      </c>
      <c r="G180" s="413">
        <v>0.88</v>
      </c>
      <c r="H180" s="414">
        <f t="shared" si="6"/>
        <v>704</v>
      </c>
      <c r="I180" s="376"/>
      <c r="J180" s="418">
        <f>IFERROR(__xludf.DUMMYFUNCTION("""COMPUTED_VALUE"""),45980.0)</f>
        <v>45980</v>
      </c>
      <c r="K180" s="411">
        <f>IFERROR(__xludf.DUMMYFUNCTION("""COMPUTED_VALUE"""),269578.0)</f>
        <v>269578</v>
      </c>
      <c r="L180" s="411" t="str">
        <f>IFERROR(__xludf.DUMMYFUNCTION("""COMPUTED_VALUE"""),"Norwalk, OH, 44857")</f>
        <v>Norwalk, OH, 44857</v>
      </c>
      <c r="M180" s="411" t="str">
        <f>IFERROR(__xludf.DUMMYFUNCTION("""COMPUTED_VALUE"""),"Kennett, MO, 63857")</f>
        <v>Kennett, MO, 63857</v>
      </c>
      <c r="N180" s="416">
        <f>IFERROR(__xludf.DUMMYFUNCTION("""COMPUTED_VALUE"""),718.0)</f>
        <v>718</v>
      </c>
      <c r="O180" s="408">
        <v>0.65</v>
      </c>
      <c r="P180" s="414">
        <f t="shared" si="7"/>
        <v>466.7</v>
      </c>
      <c r="Q180" s="378"/>
      <c r="R180" s="378"/>
      <c r="S180" s="378"/>
      <c r="T180" s="378"/>
      <c r="U180" s="378"/>
      <c r="V180" s="378"/>
      <c r="W180" s="378"/>
      <c r="X180" s="378"/>
      <c r="Y180" s="378"/>
      <c r="Z180" s="378"/>
      <c r="AA180" s="378"/>
      <c r="AB180" s="378"/>
      <c r="AC180" s="378"/>
      <c r="AD180" s="378"/>
      <c r="AE180" s="378"/>
      <c r="AF180" s="378"/>
      <c r="AG180" s="378"/>
    </row>
    <row r="181">
      <c r="A181" s="378"/>
      <c r="B181" s="410">
        <f>IFERROR(__xludf.DUMMYFUNCTION("""COMPUTED_VALUE"""),45986.0)</f>
        <v>45986</v>
      </c>
      <c r="C181" s="411">
        <f>IFERROR(__xludf.DUMMYFUNCTION("""COMPUTED_VALUE"""),5.35758159E8)</f>
        <v>535758159</v>
      </c>
      <c r="D181" s="411" t="str">
        <f>IFERROR(__xludf.DUMMYFUNCTION("""COMPUTED_VALUE"""),"Shafter, CA, 93263")</f>
        <v>Shafter, CA, 93263</v>
      </c>
      <c r="E181" s="411" t="str">
        <f>IFERROR(__xludf.DUMMYFUNCTION("""COMPUTED_VALUE"""),"Fremont, CA, 94538")</f>
        <v>Fremont, CA, 94538</v>
      </c>
      <c r="F181" s="412">
        <f>IFERROR(__xludf.DUMMYFUNCTION("""COMPUTED_VALUE"""),708.8)</f>
        <v>708.8</v>
      </c>
      <c r="G181" s="413">
        <v>0.88</v>
      </c>
      <c r="H181" s="414">
        <f t="shared" si="6"/>
        <v>623.744</v>
      </c>
      <c r="I181" s="376"/>
      <c r="J181" s="545">
        <f>IFERROR(__xludf.DUMMYFUNCTION("""COMPUTED_VALUE"""),45981.0)</f>
        <v>45981</v>
      </c>
      <c r="K181" s="421">
        <f>IFERROR(__xludf.DUMMYFUNCTION("""COMPUTED_VALUE"""),9389500.0)</f>
        <v>9389500</v>
      </c>
      <c r="L181" s="422" t="str">
        <f>IFERROR(__xludf.DUMMYFUNCTION("""COMPUTED_VALUE"""),"Jackson, MO, 63755")</f>
        <v>Jackson, MO, 63755</v>
      </c>
      <c r="M181" s="423" t="str">
        <f>IFERROR(__xludf.DUMMYFUNCTION("""COMPUTED_VALUE"""),"Harper, IA, 52231")</f>
        <v>Harper, IA, 52231</v>
      </c>
      <c r="N181" s="546">
        <f>IFERROR(__xludf.DUMMYFUNCTION("""COMPUTED_VALUE"""),468.0)</f>
        <v>468</v>
      </c>
      <c r="O181" s="408">
        <v>0.65</v>
      </c>
      <c r="P181" s="414">
        <f t="shared" si="7"/>
        <v>304.2</v>
      </c>
      <c r="Q181" s="378"/>
      <c r="R181" s="378"/>
      <c r="S181" s="378"/>
      <c r="T181" s="378"/>
      <c r="U181" s="378"/>
      <c r="V181" s="378"/>
      <c r="W181" s="378"/>
      <c r="X181" s="378"/>
      <c r="Y181" s="378"/>
      <c r="Z181" s="378"/>
      <c r="AA181" s="378"/>
      <c r="AB181" s="378"/>
      <c r="AC181" s="378"/>
      <c r="AD181" s="378"/>
      <c r="AE181" s="378"/>
      <c r="AF181" s="378"/>
      <c r="AG181" s="378"/>
    </row>
    <row r="182">
      <c r="A182" s="378"/>
      <c r="B182" s="410"/>
      <c r="C182" s="411"/>
      <c r="D182" s="411"/>
      <c r="E182" s="411"/>
      <c r="F182" s="412"/>
      <c r="G182" s="413">
        <v>0.88</v>
      </c>
      <c r="H182" s="414">
        <f t="shared" si="6"/>
        <v>0</v>
      </c>
      <c r="I182" s="376"/>
      <c r="J182" s="545">
        <f>IFERROR(__xludf.DUMMYFUNCTION("""COMPUTED_VALUE"""),45982.0)</f>
        <v>45982</v>
      </c>
      <c r="K182" s="421">
        <f>IFERROR(__xludf.DUMMYFUNCTION("""COMPUTED_VALUE"""),6.01124379E10)</f>
        <v>60112437900</v>
      </c>
      <c r="L182" s="422" t="str">
        <f>IFERROR(__xludf.DUMMYFUNCTION("""COMPUTED_VALUE"""),"Hampton, IA, 50441")</f>
        <v>Hampton, IA, 50441</v>
      </c>
      <c r="M182" s="423" t="str">
        <f>IFERROR(__xludf.DUMMYFUNCTION("""COMPUTED_VALUE"""),", CA, 93725")</f>
        <v>, CA, 93725</v>
      </c>
      <c r="N182" s="546">
        <f>IFERROR(__xludf.DUMMYFUNCTION("""COMPUTED_VALUE"""),2598.0)</f>
        <v>2598</v>
      </c>
      <c r="O182" s="408">
        <v>0.65</v>
      </c>
      <c r="P182" s="414">
        <f t="shared" si="7"/>
        <v>1688.7</v>
      </c>
      <c r="Q182" s="378"/>
      <c r="R182" s="378"/>
      <c r="S182" s="378"/>
      <c r="T182" s="378"/>
      <c r="U182" s="378"/>
      <c r="V182" s="378"/>
      <c r="W182" s="378"/>
      <c r="X182" s="378"/>
      <c r="Y182" s="378"/>
      <c r="Z182" s="378"/>
      <c r="AA182" s="378"/>
      <c r="AB182" s="378"/>
      <c r="AC182" s="378"/>
      <c r="AD182" s="378"/>
      <c r="AE182" s="378"/>
      <c r="AF182" s="378"/>
      <c r="AG182" s="378"/>
    </row>
    <row r="183">
      <c r="A183" s="378"/>
      <c r="B183" s="420"/>
      <c r="C183" s="421"/>
      <c r="D183" s="422"/>
      <c r="E183" s="423"/>
      <c r="F183" s="421"/>
      <c r="G183" s="413"/>
      <c r="H183" s="414"/>
      <c r="I183" s="376"/>
      <c r="J183" s="424"/>
      <c r="K183" s="421"/>
      <c r="L183" s="422"/>
      <c r="M183" s="423"/>
      <c r="N183" s="425"/>
      <c r="O183" s="408"/>
      <c r="P183" s="414"/>
      <c r="Q183" s="378"/>
      <c r="R183" s="378"/>
      <c r="S183" s="378"/>
      <c r="T183" s="378"/>
      <c r="U183" s="378"/>
      <c r="V183" s="378"/>
      <c r="W183" s="378"/>
      <c r="X183" s="378"/>
      <c r="Y183" s="378"/>
      <c r="Z183" s="378"/>
      <c r="AA183" s="378"/>
      <c r="AB183" s="378"/>
      <c r="AC183" s="378"/>
      <c r="AD183" s="378"/>
      <c r="AE183" s="378"/>
      <c r="AF183" s="378"/>
      <c r="AG183" s="378"/>
    </row>
    <row r="184">
      <c r="A184" s="378"/>
      <c r="B184" s="420"/>
      <c r="C184" s="421"/>
      <c r="D184" s="422"/>
      <c r="E184" s="423"/>
      <c r="F184" s="421"/>
      <c r="G184" s="413"/>
      <c r="H184" s="414"/>
      <c r="I184" s="376"/>
      <c r="J184" s="424"/>
      <c r="K184" s="421"/>
      <c r="L184" s="422"/>
      <c r="M184" s="423"/>
      <c r="N184" s="425"/>
      <c r="O184" s="408"/>
      <c r="P184" s="414"/>
      <c r="Q184" s="378"/>
      <c r="R184" s="378"/>
      <c r="S184" s="378"/>
      <c r="T184" s="378"/>
      <c r="U184" s="378"/>
      <c r="V184" s="378"/>
      <c r="W184" s="378"/>
      <c r="X184" s="378"/>
      <c r="Y184" s="378"/>
      <c r="Z184" s="378"/>
      <c r="AA184" s="378"/>
      <c r="AB184" s="378"/>
      <c r="AC184" s="378"/>
      <c r="AD184" s="378"/>
      <c r="AE184" s="378"/>
      <c r="AF184" s="378"/>
      <c r="AG184" s="378"/>
    </row>
    <row r="185">
      <c r="A185" s="378"/>
      <c r="B185" s="403" t="s">
        <v>711</v>
      </c>
      <c r="C185" s="224"/>
      <c r="D185" s="224"/>
      <c r="E185" s="222"/>
      <c r="F185" s="414">
        <f>SUM(F179:F184)</f>
        <v>7908.8</v>
      </c>
      <c r="G185" s="421"/>
      <c r="H185" s="414">
        <f>SUM(H179:H184)</f>
        <v>6959.744</v>
      </c>
      <c r="I185" s="376"/>
      <c r="J185" s="407" t="s">
        <v>711</v>
      </c>
      <c r="K185" s="224"/>
      <c r="L185" s="224"/>
      <c r="M185" s="222"/>
      <c r="N185" s="426">
        <f>SUM(N179:N184)</f>
        <v>4809</v>
      </c>
      <c r="O185" s="427"/>
      <c r="P185" s="414">
        <f>SUM(P179:P184)</f>
        <v>3125.85</v>
      </c>
      <c r="Q185" s="378"/>
      <c r="R185" s="378"/>
      <c r="S185" s="378"/>
      <c r="T185" s="378"/>
      <c r="U185" s="378"/>
      <c r="V185" s="378"/>
      <c r="W185" s="378"/>
      <c r="X185" s="378"/>
      <c r="Y185" s="378"/>
      <c r="Z185" s="378"/>
      <c r="AA185" s="378"/>
      <c r="AB185" s="378"/>
      <c r="AC185" s="378"/>
      <c r="AD185" s="378"/>
      <c r="AE185" s="378"/>
      <c r="AF185" s="378"/>
      <c r="AG185" s="378"/>
    </row>
    <row r="186">
      <c r="A186" s="378"/>
      <c r="B186" s="428"/>
      <c r="C186" s="419"/>
      <c r="D186" s="419"/>
      <c r="E186" s="419"/>
      <c r="F186" s="419"/>
      <c r="G186" s="419"/>
      <c r="H186" s="429"/>
      <c r="I186" s="376"/>
      <c r="J186" s="430"/>
      <c r="K186" s="419"/>
      <c r="L186" s="419"/>
      <c r="M186" s="419"/>
      <c r="N186" s="431"/>
      <c r="O186" s="432"/>
      <c r="P186" s="429"/>
      <c r="Q186" s="378"/>
      <c r="R186" s="378"/>
      <c r="S186" s="378"/>
      <c r="T186" s="378"/>
      <c r="U186" s="378"/>
      <c r="V186" s="378"/>
      <c r="W186" s="378"/>
      <c r="X186" s="378"/>
      <c r="Y186" s="378"/>
      <c r="Z186" s="378"/>
      <c r="AA186" s="378"/>
      <c r="AB186" s="378"/>
      <c r="AC186" s="378"/>
      <c r="AD186" s="378"/>
      <c r="AE186" s="378"/>
      <c r="AF186" s="378"/>
      <c r="AG186" s="378"/>
    </row>
    <row r="187">
      <c r="A187" s="378"/>
      <c r="B187" s="433" t="s">
        <v>712</v>
      </c>
      <c r="C187" s="434"/>
      <c r="D187" s="435"/>
      <c r="E187" s="419"/>
      <c r="F187" s="419"/>
      <c r="G187" s="419"/>
      <c r="H187" s="429"/>
      <c r="I187" s="376"/>
      <c r="J187" s="437" t="s">
        <v>712</v>
      </c>
      <c r="K187" s="434"/>
      <c r="L187" s="435"/>
      <c r="M187" s="419"/>
      <c r="N187" s="431"/>
      <c r="O187" s="432"/>
      <c r="P187" s="429"/>
      <c r="Q187" s="378"/>
      <c r="R187" s="378"/>
      <c r="S187" s="378"/>
      <c r="T187" s="378"/>
      <c r="U187" s="378"/>
      <c r="V187" s="378"/>
      <c r="W187" s="378"/>
      <c r="X187" s="378"/>
      <c r="Y187" s="378"/>
      <c r="Z187" s="378"/>
      <c r="AA187" s="378"/>
      <c r="AB187" s="378"/>
      <c r="AC187" s="378"/>
      <c r="AD187" s="378"/>
      <c r="AE187" s="378"/>
      <c r="AF187" s="378"/>
      <c r="AG187" s="378"/>
    </row>
    <row r="188">
      <c r="A188" s="378"/>
      <c r="B188" s="438"/>
      <c r="C188" s="439"/>
      <c r="D188" s="440"/>
      <c r="E188" s="419"/>
      <c r="F188" s="419"/>
      <c r="G188" s="419"/>
      <c r="H188" s="429"/>
      <c r="I188" s="376"/>
      <c r="J188" s="443" t="s">
        <v>859</v>
      </c>
      <c r="K188" s="439"/>
      <c r="L188" s="440" t="s">
        <v>860</v>
      </c>
      <c r="M188" s="419"/>
      <c r="N188" s="431"/>
      <c r="O188" s="432"/>
      <c r="P188" s="429"/>
      <c r="Q188" s="378"/>
      <c r="R188" s="378"/>
      <c r="S188" s="378"/>
      <c r="T188" s="378"/>
      <c r="U188" s="378"/>
      <c r="V188" s="378"/>
      <c r="W188" s="378"/>
      <c r="X188" s="378"/>
      <c r="Y188" s="378"/>
      <c r="Z188" s="378"/>
      <c r="AA188" s="378"/>
      <c r="AB188" s="378"/>
      <c r="AC188" s="378"/>
      <c r="AD188" s="378"/>
      <c r="AE188" s="378"/>
      <c r="AF188" s="378"/>
      <c r="AG188" s="378"/>
    </row>
    <row r="189">
      <c r="A189" s="378"/>
      <c r="B189" s="444"/>
      <c r="C189" s="434"/>
      <c r="D189" s="435"/>
      <c r="E189" s="419"/>
      <c r="F189" s="463"/>
      <c r="G189" s="463"/>
      <c r="H189" s="448"/>
      <c r="I189" s="376"/>
      <c r="J189" s="445"/>
      <c r="K189" s="434"/>
      <c r="L189" s="435"/>
      <c r="M189" s="419"/>
      <c r="N189" s="446"/>
      <c r="O189" s="447"/>
      <c r="P189" s="448"/>
      <c r="Q189" s="378"/>
      <c r="R189" s="378"/>
      <c r="S189" s="378"/>
      <c r="T189" s="378"/>
      <c r="U189" s="378"/>
      <c r="V189" s="378"/>
      <c r="W189" s="378"/>
      <c r="X189" s="378"/>
      <c r="Y189" s="378"/>
      <c r="Z189" s="378"/>
      <c r="AA189" s="378"/>
      <c r="AB189" s="378"/>
      <c r="AC189" s="378"/>
      <c r="AD189" s="378"/>
      <c r="AE189" s="378"/>
      <c r="AF189" s="378"/>
      <c r="AG189" s="378"/>
    </row>
    <row r="190">
      <c r="A190" s="378"/>
      <c r="B190" s="438" t="s">
        <v>714</v>
      </c>
      <c r="C190" s="439"/>
      <c r="D190" s="440"/>
      <c r="E190" s="419"/>
      <c r="F190" s="463"/>
      <c r="G190" s="463"/>
      <c r="H190" s="448"/>
      <c r="I190" s="376"/>
      <c r="J190" s="443" t="s">
        <v>714</v>
      </c>
      <c r="K190" s="439">
        <f>SUM(K188:K189)</f>
        <v>0</v>
      </c>
      <c r="L190" s="440"/>
      <c r="M190" s="419"/>
      <c r="N190" s="446"/>
      <c r="O190" s="447"/>
      <c r="P190" s="448"/>
      <c r="Q190" s="378"/>
      <c r="R190" s="378"/>
      <c r="S190" s="378"/>
      <c r="T190" s="378"/>
      <c r="U190" s="378"/>
      <c r="V190" s="378"/>
      <c r="W190" s="378"/>
      <c r="X190" s="378"/>
      <c r="Y190" s="378"/>
      <c r="Z190" s="378"/>
      <c r="AA190" s="378"/>
      <c r="AB190" s="378"/>
      <c r="AC190" s="378"/>
      <c r="AD190" s="378"/>
      <c r="AE190" s="378"/>
      <c r="AF190" s="378"/>
      <c r="AG190" s="378"/>
    </row>
    <row r="191">
      <c r="A191" s="378"/>
      <c r="B191" s="450"/>
      <c r="C191" s="451"/>
      <c r="D191" s="419"/>
      <c r="E191" s="419"/>
      <c r="F191" s="463"/>
      <c r="G191" s="463"/>
      <c r="H191" s="448"/>
      <c r="I191" s="376"/>
      <c r="J191" s="535"/>
      <c r="K191" s="451"/>
      <c r="L191" s="419"/>
      <c r="M191" s="419"/>
      <c r="N191" s="446"/>
      <c r="O191" s="447"/>
      <c r="P191" s="448"/>
      <c r="Q191" s="378"/>
      <c r="R191" s="378"/>
      <c r="S191" s="378"/>
      <c r="T191" s="378"/>
      <c r="U191" s="378"/>
      <c r="V191" s="378"/>
      <c r="W191" s="378"/>
      <c r="X191" s="378"/>
      <c r="Y191" s="378"/>
      <c r="Z191" s="378"/>
      <c r="AA191" s="378"/>
      <c r="AB191" s="378"/>
      <c r="AC191" s="378"/>
      <c r="AD191" s="378"/>
      <c r="AE191" s="378"/>
      <c r="AF191" s="378"/>
      <c r="AG191" s="378"/>
    </row>
    <row r="192">
      <c r="A192" s="378"/>
      <c r="B192" s="454" t="s">
        <v>715</v>
      </c>
      <c r="C192" s="455"/>
      <c r="D192" s="435"/>
      <c r="E192" s="419"/>
      <c r="F192" s="463"/>
      <c r="G192" s="463"/>
      <c r="H192" s="448"/>
      <c r="I192" s="376"/>
      <c r="J192" s="458" t="s">
        <v>715</v>
      </c>
      <c r="K192" s="455"/>
      <c r="L192" s="435"/>
      <c r="M192" s="419"/>
      <c r="N192" s="446"/>
      <c r="O192" s="447"/>
      <c r="P192" s="448"/>
      <c r="Q192" s="378"/>
      <c r="R192" s="378"/>
      <c r="S192" s="378"/>
      <c r="T192" s="378"/>
      <c r="U192" s="378"/>
      <c r="V192" s="378"/>
      <c r="W192" s="378"/>
      <c r="X192" s="378"/>
      <c r="Y192" s="378"/>
      <c r="Z192" s="378"/>
      <c r="AA192" s="378"/>
      <c r="AB192" s="378"/>
      <c r="AC192" s="378"/>
      <c r="AD192" s="378"/>
      <c r="AE192" s="378"/>
      <c r="AF192" s="378"/>
      <c r="AG192" s="378"/>
    </row>
    <row r="193">
      <c r="A193" s="378"/>
      <c r="B193" s="459" t="s">
        <v>716</v>
      </c>
      <c r="C193" s="460">
        <v>150.0</v>
      </c>
      <c r="D193" s="440"/>
      <c r="E193" s="419"/>
      <c r="F193" s="463"/>
      <c r="G193" s="463"/>
      <c r="H193" s="448"/>
      <c r="I193" s="376"/>
      <c r="J193" s="462"/>
      <c r="K193" s="460"/>
      <c r="L193" s="440"/>
      <c r="M193" s="419"/>
      <c r="N193" s="446"/>
      <c r="O193" s="447"/>
      <c r="P193" s="448"/>
      <c r="Q193" s="378"/>
      <c r="R193" s="378"/>
      <c r="S193" s="378"/>
      <c r="T193" s="378"/>
      <c r="U193" s="378"/>
      <c r="V193" s="378"/>
      <c r="W193" s="378"/>
      <c r="X193" s="378"/>
      <c r="Y193" s="378"/>
      <c r="Z193" s="378"/>
      <c r="AA193" s="378"/>
      <c r="AB193" s="378"/>
      <c r="AC193" s="378"/>
      <c r="AD193" s="378"/>
      <c r="AE193" s="378"/>
      <c r="AF193" s="378"/>
      <c r="AG193" s="378"/>
    </row>
    <row r="194">
      <c r="A194" s="378"/>
      <c r="B194" s="459" t="s">
        <v>717</v>
      </c>
      <c r="C194" s="460">
        <v>400.0</v>
      </c>
      <c r="D194" s="440"/>
      <c r="E194" s="419"/>
      <c r="F194" s="463"/>
      <c r="G194" s="463"/>
      <c r="H194" s="448"/>
      <c r="I194" s="376"/>
      <c r="J194" s="462"/>
      <c r="K194" s="460"/>
      <c r="L194" s="440"/>
      <c r="M194" s="419"/>
      <c r="N194" s="446"/>
      <c r="O194" s="447"/>
      <c r="P194" s="448"/>
      <c r="Q194" s="378"/>
      <c r="R194" s="378"/>
      <c r="S194" s="378"/>
      <c r="T194" s="378"/>
      <c r="U194" s="378"/>
      <c r="V194" s="378"/>
      <c r="W194" s="378"/>
      <c r="X194" s="378"/>
      <c r="Y194" s="378"/>
      <c r="Z194" s="378"/>
      <c r="AA194" s="378"/>
      <c r="AB194" s="378"/>
      <c r="AC194" s="378"/>
      <c r="AD194" s="378"/>
      <c r="AE194" s="378"/>
      <c r="AF194" s="378"/>
      <c r="AG194" s="378"/>
    </row>
    <row r="195">
      <c r="A195" s="378"/>
      <c r="B195" s="459" t="s">
        <v>718</v>
      </c>
      <c r="C195" s="460">
        <v>200.0</v>
      </c>
      <c r="D195" s="440"/>
      <c r="E195" s="419"/>
      <c r="F195" s="463"/>
      <c r="G195" s="463"/>
      <c r="H195" s="448"/>
      <c r="I195" s="376"/>
      <c r="J195" s="462"/>
      <c r="K195" s="460"/>
      <c r="L195" s="440"/>
      <c r="M195" s="419"/>
      <c r="N195" s="446"/>
      <c r="O195" s="447"/>
      <c r="P195" s="448"/>
      <c r="Q195" s="378"/>
      <c r="R195" s="378"/>
      <c r="S195" s="378"/>
      <c r="T195" s="378"/>
      <c r="U195" s="378"/>
      <c r="V195" s="378"/>
      <c r="W195" s="378"/>
      <c r="X195" s="378"/>
      <c r="Y195" s="378"/>
      <c r="Z195" s="378"/>
      <c r="AA195" s="378"/>
      <c r="AB195" s="378"/>
      <c r="AC195" s="378"/>
      <c r="AD195" s="378"/>
      <c r="AE195" s="378"/>
      <c r="AF195" s="378"/>
      <c r="AG195" s="378"/>
    </row>
    <row r="196">
      <c r="A196" s="378"/>
      <c r="B196" s="459" t="s">
        <v>656</v>
      </c>
      <c r="C196" s="460">
        <f>IFERROR(__xludf.DUMMYFUNCTION("FILTER(D1045:D1073,C1045:C1073=F177)"),481.74)</f>
        <v>481.74</v>
      </c>
      <c r="D196" s="440"/>
      <c r="E196" s="419"/>
      <c r="F196" s="463"/>
      <c r="G196" s="463"/>
      <c r="H196" s="448"/>
      <c r="I196" s="376"/>
      <c r="J196" s="462"/>
      <c r="K196" s="460"/>
      <c r="L196" s="440"/>
      <c r="M196" s="419"/>
      <c r="N196" s="446"/>
      <c r="O196" s="447"/>
      <c r="P196" s="448"/>
      <c r="Q196" s="378"/>
      <c r="R196" s="378"/>
      <c r="S196" s="378"/>
      <c r="T196" s="378"/>
      <c r="U196" s="378"/>
      <c r="V196" s="378"/>
      <c r="W196" s="378"/>
      <c r="X196" s="378"/>
      <c r="Y196" s="378"/>
      <c r="Z196" s="378"/>
      <c r="AA196" s="378"/>
      <c r="AB196" s="378"/>
      <c r="AC196" s="378"/>
      <c r="AD196" s="378"/>
      <c r="AE196" s="378"/>
      <c r="AF196" s="378"/>
      <c r="AG196" s="378"/>
    </row>
    <row r="197">
      <c r="A197" s="378"/>
      <c r="B197" s="464"/>
      <c r="C197" s="994">
        <f>IFERROR(__xludf.DUMMYFUNCTION("""COMPUTED_VALUE"""),365.92)</f>
        <v>365.92</v>
      </c>
      <c r="D197" s="435"/>
      <c r="E197" s="419"/>
      <c r="F197" s="468" t="s">
        <v>842</v>
      </c>
      <c r="G197" s="466">
        <f>H185+C190-C202</f>
        <v>4075.234</v>
      </c>
      <c r="H197" s="211"/>
      <c r="I197" s="376"/>
      <c r="J197" s="467"/>
      <c r="K197" s="455"/>
      <c r="L197" s="435"/>
      <c r="M197" s="419"/>
      <c r="N197" s="547" t="s">
        <v>842</v>
      </c>
      <c r="O197" s="539">
        <f>P185+K190-K202</f>
        <v>3125.85</v>
      </c>
      <c r="P197" s="211"/>
      <c r="Q197" s="378"/>
      <c r="R197" s="378"/>
      <c r="S197" s="378"/>
      <c r="T197" s="378"/>
      <c r="U197" s="378"/>
      <c r="V197" s="378"/>
      <c r="W197" s="378"/>
      <c r="X197" s="378"/>
      <c r="Y197" s="378"/>
      <c r="Z197" s="378"/>
      <c r="AA197" s="378"/>
      <c r="AB197" s="378"/>
      <c r="AC197" s="378"/>
      <c r="AD197" s="378"/>
      <c r="AE197" s="378"/>
      <c r="AF197" s="378"/>
      <c r="AG197" s="378"/>
    </row>
    <row r="198">
      <c r="A198" s="378"/>
      <c r="B198" s="464"/>
      <c r="C198" s="994">
        <f>IFERROR(__xludf.DUMMYFUNCTION("""COMPUTED_VALUE"""),778.2)</f>
        <v>778.2</v>
      </c>
      <c r="D198" s="435"/>
      <c r="E198" s="419"/>
      <c r="F198" s="469" t="s">
        <v>843</v>
      </c>
      <c r="G198" s="278"/>
      <c r="H198" s="56"/>
      <c r="I198" s="376"/>
      <c r="J198" s="467"/>
      <c r="K198" s="455"/>
      <c r="L198" s="435"/>
      <c r="M198" s="419"/>
      <c r="N198" s="548" t="s">
        <v>854</v>
      </c>
      <c r="O198" s="278"/>
      <c r="P198" s="56"/>
      <c r="Q198" s="378"/>
      <c r="R198" s="378"/>
      <c r="S198" s="378"/>
      <c r="T198" s="378"/>
      <c r="U198" s="378"/>
      <c r="V198" s="378"/>
      <c r="W198" s="378"/>
      <c r="X198" s="378"/>
      <c r="Y198" s="378"/>
      <c r="Z198" s="378"/>
      <c r="AA198" s="378"/>
      <c r="AB198" s="378"/>
      <c r="AC198" s="378"/>
      <c r="AD198" s="378"/>
      <c r="AE198" s="378"/>
      <c r="AF198" s="378"/>
      <c r="AG198" s="378"/>
    </row>
    <row r="199">
      <c r="A199" s="378"/>
      <c r="B199" s="464"/>
      <c r="C199" s="994">
        <f>IFERROR(__xludf.DUMMYFUNCTION("""COMPUTED_VALUE"""),508.65)</f>
        <v>508.65</v>
      </c>
      <c r="D199" s="435"/>
      <c r="E199" s="419"/>
      <c r="F199" s="470"/>
      <c r="G199" s="215"/>
      <c r="H199" s="64"/>
      <c r="I199" s="376"/>
      <c r="J199" s="467"/>
      <c r="K199" s="455"/>
      <c r="L199" s="435"/>
      <c r="M199" s="419"/>
      <c r="N199" s="549"/>
      <c r="O199" s="215"/>
      <c r="P199" s="64"/>
      <c r="Q199" s="378"/>
      <c r="R199" s="378"/>
      <c r="S199" s="378"/>
      <c r="T199" s="378"/>
      <c r="U199" s="378"/>
      <c r="V199" s="378"/>
      <c r="W199" s="378"/>
      <c r="X199" s="378"/>
      <c r="Y199" s="378"/>
      <c r="Z199" s="378"/>
      <c r="AA199" s="378"/>
      <c r="AB199" s="378"/>
      <c r="AC199" s="378"/>
      <c r="AD199" s="378"/>
      <c r="AE199" s="378"/>
      <c r="AF199" s="378"/>
      <c r="AG199" s="378"/>
    </row>
    <row r="200">
      <c r="A200" s="378"/>
      <c r="B200" s="464"/>
      <c r="C200" s="455"/>
      <c r="D200" s="435"/>
      <c r="E200" s="419"/>
      <c r="F200" s="419"/>
      <c r="G200" s="419"/>
      <c r="H200" s="429"/>
      <c r="I200" s="376"/>
      <c r="J200" s="467"/>
      <c r="K200" s="455"/>
      <c r="L200" s="435"/>
      <c r="M200" s="419"/>
      <c r="N200" s="431"/>
      <c r="O200" s="432"/>
      <c r="P200" s="429"/>
      <c r="Q200" s="378"/>
      <c r="R200" s="378"/>
      <c r="S200" s="378"/>
      <c r="T200" s="378"/>
      <c r="U200" s="378"/>
      <c r="V200" s="378"/>
      <c r="W200" s="378"/>
      <c r="X200" s="378"/>
      <c r="Y200" s="378"/>
      <c r="Z200" s="378"/>
      <c r="AA200" s="378"/>
      <c r="AB200" s="378"/>
      <c r="AC200" s="378"/>
      <c r="AD200" s="378"/>
      <c r="AE200" s="378"/>
      <c r="AF200" s="378"/>
      <c r="AG200" s="378"/>
    </row>
    <row r="201">
      <c r="A201" s="378"/>
      <c r="B201" s="464"/>
      <c r="C201" s="455"/>
      <c r="D201" s="435"/>
      <c r="E201" s="419"/>
      <c r="F201" s="419"/>
      <c r="G201" s="419"/>
      <c r="H201" s="429"/>
      <c r="I201" s="376"/>
      <c r="J201" s="467"/>
      <c r="K201" s="455"/>
      <c r="L201" s="435"/>
      <c r="M201" s="419"/>
      <c r="N201" s="431"/>
      <c r="O201" s="432"/>
      <c r="P201" s="429"/>
      <c r="Q201" s="378"/>
      <c r="R201" s="378"/>
      <c r="S201" s="378"/>
      <c r="T201" s="378"/>
      <c r="U201" s="378"/>
      <c r="V201" s="378"/>
      <c r="W201" s="378"/>
      <c r="X201" s="378"/>
      <c r="Y201" s="378"/>
      <c r="Z201" s="378"/>
      <c r="AA201" s="378"/>
      <c r="AB201" s="378"/>
      <c r="AC201" s="378"/>
      <c r="AD201" s="378"/>
      <c r="AE201" s="378"/>
      <c r="AF201" s="378"/>
      <c r="AG201" s="378"/>
    </row>
    <row r="202">
      <c r="A202" s="378"/>
      <c r="B202" s="454" t="s">
        <v>721</v>
      </c>
      <c r="C202" s="460">
        <f>SUM(C193:C201)</f>
        <v>2884.51</v>
      </c>
      <c r="D202" s="440"/>
      <c r="E202" s="419"/>
      <c r="F202" s="419"/>
      <c r="G202" s="419"/>
      <c r="H202" s="429"/>
      <c r="I202" s="376"/>
      <c r="J202" s="458" t="s">
        <v>721</v>
      </c>
      <c r="K202" s="460">
        <f>SUM(K193:K201)</f>
        <v>0</v>
      </c>
      <c r="L202" s="440"/>
      <c r="M202" s="419"/>
      <c r="N202" s="431"/>
      <c r="O202" s="432"/>
      <c r="P202" s="429"/>
      <c r="Q202" s="378"/>
      <c r="R202" s="378"/>
      <c r="S202" s="378"/>
      <c r="T202" s="378"/>
      <c r="U202" s="378"/>
      <c r="V202" s="378"/>
      <c r="W202" s="378"/>
      <c r="X202" s="378"/>
      <c r="Y202" s="378"/>
      <c r="Z202" s="378"/>
      <c r="AA202" s="378"/>
      <c r="AB202" s="378"/>
      <c r="AC202" s="378"/>
      <c r="AD202" s="378"/>
      <c r="AE202" s="378"/>
      <c r="AF202" s="378"/>
      <c r="AG202" s="378"/>
    </row>
    <row r="203">
      <c r="A203" s="378"/>
      <c r="B203" s="471"/>
      <c r="C203" s="472"/>
      <c r="D203" s="472"/>
      <c r="E203" s="472"/>
      <c r="F203" s="472"/>
      <c r="G203" s="472"/>
      <c r="H203" s="473"/>
      <c r="I203" s="376"/>
      <c r="J203" s="474"/>
      <c r="K203" s="472"/>
      <c r="L203" s="472"/>
      <c r="M203" s="472"/>
      <c r="N203" s="475"/>
      <c r="O203" s="476"/>
      <c r="P203" s="473"/>
      <c r="Q203" s="378"/>
      <c r="R203" s="378"/>
      <c r="S203" s="378"/>
      <c r="T203" s="378"/>
      <c r="U203" s="378"/>
      <c r="V203" s="378"/>
      <c r="W203" s="378"/>
      <c r="X203" s="378"/>
      <c r="Y203" s="378"/>
      <c r="Z203" s="378"/>
      <c r="AA203" s="378"/>
      <c r="AB203" s="378"/>
      <c r="AC203" s="378"/>
      <c r="AD203" s="378"/>
      <c r="AE203" s="378"/>
      <c r="AF203" s="378"/>
      <c r="AG203" s="378"/>
    </row>
    <row r="204">
      <c r="A204" s="378"/>
      <c r="B204" s="550"/>
      <c r="C204" s="463"/>
      <c r="D204" s="463"/>
      <c r="E204" s="463"/>
      <c r="F204" s="463"/>
      <c r="G204" s="463"/>
      <c r="H204" s="463"/>
      <c r="I204" s="376"/>
      <c r="J204" s="377"/>
      <c r="K204" s="378"/>
      <c r="L204" s="378"/>
      <c r="M204" s="378"/>
      <c r="N204" s="379"/>
      <c r="O204" s="380"/>
      <c r="P204" s="378"/>
      <c r="Q204" s="378"/>
      <c r="R204" s="378"/>
      <c r="S204" s="378"/>
      <c r="T204" s="378"/>
      <c r="U204" s="378"/>
      <c r="V204" s="378"/>
      <c r="W204" s="378"/>
      <c r="X204" s="378"/>
      <c r="Y204" s="378"/>
      <c r="Z204" s="378"/>
      <c r="AA204" s="378"/>
      <c r="AB204" s="378"/>
      <c r="AC204" s="378"/>
      <c r="AD204" s="378"/>
      <c r="AE204" s="378"/>
      <c r="AF204" s="378"/>
      <c r="AG204" s="378"/>
    </row>
    <row r="205">
      <c r="A205" s="378"/>
      <c r="B205" s="477"/>
      <c r="C205" s="378"/>
      <c r="D205" s="378"/>
      <c r="E205" s="378"/>
      <c r="F205" s="378"/>
      <c r="G205" s="378"/>
      <c r="H205" s="378"/>
      <c r="I205" s="376"/>
      <c r="J205" s="377"/>
      <c r="K205" s="378"/>
      <c r="L205" s="378"/>
      <c r="M205" s="378"/>
      <c r="N205" s="379"/>
      <c r="O205" s="380"/>
      <c r="P205" s="378"/>
      <c r="Q205" s="378"/>
      <c r="R205" s="378"/>
      <c r="S205" s="378"/>
      <c r="T205" s="378"/>
      <c r="U205" s="378"/>
      <c r="V205" s="378"/>
      <c r="W205" s="378"/>
      <c r="X205" s="378"/>
      <c r="Y205" s="378"/>
      <c r="Z205" s="378"/>
      <c r="AA205" s="378"/>
      <c r="AB205" s="378"/>
      <c r="AC205" s="378"/>
      <c r="AD205" s="378"/>
      <c r="AE205" s="378"/>
      <c r="AF205" s="378"/>
      <c r="AG205" s="378"/>
    </row>
    <row r="206">
      <c r="A206" s="378"/>
      <c r="B206" s="382"/>
      <c r="C206" s="388"/>
      <c r="D206" s="384"/>
      <c r="E206" s="385" t="s">
        <v>700</v>
      </c>
      <c r="F206" s="385" t="str">
        <f>Board!A2</f>
        <v>11.17.25-11.23.25</v>
      </c>
      <c r="G206" s="213"/>
      <c r="H206" s="211"/>
      <c r="I206" s="386">
        <v>5.0</v>
      </c>
      <c r="J206" s="387"/>
      <c r="K206" s="388"/>
      <c r="L206" s="384"/>
      <c r="M206" s="385" t="s">
        <v>700</v>
      </c>
      <c r="N206" s="385" t="str">
        <f>Board!A2</f>
        <v>11.17.25-11.23.25</v>
      </c>
      <c r="O206" s="213"/>
      <c r="P206" s="211"/>
      <c r="Q206" s="378"/>
      <c r="R206" s="389" t="s">
        <v>831</v>
      </c>
      <c r="S206" s="389" t="s">
        <v>652</v>
      </c>
      <c r="T206" s="390" t="s">
        <v>832</v>
      </c>
      <c r="U206" s="391" t="s">
        <v>833</v>
      </c>
      <c r="V206" s="389" t="s">
        <v>655</v>
      </c>
      <c r="W206" s="389" t="s">
        <v>8</v>
      </c>
      <c r="X206" s="389" t="s">
        <v>656</v>
      </c>
      <c r="Y206" s="390" t="s">
        <v>834</v>
      </c>
      <c r="Z206" s="392" t="s">
        <v>835</v>
      </c>
      <c r="AA206" s="390" t="s">
        <v>836</v>
      </c>
      <c r="AB206" s="390" t="s">
        <v>837</v>
      </c>
      <c r="AC206" s="393" t="s">
        <v>716</v>
      </c>
      <c r="AD206" s="393" t="s">
        <v>717</v>
      </c>
      <c r="AE206" s="393" t="s">
        <v>718</v>
      </c>
      <c r="AF206" s="394" t="s">
        <v>838</v>
      </c>
      <c r="AG206" s="394"/>
    </row>
    <row r="207">
      <c r="A207" s="378"/>
      <c r="B207" s="395"/>
      <c r="C207" s="372"/>
      <c r="D207" s="396"/>
      <c r="E207" s="385" t="s">
        <v>702</v>
      </c>
      <c r="F207" s="385" t="s">
        <v>861</v>
      </c>
      <c r="G207" s="213"/>
      <c r="H207" s="211"/>
      <c r="I207" s="376"/>
      <c r="J207" s="397"/>
      <c r="K207" s="372"/>
      <c r="L207" s="396"/>
      <c r="M207" s="385" t="s">
        <v>351</v>
      </c>
      <c r="N207" s="385" t="str">
        <f t="array" ref="N207">XLOOKUP(N208,Board!K:K,Board!J:J)</f>
        <v>Marco Cayo Cayo</v>
      </c>
      <c r="O207" s="213"/>
      <c r="P207" s="211"/>
      <c r="Q207" s="378"/>
      <c r="R207" s="398">
        <f>I206</f>
        <v>5</v>
      </c>
      <c r="S207" s="398">
        <f>F208</f>
        <v>997</v>
      </c>
      <c r="T207" s="399" t="str">
        <f>G228</f>
        <v>#REF!</v>
      </c>
      <c r="U207" s="378" t="str">
        <f>N207</f>
        <v>Marco Cayo Cayo</v>
      </c>
      <c r="V207" s="380">
        <f>O228</f>
        <v>2519.4</v>
      </c>
      <c r="W207" s="399">
        <f>P216</f>
        <v>2519.4</v>
      </c>
      <c r="X207" s="399" t="str">
        <f>C227</f>
        <v>#REF!</v>
      </c>
      <c r="Y207" s="400">
        <f>N216</f>
        <v>3876</v>
      </c>
      <c r="Z207" s="378" t="str">
        <f>V208-V207</f>
        <v>#REF!</v>
      </c>
      <c r="AA207" s="378"/>
      <c r="AB207" s="378"/>
      <c r="AC207" s="401">
        <f>C224</f>
        <v>150</v>
      </c>
      <c r="AD207" s="401">
        <f>C225</f>
        <v>400</v>
      </c>
      <c r="AE207" s="401">
        <f>C226</f>
        <v>200</v>
      </c>
      <c r="AF207" s="530">
        <f>C228+C229+C230+C231+C232</f>
        <v>215</v>
      </c>
      <c r="AG207" s="398"/>
    </row>
    <row r="208">
      <c r="A208" s="378"/>
      <c r="B208" s="395"/>
      <c r="C208" s="372"/>
      <c r="D208" s="402"/>
      <c r="E208" s="385" t="s">
        <v>703</v>
      </c>
      <c r="F208" s="385">
        <v>997.0</v>
      </c>
      <c r="G208" s="213"/>
      <c r="H208" s="211"/>
      <c r="I208" s="376"/>
      <c r="J208" s="397"/>
      <c r="K208" s="372"/>
      <c r="L208" s="402"/>
      <c r="M208" s="385" t="s">
        <v>703</v>
      </c>
      <c r="N208" s="385">
        <f>F208</f>
        <v>997</v>
      </c>
      <c r="O208" s="213"/>
      <c r="P208" s="211"/>
      <c r="Q208" s="378"/>
      <c r="R208" s="378"/>
      <c r="S208" s="378"/>
      <c r="T208" s="378"/>
      <c r="U208" s="378" t="str">
        <f>F207</f>
        <v>Careway Logistics LLC</v>
      </c>
      <c r="V208" s="399" t="str">
        <f>G228</f>
        <v>#REF!</v>
      </c>
      <c r="W208" s="399">
        <f>H216</f>
        <v>6336</v>
      </c>
      <c r="X208" s="378"/>
      <c r="Y208" s="378"/>
      <c r="Z208" s="378"/>
      <c r="AA208" s="378"/>
      <c r="AB208" s="378"/>
      <c r="AC208" s="378"/>
      <c r="AD208" s="378"/>
      <c r="AE208" s="378"/>
      <c r="AF208" s="378"/>
      <c r="AG208" s="378"/>
    </row>
    <row r="209">
      <c r="A209" s="378"/>
      <c r="B209" s="403" t="s">
        <v>704</v>
      </c>
      <c r="C209" s="404" t="s">
        <v>5</v>
      </c>
      <c r="D209" s="405" t="s">
        <v>6</v>
      </c>
      <c r="E209" s="406" t="s">
        <v>7</v>
      </c>
      <c r="F209" s="404" t="s">
        <v>8</v>
      </c>
      <c r="G209" s="404" t="s">
        <v>706</v>
      </c>
      <c r="H209" s="404" t="s">
        <v>707</v>
      </c>
      <c r="I209" s="376"/>
      <c r="J209" s="407" t="s">
        <v>704</v>
      </c>
      <c r="K209" s="404" t="s">
        <v>5</v>
      </c>
      <c r="L209" s="405" t="s">
        <v>6</v>
      </c>
      <c r="M209" s="406" t="s">
        <v>7</v>
      </c>
      <c r="N209" s="404" t="s">
        <v>591</v>
      </c>
      <c r="O209" s="408" t="s">
        <v>839</v>
      </c>
      <c r="P209" s="404" t="s">
        <v>707</v>
      </c>
      <c r="Q209" s="378"/>
      <c r="R209" s="378"/>
      <c r="S209" s="378"/>
      <c r="T209" s="378"/>
      <c r="U209" s="378"/>
      <c r="V209" s="378"/>
      <c r="W209" s="378"/>
      <c r="X209" s="378"/>
      <c r="Y209" s="378"/>
      <c r="Z209" s="378"/>
      <c r="AA209" s="378"/>
      <c r="AB209" s="378"/>
      <c r="AC209" s="378"/>
      <c r="AD209" s="378"/>
      <c r="AE209" s="378"/>
      <c r="AF209" s="378"/>
      <c r="AG209" s="378"/>
    </row>
    <row r="210">
      <c r="A210" s="378"/>
      <c r="B210" s="410">
        <v>45980.0</v>
      </c>
      <c r="C210" s="411">
        <v>1.5421907E7</v>
      </c>
      <c r="D210" s="411" t="s">
        <v>55</v>
      </c>
      <c r="E210" s="411" t="s">
        <v>56</v>
      </c>
      <c r="F210" s="412">
        <v>3000.0</v>
      </c>
      <c r="G210" s="413">
        <v>0.88</v>
      </c>
      <c r="H210" s="414">
        <f t="shared" ref="H210:H211" si="8">F210*G210</f>
        <v>2640</v>
      </c>
      <c r="I210" s="376"/>
      <c r="J210" s="415">
        <f>IFERROR(__xludf.DUMMYFUNCTION("FILTER(Board!C:F,Board!K:K=N208)"),45980.0)</f>
        <v>45980</v>
      </c>
      <c r="K210" s="411">
        <f>IFERROR(__xludf.DUMMYFUNCTION("""COMPUTED_VALUE"""),1.5421907E7)</f>
        <v>15421907</v>
      </c>
      <c r="L210" s="411" t="str">
        <f>IFERROR(__xludf.DUMMYFUNCTION("""COMPUTED_VALUE"""),"Powell, WY, 82435")</f>
        <v>Powell, WY, 82435</v>
      </c>
      <c r="M210" s="411" t="str">
        <f>IFERROR(__xludf.DUMMYFUNCTION("""COMPUTED_VALUE"""),"Brookshire, TX, 77423")</f>
        <v>Brookshire, TX, 77423</v>
      </c>
      <c r="N210" s="416">
        <f>IFERROR(__xludf.DUMMYFUNCTION("FILTER(Board!H:H,Board!K:K=N208)"),1625.0)</f>
        <v>1625</v>
      </c>
      <c r="O210" s="408">
        <v>0.65</v>
      </c>
      <c r="P210" s="414">
        <f t="shared" ref="P210:P211" si="9">N210*O210</f>
        <v>1056.25</v>
      </c>
      <c r="Q210" s="378"/>
      <c r="R210" s="378"/>
      <c r="S210" s="378"/>
      <c r="T210" s="378"/>
      <c r="U210" s="378"/>
      <c r="V210" s="378"/>
      <c r="W210" s="378"/>
      <c r="X210" s="378"/>
      <c r="Y210" s="378"/>
      <c r="Z210" s="378"/>
      <c r="AA210" s="378"/>
      <c r="AB210" s="378"/>
      <c r="AC210" s="378"/>
      <c r="AD210" s="378"/>
      <c r="AE210" s="378"/>
      <c r="AF210" s="378"/>
      <c r="AG210" s="378"/>
    </row>
    <row r="211">
      <c r="A211" s="378"/>
      <c r="B211" s="410">
        <v>45982.0</v>
      </c>
      <c r="C211" s="411">
        <v>5546288.0</v>
      </c>
      <c r="D211" s="411" t="s">
        <v>60</v>
      </c>
      <c r="E211" s="411" t="s">
        <v>61</v>
      </c>
      <c r="F211" s="412">
        <v>4200.0</v>
      </c>
      <c r="G211" s="413">
        <v>0.88</v>
      </c>
      <c r="H211" s="414">
        <f t="shared" si="8"/>
        <v>3696</v>
      </c>
      <c r="I211" s="376"/>
      <c r="J211" s="418">
        <f>IFERROR(__xludf.DUMMYFUNCTION("""COMPUTED_VALUE"""),45982.0)</f>
        <v>45982</v>
      </c>
      <c r="K211" s="411">
        <f>IFERROR(__xludf.DUMMYFUNCTION("""COMPUTED_VALUE"""),5546288.0)</f>
        <v>5546288</v>
      </c>
      <c r="L211" s="411" t="str">
        <f>IFERROR(__xludf.DUMMYFUNCTION("""COMPUTED_VALUE"""),", TX, 77484")</f>
        <v>, TX, 77484</v>
      </c>
      <c r="M211" s="411" t="str">
        <f>IFERROR(__xludf.DUMMYFUNCTION("""COMPUTED_VALUE"""),"Vancouver, WA, 98662")</f>
        <v>Vancouver, WA, 98662</v>
      </c>
      <c r="N211" s="416">
        <f>IFERROR(__xludf.DUMMYFUNCTION("""COMPUTED_VALUE"""),2251.0)</f>
        <v>2251</v>
      </c>
      <c r="O211" s="408">
        <v>0.65</v>
      </c>
      <c r="P211" s="414">
        <f t="shared" si="9"/>
        <v>1463.15</v>
      </c>
      <c r="Q211" s="378"/>
      <c r="R211" s="378"/>
      <c r="S211" s="378"/>
      <c r="T211" s="378"/>
      <c r="U211" s="378"/>
      <c r="V211" s="378"/>
      <c r="W211" s="378"/>
      <c r="X211" s="378"/>
      <c r="Y211" s="378"/>
      <c r="Z211" s="378"/>
      <c r="AA211" s="378"/>
      <c r="AB211" s="378"/>
      <c r="AC211" s="378"/>
      <c r="AD211" s="378"/>
      <c r="AE211" s="378"/>
      <c r="AF211" s="378"/>
      <c r="AG211" s="378"/>
    </row>
    <row r="212">
      <c r="A212" s="378"/>
      <c r="B212" s="420"/>
      <c r="C212" s="421"/>
      <c r="D212" s="422"/>
      <c r="E212" s="423"/>
      <c r="F212" s="421"/>
      <c r="G212" s="413"/>
      <c r="H212" s="414"/>
      <c r="I212" s="376"/>
      <c r="J212" s="424"/>
      <c r="K212" s="421"/>
      <c r="L212" s="422"/>
      <c r="M212" s="423"/>
      <c r="N212" s="425"/>
      <c r="O212" s="408"/>
      <c r="P212" s="414"/>
      <c r="Q212" s="378"/>
      <c r="R212" s="378"/>
      <c r="S212" s="378"/>
      <c r="T212" s="378"/>
      <c r="U212" s="378"/>
      <c r="V212" s="378"/>
      <c r="W212" s="378"/>
      <c r="X212" s="378"/>
      <c r="Y212" s="378"/>
      <c r="Z212" s="378"/>
      <c r="AA212" s="378"/>
      <c r="AB212" s="378"/>
      <c r="AC212" s="378"/>
      <c r="AD212" s="378"/>
      <c r="AE212" s="378"/>
      <c r="AF212" s="378"/>
      <c r="AG212" s="378"/>
    </row>
    <row r="213">
      <c r="A213" s="378"/>
      <c r="B213" s="420"/>
      <c r="C213" s="421"/>
      <c r="D213" s="422"/>
      <c r="E213" s="423"/>
      <c r="F213" s="421"/>
      <c r="G213" s="413"/>
      <c r="H213" s="414"/>
      <c r="I213" s="376"/>
      <c r="J213" s="424"/>
      <c r="K213" s="421"/>
      <c r="L213" s="422"/>
      <c r="M213" s="423"/>
      <c r="N213" s="425"/>
      <c r="O213" s="408"/>
      <c r="P213" s="414"/>
      <c r="Q213" s="378"/>
      <c r="R213" s="378"/>
      <c r="S213" s="378"/>
      <c r="T213" s="378"/>
      <c r="U213" s="378"/>
      <c r="V213" s="378"/>
      <c r="W213" s="378"/>
      <c r="X213" s="378"/>
      <c r="Y213" s="378"/>
      <c r="Z213" s="378"/>
      <c r="AA213" s="378"/>
      <c r="AB213" s="378"/>
      <c r="AC213" s="378"/>
      <c r="AD213" s="378"/>
      <c r="AE213" s="378"/>
      <c r="AF213" s="378"/>
      <c r="AG213" s="378"/>
    </row>
    <row r="214">
      <c r="A214" s="378"/>
      <c r="B214" s="420"/>
      <c r="C214" s="421"/>
      <c r="D214" s="422"/>
      <c r="E214" s="423"/>
      <c r="F214" s="421"/>
      <c r="G214" s="413"/>
      <c r="H214" s="414"/>
      <c r="I214" s="376"/>
      <c r="J214" s="424"/>
      <c r="K214" s="421"/>
      <c r="L214" s="422"/>
      <c r="M214" s="423"/>
      <c r="N214" s="425"/>
      <c r="O214" s="408"/>
      <c r="P214" s="414"/>
      <c r="Q214" s="378"/>
      <c r="R214" s="378"/>
      <c r="S214" s="378"/>
      <c r="T214" s="378"/>
      <c r="U214" s="378"/>
      <c r="V214" s="378"/>
      <c r="W214" s="378"/>
      <c r="X214" s="378"/>
      <c r="Y214" s="378"/>
      <c r="Z214" s="378"/>
      <c r="AA214" s="378"/>
      <c r="AB214" s="378"/>
      <c r="AC214" s="378"/>
      <c r="AD214" s="378"/>
      <c r="AE214" s="378"/>
      <c r="AF214" s="378"/>
      <c r="AG214" s="378"/>
    </row>
    <row r="215">
      <c r="A215" s="378"/>
      <c r="B215" s="420"/>
      <c r="C215" s="421"/>
      <c r="D215" s="422"/>
      <c r="E215" s="423"/>
      <c r="F215" s="421"/>
      <c r="G215" s="413"/>
      <c r="H215" s="414"/>
      <c r="I215" s="376"/>
      <c r="J215" s="424"/>
      <c r="K215" s="421"/>
      <c r="L215" s="422"/>
      <c r="M215" s="423"/>
      <c r="N215" s="425"/>
      <c r="O215" s="408"/>
      <c r="P215" s="414"/>
      <c r="Q215" s="378"/>
      <c r="R215" s="378"/>
      <c r="S215" s="378"/>
      <c r="T215" s="378"/>
      <c r="U215" s="378"/>
      <c r="V215" s="378"/>
      <c r="W215" s="378"/>
      <c r="X215" s="378"/>
      <c r="Y215" s="378"/>
      <c r="Z215" s="378"/>
      <c r="AA215" s="378"/>
      <c r="AB215" s="378"/>
      <c r="AC215" s="378"/>
      <c r="AD215" s="378"/>
      <c r="AE215" s="378"/>
      <c r="AF215" s="378"/>
      <c r="AG215" s="378"/>
    </row>
    <row r="216">
      <c r="A216" s="378"/>
      <c r="B216" s="403" t="s">
        <v>711</v>
      </c>
      <c r="C216" s="224"/>
      <c r="D216" s="224"/>
      <c r="E216" s="222"/>
      <c r="F216" s="414">
        <f>SUM(F210:F215)</f>
        <v>7200</v>
      </c>
      <c r="G216" s="421"/>
      <c r="H216" s="414">
        <f>SUM(H210:H215)</f>
        <v>6336</v>
      </c>
      <c r="I216" s="376"/>
      <c r="J216" s="407" t="s">
        <v>711</v>
      </c>
      <c r="K216" s="224"/>
      <c r="L216" s="224"/>
      <c r="M216" s="222"/>
      <c r="N216" s="426">
        <f>SUM(N210:N215)</f>
        <v>3876</v>
      </c>
      <c r="O216" s="427"/>
      <c r="P216" s="414">
        <f>SUM(P210:P215)</f>
        <v>2519.4</v>
      </c>
      <c r="Q216" s="378"/>
      <c r="R216" s="378"/>
      <c r="S216" s="378"/>
      <c r="T216" s="378"/>
      <c r="U216" s="378"/>
      <c r="V216" s="378"/>
      <c r="W216" s="378"/>
      <c r="X216" s="378"/>
      <c r="Y216" s="378"/>
      <c r="Z216" s="378"/>
      <c r="AA216" s="378"/>
      <c r="AB216" s="378"/>
      <c r="AC216" s="378"/>
      <c r="AD216" s="378"/>
      <c r="AE216" s="378"/>
      <c r="AF216" s="378"/>
      <c r="AG216" s="378"/>
    </row>
    <row r="217">
      <c r="A217" s="378"/>
      <c r="B217" s="428"/>
      <c r="C217" s="419"/>
      <c r="D217" s="419"/>
      <c r="E217" s="419"/>
      <c r="F217" s="419"/>
      <c r="G217" s="419"/>
      <c r="H217" s="429"/>
      <c r="I217" s="376"/>
      <c r="J217" s="430"/>
      <c r="K217" s="419"/>
      <c r="L217" s="419"/>
      <c r="M217" s="419"/>
      <c r="N217" s="431"/>
      <c r="O217" s="432"/>
      <c r="P217" s="429"/>
      <c r="Q217" s="378"/>
      <c r="R217" s="378"/>
      <c r="S217" s="378"/>
      <c r="T217" s="378"/>
      <c r="U217" s="378"/>
      <c r="V217" s="378"/>
      <c r="W217" s="378"/>
      <c r="X217" s="378"/>
      <c r="Y217" s="378"/>
      <c r="Z217" s="378"/>
      <c r="AA217" s="378"/>
      <c r="AB217" s="378"/>
      <c r="AC217" s="378"/>
      <c r="AD217" s="378"/>
      <c r="AE217" s="378"/>
      <c r="AF217" s="378"/>
      <c r="AG217" s="378"/>
    </row>
    <row r="218">
      <c r="A218" s="378"/>
      <c r="B218" s="433" t="s">
        <v>712</v>
      </c>
      <c r="C218" s="434"/>
      <c r="D218" s="435"/>
      <c r="E218" s="419"/>
      <c r="F218" s="419"/>
      <c r="G218" s="419"/>
      <c r="H218" s="429"/>
      <c r="I218" s="376"/>
      <c r="J218" s="437" t="s">
        <v>712</v>
      </c>
      <c r="K218" s="434"/>
      <c r="L218" s="435"/>
      <c r="M218" s="419"/>
      <c r="N218" s="431"/>
      <c r="O218" s="432"/>
      <c r="P218" s="429"/>
      <c r="Q218" s="378"/>
      <c r="R218" s="378"/>
      <c r="S218" s="378"/>
      <c r="T218" s="378"/>
      <c r="U218" s="378"/>
      <c r="V218" s="378"/>
      <c r="W218" s="378"/>
      <c r="X218" s="378"/>
      <c r="Y218" s="378"/>
      <c r="Z218" s="378"/>
      <c r="AA218" s="378"/>
      <c r="AB218" s="378"/>
      <c r="AC218" s="378"/>
      <c r="AD218" s="378"/>
      <c r="AE218" s="378"/>
      <c r="AF218" s="378"/>
      <c r="AG218" s="378"/>
    </row>
    <row r="219">
      <c r="A219" s="378"/>
      <c r="B219" s="551"/>
      <c r="C219" s="551"/>
      <c r="D219" s="440"/>
      <c r="E219" s="552" t="s">
        <v>657</v>
      </c>
      <c r="F219" s="553">
        <f>H216-P216</f>
        <v>3816.6</v>
      </c>
      <c r="G219" s="419"/>
      <c r="H219" s="429"/>
      <c r="I219" s="376"/>
      <c r="J219" s="443" t="s">
        <v>713</v>
      </c>
      <c r="K219" s="439"/>
      <c r="L219" s="440"/>
      <c r="M219" s="419"/>
      <c r="N219" s="431"/>
      <c r="O219" s="432"/>
      <c r="P219" s="429"/>
      <c r="Q219" s="378"/>
      <c r="R219" s="378"/>
      <c r="S219" s="378"/>
      <c r="T219" s="378"/>
      <c r="U219" s="378"/>
      <c r="V219" s="378"/>
      <c r="W219" s="378"/>
      <c r="X219" s="378"/>
      <c r="Y219" s="378"/>
      <c r="Z219" s="378"/>
      <c r="AA219" s="378"/>
      <c r="AB219" s="378"/>
      <c r="AC219" s="378"/>
      <c r="AD219" s="378"/>
      <c r="AE219" s="378"/>
      <c r="AF219" s="378"/>
      <c r="AG219" s="378"/>
    </row>
    <row r="220">
      <c r="A220" s="378"/>
      <c r="B220" s="444"/>
      <c r="C220" s="434"/>
      <c r="D220" s="435"/>
      <c r="E220" s="419"/>
      <c r="F220" s="463"/>
      <c r="G220" s="463"/>
      <c r="H220" s="448"/>
      <c r="I220" s="376"/>
      <c r="J220" s="445"/>
      <c r="K220" s="434"/>
      <c r="L220" s="435"/>
      <c r="M220" s="419"/>
      <c r="N220" s="446"/>
      <c r="O220" s="447"/>
      <c r="P220" s="448"/>
      <c r="Q220" s="378"/>
      <c r="R220" s="378"/>
      <c r="S220" s="378"/>
      <c r="T220" s="378"/>
      <c r="U220" s="378"/>
      <c r="V220" s="378"/>
      <c r="W220" s="378"/>
      <c r="X220" s="378"/>
      <c r="Y220" s="378"/>
      <c r="Z220" s="378"/>
      <c r="AA220" s="378"/>
      <c r="AB220" s="378"/>
      <c r="AC220" s="378"/>
      <c r="AD220" s="378"/>
      <c r="AE220" s="378"/>
      <c r="AF220" s="378"/>
      <c r="AG220" s="378"/>
    </row>
    <row r="221">
      <c r="A221" s="378"/>
      <c r="B221" s="438" t="s">
        <v>714</v>
      </c>
      <c r="C221" s="439"/>
      <c r="D221" s="440"/>
      <c r="E221" s="419"/>
      <c r="F221" s="463"/>
      <c r="G221" s="463"/>
      <c r="H221" s="448"/>
      <c r="I221" s="376"/>
      <c r="J221" s="443" t="s">
        <v>714</v>
      </c>
      <c r="K221" s="439"/>
      <c r="L221" s="440"/>
      <c r="M221" s="419"/>
      <c r="N221" s="446"/>
      <c r="O221" s="447"/>
      <c r="P221" s="448"/>
      <c r="Q221" s="378"/>
      <c r="R221" s="378"/>
      <c r="S221" s="378"/>
      <c r="T221" s="378"/>
      <c r="U221" s="378"/>
      <c r="V221" s="378"/>
      <c r="W221" s="378"/>
      <c r="X221" s="378"/>
      <c r="Y221" s="378"/>
      <c r="Z221" s="378"/>
      <c r="AA221" s="378"/>
      <c r="AB221" s="378"/>
      <c r="AC221" s="378"/>
      <c r="AD221" s="378"/>
      <c r="AE221" s="378"/>
      <c r="AF221" s="378"/>
      <c r="AG221" s="378"/>
    </row>
    <row r="222">
      <c r="A222" s="378"/>
      <c r="B222" s="450"/>
      <c r="C222" s="451"/>
      <c r="D222" s="419"/>
      <c r="E222" s="419"/>
      <c r="F222" s="463"/>
      <c r="G222" s="463"/>
      <c r="H222" s="448"/>
      <c r="I222" s="376"/>
      <c r="J222" s="535"/>
      <c r="K222" s="451"/>
      <c r="L222" s="419"/>
      <c r="M222" s="419"/>
      <c r="N222" s="446"/>
      <c r="O222" s="447"/>
      <c r="P222" s="448"/>
      <c r="Q222" s="378"/>
      <c r="R222" s="378"/>
      <c r="S222" s="378"/>
      <c r="T222" s="378"/>
      <c r="U222" s="378"/>
      <c r="V222" s="378"/>
      <c r="W222" s="378"/>
      <c r="X222" s="378"/>
      <c r="Y222" s="378"/>
      <c r="Z222" s="378"/>
      <c r="AA222" s="378"/>
      <c r="AB222" s="378"/>
      <c r="AC222" s="378"/>
      <c r="AD222" s="378"/>
      <c r="AE222" s="378"/>
      <c r="AF222" s="378"/>
      <c r="AG222" s="378"/>
    </row>
    <row r="223">
      <c r="A223" s="378"/>
      <c r="B223" s="454" t="s">
        <v>715</v>
      </c>
      <c r="C223" s="455"/>
      <c r="D223" s="435"/>
      <c r="E223" s="419"/>
      <c r="F223" s="463"/>
      <c r="G223" s="463"/>
      <c r="H223" s="448"/>
      <c r="I223" s="376"/>
      <c r="J223" s="458" t="s">
        <v>715</v>
      </c>
      <c r="K223" s="455"/>
      <c r="L223" s="435"/>
      <c r="M223" s="419"/>
      <c r="N223" s="446"/>
      <c r="O223" s="447"/>
      <c r="P223" s="448"/>
      <c r="Q223" s="378"/>
      <c r="R223" s="378"/>
      <c r="S223" s="378"/>
      <c r="T223" s="378"/>
      <c r="U223" s="378"/>
      <c r="V223" s="378"/>
      <c r="W223" s="378"/>
      <c r="X223" s="378"/>
      <c r="Y223" s="378"/>
      <c r="Z223" s="378"/>
      <c r="AA223" s="378"/>
      <c r="AB223" s="378"/>
      <c r="AC223" s="378"/>
      <c r="AD223" s="378"/>
      <c r="AE223" s="378"/>
      <c r="AF223" s="378"/>
      <c r="AG223" s="378"/>
    </row>
    <row r="224">
      <c r="A224" s="378"/>
      <c r="B224" s="459" t="s">
        <v>716</v>
      </c>
      <c r="C224" s="460">
        <v>150.0</v>
      </c>
      <c r="D224" s="440"/>
      <c r="E224" s="419"/>
      <c r="F224" s="463"/>
      <c r="G224" s="463"/>
      <c r="H224" s="448"/>
      <c r="I224" s="376"/>
      <c r="J224" s="462" t="s">
        <v>716</v>
      </c>
      <c r="K224" s="460"/>
      <c r="L224" s="440"/>
      <c r="M224" s="419"/>
      <c r="N224" s="446"/>
      <c r="O224" s="447"/>
      <c r="P224" s="448"/>
      <c r="Q224" s="378"/>
      <c r="R224" s="378"/>
      <c r="S224" s="378"/>
      <c r="T224" s="378"/>
      <c r="U224" s="378"/>
      <c r="V224" s="378"/>
      <c r="W224" s="378"/>
      <c r="X224" s="378"/>
      <c r="Y224" s="378"/>
      <c r="Z224" s="378"/>
      <c r="AA224" s="378"/>
      <c r="AB224" s="378"/>
      <c r="AC224" s="378"/>
      <c r="AD224" s="378"/>
      <c r="AE224" s="378"/>
      <c r="AF224" s="378"/>
      <c r="AG224" s="378"/>
    </row>
    <row r="225">
      <c r="A225" s="378"/>
      <c r="B225" s="459" t="s">
        <v>717</v>
      </c>
      <c r="C225" s="460">
        <v>400.0</v>
      </c>
      <c r="D225" s="440"/>
      <c r="E225" s="419"/>
      <c r="F225" s="463"/>
      <c r="G225" s="463"/>
      <c r="H225" s="448"/>
      <c r="I225" s="376"/>
      <c r="J225" s="462" t="s">
        <v>717</v>
      </c>
      <c r="K225" s="460"/>
      <c r="L225" s="440"/>
      <c r="M225" s="419"/>
      <c r="N225" s="446"/>
      <c r="O225" s="447"/>
      <c r="P225" s="448"/>
      <c r="Q225" s="378"/>
      <c r="R225" s="378"/>
      <c r="S225" s="378"/>
      <c r="T225" s="378"/>
      <c r="U225" s="378"/>
      <c r="V225" s="378"/>
      <c r="W225" s="378"/>
      <c r="X225" s="378"/>
      <c r="Y225" s="378"/>
      <c r="Z225" s="378"/>
      <c r="AA225" s="378"/>
      <c r="AB225" s="378"/>
      <c r="AC225" s="378"/>
      <c r="AD225" s="378"/>
      <c r="AE225" s="378"/>
      <c r="AF225" s="378"/>
      <c r="AG225" s="378"/>
    </row>
    <row r="226">
      <c r="A226" s="378"/>
      <c r="B226" s="459" t="s">
        <v>718</v>
      </c>
      <c r="C226" s="460">
        <v>200.0</v>
      </c>
      <c r="D226" s="440"/>
      <c r="E226" s="419"/>
      <c r="F226" s="463"/>
      <c r="G226" s="463"/>
      <c r="H226" s="448"/>
      <c r="I226" s="376"/>
      <c r="J226" s="462" t="s">
        <v>718</v>
      </c>
      <c r="K226" s="460"/>
      <c r="L226" s="440"/>
      <c r="M226" s="419"/>
      <c r="N226" s="446"/>
      <c r="O226" s="447"/>
      <c r="P226" s="448"/>
      <c r="Q226" s="378"/>
      <c r="R226" s="378"/>
      <c r="S226" s="378"/>
      <c r="T226" s="378"/>
      <c r="U226" s="378"/>
      <c r="V226" s="378"/>
      <c r="W226" s="378"/>
      <c r="X226" s="378"/>
      <c r="Y226" s="378"/>
      <c r="Z226" s="378"/>
      <c r="AA226" s="378"/>
      <c r="AB226" s="378"/>
      <c r="AC226" s="378"/>
      <c r="AD226" s="378"/>
      <c r="AE226" s="378"/>
      <c r="AF226" s="378"/>
      <c r="AG226" s="378"/>
    </row>
    <row r="227">
      <c r="A227" s="378"/>
      <c r="B227" s="459" t="s">
        <v>656</v>
      </c>
      <c r="C227" s="460" t="str">
        <f>IFERROR(__xludf.DUMMYFUNCTION("FILTER(D1045:D1073,C1045:C1073=F208)"),"#REF!")</f>
        <v>#REF!</v>
      </c>
      <c r="D227" s="440"/>
      <c r="E227" s="419"/>
      <c r="F227" s="463"/>
      <c r="G227" s="463"/>
      <c r="H227" s="448"/>
      <c r="I227" s="376"/>
      <c r="J227" s="462" t="s">
        <v>656</v>
      </c>
      <c r="K227" s="460"/>
      <c r="L227" s="440"/>
      <c r="M227" s="419"/>
      <c r="N227" s="446"/>
      <c r="O227" s="447"/>
      <c r="P227" s="448"/>
      <c r="Q227" s="378"/>
      <c r="R227" s="378"/>
      <c r="S227" s="378"/>
      <c r="T227" s="378"/>
      <c r="U227" s="378"/>
      <c r="V227" s="378"/>
      <c r="W227" s="378"/>
      <c r="X227" s="378"/>
      <c r="Y227" s="378"/>
      <c r="Z227" s="378"/>
      <c r="AA227" s="378"/>
      <c r="AB227" s="378"/>
      <c r="AC227" s="378"/>
      <c r="AD227" s="378"/>
      <c r="AE227" s="378"/>
      <c r="AF227" s="378"/>
      <c r="AG227" s="378"/>
    </row>
    <row r="228">
      <c r="A228" s="378"/>
      <c r="B228" s="454" t="s">
        <v>862</v>
      </c>
      <c r="C228" s="537">
        <v>215.0</v>
      </c>
      <c r="D228" s="435"/>
      <c r="E228" s="419"/>
      <c r="F228" s="468" t="s">
        <v>842</v>
      </c>
      <c r="G228" s="466" t="str">
        <f>H216+C221-C233</f>
        <v>#REF!</v>
      </c>
      <c r="H228" s="211"/>
      <c r="I228" s="376"/>
      <c r="J228" s="467"/>
      <c r="K228" s="455"/>
      <c r="L228" s="435"/>
      <c r="M228" s="419"/>
      <c r="N228" s="468" t="s">
        <v>842</v>
      </c>
      <c r="O228" s="539">
        <f>P216+K221-K233</f>
        <v>2519.4</v>
      </c>
      <c r="P228" s="211"/>
      <c r="Q228" s="378"/>
      <c r="R228" s="378"/>
      <c r="S228" s="378"/>
      <c r="T228" s="378"/>
      <c r="U228" s="378"/>
      <c r="V228" s="378"/>
      <c r="W228" s="378"/>
      <c r="X228" s="378"/>
      <c r="Y228" s="378"/>
      <c r="Z228" s="378"/>
      <c r="AA228" s="378"/>
      <c r="AB228" s="378"/>
      <c r="AC228" s="378"/>
      <c r="AD228" s="378"/>
      <c r="AE228" s="378"/>
      <c r="AF228" s="378"/>
      <c r="AG228" s="378"/>
    </row>
    <row r="229">
      <c r="A229" s="378"/>
      <c r="B229" s="464"/>
      <c r="C229" s="455"/>
      <c r="D229" s="435"/>
      <c r="E229" s="419"/>
      <c r="F229" s="469" t="s">
        <v>843</v>
      </c>
      <c r="G229" s="278"/>
      <c r="H229" s="56"/>
      <c r="I229" s="376"/>
      <c r="J229" s="467"/>
      <c r="K229" s="455"/>
      <c r="L229" s="435"/>
      <c r="M229" s="419"/>
      <c r="N229" s="469" t="s">
        <v>854</v>
      </c>
      <c r="O229" s="278"/>
      <c r="P229" s="56"/>
      <c r="Q229" s="378"/>
      <c r="R229" s="378"/>
      <c r="S229" s="378"/>
      <c r="T229" s="378"/>
      <c r="U229" s="378"/>
      <c r="V229" s="378"/>
      <c r="W229" s="378"/>
      <c r="X229" s="378"/>
      <c r="Y229" s="378"/>
      <c r="Z229" s="378"/>
      <c r="AA229" s="378"/>
      <c r="AB229" s="378"/>
      <c r="AC229" s="378"/>
      <c r="AD229" s="378"/>
      <c r="AE229" s="378"/>
      <c r="AF229" s="378"/>
      <c r="AG229" s="378"/>
    </row>
    <row r="230">
      <c r="A230" s="378"/>
      <c r="B230" s="464"/>
      <c r="C230" s="455"/>
      <c r="D230" s="435"/>
      <c r="E230" s="419"/>
      <c r="F230" s="470"/>
      <c r="G230" s="215"/>
      <c r="H230" s="64"/>
      <c r="I230" s="376"/>
      <c r="J230" s="467"/>
      <c r="K230" s="455"/>
      <c r="L230" s="435"/>
      <c r="M230" s="419"/>
      <c r="N230" s="470"/>
      <c r="O230" s="215"/>
      <c r="P230" s="64"/>
      <c r="Q230" s="378"/>
      <c r="R230" s="378"/>
      <c r="S230" s="378"/>
      <c r="T230" s="378"/>
      <c r="U230" s="378"/>
      <c r="V230" s="378"/>
      <c r="W230" s="378"/>
      <c r="X230" s="378"/>
      <c r="Y230" s="378"/>
      <c r="Z230" s="378"/>
      <c r="AA230" s="378"/>
      <c r="AB230" s="378"/>
      <c r="AC230" s="378"/>
      <c r="AD230" s="378"/>
      <c r="AE230" s="378"/>
      <c r="AF230" s="378"/>
      <c r="AG230" s="378"/>
    </row>
    <row r="231">
      <c r="A231" s="378"/>
      <c r="B231" s="464"/>
      <c r="C231" s="455"/>
      <c r="D231" s="435"/>
      <c r="E231" s="419"/>
      <c r="F231" s="419"/>
      <c r="G231" s="419"/>
      <c r="H231" s="429"/>
      <c r="I231" s="376"/>
      <c r="J231" s="467"/>
      <c r="K231" s="455"/>
      <c r="L231" s="435"/>
      <c r="M231" s="419"/>
      <c r="N231" s="431"/>
      <c r="O231" s="432"/>
      <c r="P231" s="429"/>
      <c r="Q231" s="378"/>
      <c r="R231" s="378"/>
      <c r="S231" s="378"/>
      <c r="T231" s="378"/>
      <c r="U231" s="378"/>
      <c r="V231" s="378"/>
      <c r="W231" s="378"/>
      <c r="X231" s="378"/>
      <c r="Y231" s="378"/>
      <c r="Z231" s="378"/>
      <c r="AA231" s="378"/>
      <c r="AB231" s="378"/>
      <c r="AC231" s="378"/>
      <c r="AD231" s="378"/>
      <c r="AE231" s="378"/>
      <c r="AF231" s="378"/>
      <c r="AG231" s="378"/>
    </row>
    <row r="232">
      <c r="A232" s="378"/>
      <c r="B232" s="464"/>
      <c r="C232" s="455"/>
      <c r="D232" s="435"/>
      <c r="E232" s="419"/>
      <c r="F232" s="419"/>
      <c r="G232" s="419"/>
      <c r="H232" s="429"/>
      <c r="I232" s="376"/>
      <c r="J232" s="467"/>
      <c r="K232" s="455"/>
      <c r="L232" s="435"/>
      <c r="M232" s="419"/>
      <c r="N232" s="431"/>
      <c r="O232" s="432"/>
      <c r="P232" s="429"/>
      <c r="Q232" s="378"/>
      <c r="R232" s="378"/>
      <c r="S232" s="378"/>
      <c r="T232" s="378"/>
      <c r="U232" s="378"/>
      <c r="V232" s="378"/>
      <c r="W232" s="378"/>
      <c r="X232" s="378"/>
      <c r="Y232" s="378"/>
      <c r="Z232" s="378"/>
      <c r="AA232" s="378"/>
      <c r="AB232" s="378"/>
      <c r="AC232" s="378"/>
      <c r="AD232" s="378"/>
      <c r="AE232" s="378"/>
      <c r="AF232" s="378"/>
      <c r="AG232" s="378"/>
    </row>
    <row r="233">
      <c r="A233" s="378"/>
      <c r="B233" s="454" t="s">
        <v>721</v>
      </c>
      <c r="C233" s="460" t="str">
        <f>SUM(C224:C232)</f>
        <v>#REF!</v>
      </c>
      <c r="D233" s="440"/>
      <c r="E233" s="419"/>
      <c r="F233" s="419"/>
      <c r="G233" s="419"/>
      <c r="H233" s="429"/>
      <c r="I233" s="376"/>
      <c r="J233" s="458" t="s">
        <v>721</v>
      </c>
      <c r="K233" s="460"/>
      <c r="L233" s="440"/>
      <c r="M233" s="419"/>
      <c r="N233" s="431"/>
      <c r="O233" s="432"/>
      <c r="P233" s="429"/>
      <c r="Q233" s="378"/>
      <c r="R233" s="378"/>
      <c r="S233" s="378"/>
      <c r="T233" s="378"/>
      <c r="U233" s="378"/>
      <c r="V233" s="378"/>
      <c r="W233" s="378"/>
      <c r="X233" s="378"/>
      <c r="Y233" s="378"/>
      <c r="Z233" s="378"/>
      <c r="AA233" s="378"/>
      <c r="AB233" s="378"/>
      <c r="AC233" s="378"/>
      <c r="AD233" s="378"/>
      <c r="AE233" s="378"/>
      <c r="AF233" s="378"/>
      <c r="AG233" s="378"/>
    </row>
    <row r="234">
      <c r="A234" s="378"/>
      <c r="B234" s="471"/>
      <c r="C234" s="472"/>
      <c r="D234" s="472"/>
      <c r="E234" s="472"/>
      <c r="F234" s="472"/>
      <c r="G234" s="472"/>
      <c r="H234" s="473"/>
      <c r="I234" s="376"/>
      <c r="J234" s="474"/>
      <c r="K234" s="472"/>
      <c r="L234" s="472"/>
      <c r="M234" s="472"/>
      <c r="N234" s="475"/>
      <c r="O234" s="476"/>
      <c r="P234" s="473"/>
      <c r="Q234" s="378"/>
      <c r="R234" s="378"/>
      <c r="S234" s="378"/>
      <c r="T234" s="378"/>
      <c r="U234" s="378"/>
      <c r="V234" s="378"/>
      <c r="W234" s="378"/>
      <c r="X234" s="378"/>
      <c r="Y234" s="378"/>
      <c r="Z234" s="378"/>
      <c r="AA234" s="378"/>
      <c r="AB234" s="378"/>
      <c r="AC234" s="378"/>
      <c r="AD234" s="378"/>
      <c r="AE234" s="378"/>
      <c r="AF234" s="378"/>
      <c r="AG234" s="378"/>
    </row>
    <row r="235">
      <c r="A235" s="378"/>
      <c r="B235" s="477"/>
      <c r="C235" s="378"/>
      <c r="D235" s="378"/>
      <c r="E235" s="378"/>
      <c r="F235" s="378"/>
      <c r="G235" s="378"/>
      <c r="H235" s="378"/>
      <c r="I235" s="376"/>
      <c r="J235" s="377"/>
      <c r="K235" s="378"/>
      <c r="L235" s="378"/>
      <c r="M235" s="378"/>
      <c r="N235" s="379"/>
      <c r="O235" s="380"/>
      <c r="P235" s="378"/>
      <c r="Q235" s="378"/>
      <c r="R235" s="378"/>
      <c r="S235" s="378"/>
      <c r="T235" s="378"/>
      <c r="U235" s="378"/>
      <c r="V235" s="378"/>
      <c r="W235" s="378"/>
      <c r="X235" s="378"/>
      <c r="Y235" s="378"/>
      <c r="Z235" s="378"/>
      <c r="AA235" s="378"/>
      <c r="AB235" s="378"/>
      <c r="AC235" s="378"/>
      <c r="AD235" s="378"/>
      <c r="AE235" s="378"/>
      <c r="AF235" s="378"/>
      <c r="AG235" s="378"/>
    </row>
    <row r="236">
      <c r="A236" s="378"/>
      <c r="B236" s="477"/>
      <c r="C236" s="378"/>
      <c r="D236" s="378"/>
      <c r="E236" s="378"/>
      <c r="F236" s="378"/>
      <c r="G236" s="378"/>
      <c r="H236" s="378"/>
      <c r="I236" s="376"/>
      <c r="J236" s="377"/>
      <c r="K236" s="378"/>
      <c r="L236" s="378"/>
      <c r="M236" s="378"/>
      <c r="N236" s="379"/>
      <c r="O236" s="380"/>
      <c r="P236" s="378"/>
      <c r="Q236" s="378"/>
      <c r="R236" s="378"/>
      <c r="S236" s="378"/>
      <c r="T236" s="378"/>
      <c r="U236" s="378"/>
      <c r="V236" s="378"/>
      <c r="W236" s="378"/>
      <c r="X236" s="378"/>
      <c r="Y236" s="378"/>
      <c r="Z236" s="378"/>
      <c r="AA236" s="378"/>
      <c r="AB236" s="378"/>
      <c r="AC236" s="378"/>
      <c r="AD236" s="378"/>
      <c r="AE236" s="378"/>
      <c r="AF236" s="378"/>
      <c r="AG236" s="378"/>
    </row>
    <row r="237">
      <c r="A237" s="378"/>
      <c r="B237" s="382"/>
      <c r="C237" s="554" t="s">
        <v>863</v>
      </c>
      <c r="D237" s="384"/>
      <c r="E237" s="385" t="s">
        <v>700</v>
      </c>
      <c r="F237" s="385" t="str">
        <f>Board!A2</f>
        <v>11.17.25-11.23.25</v>
      </c>
      <c r="G237" s="213"/>
      <c r="H237" s="211"/>
      <c r="I237" s="386">
        <v>6.0</v>
      </c>
      <c r="J237" s="387"/>
      <c r="K237" s="388"/>
      <c r="L237" s="384"/>
      <c r="M237" s="385" t="s">
        <v>700</v>
      </c>
      <c r="N237" s="385" t="str">
        <f>Board!A2</f>
        <v>11.17.25-11.23.25</v>
      </c>
      <c r="O237" s="213"/>
      <c r="P237" s="211"/>
      <c r="Q237" s="378"/>
      <c r="R237" s="389" t="s">
        <v>831</v>
      </c>
      <c r="S237" s="389" t="s">
        <v>652</v>
      </c>
      <c r="T237" s="390" t="s">
        <v>832</v>
      </c>
      <c r="U237" s="391" t="s">
        <v>833</v>
      </c>
      <c r="V237" s="389" t="s">
        <v>655</v>
      </c>
      <c r="W237" s="389" t="s">
        <v>8</v>
      </c>
      <c r="X237" s="389" t="s">
        <v>656</v>
      </c>
      <c r="Y237" s="390" t="s">
        <v>834</v>
      </c>
      <c r="Z237" s="392" t="s">
        <v>835</v>
      </c>
      <c r="AA237" s="390" t="s">
        <v>836</v>
      </c>
      <c r="AB237" s="390" t="s">
        <v>837</v>
      </c>
      <c r="AC237" s="393" t="s">
        <v>716</v>
      </c>
      <c r="AD237" s="393" t="s">
        <v>717</v>
      </c>
      <c r="AE237" s="393" t="s">
        <v>718</v>
      </c>
      <c r="AF237" s="394" t="s">
        <v>838</v>
      </c>
      <c r="AG237" s="394"/>
    </row>
    <row r="238">
      <c r="A238" s="378"/>
      <c r="B238" s="395"/>
      <c r="C238" s="372"/>
      <c r="D238" s="396"/>
      <c r="E238" s="385" t="s">
        <v>702</v>
      </c>
      <c r="F238" s="385" t="s">
        <v>678</v>
      </c>
      <c r="G238" s="213"/>
      <c r="H238" s="211"/>
      <c r="I238" s="376"/>
      <c r="J238" s="397"/>
      <c r="K238" s="372"/>
      <c r="L238" s="396"/>
      <c r="M238" s="385" t="s">
        <v>351</v>
      </c>
      <c r="N238" s="385" t="str">
        <f t="array" ref="N238">XLOOKUP(N239,Board!K:K,Board!J:J)</f>
        <v>NICOLAS PAULA</v>
      </c>
      <c r="O238" s="213"/>
      <c r="P238" s="211"/>
      <c r="Q238" s="378"/>
      <c r="R238" s="398">
        <f>I237</f>
        <v>6</v>
      </c>
      <c r="S238" s="398">
        <f>F239</f>
        <v>1002</v>
      </c>
      <c r="T238" s="399" t="str">
        <f>G259</f>
        <v>#N/A</v>
      </c>
      <c r="U238" s="378" t="str">
        <f>N238</f>
        <v>NICOLAS PAULA</v>
      </c>
      <c r="V238" s="380">
        <f>O259</f>
        <v>2291.9</v>
      </c>
      <c r="W238" s="399">
        <f>P247</f>
        <v>2291.9</v>
      </c>
      <c r="X238" s="399" t="str">
        <f>C258</f>
        <v>#N/A</v>
      </c>
      <c r="Y238" s="400">
        <f>N247</f>
        <v>3526</v>
      </c>
      <c r="Z238" s="378" t="str">
        <f>V239-V238</f>
        <v>#N/A</v>
      </c>
      <c r="AA238" s="378"/>
      <c r="AB238" s="378"/>
      <c r="AC238" s="401" t="str">
        <f>C255</f>
        <v/>
      </c>
      <c r="AD238" s="401" t="str">
        <f>C256</f>
        <v/>
      </c>
      <c r="AE238" s="401" t="str">
        <f>C257</f>
        <v/>
      </c>
      <c r="AF238" s="398">
        <f>C259+C260+C261+C262+C263</f>
        <v>0</v>
      </c>
      <c r="AG238" s="398"/>
    </row>
    <row r="239">
      <c r="A239" s="378"/>
      <c r="B239" s="395"/>
      <c r="C239" s="372"/>
      <c r="D239" s="402"/>
      <c r="E239" s="385" t="s">
        <v>703</v>
      </c>
      <c r="F239" s="385">
        <v>1002.0</v>
      </c>
      <c r="G239" s="213"/>
      <c r="H239" s="211"/>
      <c r="I239" s="376"/>
      <c r="J239" s="397"/>
      <c r="K239" s="372"/>
      <c r="L239" s="402"/>
      <c r="M239" s="385" t="s">
        <v>703</v>
      </c>
      <c r="N239" s="385">
        <f>F239</f>
        <v>1002</v>
      </c>
      <c r="O239" s="213"/>
      <c r="P239" s="211"/>
      <c r="Q239" s="378"/>
      <c r="R239" s="378"/>
      <c r="S239" s="378"/>
      <c r="T239" s="378"/>
      <c r="U239" s="378" t="str">
        <f>F238</f>
        <v>Rivershore</v>
      </c>
      <c r="V239" s="399" t="str">
        <f>G259</f>
        <v>#N/A</v>
      </c>
      <c r="W239" s="399">
        <f>H247</f>
        <v>6065.84</v>
      </c>
      <c r="X239" s="378"/>
      <c r="Y239" s="378"/>
      <c r="Z239" s="378"/>
      <c r="AA239" s="378"/>
      <c r="AB239" s="378"/>
      <c r="AC239" s="378"/>
      <c r="AD239" s="378"/>
      <c r="AE239" s="378"/>
      <c r="AF239" s="378"/>
      <c r="AG239" s="378"/>
    </row>
    <row r="240">
      <c r="A240" s="378"/>
      <c r="B240" s="403" t="s">
        <v>704</v>
      </c>
      <c r="C240" s="404" t="s">
        <v>5</v>
      </c>
      <c r="D240" s="405" t="s">
        <v>6</v>
      </c>
      <c r="E240" s="406" t="s">
        <v>7</v>
      </c>
      <c r="F240" s="404" t="s">
        <v>8</v>
      </c>
      <c r="G240" s="404" t="s">
        <v>706</v>
      </c>
      <c r="H240" s="404" t="s">
        <v>707</v>
      </c>
      <c r="I240" s="376"/>
      <c r="J240" s="407" t="s">
        <v>704</v>
      </c>
      <c r="K240" s="404" t="s">
        <v>5</v>
      </c>
      <c r="L240" s="405" t="s">
        <v>6</v>
      </c>
      <c r="M240" s="406" t="s">
        <v>7</v>
      </c>
      <c r="N240" s="404" t="s">
        <v>591</v>
      </c>
      <c r="O240" s="408" t="s">
        <v>839</v>
      </c>
      <c r="P240" s="404" t="s">
        <v>707</v>
      </c>
      <c r="Q240" s="378"/>
      <c r="R240" s="378"/>
      <c r="S240" s="378"/>
      <c r="T240" s="378"/>
      <c r="U240" s="378"/>
      <c r="V240" s="378"/>
      <c r="W240" s="378"/>
      <c r="X240" s="378"/>
      <c r="Y240" s="378"/>
      <c r="Z240" s="378"/>
      <c r="AA240" s="378"/>
      <c r="AB240" s="378"/>
      <c r="AC240" s="378"/>
      <c r="AD240" s="378"/>
      <c r="AE240" s="378"/>
      <c r="AF240" s="378"/>
      <c r="AG240" s="378"/>
    </row>
    <row r="241">
      <c r="A241" s="378"/>
      <c r="B241" s="555">
        <f>IFERROR(__xludf.DUMMYFUNCTION("FILTER(Board!C:G,Board!K:K=F239)"),45978.0)</f>
        <v>45978</v>
      </c>
      <c r="C241" s="404">
        <f>IFERROR(__xludf.DUMMYFUNCTION("""COMPUTED_VALUE"""),1238994.0)</f>
        <v>1238994</v>
      </c>
      <c r="D241" s="405" t="str">
        <f>IFERROR(__xludf.DUMMYFUNCTION("""COMPUTED_VALUE"""),"Franklin, AL, 36444")</f>
        <v>Franklin, AL, 36444</v>
      </c>
      <c r="E241" s="406" t="str">
        <f>IFERROR(__xludf.DUMMYFUNCTION("""COMPUTED_VALUE"""),"Cleburne, TX, 76033")</f>
        <v>Cleburne, TX, 76033</v>
      </c>
      <c r="F241" s="414">
        <f>IFERROR(__xludf.DUMMYFUNCTION("""COMPUTED_VALUE"""),1420.0)</f>
        <v>1420</v>
      </c>
      <c r="G241" s="413">
        <v>0.88</v>
      </c>
      <c r="H241" s="414">
        <f t="shared" ref="H241:H243" si="10">F241*G241</f>
        <v>1249.6</v>
      </c>
      <c r="I241" s="376"/>
      <c r="J241" s="415">
        <f>IFERROR(__xludf.DUMMYFUNCTION("FILTER(Board!C:F,Board!K:K=N239)"),45978.0)</f>
        <v>45978</v>
      </c>
      <c r="K241" s="411">
        <f>IFERROR(__xludf.DUMMYFUNCTION("""COMPUTED_VALUE"""),1238994.0)</f>
        <v>1238994</v>
      </c>
      <c r="L241" s="411" t="str">
        <f>IFERROR(__xludf.DUMMYFUNCTION("""COMPUTED_VALUE"""),"Franklin, AL, 36444")</f>
        <v>Franklin, AL, 36444</v>
      </c>
      <c r="M241" s="411" t="str">
        <f>IFERROR(__xludf.DUMMYFUNCTION("""COMPUTED_VALUE"""),"Cleburne, TX, 76033")</f>
        <v>Cleburne, TX, 76033</v>
      </c>
      <c r="N241" s="416">
        <f>IFERROR(__xludf.DUMMYFUNCTION("FILTER(Board!H:H,Board!K:K=N239)"),705.0)</f>
        <v>705</v>
      </c>
      <c r="O241" s="408">
        <v>0.65</v>
      </c>
      <c r="P241" s="414">
        <f t="shared" ref="P241:P244" si="11">N241*O241</f>
        <v>458.25</v>
      </c>
      <c r="Q241" s="378"/>
      <c r="R241" s="378"/>
      <c r="S241" s="378"/>
      <c r="T241" s="378"/>
      <c r="U241" s="378"/>
      <c r="V241" s="378"/>
      <c r="W241" s="378"/>
      <c r="X241" s="378"/>
      <c r="Y241" s="378"/>
      <c r="Z241" s="378"/>
      <c r="AA241" s="378"/>
      <c r="AB241" s="378"/>
      <c r="AC241" s="378"/>
      <c r="AD241" s="378"/>
      <c r="AE241" s="378"/>
      <c r="AF241" s="378"/>
      <c r="AG241" s="378"/>
    </row>
    <row r="242">
      <c r="A242" s="378"/>
      <c r="B242" s="555">
        <f>IFERROR(__xludf.DUMMYFUNCTION("""COMPUTED_VALUE"""),45979.0)</f>
        <v>45979</v>
      </c>
      <c r="C242" s="404">
        <f>IFERROR(__xludf.DUMMYFUNCTION("""COMPUTED_VALUE"""),8002007.0)</f>
        <v>8002007</v>
      </c>
      <c r="D242" s="405" t="str">
        <f>IFERROR(__xludf.DUMMYFUNCTION("""COMPUTED_VALUE"""),"Fort Worth, TX, 76106")</f>
        <v>Fort Worth, TX, 76106</v>
      </c>
      <c r="E242" s="406" t="str">
        <f>IFERROR(__xludf.DUMMYFUNCTION("""COMPUTED_VALUE"""),"Myerstown, PA, 17067")</f>
        <v>Myerstown, PA, 17067</v>
      </c>
      <c r="F242" s="414">
        <f>IFERROR(__xludf.DUMMYFUNCTION("""COMPUTED_VALUE"""),2700.0)</f>
        <v>2700</v>
      </c>
      <c r="G242" s="413">
        <v>0.88</v>
      </c>
      <c r="H242" s="414">
        <f t="shared" si="10"/>
        <v>2376</v>
      </c>
      <c r="I242" s="376"/>
      <c r="J242" s="418">
        <f>IFERROR(__xludf.DUMMYFUNCTION("""COMPUTED_VALUE"""),45979.0)</f>
        <v>45979</v>
      </c>
      <c r="K242" s="411">
        <f>IFERROR(__xludf.DUMMYFUNCTION("""COMPUTED_VALUE"""),8002007.0)</f>
        <v>8002007</v>
      </c>
      <c r="L242" s="411" t="str">
        <f>IFERROR(__xludf.DUMMYFUNCTION("""COMPUTED_VALUE"""),"Fort Worth, TX, 76106")</f>
        <v>Fort Worth, TX, 76106</v>
      </c>
      <c r="M242" s="411" t="str">
        <f>IFERROR(__xludf.DUMMYFUNCTION("""COMPUTED_VALUE"""),"Myerstown, PA, 17067")</f>
        <v>Myerstown, PA, 17067</v>
      </c>
      <c r="N242" s="416">
        <f>IFERROR(__xludf.DUMMYFUNCTION("""COMPUTED_VALUE"""),1467.0)</f>
        <v>1467</v>
      </c>
      <c r="O242" s="408">
        <v>0.65</v>
      </c>
      <c r="P242" s="414">
        <f t="shared" si="11"/>
        <v>953.55</v>
      </c>
      <c r="Q242" s="378"/>
      <c r="R242" s="378"/>
      <c r="S242" s="378"/>
      <c r="T242" s="378"/>
      <c r="U242" s="378"/>
      <c r="V242" s="378"/>
      <c r="W242" s="378"/>
      <c r="X242" s="378"/>
      <c r="Y242" s="378"/>
      <c r="Z242" s="378"/>
      <c r="AA242" s="378"/>
      <c r="AB242" s="378"/>
      <c r="AC242" s="378"/>
      <c r="AD242" s="378"/>
      <c r="AE242" s="378"/>
      <c r="AF242" s="378"/>
      <c r="AG242" s="378"/>
    </row>
    <row r="243">
      <c r="A243" s="378"/>
      <c r="B243" s="499">
        <f>IFERROR(__xludf.DUMMYFUNCTION("""COMPUTED_VALUE"""),45982.0)</f>
        <v>45982</v>
      </c>
      <c r="C243" s="421">
        <f>IFERROR(__xludf.DUMMYFUNCTION("""COMPUTED_VALUE"""),57602.0)</f>
        <v>57602</v>
      </c>
      <c r="D243" s="422" t="str">
        <f>IFERROR(__xludf.DUMMYFUNCTION("""COMPUTED_VALUE"""),"Edison, NJ, 08837")</f>
        <v>Edison, NJ, 08837</v>
      </c>
      <c r="E243" s="423" t="str">
        <f>IFERROR(__xludf.DUMMYFUNCTION("""COMPUTED_VALUE"""),"Weston, FL, 33331")</f>
        <v>Weston, FL, 33331</v>
      </c>
      <c r="F243" s="500">
        <f>IFERROR(__xludf.DUMMYFUNCTION("""COMPUTED_VALUE"""),2773.0)</f>
        <v>2773</v>
      </c>
      <c r="G243" s="413">
        <v>0.88</v>
      </c>
      <c r="H243" s="414">
        <f t="shared" si="10"/>
        <v>2440.24</v>
      </c>
      <c r="I243" s="376"/>
      <c r="J243" s="545">
        <f>IFERROR(__xludf.DUMMYFUNCTION("""COMPUTED_VALUE"""),45982.0)</f>
        <v>45982</v>
      </c>
      <c r="K243" s="421">
        <f>IFERROR(__xludf.DUMMYFUNCTION("""COMPUTED_VALUE"""),57602.0)</f>
        <v>57602</v>
      </c>
      <c r="L243" s="422" t="str">
        <f>IFERROR(__xludf.DUMMYFUNCTION("""COMPUTED_VALUE"""),"Edison, NJ, 08837")</f>
        <v>Edison, NJ, 08837</v>
      </c>
      <c r="M243" s="423" t="str">
        <f>IFERROR(__xludf.DUMMYFUNCTION("""COMPUTED_VALUE"""),"Weston, FL, 33331")</f>
        <v>Weston, FL, 33331</v>
      </c>
      <c r="N243" s="546">
        <f>IFERROR(__xludf.DUMMYFUNCTION("""COMPUTED_VALUE"""),1354.0)</f>
        <v>1354</v>
      </c>
      <c r="O243" s="408">
        <v>0.65</v>
      </c>
      <c r="P243" s="414">
        <f t="shared" si="11"/>
        <v>880.1</v>
      </c>
      <c r="Q243" s="378"/>
      <c r="R243" s="378"/>
      <c r="S243" s="378"/>
      <c r="T243" s="378"/>
      <c r="U243" s="378"/>
      <c r="V243" s="378"/>
      <c r="W243" s="378"/>
      <c r="X243" s="378"/>
      <c r="Y243" s="378"/>
      <c r="Z243" s="378"/>
      <c r="AA243" s="378"/>
      <c r="AB243" s="378"/>
      <c r="AC243" s="378"/>
      <c r="AD243" s="378"/>
      <c r="AE243" s="378"/>
      <c r="AF243" s="378"/>
      <c r="AG243" s="378"/>
    </row>
    <row r="244">
      <c r="A244" s="378"/>
      <c r="B244" s="420"/>
      <c r="C244" s="421"/>
      <c r="D244" s="422"/>
      <c r="E244" s="423"/>
      <c r="F244" s="421"/>
      <c r="G244" s="413"/>
      <c r="H244" s="414"/>
      <c r="I244" s="376"/>
      <c r="J244" s="424"/>
      <c r="K244" s="421"/>
      <c r="L244" s="422"/>
      <c r="M244" s="423"/>
      <c r="N244" s="425"/>
      <c r="O244" s="408">
        <v>0.65</v>
      </c>
      <c r="P244" s="414">
        <f t="shared" si="11"/>
        <v>0</v>
      </c>
      <c r="Q244" s="378"/>
      <c r="R244" s="378"/>
      <c r="S244" s="378"/>
      <c r="T244" s="378"/>
      <c r="U244" s="378"/>
      <c r="V244" s="378"/>
      <c r="W244" s="378"/>
      <c r="X244" s="378"/>
      <c r="Y244" s="378"/>
      <c r="Z244" s="378"/>
      <c r="AA244" s="378"/>
      <c r="AB244" s="378"/>
      <c r="AC244" s="378"/>
      <c r="AD244" s="378"/>
      <c r="AE244" s="378"/>
      <c r="AF244" s="378"/>
      <c r="AG244" s="378"/>
    </row>
    <row r="245">
      <c r="A245" s="378"/>
      <c r="B245" s="420"/>
      <c r="C245" s="421"/>
      <c r="D245" s="422"/>
      <c r="E245" s="423"/>
      <c r="F245" s="421"/>
      <c r="G245" s="413"/>
      <c r="H245" s="414"/>
      <c r="I245" s="376"/>
      <c r="J245" s="424"/>
      <c r="K245" s="421"/>
      <c r="L245" s="422"/>
      <c r="M245" s="423"/>
      <c r="N245" s="425"/>
      <c r="O245" s="408"/>
      <c r="P245" s="414"/>
      <c r="Q245" s="378"/>
      <c r="R245" s="378"/>
      <c r="S245" s="378"/>
      <c r="T245" s="378"/>
      <c r="U245" s="378"/>
      <c r="V245" s="378"/>
      <c r="W245" s="378"/>
      <c r="X245" s="378"/>
      <c r="Y245" s="378"/>
      <c r="Z245" s="378"/>
      <c r="AA245" s="378"/>
      <c r="AB245" s="378"/>
      <c r="AC245" s="378"/>
      <c r="AD245" s="378"/>
      <c r="AE245" s="378"/>
      <c r="AF245" s="378"/>
      <c r="AG245" s="378"/>
    </row>
    <row r="246">
      <c r="A246" s="378"/>
      <c r="B246" s="420"/>
      <c r="C246" s="421"/>
      <c r="D246" s="422"/>
      <c r="E246" s="423"/>
      <c r="F246" s="421"/>
      <c r="G246" s="413"/>
      <c r="H246" s="414"/>
      <c r="I246" s="376"/>
      <c r="J246" s="424"/>
      <c r="K246" s="421"/>
      <c r="L246" s="422"/>
      <c r="M246" s="423"/>
      <c r="N246" s="425"/>
      <c r="O246" s="408"/>
      <c r="P246" s="414"/>
      <c r="Q246" s="378"/>
      <c r="R246" s="378"/>
      <c r="S246" s="378"/>
      <c r="T246" s="378"/>
      <c r="U246" s="378"/>
      <c r="V246" s="378"/>
      <c r="W246" s="378"/>
      <c r="X246" s="378"/>
      <c r="Y246" s="378"/>
      <c r="Z246" s="378"/>
      <c r="AA246" s="378"/>
      <c r="AB246" s="378"/>
      <c r="AC246" s="378"/>
      <c r="AD246" s="378"/>
      <c r="AE246" s="378"/>
      <c r="AF246" s="378"/>
      <c r="AG246" s="378"/>
    </row>
    <row r="247">
      <c r="A247" s="378"/>
      <c r="B247" s="403" t="s">
        <v>711</v>
      </c>
      <c r="C247" s="224"/>
      <c r="D247" s="224"/>
      <c r="E247" s="222"/>
      <c r="F247" s="414">
        <f>SUM(F241:F246)</f>
        <v>6893</v>
      </c>
      <c r="G247" s="421"/>
      <c r="H247" s="414">
        <f>SUM(H241:H246)</f>
        <v>6065.84</v>
      </c>
      <c r="I247" s="376"/>
      <c r="J247" s="407" t="s">
        <v>711</v>
      </c>
      <c r="K247" s="224"/>
      <c r="L247" s="224"/>
      <c r="M247" s="222"/>
      <c r="N247" s="426">
        <f>SUM(N241:N246)</f>
        <v>3526</v>
      </c>
      <c r="O247" s="427"/>
      <c r="P247" s="414">
        <f>SUM(P241:P246)</f>
        <v>2291.9</v>
      </c>
      <c r="Q247" s="378"/>
      <c r="R247" s="378"/>
      <c r="S247" s="378"/>
      <c r="T247" s="378"/>
      <c r="U247" s="378"/>
      <c r="V247" s="378"/>
      <c r="W247" s="378"/>
      <c r="X247" s="378"/>
      <c r="Y247" s="378"/>
      <c r="Z247" s="378"/>
      <c r="AA247" s="378"/>
      <c r="AB247" s="378"/>
      <c r="AC247" s="378"/>
      <c r="AD247" s="378"/>
      <c r="AE247" s="378"/>
      <c r="AF247" s="378"/>
      <c r="AG247" s="378"/>
    </row>
    <row r="248">
      <c r="A248" s="378"/>
      <c r="B248" s="428"/>
      <c r="C248" s="419"/>
      <c r="D248" s="419"/>
      <c r="E248" s="419"/>
      <c r="F248" s="419"/>
      <c r="G248" s="419"/>
      <c r="H248" s="429"/>
      <c r="I248" s="376"/>
      <c r="J248" s="430"/>
      <c r="K248" s="419"/>
      <c r="L248" s="419"/>
      <c r="M248" s="419"/>
      <c r="N248" s="431"/>
      <c r="O248" s="432"/>
      <c r="P248" s="429"/>
      <c r="Q248" s="378"/>
      <c r="R248" s="378"/>
      <c r="S248" s="378"/>
      <c r="T248" s="378"/>
      <c r="U248" s="378"/>
      <c r="V248" s="378"/>
      <c r="W248" s="378"/>
      <c r="X248" s="378"/>
      <c r="Y248" s="378"/>
      <c r="Z248" s="378"/>
      <c r="AA248" s="378"/>
      <c r="AB248" s="378"/>
      <c r="AC248" s="378"/>
      <c r="AD248" s="378"/>
      <c r="AE248" s="378"/>
      <c r="AF248" s="378"/>
      <c r="AG248" s="378"/>
    </row>
    <row r="249">
      <c r="A249" s="378"/>
      <c r="B249" s="433" t="s">
        <v>712</v>
      </c>
      <c r="C249" s="434"/>
      <c r="D249" s="435"/>
      <c r="E249" s="419"/>
      <c r="F249" s="419"/>
      <c r="G249" s="419"/>
      <c r="H249" s="429"/>
      <c r="I249" s="376"/>
      <c r="J249" s="437" t="s">
        <v>712</v>
      </c>
      <c r="K249" s="434"/>
      <c r="L249" s="435"/>
      <c r="M249" s="419"/>
      <c r="N249" s="431"/>
      <c r="O249" s="432"/>
      <c r="P249" s="429"/>
      <c r="Q249" s="378"/>
      <c r="R249" s="378"/>
      <c r="S249" s="378"/>
      <c r="T249" s="378"/>
      <c r="U249" s="378"/>
      <c r="V249" s="378"/>
      <c r="W249" s="378"/>
      <c r="X249" s="378"/>
      <c r="Y249" s="378"/>
      <c r="Z249" s="378"/>
      <c r="AA249" s="378"/>
      <c r="AB249" s="378"/>
      <c r="AC249" s="378"/>
      <c r="AD249" s="378"/>
      <c r="AE249" s="378"/>
      <c r="AF249" s="378"/>
      <c r="AG249" s="378"/>
    </row>
    <row r="250">
      <c r="A250" s="378"/>
      <c r="B250" s="438" t="s">
        <v>657</v>
      </c>
      <c r="C250" s="439" t="str">
        <f>C250</f>
        <v>#REF!</v>
      </c>
      <c r="D250" s="440">
        <v>555.55</v>
      </c>
      <c r="E250" s="556" t="s">
        <v>864</v>
      </c>
      <c r="F250" s="419"/>
      <c r="G250" s="419"/>
      <c r="H250" s="429"/>
      <c r="I250" s="376"/>
      <c r="J250" s="443" t="s">
        <v>713</v>
      </c>
      <c r="K250" s="439"/>
      <c r="L250" s="440"/>
      <c r="M250" s="419"/>
      <c r="N250" s="431"/>
      <c r="O250" s="432"/>
      <c r="P250" s="429"/>
      <c r="Q250" s="378"/>
      <c r="R250" s="378"/>
      <c r="S250" s="378"/>
      <c r="T250" s="378"/>
      <c r="U250" s="378"/>
      <c r="V250" s="378"/>
      <c r="W250" s="378"/>
      <c r="X250" s="378"/>
      <c r="Y250" s="378"/>
      <c r="Z250" s="378"/>
      <c r="AA250" s="378"/>
      <c r="AB250" s="378"/>
      <c r="AC250" s="378"/>
      <c r="AD250" s="378"/>
      <c r="AE250" s="378"/>
      <c r="AF250" s="378"/>
      <c r="AG250" s="378"/>
    </row>
    <row r="251">
      <c r="A251" s="378"/>
      <c r="B251" s="444"/>
      <c r="C251" s="434"/>
      <c r="D251" s="435"/>
      <c r="E251" s="419"/>
      <c r="F251" s="463"/>
      <c r="G251" s="463"/>
      <c r="H251" s="448"/>
      <c r="I251" s="376"/>
      <c r="J251" s="445"/>
      <c r="K251" s="434"/>
      <c r="L251" s="435"/>
      <c r="M251" s="419"/>
      <c r="N251" s="446"/>
      <c r="O251" s="447"/>
      <c r="P251" s="448"/>
      <c r="Q251" s="378"/>
      <c r="R251" s="378"/>
      <c r="S251" s="378"/>
      <c r="T251" s="378"/>
      <c r="U251" s="378"/>
      <c r="V251" s="378"/>
      <c r="W251" s="378"/>
      <c r="X251" s="378"/>
      <c r="Y251" s="378"/>
      <c r="Z251" s="378"/>
      <c r="AA251" s="378"/>
      <c r="AB251" s="378"/>
      <c r="AC251" s="378"/>
      <c r="AD251" s="378"/>
      <c r="AE251" s="378"/>
      <c r="AF251" s="378"/>
      <c r="AG251" s="378"/>
    </row>
    <row r="252">
      <c r="A252" s="378"/>
      <c r="B252" s="438" t="s">
        <v>714</v>
      </c>
      <c r="C252" s="439"/>
      <c r="D252" s="440"/>
      <c r="E252" s="419"/>
      <c r="F252" s="463"/>
      <c r="G252" s="463"/>
      <c r="H252" s="448"/>
      <c r="I252" s="376"/>
      <c r="J252" s="443" t="s">
        <v>714</v>
      </c>
      <c r="K252" s="439">
        <f>SUM(K250:K251)</f>
        <v>0</v>
      </c>
      <c r="L252" s="440"/>
      <c r="M252" s="419"/>
      <c r="N252" s="446"/>
      <c r="O252" s="447"/>
      <c r="P252" s="448"/>
      <c r="Q252" s="378"/>
      <c r="R252" s="378"/>
      <c r="S252" s="378"/>
      <c r="T252" s="378"/>
      <c r="U252" s="378"/>
      <c r="V252" s="378"/>
      <c r="W252" s="378"/>
      <c r="X252" s="378"/>
      <c r="Y252" s="378"/>
      <c r="Z252" s="378"/>
      <c r="AA252" s="378"/>
      <c r="AB252" s="378"/>
      <c r="AC252" s="378"/>
      <c r="AD252" s="378"/>
      <c r="AE252" s="378"/>
      <c r="AF252" s="378"/>
      <c r="AG252" s="378"/>
    </row>
    <row r="253">
      <c r="A253" s="378"/>
      <c r="B253" s="450"/>
      <c r="C253" s="451"/>
      <c r="D253" s="419"/>
      <c r="E253" s="419"/>
      <c r="F253" s="463"/>
      <c r="G253" s="463"/>
      <c r="H253" s="448"/>
      <c r="I253" s="376"/>
      <c r="J253" s="535"/>
      <c r="K253" s="451"/>
      <c r="L253" s="419"/>
      <c r="M253" s="419"/>
      <c r="N253" s="446"/>
      <c r="O253" s="447"/>
      <c r="P253" s="448"/>
      <c r="Q253" s="378"/>
      <c r="R253" s="378"/>
      <c r="S253" s="378"/>
      <c r="T253" s="378"/>
      <c r="U253" s="378"/>
      <c r="V253" s="378"/>
      <c r="W253" s="378"/>
      <c r="X253" s="378"/>
      <c r="Y253" s="378"/>
      <c r="Z253" s="378"/>
      <c r="AA253" s="378"/>
      <c r="AB253" s="378"/>
      <c r="AC253" s="378"/>
      <c r="AD253" s="378"/>
      <c r="AE253" s="378"/>
      <c r="AF253" s="378"/>
      <c r="AG253" s="378"/>
    </row>
    <row r="254">
      <c r="A254" s="378"/>
      <c r="B254" s="454" t="s">
        <v>715</v>
      </c>
      <c r="C254" s="455"/>
      <c r="D254" s="456" t="s">
        <v>865</v>
      </c>
      <c r="E254" s="419"/>
      <c r="F254" s="463"/>
      <c r="G254" s="463"/>
      <c r="H254" s="448"/>
      <c r="I254" s="376"/>
      <c r="J254" s="458" t="s">
        <v>715</v>
      </c>
      <c r="K254" s="455"/>
      <c r="L254" s="435"/>
      <c r="M254" s="419"/>
      <c r="N254" s="446"/>
      <c r="O254" s="447"/>
      <c r="P254" s="448"/>
      <c r="Q254" s="378"/>
      <c r="R254" s="378"/>
      <c r="S254" s="378"/>
      <c r="T254" s="378"/>
      <c r="U254" s="378"/>
      <c r="V254" s="378"/>
      <c r="W254" s="378"/>
      <c r="X254" s="378"/>
      <c r="Y254" s="378"/>
      <c r="Z254" s="378"/>
      <c r="AA254" s="378"/>
      <c r="AB254" s="378"/>
      <c r="AC254" s="378"/>
      <c r="AD254" s="378"/>
      <c r="AE254" s="378"/>
      <c r="AF254" s="378"/>
      <c r="AG254" s="378"/>
    </row>
    <row r="255">
      <c r="A255" s="378"/>
      <c r="B255" s="459" t="s">
        <v>716</v>
      </c>
      <c r="C255" s="460"/>
      <c r="D255" s="440"/>
      <c r="E255" s="419"/>
      <c r="F255" s="463"/>
      <c r="G255" s="463"/>
      <c r="H255" s="448"/>
      <c r="I255" s="376"/>
      <c r="J255" s="462" t="s">
        <v>716</v>
      </c>
      <c r="K255" s="460"/>
      <c r="L255" s="440"/>
      <c r="M255" s="419"/>
      <c r="N255" s="446"/>
      <c r="O255" s="447"/>
      <c r="P255" s="448"/>
      <c r="Q255" s="378"/>
      <c r="R255" s="378"/>
      <c r="S255" s="378"/>
      <c r="T255" s="378"/>
      <c r="U255" s="378"/>
      <c r="V255" s="378"/>
      <c r="W255" s="378"/>
      <c r="X255" s="378"/>
      <c r="Y255" s="378"/>
      <c r="Z255" s="378"/>
      <c r="AA255" s="378"/>
      <c r="AB255" s="378"/>
      <c r="AC255" s="378"/>
      <c r="AD255" s="378"/>
      <c r="AE255" s="378"/>
      <c r="AF255" s="378"/>
      <c r="AG255" s="378"/>
    </row>
    <row r="256">
      <c r="A256" s="378"/>
      <c r="B256" s="459" t="s">
        <v>717</v>
      </c>
      <c r="C256" s="460"/>
      <c r="D256" s="440"/>
      <c r="E256" s="419"/>
      <c r="F256" s="463"/>
      <c r="G256" s="463"/>
      <c r="H256" s="448"/>
      <c r="I256" s="376"/>
      <c r="J256" s="462" t="s">
        <v>717</v>
      </c>
      <c r="K256" s="460"/>
      <c r="L256" s="440"/>
      <c r="M256" s="419"/>
      <c r="N256" s="446"/>
      <c r="O256" s="447"/>
      <c r="P256" s="448"/>
      <c r="Q256" s="378"/>
      <c r="R256" s="378"/>
      <c r="S256" s="378"/>
      <c r="T256" s="378"/>
      <c r="U256" s="378"/>
      <c r="V256" s="378"/>
      <c r="W256" s="378"/>
      <c r="X256" s="378"/>
      <c r="Y256" s="378"/>
      <c r="Z256" s="378"/>
      <c r="AA256" s="378"/>
      <c r="AB256" s="378"/>
      <c r="AC256" s="378"/>
      <c r="AD256" s="378"/>
      <c r="AE256" s="378"/>
      <c r="AF256" s="378"/>
      <c r="AG256" s="378"/>
    </row>
    <row r="257">
      <c r="A257" s="378"/>
      <c r="B257" s="459" t="s">
        <v>718</v>
      </c>
      <c r="C257" s="460"/>
      <c r="D257" s="440"/>
      <c r="E257" s="419"/>
      <c r="F257" s="463"/>
      <c r="G257" s="463"/>
      <c r="H257" s="448"/>
      <c r="I257" s="376"/>
      <c r="J257" s="462" t="s">
        <v>718</v>
      </c>
      <c r="K257" s="460"/>
      <c r="L257" s="440"/>
      <c r="M257" s="419"/>
      <c r="N257" s="446"/>
      <c r="O257" s="447"/>
      <c r="P257" s="448"/>
      <c r="Q257" s="378"/>
      <c r="R257" s="378"/>
      <c r="S257" s="378"/>
      <c r="T257" s="378"/>
      <c r="U257" s="378"/>
      <c r="V257" s="378"/>
      <c r="W257" s="378"/>
      <c r="X257" s="378"/>
      <c r="Y257" s="378"/>
      <c r="Z257" s="378"/>
      <c r="AA257" s="378"/>
      <c r="AB257" s="378"/>
      <c r="AC257" s="378"/>
      <c r="AD257" s="378"/>
      <c r="AE257" s="378"/>
      <c r="AF257" s="378"/>
      <c r="AG257" s="378"/>
    </row>
    <row r="258">
      <c r="A258" s="378"/>
      <c r="B258" s="459" t="s">
        <v>656</v>
      </c>
      <c r="C258" s="460" t="str">
        <f>IFERROR(__xludf.DUMMYFUNCTION("FILTER(D1045:D1073,C1045:C1073=F239)"),"#N/A")</f>
        <v>#N/A</v>
      </c>
      <c r="D258" s="440"/>
      <c r="E258" s="419"/>
      <c r="F258" s="463"/>
      <c r="G258" s="463"/>
      <c r="H258" s="448"/>
      <c r="I258" s="376"/>
      <c r="J258" s="462" t="s">
        <v>656</v>
      </c>
      <c r="K258" s="460"/>
      <c r="L258" s="440"/>
      <c r="M258" s="419"/>
      <c r="N258" s="446"/>
      <c r="O258" s="447"/>
      <c r="P258" s="448"/>
      <c r="Q258" s="378"/>
      <c r="R258" s="378"/>
      <c r="S258" s="378"/>
      <c r="T258" s="378"/>
      <c r="U258" s="378"/>
      <c r="V258" s="378"/>
      <c r="W258" s="378"/>
      <c r="X258" s="378"/>
      <c r="Y258" s="378"/>
      <c r="Z258" s="378"/>
      <c r="AA258" s="378"/>
      <c r="AB258" s="378"/>
      <c r="AC258" s="378"/>
      <c r="AD258" s="378"/>
      <c r="AE258" s="378"/>
      <c r="AF258" s="378"/>
      <c r="AG258" s="378"/>
    </row>
    <row r="259">
      <c r="A259" s="378"/>
      <c r="B259" s="464"/>
      <c r="C259" s="455"/>
      <c r="D259" s="435"/>
      <c r="E259" s="419"/>
      <c r="F259" s="468" t="s">
        <v>842</v>
      </c>
      <c r="G259" s="466" t="str">
        <f>H247+C252-C264</f>
        <v>#N/A</v>
      </c>
      <c r="H259" s="211"/>
      <c r="I259" s="376"/>
      <c r="J259" s="467"/>
      <c r="K259" s="455"/>
      <c r="L259" s="435"/>
      <c r="M259" s="419"/>
      <c r="N259" s="468" t="s">
        <v>842</v>
      </c>
      <c r="O259" s="539">
        <f>P247+K252-K264</f>
        <v>2291.9</v>
      </c>
      <c r="P259" s="211"/>
      <c r="Q259" s="378"/>
      <c r="R259" s="378"/>
      <c r="S259" s="378"/>
      <c r="T259" s="378"/>
      <c r="U259" s="378"/>
      <c r="V259" s="378"/>
      <c r="W259" s="378"/>
      <c r="X259" s="378"/>
      <c r="Y259" s="378"/>
      <c r="Z259" s="378"/>
      <c r="AA259" s="378"/>
      <c r="AB259" s="378"/>
      <c r="AC259" s="378"/>
      <c r="AD259" s="378"/>
      <c r="AE259" s="378"/>
      <c r="AF259" s="378"/>
      <c r="AG259" s="378"/>
    </row>
    <row r="260">
      <c r="A260" s="378"/>
      <c r="B260" s="464"/>
      <c r="C260" s="455"/>
      <c r="D260" s="435"/>
      <c r="E260" s="419"/>
      <c r="F260" s="469" t="s">
        <v>843</v>
      </c>
      <c r="G260" s="278"/>
      <c r="H260" s="56"/>
      <c r="I260" s="376"/>
      <c r="J260" s="467"/>
      <c r="K260" s="455"/>
      <c r="L260" s="435"/>
      <c r="M260" s="419"/>
      <c r="N260" s="469" t="s">
        <v>854</v>
      </c>
      <c r="O260" s="278"/>
      <c r="P260" s="56"/>
      <c r="Q260" s="378"/>
      <c r="R260" s="378"/>
      <c r="S260" s="378"/>
      <c r="T260" s="378"/>
      <c r="U260" s="378"/>
      <c r="V260" s="378"/>
      <c r="W260" s="378"/>
      <c r="X260" s="378"/>
      <c r="Y260" s="378"/>
      <c r="Z260" s="378"/>
      <c r="AA260" s="378"/>
      <c r="AB260" s="378"/>
      <c r="AC260" s="378"/>
      <c r="AD260" s="378"/>
      <c r="AE260" s="378"/>
      <c r="AF260" s="378"/>
      <c r="AG260" s="378"/>
    </row>
    <row r="261">
      <c r="A261" s="378"/>
      <c r="B261" s="464"/>
      <c r="C261" s="455"/>
      <c r="D261" s="435"/>
      <c r="E261" s="419"/>
      <c r="F261" s="470"/>
      <c r="G261" s="215"/>
      <c r="H261" s="64"/>
      <c r="I261" s="376"/>
      <c r="J261" s="467"/>
      <c r="K261" s="455"/>
      <c r="L261" s="435"/>
      <c r="M261" s="419"/>
      <c r="N261" s="470"/>
      <c r="O261" s="215"/>
      <c r="P261" s="64"/>
      <c r="Q261" s="378"/>
      <c r="R261" s="378"/>
      <c r="S261" s="378"/>
      <c r="T261" s="378"/>
      <c r="U261" s="378"/>
      <c r="V261" s="378"/>
      <c r="W261" s="378"/>
      <c r="X261" s="378"/>
      <c r="Y261" s="378"/>
      <c r="Z261" s="378"/>
      <c r="AA261" s="378"/>
      <c r="AB261" s="378"/>
      <c r="AC261" s="378"/>
      <c r="AD261" s="378"/>
      <c r="AE261" s="378"/>
      <c r="AF261" s="378"/>
      <c r="AG261" s="378"/>
    </row>
    <row r="262">
      <c r="A262" s="378"/>
      <c r="B262" s="464"/>
      <c r="C262" s="455"/>
      <c r="D262" s="435"/>
      <c r="E262" s="419"/>
      <c r="F262" s="419"/>
      <c r="G262" s="419"/>
      <c r="H262" s="429"/>
      <c r="I262" s="376"/>
      <c r="J262" s="467"/>
      <c r="K262" s="455"/>
      <c r="L262" s="435"/>
      <c r="M262" s="419"/>
      <c r="N262" s="431"/>
      <c r="O262" s="432"/>
      <c r="P262" s="429"/>
      <c r="Q262" s="378"/>
      <c r="R262" s="378"/>
      <c r="S262" s="378"/>
      <c r="T262" s="378"/>
      <c r="U262" s="378"/>
      <c r="V262" s="378"/>
      <c r="W262" s="378"/>
      <c r="X262" s="378"/>
      <c r="Y262" s="378"/>
      <c r="Z262" s="378"/>
      <c r="AA262" s="378"/>
      <c r="AB262" s="378"/>
      <c r="AC262" s="378"/>
      <c r="AD262" s="378"/>
      <c r="AE262" s="378"/>
      <c r="AF262" s="378"/>
      <c r="AG262" s="378"/>
    </row>
    <row r="263">
      <c r="A263" s="378"/>
      <c r="B263" s="464"/>
      <c r="C263" s="455"/>
      <c r="D263" s="435"/>
      <c r="E263" s="419"/>
      <c r="F263" s="419"/>
      <c r="G263" s="419"/>
      <c r="H263" s="429"/>
      <c r="I263" s="376"/>
      <c r="J263" s="467"/>
      <c r="K263" s="455"/>
      <c r="L263" s="435"/>
      <c r="M263" s="419"/>
      <c r="N263" s="431"/>
      <c r="O263" s="432"/>
      <c r="P263" s="429"/>
      <c r="Q263" s="378"/>
      <c r="R263" s="378"/>
      <c r="S263" s="378"/>
      <c r="T263" s="378"/>
      <c r="U263" s="378"/>
      <c r="V263" s="378"/>
      <c r="W263" s="378"/>
      <c r="X263" s="378"/>
      <c r="Y263" s="378"/>
      <c r="Z263" s="378"/>
      <c r="AA263" s="378"/>
      <c r="AB263" s="378"/>
      <c r="AC263" s="378"/>
      <c r="AD263" s="378"/>
      <c r="AE263" s="378"/>
      <c r="AF263" s="378"/>
      <c r="AG263" s="378"/>
    </row>
    <row r="264">
      <c r="A264" s="378"/>
      <c r="B264" s="454" t="s">
        <v>721</v>
      </c>
      <c r="C264" s="460" t="str">
        <f>SUM(C255:C263)</f>
        <v>#N/A</v>
      </c>
      <c r="D264" s="440"/>
      <c r="E264" s="419"/>
      <c r="F264" s="419"/>
      <c r="G264" s="419"/>
      <c r="H264" s="429"/>
      <c r="I264" s="376"/>
      <c r="J264" s="458" t="s">
        <v>721</v>
      </c>
      <c r="K264" s="460">
        <f>SUM(K255:K263)</f>
        <v>0</v>
      </c>
      <c r="L264" s="440"/>
      <c r="M264" s="419"/>
      <c r="N264" s="431"/>
      <c r="O264" s="432"/>
      <c r="P264" s="429"/>
      <c r="Q264" s="378"/>
      <c r="R264" s="378"/>
      <c r="S264" s="378"/>
      <c r="T264" s="378"/>
      <c r="U264" s="378"/>
      <c r="V264" s="378"/>
      <c r="W264" s="378"/>
      <c r="X264" s="378"/>
      <c r="Y264" s="378"/>
      <c r="Z264" s="378"/>
      <c r="AA264" s="378"/>
      <c r="AB264" s="378"/>
      <c r="AC264" s="378"/>
      <c r="AD264" s="378"/>
      <c r="AE264" s="378"/>
      <c r="AF264" s="378"/>
      <c r="AG264" s="378"/>
    </row>
    <row r="265">
      <c r="A265" s="378"/>
      <c r="B265" s="471"/>
      <c r="C265" s="472"/>
      <c r="D265" s="472"/>
      <c r="E265" s="472"/>
      <c r="F265" s="472"/>
      <c r="G265" s="472"/>
      <c r="H265" s="473"/>
      <c r="I265" s="376"/>
      <c r="J265" s="474"/>
      <c r="K265" s="472"/>
      <c r="L265" s="472"/>
      <c r="M265" s="472"/>
      <c r="N265" s="475"/>
      <c r="O265" s="476"/>
      <c r="P265" s="473"/>
      <c r="Q265" s="378"/>
      <c r="R265" s="378"/>
      <c r="S265" s="378"/>
      <c r="T265" s="378"/>
      <c r="U265" s="378"/>
      <c r="V265" s="378"/>
      <c r="W265" s="378"/>
      <c r="X265" s="378"/>
      <c r="Y265" s="378"/>
      <c r="Z265" s="378"/>
      <c r="AA265" s="378"/>
      <c r="AB265" s="378"/>
      <c r="AC265" s="378"/>
      <c r="AD265" s="378"/>
      <c r="AE265" s="378"/>
      <c r="AF265" s="378"/>
      <c r="AG265" s="378"/>
    </row>
    <row r="266">
      <c r="A266" s="378"/>
      <c r="B266" s="550"/>
      <c r="C266" s="463"/>
      <c r="D266" s="463"/>
      <c r="E266" s="463"/>
      <c r="F266" s="463"/>
      <c r="G266" s="463"/>
      <c r="H266" s="463"/>
      <c r="I266" s="376"/>
      <c r="J266" s="377"/>
      <c r="K266" s="378"/>
      <c r="L266" s="378"/>
      <c r="M266" s="378"/>
      <c r="N266" s="379"/>
      <c r="O266" s="380"/>
      <c r="P266" s="378"/>
      <c r="Q266" s="378"/>
      <c r="R266" s="378"/>
      <c r="S266" s="378"/>
      <c r="T266" s="378"/>
      <c r="U266" s="378"/>
      <c r="V266" s="378"/>
      <c r="W266" s="378"/>
      <c r="X266" s="378"/>
      <c r="Y266" s="378"/>
      <c r="Z266" s="378"/>
      <c r="AA266" s="378"/>
      <c r="AB266" s="378"/>
      <c r="AC266" s="378"/>
      <c r="AD266" s="378"/>
      <c r="AE266" s="378"/>
      <c r="AF266" s="378"/>
      <c r="AG266" s="378"/>
    </row>
    <row r="267">
      <c r="A267" s="378"/>
      <c r="B267" s="550"/>
      <c r="C267" s="463"/>
      <c r="D267" s="463"/>
      <c r="E267" s="463"/>
      <c r="F267" s="463"/>
      <c r="G267" s="463"/>
      <c r="H267" s="463"/>
      <c r="I267" s="376"/>
      <c r="J267" s="377"/>
      <c r="K267" s="378"/>
      <c r="L267" s="378"/>
      <c r="M267" s="378"/>
      <c r="N267" s="379"/>
      <c r="O267" s="380"/>
      <c r="P267" s="378"/>
      <c r="Q267" s="378"/>
      <c r="R267" s="378"/>
      <c r="S267" s="378"/>
      <c r="T267" s="378"/>
      <c r="U267" s="378"/>
      <c r="V267" s="378"/>
      <c r="W267" s="378"/>
      <c r="X267" s="378"/>
      <c r="Y267" s="378"/>
      <c r="Z267" s="378"/>
      <c r="AA267" s="378"/>
      <c r="AB267" s="378"/>
      <c r="AC267" s="378"/>
      <c r="AD267" s="378"/>
      <c r="AE267" s="378"/>
      <c r="AF267" s="378"/>
      <c r="AG267" s="378"/>
    </row>
    <row r="268">
      <c r="A268" s="378"/>
      <c r="B268" s="382"/>
      <c r="C268" s="388"/>
      <c r="D268" s="384"/>
      <c r="E268" s="385" t="s">
        <v>700</v>
      </c>
      <c r="F268" s="385" t="str">
        <f>Board!A2</f>
        <v>11.17.25-11.23.25</v>
      </c>
      <c r="G268" s="213"/>
      <c r="H268" s="211"/>
      <c r="I268" s="386">
        <v>7.0</v>
      </c>
      <c r="J268" s="387"/>
      <c r="K268" s="388"/>
      <c r="L268" s="384"/>
      <c r="M268" s="385" t="s">
        <v>700</v>
      </c>
      <c r="N268" s="385" t="str">
        <f>Board!A2</f>
        <v>11.17.25-11.23.25</v>
      </c>
      <c r="O268" s="213"/>
      <c r="P268" s="211"/>
      <c r="Q268" s="378"/>
      <c r="R268" s="389" t="s">
        <v>831</v>
      </c>
      <c r="S268" s="389" t="s">
        <v>652</v>
      </c>
      <c r="T268" s="390" t="s">
        <v>832</v>
      </c>
      <c r="U268" s="391" t="s">
        <v>833</v>
      </c>
      <c r="V268" s="389" t="s">
        <v>655</v>
      </c>
      <c r="W268" s="389" t="s">
        <v>8</v>
      </c>
      <c r="X268" s="389" t="s">
        <v>656</v>
      </c>
      <c r="Y268" s="390" t="s">
        <v>834</v>
      </c>
      <c r="Z268" s="392" t="s">
        <v>835</v>
      </c>
      <c r="AA268" s="390" t="s">
        <v>836</v>
      </c>
      <c r="AB268" s="390" t="s">
        <v>837</v>
      </c>
      <c r="AC268" s="393" t="s">
        <v>716</v>
      </c>
      <c r="AD268" s="393" t="s">
        <v>717</v>
      </c>
      <c r="AE268" s="393" t="s">
        <v>718</v>
      </c>
      <c r="AF268" s="394" t="s">
        <v>838</v>
      </c>
      <c r="AG268" s="394"/>
    </row>
    <row r="269">
      <c r="A269" s="378"/>
      <c r="B269" s="395"/>
      <c r="C269" s="372"/>
      <c r="D269" s="396"/>
      <c r="E269" s="385" t="s">
        <v>702</v>
      </c>
      <c r="F269" s="385" t="s">
        <v>676</v>
      </c>
      <c r="G269" s="213"/>
      <c r="H269" s="211"/>
      <c r="I269" s="376"/>
      <c r="J269" s="397"/>
      <c r="K269" s="372"/>
      <c r="L269" s="396"/>
      <c r="M269" s="385" t="s">
        <v>351</v>
      </c>
      <c r="N269" s="385" t="str">
        <f t="array" ref="N269">XLOOKUP(N270,Board!K:K,Board!J:J)</f>
        <v>WILLIAMSON MONCHERY</v>
      </c>
      <c r="O269" s="213"/>
      <c r="P269" s="211"/>
      <c r="Q269" s="378"/>
      <c r="R269" s="398">
        <f>I268</f>
        <v>7</v>
      </c>
      <c r="S269" s="398">
        <f>F270</f>
        <v>2316</v>
      </c>
      <c r="T269" s="399">
        <f>G290</f>
        <v>2492.93</v>
      </c>
      <c r="U269" s="378" t="str">
        <f>N269</f>
        <v>WILLIAMSON MONCHERY</v>
      </c>
      <c r="V269" s="380">
        <f>O290</f>
        <v>2366.65</v>
      </c>
      <c r="W269" s="399">
        <f>P278</f>
        <v>2366.65</v>
      </c>
      <c r="X269" s="399">
        <f>C289</f>
        <v>653.68</v>
      </c>
      <c r="Y269" s="400">
        <f>N278</f>
        <v>3641</v>
      </c>
      <c r="Z269" s="399">
        <f>V270-V269</f>
        <v>126.28</v>
      </c>
      <c r="AA269" s="378"/>
      <c r="AB269" s="378"/>
      <c r="AC269" s="401">
        <f>C286</f>
        <v>150</v>
      </c>
      <c r="AD269" s="401">
        <f>C287</f>
        <v>400</v>
      </c>
      <c r="AE269" s="401">
        <f>C288</f>
        <v>200</v>
      </c>
      <c r="AF269" s="401">
        <f>C290+C291+C292+C293+C294</f>
        <v>2075.95</v>
      </c>
      <c r="AG269" s="398"/>
    </row>
    <row r="270">
      <c r="A270" s="378"/>
      <c r="B270" s="395"/>
      <c r="C270" s="372"/>
      <c r="D270" s="402"/>
      <c r="E270" s="385" t="s">
        <v>703</v>
      </c>
      <c r="F270" s="385">
        <v>2316.0</v>
      </c>
      <c r="G270" s="213"/>
      <c r="H270" s="211"/>
      <c r="I270" s="376"/>
      <c r="J270" s="397"/>
      <c r="K270" s="372"/>
      <c r="L270" s="402"/>
      <c r="M270" s="385" t="s">
        <v>703</v>
      </c>
      <c r="N270" s="385">
        <f>F270</f>
        <v>2316</v>
      </c>
      <c r="O270" s="213"/>
      <c r="P270" s="211"/>
      <c r="Q270" s="378"/>
      <c r="R270" s="378"/>
      <c r="S270" s="378"/>
      <c r="T270" s="378"/>
      <c r="U270" s="378" t="str">
        <f>F269</f>
        <v>Skyhill LLC</v>
      </c>
      <c r="V270" s="399">
        <f>G290</f>
        <v>2492.93</v>
      </c>
      <c r="W270" s="399">
        <f>H278</f>
        <v>5972.56</v>
      </c>
      <c r="X270" s="378"/>
      <c r="Y270" s="378"/>
      <c r="Z270" s="378"/>
      <c r="AA270" s="378"/>
      <c r="AB270" s="378"/>
      <c r="AC270" s="378"/>
      <c r="AD270" s="378"/>
      <c r="AE270" s="378"/>
      <c r="AF270" s="378"/>
      <c r="AG270" s="378"/>
    </row>
    <row r="271">
      <c r="A271" s="378"/>
      <c r="B271" s="403" t="s">
        <v>704</v>
      </c>
      <c r="C271" s="404" t="s">
        <v>5</v>
      </c>
      <c r="D271" s="405" t="s">
        <v>6</v>
      </c>
      <c r="E271" s="406" t="s">
        <v>7</v>
      </c>
      <c r="F271" s="404" t="s">
        <v>8</v>
      </c>
      <c r="G271" s="404" t="s">
        <v>706</v>
      </c>
      <c r="H271" s="404" t="s">
        <v>707</v>
      </c>
      <c r="I271" s="376"/>
      <c r="J271" s="407" t="s">
        <v>704</v>
      </c>
      <c r="K271" s="404" t="s">
        <v>5</v>
      </c>
      <c r="L271" s="405" t="s">
        <v>6</v>
      </c>
      <c r="M271" s="406" t="s">
        <v>7</v>
      </c>
      <c r="N271" s="404" t="s">
        <v>591</v>
      </c>
      <c r="O271" s="408" t="s">
        <v>839</v>
      </c>
      <c r="P271" s="404" t="s">
        <v>707</v>
      </c>
      <c r="Q271" s="378"/>
      <c r="R271" s="378"/>
      <c r="S271" s="378"/>
      <c r="T271" s="378"/>
      <c r="U271" s="378"/>
      <c r="V271" s="378"/>
      <c r="W271" s="378"/>
      <c r="X271" s="378"/>
      <c r="Y271" s="378"/>
      <c r="Z271" s="378"/>
      <c r="AA271" s="378"/>
      <c r="AB271" s="378"/>
      <c r="AC271" s="378"/>
      <c r="AD271" s="378"/>
      <c r="AE271" s="378"/>
      <c r="AF271" s="378"/>
      <c r="AG271" s="378"/>
    </row>
    <row r="272">
      <c r="A272" s="378"/>
      <c r="B272" s="555">
        <f>IFERROR(__xludf.DUMMYFUNCTION("FILTER(Board!C:G,Board!K:K=F270)"),45979.0)</f>
        <v>45979</v>
      </c>
      <c r="C272" s="404">
        <f>IFERROR(__xludf.DUMMYFUNCTION("""COMPUTED_VALUE"""),1.1619708E7)</f>
        <v>11619708</v>
      </c>
      <c r="D272" s="405" t="str">
        <f>IFERROR(__xludf.DUMMYFUNCTION("""COMPUTED_VALUE"""),"Jacksonville, FL, 32226")</f>
        <v>Jacksonville, FL, 32226</v>
      </c>
      <c r="E272" s="406" t="str">
        <f>IFERROR(__xludf.DUMMYFUNCTION("""COMPUTED_VALUE"""),"Macon, GA, 31216")</f>
        <v>Macon, GA, 31216</v>
      </c>
      <c r="F272" s="414">
        <f>IFERROR(__xludf.DUMMYFUNCTION("""COMPUTED_VALUE"""),500.0)</f>
        <v>500</v>
      </c>
      <c r="G272" s="413">
        <v>0.88</v>
      </c>
      <c r="H272" s="414">
        <f t="shared" ref="H272:H275" si="12">F272*G272</f>
        <v>440</v>
      </c>
      <c r="I272" s="376"/>
      <c r="J272" s="415">
        <f>IFERROR(__xludf.DUMMYFUNCTION("FILTER(Board!C:F,Board!K:K=N270)"),45979.0)</f>
        <v>45979</v>
      </c>
      <c r="K272" s="411">
        <f>IFERROR(__xludf.DUMMYFUNCTION("""COMPUTED_VALUE"""),1.1619708E7)</f>
        <v>11619708</v>
      </c>
      <c r="L272" s="411" t="str">
        <f>IFERROR(__xludf.DUMMYFUNCTION("""COMPUTED_VALUE"""),"Jacksonville, FL, 32226")</f>
        <v>Jacksonville, FL, 32226</v>
      </c>
      <c r="M272" s="411" t="str">
        <f>IFERROR(__xludf.DUMMYFUNCTION("""COMPUTED_VALUE"""),"Macon, GA, 31216")</f>
        <v>Macon, GA, 31216</v>
      </c>
      <c r="N272" s="416">
        <f>IFERROR(__xludf.DUMMYFUNCTION("FILTER(Board!H:H,Board!K:K=N270)"),427.0)</f>
        <v>427</v>
      </c>
      <c r="O272" s="408">
        <v>0.65</v>
      </c>
      <c r="P272" s="414">
        <f t="shared" ref="P272:P275" si="13">N272*O272</f>
        <v>277.55</v>
      </c>
      <c r="Q272" s="378"/>
      <c r="R272" s="378"/>
      <c r="S272" s="378"/>
      <c r="T272" s="378"/>
      <c r="U272" s="378"/>
      <c r="V272" s="378"/>
      <c r="W272" s="378"/>
      <c r="X272" s="378"/>
      <c r="Y272" s="378"/>
      <c r="Z272" s="378"/>
      <c r="AA272" s="378"/>
      <c r="AB272" s="378"/>
      <c r="AC272" s="378"/>
      <c r="AD272" s="378"/>
      <c r="AE272" s="378"/>
      <c r="AF272" s="378"/>
      <c r="AG272" s="378"/>
    </row>
    <row r="273">
      <c r="A273" s="378"/>
      <c r="B273" s="555">
        <f>IFERROR(__xludf.DUMMYFUNCTION("""COMPUTED_VALUE"""),45980.0)</f>
        <v>45980</v>
      </c>
      <c r="C273" s="404">
        <f>IFERROR(__xludf.DUMMYFUNCTION("""COMPUTED_VALUE"""),1534459.0)</f>
        <v>1534459</v>
      </c>
      <c r="D273" s="405" t="str">
        <f>IFERROR(__xludf.DUMMYFUNCTION("""COMPUTED_VALUE"""),"Milledgeville, GA, 31061")</f>
        <v>Milledgeville, GA, 31061</v>
      </c>
      <c r="E273" s="406" t="str">
        <f>IFERROR(__xludf.DUMMYFUNCTION("""COMPUTED_VALUE"""),"Pass Christian, MS, 39571")</f>
        <v>Pass Christian, MS, 39571</v>
      </c>
      <c r="F273" s="414">
        <f>IFERROR(__xludf.DUMMYFUNCTION("""COMPUTED_VALUE"""),1000.0)</f>
        <v>1000</v>
      </c>
      <c r="G273" s="413">
        <v>0.88</v>
      </c>
      <c r="H273" s="414">
        <f t="shared" si="12"/>
        <v>880</v>
      </c>
      <c r="I273" s="376"/>
      <c r="J273" s="418">
        <f>IFERROR(__xludf.DUMMYFUNCTION("""COMPUTED_VALUE"""),45980.0)</f>
        <v>45980</v>
      </c>
      <c r="K273" s="411">
        <f>IFERROR(__xludf.DUMMYFUNCTION("""COMPUTED_VALUE"""),1534459.0)</f>
        <v>1534459</v>
      </c>
      <c r="L273" s="411" t="str">
        <f>IFERROR(__xludf.DUMMYFUNCTION("""COMPUTED_VALUE"""),"Milledgeville, GA, 31061")</f>
        <v>Milledgeville, GA, 31061</v>
      </c>
      <c r="M273" s="411" t="str">
        <f>IFERROR(__xludf.DUMMYFUNCTION("""COMPUTED_VALUE"""),"Pass Christian, MS, 39571")</f>
        <v>Pass Christian, MS, 39571</v>
      </c>
      <c r="N273" s="416">
        <f>IFERROR(__xludf.DUMMYFUNCTION("""COMPUTED_VALUE"""),500.0)</f>
        <v>500</v>
      </c>
      <c r="O273" s="408">
        <v>0.65</v>
      </c>
      <c r="P273" s="414">
        <f t="shared" si="13"/>
        <v>325</v>
      </c>
      <c r="Q273" s="378"/>
      <c r="R273" s="378"/>
      <c r="S273" s="378"/>
      <c r="T273" s="378"/>
      <c r="U273" s="378"/>
      <c r="V273" s="378"/>
      <c r="W273" s="378"/>
      <c r="X273" s="378"/>
      <c r="Y273" s="378"/>
      <c r="Z273" s="378"/>
      <c r="AA273" s="378"/>
      <c r="AB273" s="378"/>
      <c r="AC273" s="378"/>
      <c r="AD273" s="378"/>
      <c r="AE273" s="378"/>
      <c r="AF273" s="378"/>
      <c r="AG273" s="378"/>
    </row>
    <row r="274">
      <c r="A274" s="378"/>
      <c r="B274" s="499">
        <f>IFERROR(__xludf.DUMMYFUNCTION("""COMPUTED_VALUE"""),45981.0)</f>
        <v>45981</v>
      </c>
      <c r="C274" s="421">
        <f>IFERROR(__xludf.DUMMYFUNCTION("""COMPUTED_VALUE"""),2.0659778E7)</f>
        <v>20659778</v>
      </c>
      <c r="D274" s="422" t="str">
        <f>IFERROR(__xludf.DUMMYFUNCTION("""COMPUTED_VALUE"""),"Plaquemine, LA, 70764")</f>
        <v>Plaquemine, LA, 70764</v>
      </c>
      <c r="E274" s="423" t="str">
        <f>IFERROR(__xludf.DUMMYFUNCTION("""COMPUTED_VALUE"""),"Odessa, TX, 79766")</f>
        <v>Odessa, TX, 79766</v>
      </c>
      <c r="F274" s="500">
        <f>IFERROR(__xludf.DUMMYFUNCTION("""COMPUTED_VALUE"""),1887.0)</f>
        <v>1887</v>
      </c>
      <c r="G274" s="413">
        <v>0.88</v>
      </c>
      <c r="H274" s="414">
        <f t="shared" si="12"/>
        <v>1660.56</v>
      </c>
      <c r="I274" s="376"/>
      <c r="J274" s="545">
        <f>IFERROR(__xludf.DUMMYFUNCTION("""COMPUTED_VALUE"""),45981.0)</f>
        <v>45981</v>
      </c>
      <c r="K274" s="421">
        <f>IFERROR(__xludf.DUMMYFUNCTION("""COMPUTED_VALUE"""),2.0659778E7)</f>
        <v>20659778</v>
      </c>
      <c r="L274" s="422" t="str">
        <f>IFERROR(__xludf.DUMMYFUNCTION("""COMPUTED_VALUE"""),"Plaquemine, LA, 70764")</f>
        <v>Plaquemine, LA, 70764</v>
      </c>
      <c r="M274" s="423" t="str">
        <f>IFERROR(__xludf.DUMMYFUNCTION("""COMPUTED_VALUE"""),"Odessa, TX, 79766")</f>
        <v>Odessa, TX, 79766</v>
      </c>
      <c r="N274" s="546">
        <f>IFERROR(__xludf.DUMMYFUNCTION("""COMPUTED_VALUE"""),915.0)</f>
        <v>915</v>
      </c>
      <c r="O274" s="408">
        <v>0.65</v>
      </c>
      <c r="P274" s="414">
        <f t="shared" si="13"/>
        <v>594.75</v>
      </c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378"/>
      <c r="AB274" s="378"/>
      <c r="AC274" s="378"/>
      <c r="AD274" s="378"/>
      <c r="AE274" s="378"/>
      <c r="AF274" s="378"/>
      <c r="AG274" s="378"/>
    </row>
    <row r="275">
      <c r="A275" s="378"/>
      <c r="B275" s="499">
        <f>IFERROR(__xludf.DUMMYFUNCTION("""COMPUTED_VALUE"""),45982.0)</f>
        <v>45982</v>
      </c>
      <c r="C275" s="421">
        <f>IFERROR(__xludf.DUMMYFUNCTION("""COMPUTED_VALUE"""),754981.0)</f>
        <v>754981</v>
      </c>
      <c r="D275" s="422" t="str">
        <f>IFERROR(__xludf.DUMMYFUNCTION("""COMPUTED_VALUE"""),"Muleshoe, TX, 79347")</f>
        <v>Muleshoe, TX, 79347</v>
      </c>
      <c r="E275" s="423" t="str">
        <f>IFERROR(__xludf.DUMMYFUNCTION("""COMPUTED_VALUE"""),"Portland, OR, 97203")</f>
        <v>Portland, OR, 97203</v>
      </c>
      <c r="F275" s="500">
        <f>IFERROR(__xludf.DUMMYFUNCTION("""COMPUTED_VALUE"""),3400.0)</f>
        <v>3400</v>
      </c>
      <c r="G275" s="413">
        <v>0.88</v>
      </c>
      <c r="H275" s="414">
        <f t="shared" si="12"/>
        <v>2992</v>
      </c>
      <c r="I275" s="376"/>
      <c r="J275" s="545">
        <f>IFERROR(__xludf.DUMMYFUNCTION("""COMPUTED_VALUE"""),45982.0)</f>
        <v>45982</v>
      </c>
      <c r="K275" s="421">
        <f>IFERROR(__xludf.DUMMYFUNCTION("""COMPUTED_VALUE"""),754981.0)</f>
        <v>754981</v>
      </c>
      <c r="L275" s="422" t="str">
        <f>IFERROR(__xludf.DUMMYFUNCTION("""COMPUTED_VALUE"""),"Muleshoe, TX, 79347")</f>
        <v>Muleshoe, TX, 79347</v>
      </c>
      <c r="M275" s="423" t="str">
        <f>IFERROR(__xludf.DUMMYFUNCTION("""COMPUTED_VALUE"""),"Portland, OR, 97203")</f>
        <v>Portland, OR, 97203</v>
      </c>
      <c r="N275" s="546">
        <f>IFERROR(__xludf.DUMMYFUNCTION("""COMPUTED_VALUE"""),1799.0)</f>
        <v>1799</v>
      </c>
      <c r="O275" s="408">
        <v>0.65</v>
      </c>
      <c r="P275" s="414">
        <f t="shared" si="13"/>
        <v>1169.35</v>
      </c>
      <c r="Q275" s="378"/>
      <c r="R275" s="378"/>
      <c r="S275" s="378"/>
      <c r="T275" s="378"/>
      <c r="U275" s="378"/>
      <c r="V275" s="378"/>
      <c r="W275" s="378"/>
      <c r="X275" s="378"/>
      <c r="Y275" s="378"/>
      <c r="Z275" s="378"/>
      <c r="AA275" s="378"/>
      <c r="AB275" s="378"/>
      <c r="AC275" s="378"/>
      <c r="AD275" s="378"/>
      <c r="AE275" s="378"/>
      <c r="AF275" s="378"/>
      <c r="AG275" s="378"/>
    </row>
    <row r="276">
      <c r="A276" s="378"/>
      <c r="B276" s="420"/>
      <c r="C276" s="421"/>
      <c r="D276" s="422"/>
      <c r="E276" s="423"/>
      <c r="F276" s="421"/>
      <c r="G276" s="413"/>
      <c r="H276" s="414"/>
      <c r="I276" s="376"/>
      <c r="J276" s="424"/>
      <c r="K276" s="421"/>
      <c r="L276" s="422"/>
      <c r="M276" s="423"/>
      <c r="N276" s="425"/>
      <c r="O276" s="408"/>
      <c r="P276" s="414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378"/>
      <c r="AB276" s="378"/>
      <c r="AC276" s="378"/>
      <c r="AD276" s="378"/>
      <c r="AE276" s="378"/>
      <c r="AF276" s="378"/>
      <c r="AG276" s="378"/>
    </row>
    <row r="277">
      <c r="A277" s="378"/>
      <c r="B277" s="420"/>
      <c r="C277" s="421"/>
      <c r="D277" s="422"/>
      <c r="E277" s="423"/>
      <c r="F277" s="421"/>
      <c r="G277" s="413"/>
      <c r="H277" s="414"/>
      <c r="I277" s="376"/>
      <c r="J277" s="424"/>
      <c r="K277" s="421"/>
      <c r="L277" s="422"/>
      <c r="M277" s="423"/>
      <c r="N277" s="425"/>
      <c r="O277" s="408"/>
      <c r="P277" s="414"/>
      <c r="Q277" s="378"/>
      <c r="R277" s="378"/>
      <c r="S277" s="378"/>
      <c r="T277" s="378"/>
      <c r="U277" s="378"/>
      <c r="V277" s="378"/>
      <c r="W277" s="378"/>
      <c r="X277" s="378"/>
      <c r="Y277" s="378"/>
      <c r="Z277" s="378"/>
      <c r="AA277" s="378"/>
      <c r="AB277" s="378"/>
      <c r="AC277" s="378"/>
      <c r="AD277" s="378"/>
      <c r="AE277" s="378"/>
      <c r="AF277" s="378"/>
      <c r="AG277" s="378"/>
    </row>
    <row r="278">
      <c r="A278" s="378"/>
      <c r="B278" s="403" t="s">
        <v>711</v>
      </c>
      <c r="C278" s="224"/>
      <c r="D278" s="224"/>
      <c r="E278" s="222"/>
      <c r="F278" s="414">
        <f>SUM(F272:F277)</f>
        <v>6787</v>
      </c>
      <c r="G278" s="421"/>
      <c r="H278" s="414">
        <f>SUM(H272:H277)</f>
        <v>5972.56</v>
      </c>
      <c r="I278" s="376"/>
      <c r="J278" s="407" t="s">
        <v>711</v>
      </c>
      <c r="K278" s="224"/>
      <c r="L278" s="224"/>
      <c r="M278" s="222"/>
      <c r="N278" s="426">
        <f>SUM(N272:N277)</f>
        <v>3641</v>
      </c>
      <c r="O278" s="427"/>
      <c r="P278" s="414">
        <f>SUM(P272:P277)</f>
        <v>2366.65</v>
      </c>
      <c r="Q278" s="378"/>
      <c r="R278" s="378"/>
      <c r="S278" s="378"/>
      <c r="T278" s="378"/>
      <c r="U278" s="378"/>
      <c r="V278" s="378"/>
      <c r="W278" s="378"/>
      <c r="X278" s="378"/>
      <c r="Y278" s="378"/>
      <c r="Z278" s="378"/>
      <c r="AA278" s="378"/>
      <c r="AB278" s="378"/>
      <c r="AC278" s="378"/>
      <c r="AD278" s="378"/>
      <c r="AE278" s="378"/>
      <c r="AF278" s="378"/>
      <c r="AG278" s="378"/>
    </row>
    <row r="279">
      <c r="A279" s="378"/>
      <c r="B279" s="428"/>
      <c r="C279" s="419"/>
      <c r="D279" s="419"/>
      <c r="E279" s="419"/>
      <c r="F279" s="419"/>
      <c r="G279" s="419"/>
      <c r="H279" s="429"/>
      <c r="I279" s="376"/>
      <c r="J279" s="430"/>
      <c r="K279" s="419"/>
      <c r="L279" s="419"/>
      <c r="M279" s="419"/>
      <c r="N279" s="431"/>
      <c r="O279" s="432"/>
      <c r="P279" s="429"/>
      <c r="Q279" s="378"/>
      <c r="R279" s="378"/>
      <c r="S279" s="378"/>
      <c r="T279" s="378"/>
      <c r="U279" s="378"/>
      <c r="V279" s="378"/>
      <c r="W279" s="378"/>
      <c r="X279" s="378"/>
      <c r="Y279" s="378"/>
      <c r="Z279" s="378"/>
      <c r="AA279" s="378"/>
      <c r="AB279" s="378"/>
      <c r="AC279" s="378"/>
      <c r="AD279" s="378"/>
      <c r="AE279" s="378"/>
      <c r="AF279" s="378"/>
      <c r="AG279" s="378"/>
    </row>
    <row r="280">
      <c r="A280" s="378"/>
      <c r="B280" s="433" t="s">
        <v>712</v>
      </c>
      <c r="C280" s="434"/>
      <c r="D280" s="435"/>
      <c r="E280" s="419"/>
      <c r="F280" s="419"/>
      <c r="G280" s="419"/>
      <c r="H280" s="429"/>
      <c r="I280" s="376"/>
      <c r="J280" s="437" t="s">
        <v>712</v>
      </c>
      <c r="K280" s="434"/>
      <c r="L280" s="435"/>
      <c r="M280" s="419"/>
      <c r="N280" s="431"/>
      <c r="O280" s="432"/>
      <c r="P280" s="429"/>
      <c r="Q280" s="378"/>
      <c r="R280" s="378"/>
      <c r="S280" s="378"/>
      <c r="T280" s="378"/>
      <c r="U280" s="378"/>
      <c r="V280" s="378"/>
      <c r="W280" s="378"/>
      <c r="X280" s="378"/>
      <c r="Y280" s="378"/>
      <c r="Z280" s="378"/>
      <c r="AA280" s="378"/>
      <c r="AB280" s="378"/>
      <c r="AC280" s="378"/>
      <c r="AD280" s="378"/>
      <c r="AE280" s="378"/>
      <c r="AF280" s="378"/>
      <c r="AG280" s="378"/>
    </row>
    <row r="281">
      <c r="A281" s="378"/>
      <c r="B281" s="438"/>
      <c r="C281" s="439"/>
      <c r="D281" s="440"/>
      <c r="E281" s="419"/>
      <c r="F281" s="419"/>
      <c r="G281" s="419"/>
      <c r="H281" s="429"/>
      <c r="I281" s="376"/>
      <c r="J281" s="443" t="s">
        <v>713</v>
      </c>
      <c r="K281" s="439"/>
      <c r="L281" s="440"/>
      <c r="M281" s="419"/>
      <c r="N281" s="431"/>
      <c r="O281" s="432"/>
      <c r="P281" s="429"/>
      <c r="Q281" s="378"/>
      <c r="R281" s="378"/>
      <c r="S281" s="378"/>
      <c r="T281" s="378"/>
      <c r="U281" s="378"/>
      <c r="V281" s="378"/>
      <c r="W281" s="378"/>
      <c r="X281" s="378"/>
      <c r="Y281" s="378"/>
      <c r="Z281" s="378"/>
      <c r="AA281" s="378"/>
      <c r="AB281" s="378"/>
      <c r="AC281" s="378"/>
      <c r="AD281" s="378"/>
      <c r="AE281" s="378"/>
      <c r="AF281" s="378"/>
      <c r="AG281" s="378"/>
    </row>
    <row r="282">
      <c r="A282" s="378"/>
      <c r="B282" s="444"/>
      <c r="C282" s="434"/>
      <c r="D282" s="435"/>
      <c r="E282" s="419"/>
      <c r="F282" s="463"/>
      <c r="G282" s="463"/>
      <c r="H282" s="448"/>
      <c r="I282" s="376"/>
      <c r="J282" s="445"/>
      <c r="K282" s="434"/>
      <c r="L282" s="435"/>
      <c r="M282" s="419"/>
      <c r="N282" s="446"/>
      <c r="O282" s="447"/>
      <c r="P282" s="448"/>
      <c r="Q282" s="378"/>
      <c r="R282" s="378"/>
      <c r="S282" s="378"/>
      <c r="T282" s="378"/>
      <c r="U282" s="378"/>
      <c r="V282" s="378"/>
      <c r="W282" s="378"/>
      <c r="X282" s="378"/>
      <c r="Y282" s="378"/>
      <c r="Z282" s="378"/>
      <c r="AA282" s="378"/>
      <c r="AB282" s="378"/>
      <c r="AC282" s="378"/>
      <c r="AD282" s="378"/>
      <c r="AE282" s="378"/>
      <c r="AF282" s="378"/>
      <c r="AG282" s="378"/>
    </row>
    <row r="283">
      <c r="A283" s="378"/>
      <c r="B283" s="438" t="s">
        <v>714</v>
      </c>
      <c r="C283" s="439">
        <f>SUM(C281:C282)</f>
        <v>0</v>
      </c>
      <c r="D283" s="440"/>
      <c r="E283" s="419"/>
      <c r="F283" s="463"/>
      <c r="G283" s="463"/>
      <c r="H283" s="448"/>
      <c r="I283" s="376"/>
      <c r="J283" s="443" t="s">
        <v>714</v>
      </c>
      <c r="K283" s="439">
        <f>SUM(K281:K282)</f>
        <v>0</v>
      </c>
      <c r="L283" s="440"/>
      <c r="M283" s="419"/>
      <c r="N283" s="446"/>
      <c r="O283" s="447"/>
      <c r="P283" s="448"/>
      <c r="Q283" s="378"/>
      <c r="R283" s="378"/>
      <c r="S283" s="378"/>
      <c r="T283" s="378"/>
      <c r="U283" s="378"/>
      <c r="V283" s="378"/>
      <c r="W283" s="378"/>
      <c r="X283" s="378"/>
      <c r="Y283" s="378"/>
      <c r="Z283" s="378"/>
      <c r="AA283" s="378"/>
      <c r="AB283" s="378"/>
      <c r="AC283" s="378"/>
      <c r="AD283" s="378"/>
      <c r="AE283" s="378"/>
      <c r="AF283" s="378"/>
      <c r="AG283" s="378"/>
    </row>
    <row r="284">
      <c r="A284" s="378"/>
      <c r="B284" s="450"/>
      <c r="C284" s="451"/>
      <c r="D284" s="419"/>
      <c r="E284" s="419"/>
      <c r="F284" s="463"/>
      <c r="G284" s="463"/>
      <c r="H284" s="448"/>
      <c r="I284" s="376"/>
      <c r="J284" s="535"/>
      <c r="K284" s="451"/>
      <c r="L284" s="419"/>
      <c r="M284" s="419"/>
      <c r="N284" s="446"/>
      <c r="O284" s="447"/>
      <c r="P284" s="448"/>
      <c r="Q284" s="378"/>
      <c r="R284" s="378"/>
      <c r="S284" s="378"/>
      <c r="T284" s="378"/>
      <c r="U284" s="378"/>
      <c r="V284" s="378"/>
      <c r="W284" s="378"/>
      <c r="X284" s="378"/>
      <c r="Y284" s="378"/>
      <c r="Z284" s="378"/>
      <c r="AA284" s="378"/>
      <c r="AB284" s="378"/>
      <c r="AC284" s="378"/>
      <c r="AD284" s="378"/>
      <c r="AE284" s="378"/>
      <c r="AF284" s="378"/>
      <c r="AG284" s="378"/>
    </row>
    <row r="285">
      <c r="A285" s="378"/>
      <c r="B285" s="454" t="s">
        <v>715</v>
      </c>
      <c r="C285" s="455"/>
      <c r="D285" s="435"/>
      <c r="E285" s="419"/>
      <c r="F285" s="463"/>
      <c r="G285" s="463"/>
      <c r="H285" s="448"/>
      <c r="I285" s="376"/>
      <c r="J285" s="458" t="s">
        <v>715</v>
      </c>
      <c r="K285" s="455"/>
      <c r="L285" s="435"/>
      <c r="M285" s="419"/>
      <c r="N285" s="446"/>
      <c r="O285" s="447"/>
      <c r="P285" s="448"/>
      <c r="Q285" s="378"/>
      <c r="R285" s="378"/>
      <c r="S285" s="378"/>
      <c r="T285" s="378"/>
      <c r="U285" s="378"/>
      <c r="V285" s="378"/>
      <c r="W285" s="378"/>
      <c r="X285" s="378"/>
      <c r="Y285" s="378"/>
      <c r="Z285" s="378"/>
      <c r="AA285" s="378"/>
      <c r="AB285" s="378"/>
      <c r="AC285" s="378"/>
      <c r="AD285" s="378"/>
      <c r="AE285" s="378"/>
      <c r="AF285" s="378"/>
      <c r="AG285" s="378"/>
    </row>
    <row r="286">
      <c r="A286" s="378"/>
      <c r="B286" s="459" t="s">
        <v>716</v>
      </c>
      <c r="C286" s="460">
        <v>150.0</v>
      </c>
      <c r="D286" s="440"/>
      <c r="E286" s="419"/>
      <c r="F286" s="463"/>
      <c r="G286" s="463"/>
      <c r="H286" s="448"/>
      <c r="I286" s="376"/>
      <c r="J286" s="462" t="s">
        <v>716</v>
      </c>
      <c r="K286" s="460"/>
      <c r="L286" s="440"/>
      <c r="M286" s="419"/>
      <c r="N286" s="446"/>
      <c r="O286" s="447"/>
      <c r="P286" s="448"/>
      <c r="Q286" s="378"/>
      <c r="R286" s="378"/>
      <c r="S286" s="378"/>
      <c r="T286" s="378"/>
      <c r="U286" s="378"/>
      <c r="V286" s="378"/>
      <c r="W286" s="378"/>
      <c r="X286" s="378"/>
      <c r="Y286" s="378"/>
      <c r="Z286" s="378"/>
      <c r="AA286" s="378"/>
      <c r="AB286" s="378"/>
      <c r="AC286" s="378"/>
      <c r="AD286" s="378"/>
      <c r="AE286" s="378"/>
      <c r="AF286" s="378"/>
      <c r="AG286" s="378"/>
    </row>
    <row r="287">
      <c r="A287" s="378"/>
      <c r="B287" s="459" t="s">
        <v>717</v>
      </c>
      <c r="C287" s="460">
        <v>400.0</v>
      </c>
      <c r="D287" s="440"/>
      <c r="E287" s="419"/>
      <c r="F287" s="463"/>
      <c r="G287" s="463"/>
      <c r="H287" s="448"/>
      <c r="I287" s="376"/>
      <c r="J287" s="462" t="s">
        <v>717</v>
      </c>
      <c r="K287" s="460"/>
      <c r="L287" s="440"/>
      <c r="M287" s="419"/>
      <c r="N287" s="446"/>
      <c r="O287" s="447"/>
      <c r="P287" s="448"/>
      <c r="Q287" s="378"/>
      <c r="R287" s="378"/>
      <c r="S287" s="378"/>
      <c r="T287" s="378"/>
      <c r="U287" s="378"/>
      <c r="V287" s="378"/>
      <c r="W287" s="378"/>
      <c r="X287" s="378"/>
      <c r="Y287" s="378"/>
      <c r="Z287" s="378"/>
      <c r="AA287" s="378"/>
      <c r="AB287" s="378"/>
      <c r="AC287" s="378"/>
      <c r="AD287" s="378"/>
      <c r="AE287" s="378"/>
      <c r="AF287" s="378"/>
      <c r="AG287" s="378"/>
    </row>
    <row r="288">
      <c r="A288" s="378"/>
      <c r="B288" s="459" t="s">
        <v>718</v>
      </c>
      <c r="C288" s="460">
        <v>200.0</v>
      </c>
      <c r="D288" s="440"/>
      <c r="E288" s="419"/>
      <c r="F288" s="463"/>
      <c r="G288" s="463"/>
      <c r="H288" s="448"/>
      <c r="I288" s="376"/>
      <c r="J288" s="462" t="s">
        <v>718</v>
      </c>
      <c r="K288" s="460"/>
      <c r="L288" s="440"/>
      <c r="M288" s="419"/>
      <c r="N288" s="446"/>
      <c r="O288" s="447"/>
      <c r="P288" s="448"/>
      <c r="Q288" s="378"/>
      <c r="R288" s="378"/>
      <c r="S288" s="378"/>
      <c r="T288" s="378"/>
      <c r="U288" s="378"/>
      <c r="V288" s="378"/>
      <c r="W288" s="378"/>
      <c r="X288" s="378"/>
      <c r="Y288" s="378"/>
      <c r="Z288" s="378"/>
      <c r="AA288" s="378"/>
      <c r="AB288" s="378"/>
      <c r="AC288" s="378"/>
      <c r="AD288" s="378"/>
      <c r="AE288" s="378"/>
      <c r="AF288" s="378"/>
      <c r="AG288" s="378"/>
    </row>
    <row r="289">
      <c r="A289" s="378"/>
      <c r="B289" s="459" t="s">
        <v>656</v>
      </c>
      <c r="C289" s="460">
        <f>IFERROR(__xludf.DUMMYFUNCTION("FILTER(D1045:D1073,C1045:C1073=F270)"),653.68)</f>
        <v>653.68</v>
      </c>
      <c r="D289" s="440"/>
      <c r="E289" s="419"/>
      <c r="F289" s="463"/>
      <c r="G289" s="463"/>
      <c r="H289" s="448"/>
      <c r="I289" s="376"/>
      <c r="J289" s="462" t="s">
        <v>656</v>
      </c>
      <c r="K289" s="460"/>
      <c r="L289" s="440"/>
      <c r="M289" s="419"/>
      <c r="N289" s="446"/>
      <c r="O289" s="447"/>
      <c r="P289" s="448"/>
      <c r="Q289" s="378"/>
      <c r="R289" s="378"/>
      <c r="S289" s="378"/>
      <c r="T289" s="378"/>
      <c r="U289" s="378"/>
      <c r="V289" s="378"/>
      <c r="W289" s="378"/>
      <c r="X289" s="378"/>
      <c r="Y289" s="378"/>
      <c r="Z289" s="378"/>
      <c r="AA289" s="378"/>
      <c r="AB289" s="378"/>
      <c r="AC289" s="378"/>
      <c r="AD289" s="378"/>
      <c r="AE289" s="378"/>
      <c r="AF289" s="378"/>
      <c r="AG289" s="378"/>
    </row>
    <row r="290">
      <c r="A290" s="378"/>
      <c r="B290" s="464"/>
      <c r="C290" s="994">
        <f>IFERROR(__xludf.DUMMYFUNCTION("""COMPUTED_VALUE"""),747.81)</f>
        <v>747.81</v>
      </c>
      <c r="D290" s="435"/>
      <c r="E290" s="419"/>
      <c r="F290" s="468" t="s">
        <v>842</v>
      </c>
      <c r="G290" s="466">
        <f>H278+C283-C295</f>
        <v>2492.93</v>
      </c>
      <c r="H290" s="211"/>
      <c r="I290" s="376"/>
      <c r="J290" s="467"/>
      <c r="K290" s="455"/>
      <c r="L290" s="435"/>
      <c r="M290" s="419"/>
      <c r="N290" s="468" t="s">
        <v>842</v>
      </c>
      <c r="O290" s="539">
        <f>P278+K283-K295</f>
        <v>2366.65</v>
      </c>
      <c r="P290" s="211"/>
      <c r="Q290" s="378"/>
      <c r="R290" s="378"/>
      <c r="S290" s="378"/>
      <c r="T290" s="378"/>
      <c r="U290" s="378"/>
      <c r="V290" s="378"/>
      <c r="W290" s="378"/>
      <c r="X290" s="378"/>
      <c r="Y290" s="378"/>
      <c r="Z290" s="378"/>
      <c r="AA290" s="378"/>
      <c r="AB290" s="378"/>
      <c r="AC290" s="378"/>
      <c r="AD290" s="378"/>
      <c r="AE290" s="378"/>
      <c r="AF290" s="378"/>
      <c r="AG290" s="378"/>
    </row>
    <row r="291">
      <c r="A291" s="378"/>
      <c r="B291" s="464"/>
      <c r="C291" s="994">
        <f>IFERROR(__xludf.DUMMYFUNCTION("""COMPUTED_VALUE"""),47.32)</f>
        <v>47.32</v>
      </c>
      <c r="D291" s="435"/>
      <c r="E291" s="419"/>
      <c r="F291" s="469" t="s">
        <v>843</v>
      </c>
      <c r="G291" s="278"/>
      <c r="H291" s="56"/>
      <c r="I291" s="376"/>
      <c r="J291" s="467"/>
      <c r="K291" s="455"/>
      <c r="L291" s="435"/>
      <c r="M291" s="419"/>
      <c r="N291" s="469" t="s">
        <v>854</v>
      </c>
      <c r="O291" s="278"/>
      <c r="P291" s="56"/>
      <c r="Q291" s="378"/>
      <c r="R291" s="378"/>
      <c r="S291" s="378"/>
      <c r="T291" s="378"/>
      <c r="U291" s="378"/>
      <c r="V291" s="378"/>
      <c r="W291" s="378"/>
      <c r="X291" s="378"/>
      <c r="Y291" s="378"/>
      <c r="Z291" s="378"/>
      <c r="AA291" s="378"/>
      <c r="AB291" s="378"/>
      <c r="AC291" s="378"/>
      <c r="AD291" s="378"/>
      <c r="AE291" s="378"/>
      <c r="AF291" s="378"/>
      <c r="AG291" s="378"/>
    </row>
    <row r="292">
      <c r="A292" s="378"/>
      <c r="B292" s="464"/>
      <c r="C292" s="994">
        <f>IFERROR(__xludf.DUMMYFUNCTION("""COMPUTED_VALUE"""),638.39)</f>
        <v>638.39</v>
      </c>
      <c r="D292" s="435"/>
      <c r="E292" s="419"/>
      <c r="F292" s="470"/>
      <c r="G292" s="215"/>
      <c r="H292" s="64"/>
      <c r="I292" s="376"/>
      <c r="J292" s="467"/>
      <c r="K292" s="455"/>
      <c r="L292" s="435"/>
      <c r="M292" s="419"/>
      <c r="N292" s="470"/>
      <c r="O292" s="215"/>
      <c r="P292" s="64"/>
      <c r="Q292" s="378"/>
      <c r="R292" s="378"/>
      <c r="S292" s="378"/>
      <c r="T292" s="378"/>
      <c r="U292" s="378"/>
      <c r="V292" s="378"/>
      <c r="W292" s="378"/>
      <c r="X292" s="378"/>
      <c r="Y292" s="378"/>
      <c r="Z292" s="378"/>
      <c r="AA292" s="378"/>
      <c r="AB292" s="378"/>
      <c r="AC292" s="378"/>
      <c r="AD292" s="378"/>
      <c r="AE292" s="378"/>
      <c r="AF292" s="378"/>
      <c r="AG292" s="378"/>
    </row>
    <row r="293">
      <c r="A293" s="378"/>
      <c r="B293" s="464"/>
      <c r="C293" s="994">
        <f>IFERROR(__xludf.DUMMYFUNCTION("""COMPUTED_VALUE"""),642.43)</f>
        <v>642.43</v>
      </c>
      <c r="D293" s="435"/>
      <c r="E293" s="419"/>
      <c r="F293" s="419"/>
      <c r="G293" s="419"/>
      <c r="H293" s="429"/>
      <c r="I293" s="376"/>
      <c r="J293" s="467"/>
      <c r="K293" s="455"/>
      <c r="L293" s="435"/>
      <c r="M293" s="419"/>
      <c r="N293" s="431"/>
      <c r="O293" s="432"/>
      <c r="P293" s="429"/>
      <c r="Q293" s="378"/>
      <c r="R293" s="378"/>
      <c r="S293" s="378"/>
      <c r="T293" s="378"/>
      <c r="U293" s="378"/>
      <c r="V293" s="378"/>
      <c r="W293" s="378"/>
      <c r="X293" s="378"/>
      <c r="Y293" s="378"/>
      <c r="Z293" s="378"/>
      <c r="AA293" s="378"/>
      <c r="AB293" s="378"/>
      <c r="AC293" s="378"/>
      <c r="AD293" s="378"/>
      <c r="AE293" s="378"/>
      <c r="AF293" s="378"/>
      <c r="AG293" s="378"/>
    </row>
    <row r="294">
      <c r="A294" s="378"/>
      <c r="B294" s="464"/>
      <c r="C294" s="455"/>
      <c r="D294" s="435"/>
      <c r="E294" s="419"/>
      <c r="F294" s="419"/>
      <c r="G294" s="419"/>
      <c r="H294" s="429"/>
      <c r="I294" s="376"/>
      <c r="J294" s="467"/>
      <c r="K294" s="455"/>
      <c r="L294" s="435"/>
      <c r="M294" s="419"/>
      <c r="N294" s="431"/>
      <c r="O294" s="432"/>
      <c r="P294" s="429"/>
      <c r="Q294" s="378"/>
      <c r="R294" s="378"/>
      <c r="S294" s="378"/>
      <c r="T294" s="378"/>
      <c r="U294" s="378"/>
      <c r="V294" s="378"/>
      <c r="W294" s="378"/>
      <c r="X294" s="378"/>
      <c r="Y294" s="378"/>
      <c r="Z294" s="378"/>
      <c r="AA294" s="378"/>
      <c r="AB294" s="378"/>
      <c r="AC294" s="378"/>
      <c r="AD294" s="378"/>
      <c r="AE294" s="378"/>
      <c r="AF294" s="378"/>
      <c r="AG294" s="378"/>
    </row>
    <row r="295">
      <c r="A295" s="378"/>
      <c r="B295" s="454" t="s">
        <v>721</v>
      </c>
      <c r="C295" s="460">
        <f>SUM(C286:C294)</f>
        <v>3479.63</v>
      </c>
      <c r="D295" s="440"/>
      <c r="E295" s="419"/>
      <c r="F295" s="419"/>
      <c r="G295" s="419"/>
      <c r="H295" s="429"/>
      <c r="I295" s="376"/>
      <c r="J295" s="458" t="s">
        <v>721</v>
      </c>
      <c r="K295" s="460">
        <f>SUM(K286:K294)</f>
        <v>0</v>
      </c>
      <c r="L295" s="440"/>
      <c r="M295" s="419"/>
      <c r="N295" s="431"/>
      <c r="O295" s="432"/>
      <c r="P295" s="429"/>
      <c r="Q295" s="378"/>
      <c r="R295" s="378"/>
      <c r="S295" s="378"/>
      <c r="T295" s="378"/>
      <c r="U295" s="378"/>
      <c r="V295" s="378"/>
      <c r="W295" s="378"/>
      <c r="X295" s="378"/>
      <c r="Y295" s="378"/>
      <c r="Z295" s="378"/>
      <c r="AA295" s="378"/>
      <c r="AB295" s="378"/>
      <c r="AC295" s="378"/>
      <c r="AD295" s="378"/>
      <c r="AE295" s="378"/>
      <c r="AF295" s="378"/>
      <c r="AG295" s="378"/>
    </row>
    <row r="296">
      <c r="A296" s="378"/>
      <c r="B296" s="471"/>
      <c r="C296" s="472"/>
      <c r="D296" s="472"/>
      <c r="E296" s="472"/>
      <c r="F296" s="472"/>
      <c r="G296" s="472"/>
      <c r="H296" s="473"/>
      <c r="I296" s="376"/>
      <c r="J296" s="474"/>
      <c r="K296" s="472"/>
      <c r="L296" s="472"/>
      <c r="M296" s="472"/>
      <c r="N296" s="475"/>
      <c r="O296" s="476"/>
      <c r="P296" s="473"/>
      <c r="Q296" s="378"/>
      <c r="R296" s="378"/>
      <c r="S296" s="378"/>
      <c r="T296" s="378"/>
      <c r="U296" s="378"/>
      <c r="V296" s="378"/>
      <c r="W296" s="378"/>
      <c r="X296" s="378"/>
      <c r="Y296" s="378"/>
      <c r="Z296" s="378"/>
      <c r="AA296" s="378"/>
      <c r="AB296" s="378"/>
      <c r="AC296" s="378"/>
      <c r="AD296" s="378"/>
      <c r="AE296" s="378"/>
      <c r="AF296" s="378"/>
      <c r="AG296" s="378"/>
    </row>
    <row r="297">
      <c r="A297" s="378"/>
      <c r="B297" s="550"/>
      <c r="C297" s="463"/>
      <c r="D297" s="463"/>
      <c r="E297" s="463"/>
      <c r="F297" s="463"/>
      <c r="G297" s="463"/>
      <c r="H297" s="463"/>
      <c r="I297" s="376"/>
      <c r="J297" s="377"/>
      <c r="K297" s="378"/>
      <c r="L297" s="378"/>
      <c r="M297" s="378"/>
      <c r="N297" s="379"/>
      <c r="O297" s="380"/>
      <c r="P297" s="378"/>
      <c r="Q297" s="378"/>
      <c r="R297" s="378"/>
      <c r="S297" s="378"/>
      <c r="T297" s="378"/>
      <c r="U297" s="378"/>
      <c r="V297" s="378"/>
      <c r="W297" s="378"/>
      <c r="X297" s="378"/>
      <c r="Y297" s="378"/>
      <c r="Z297" s="378"/>
      <c r="AA297" s="378"/>
      <c r="AB297" s="378"/>
      <c r="AC297" s="378"/>
      <c r="AD297" s="378"/>
      <c r="AE297" s="378"/>
      <c r="AF297" s="378"/>
      <c r="AG297" s="378"/>
    </row>
    <row r="298">
      <c r="A298" s="378"/>
      <c r="B298" s="550"/>
      <c r="C298" s="463"/>
      <c r="D298" s="463"/>
      <c r="E298" s="463"/>
      <c r="F298" s="463"/>
      <c r="G298" s="463"/>
      <c r="H298" s="463"/>
      <c r="I298" s="376"/>
      <c r="J298" s="377"/>
      <c r="K298" s="378"/>
      <c r="L298" s="378"/>
      <c r="M298" s="378"/>
      <c r="N298" s="379"/>
      <c r="O298" s="380"/>
      <c r="P298" s="378"/>
      <c r="Q298" s="378"/>
      <c r="R298" s="378"/>
      <c r="S298" s="378"/>
      <c r="T298" s="378"/>
      <c r="U298" s="378"/>
      <c r="V298" s="378"/>
      <c r="W298" s="378"/>
      <c r="X298" s="378"/>
      <c r="Y298" s="378"/>
      <c r="Z298" s="378"/>
      <c r="AA298" s="378"/>
      <c r="AB298" s="378"/>
      <c r="AC298" s="378"/>
      <c r="AD298" s="378"/>
      <c r="AE298" s="378"/>
      <c r="AF298" s="378"/>
      <c r="AG298" s="378"/>
    </row>
    <row r="299">
      <c r="A299" s="378"/>
      <c r="B299" s="382"/>
      <c r="C299" s="388"/>
      <c r="D299" s="384"/>
      <c r="E299" s="385" t="s">
        <v>700</v>
      </c>
      <c r="F299" s="385" t="str">
        <f>Board!A2</f>
        <v>11.17.25-11.23.25</v>
      </c>
      <c r="G299" s="213"/>
      <c r="H299" s="211"/>
      <c r="I299" s="386">
        <v>8.0</v>
      </c>
      <c r="J299" s="387"/>
      <c r="K299" s="388"/>
      <c r="L299" s="384"/>
      <c r="M299" s="385" t="s">
        <v>700</v>
      </c>
      <c r="N299" s="385" t="str">
        <f>Board!A2</f>
        <v>11.17.25-11.23.25</v>
      </c>
      <c r="O299" s="213"/>
      <c r="P299" s="211"/>
      <c r="Q299" s="378"/>
      <c r="R299" s="389" t="s">
        <v>831</v>
      </c>
      <c r="S299" s="389" t="s">
        <v>652</v>
      </c>
      <c r="T299" s="390" t="s">
        <v>832</v>
      </c>
      <c r="U299" s="391" t="s">
        <v>833</v>
      </c>
      <c r="V299" s="389" t="s">
        <v>655</v>
      </c>
      <c r="W299" s="389" t="s">
        <v>8</v>
      </c>
      <c r="X299" s="389" t="s">
        <v>656</v>
      </c>
      <c r="Y299" s="390" t="s">
        <v>834</v>
      </c>
      <c r="Z299" s="392" t="s">
        <v>835</v>
      </c>
      <c r="AA299" s="390" t="s">
        <v>836</v>
      </c>
      <c r="AB299" s="390" t="s">
        <v>837</v>
      </c>
      <c r="AC299" s="393" t="s">
        <v>716</v>
      </c>
      <c r="AD299" s="393" t="s">
        <v>717</v>
      </c>
      <c r="AE299" s="393" t="s">
        <v>718</v>
      </c>
      <c r="AF299" s="394" t="s">
        <v>838</v>
      </c>
      <c r="AG299" s="394"/>
    </row>
    <row r="300">
      <c r="A300" s="378"/>
      <c r="B300" s="395"/>
      <c r="C300" s="372"/>
      <c r="D300" s="396"/>
      <c r="E300" s="385" t="s">
        <v>702</v>
      </c>
      <c r="F300" s="385" t="s">
        <v>861</v>
      </c>
      <c r="G300" s="213"/>
      <c r="H300" s="211"/>
      <c r="I300" s="376"/>
      <c r="J300" s="397"/>
      <c r="K300" s="372"/>
      <c r="L300" s="396"/>
      <c r="M300" s="385" t="s">
        <v>351</v>
      </c>
      <c r="N300" s="385" t="str">
        <f t="array" ref="N300">XLOOKUP(N301,Board!K:K,Board!J:J)</f>
        <v>RICHARD FLORESTAL</v>
      </c>
      <c r="O300" s="213"/>
      <c r="P300" s="211"/>
      <c r="Q300" s="378"/>
      <c r="R300" s="398">
        <f>I299</f>
        <v>8</v>
      </c>
      <c r="S300" s="398">
        <f>F301</f>
        <v>2516</v>
      </c>
      <c r="T300" s="399" t="str">
        <f>G321</f>
        <v>#REF!</v>
      </c>
      <c r="U300" s="378" t="str">
        <f>N300</f>
        <v>RICHARD FLORESTAL</v>
      </c>
      <c r="V300" s="380">
        <f>O321</f>
        <v>2239.9</v>
      </c>
      <c r="W300" s="399">
        <f>P309</f>
        <v>2077.4</v>
      </c>
      <c r="X300" s="399" t="str">
        <f>C320</f>
        <v>#REF!</v>
      </c>
      <c r="Y300" s="400">
        <f>N309</f>
        <v>3196</v>
      </c>
      <c r="Z300" s="378" t="str">
        <f>V301-V300</f>
        <v>#REF!</v>
      </c>
      <c r="AA300" s="378"/>
      <c r="AB300" s="378"/>
      <c r="AC300" s="401">
        <f>C317</f>
        <v>150</v>
      </c>
      <c r="AD300" s="401">
        <f>C318</f>
        <v>400</v>
      </c>
      <c r="AE300" s="401">
        <f>C319</f>
        <v>200</v>
      </c>
      <c r="AF300" s="530">
        <f>C321+C322+C323+C324+C325</f>
        <v>1477.56</v>
      </c>
      <c r="AG300" s="398"/>
    </row>
    <row r="301">
      <c r="A301" s="378"/>
      <c r="B301" s="395"/>
      <c r="C301" s="372"/>
      <c r="D301" s="402"/>
      <c r="E301" s="385" t="s">
        <v>703</v>
      </c>
      <c r="F301" s="385">
        <v>2516.0</v>
      </c>
      <c r="G301" s="213"/>
      <c r="H301" s="211"/>
      <c r="I301" s="376"/>
      <c r="J301" s="397"/>
      <c r="K301" s="372"/>
      <c r="L301" s="402"/>
      <c r="M301" s="385" t="s">
        <v>703</v>
      </c>
      <c r="N301" s="385">
        <f>F301</f>
        <v>2516</v>
      </c>
      <c r="O301" s="213"/>
      <c r="P301" s="211"/>
      <c r="Q301" s="378"/>
      <c r="R301" s="378"/>
      <c r="S301" s="378"/>
      <c r="T301" s="378"/>
      <c r="U301" s="378" t="str">
        <f>F300</f>
        <v>Careway Logistics LLC</v>
      </c>
      <c r="V301" s="399" t="str">
        <f>G321</f>
        <v>#REF!</v>
      </c>
      <c r="W301" s="399">
        <f>H309</f>
        <v>5456</v>
      </c>
      <c r="X301" s="378"/>
      <c r="Y301" s="378"/>
      <c r="Z301" s="378"/>
      <c r="AA301" s="378"/>
      <c r="AB301" s="378"/>
      <c r="AC301" s="378"/>
      <c r="AD301" s="378"/>
      <c r="AE301" s="378"/>
      <c r="AF301" s="378"/>
      <c r="AG301" s="378"/>
    </row>
    <row r="302">
      <c r="A302" s="378"/>
      <c r="B302" s="403" t="s">
        <v>704</v>
      </c>
      <c r="C302" s="404" t="s">
        <v>5</v>
      </c>
      <c r="D302" s="405" t="s">
        <v>6</v>
      </c>
      <c r="E302" s="406" t="s">
        <v>7</v>
      </c>
      <c r="F302" s="404" t="s">
        <v>8</v>
      </c>
      <c r="G302" s="404" t="s">
        <v>706</v>
      </c>
      <c r="H302" s="404" t="s">
        <v>707</v>
      </c>
      <c r="I302" s="376"/>
      <c r="J302" s="407" t="s">
        <v>704</v>
      </c>
      <c r="K302" s="404" t="s">
        <v>5</v>
      </c>
      <c r="L302" s="405" t="s">
        <v>6</v>
      </c>
      <c r="M302" s="406" t="s">
        <v>7</v>
      </c>
      <c r="N302" s="404" t="s">
        <v>591</v>
      </c>
      <c r="O302" s="408" t="s">
        <v>839</v>
      </c>
      <c r="P302" s="404" t="s">
        <v>707</v>
      </c>
      <c r="Q302" s="378"/>
      <c r="R302" s="378"/>
      <c r="S302" s="378"/>
      <c r="T302" s="378"/>
      <c r="U302" s="378"/>
      <c r="V302" s="378"/>
      <c r="W302" s="378"/>
      <c r="X302" s="378"/>
      <c r="Y302" s="378"/>
      <c r="Z302" s="378"/>
      <c r="AA302" s="378"/>
      <c r="AB302" s="378"/>
      <c r="AC302" s="378"/>
      <c r="AD302" s="378"/>
      <c r="AE302" s="378"/>
      <c r="AF302" s="378"/>
      <c r="AG302" s="378"/>
    </row>
    <row r="303">
      <c r="A303" s="378"/>
      <c r="B303" s="555">
        <f>IFERROR(__xludf.DUMMYFUNCTION("FILTER(Board!C:G,Board!K:K=F301)"),45979.0)</f>
        <v>45979</v>
      </c>
      <c r="C303" s="404">
        <f>IFERROR(__xludf.DUMMYFUNCTION("""COMPUTED_VALUE"""),628546.0)</f>
        <v>628546</v>
      </c>
      <c r="D303" s="405" t="str">
        <f>IFERROR(__xludf.DUMMYFUNCTION("""COMPUTED_VALUE"""),"Coppell, TX, 75019")</f>
        <v>Coppell, TX, 75019</v>
      </c>
      <c r="E303" s="406" t="str">
        <f>IFERROR(__xludf.DUMMYFUNCTION("""COMPUTED_VALUE"""),"Glenwood Springs, CO, 81601")</f>
        <v>Glenwood Springs, CO, 81601</v>
      </c>
      <c r="F303" s="414">
        <f>IFERROR(__xludf.DUMMYFUNCTION("""COMPUTED_VALUE"""),2300.0)</f>
        <v>2300</v>
      </c>
      <c r="G303" s="413">
        <v>0.88</v>
      </c>
      <c r="H303" s="414">
        <f t="shared" ref="H303:H304" si="14">F303*G303</f>
        <v>2024</v>
      </c>
      <c r="I303" s="376"/>
      <c r="J303" s="415">
        <f>IFERROR(__xludf.DUMMYFUNCTION("FILTER(Board!C:F,Board!K:K=N301)"),45979.0)</f>
        <v>45979</v>
      </c>
      <c r="K303" s="411">
        <f>IFERROR(__xludf.DUMMYFUNCTION("""COMPUTED_VALUE"""),628546.0)</f>
        <v>628546</v>
      </c>
      <c r="L303" s="411" t="str">
        <f>IFERROR(__xludf.DUMMYFUNCTION("""COMPUTED_VALUE"""),"Coppell, TX, 75019")</f>
        <v>Coppell, TX, 75019</v>
      </c>
      <c r="M303" s="411" t="str">
        <f>IFERROR(__xludf.DUMMYFUNCTION("""COMPUTED_VALUE"""),"Glenwood Springs, CO, 81601")</f>
        <v>Glenwood Springs, CO, 81601</v>
      </c>
      <c r="N303" s="416">
        <f>IFERROR(__xludf.DUMMYFUNCTION("FILTER(Board!H:H,Board!K:K=N301)"),937.0)</f>
        <v>937</v>
      </c>
      <c r="O303" s="408">
        <v>0.65</v>
      </c>
      <c r="P303" s="414">
        <f t="shared" ref="P303:P306" si="15">N303*O303</f>
        <v>609.05</v>
      </c>
      <c r="Q303" s="378"/>
      <c r="R303" s="378"/>
      <c r="S303" s="378"/>
      <c r="T303" s="378"/>
      <c r="U303" s="378"/>
      <c r="V303" s="378"/>
      <c r="W303" s="378"/>
      <c r="X303" s="378"/>
      <c r="Y303" s="378"/>
      <c r="Z303" s="378"/>
      <c r="AA303" s="378"/>
      <c r="AB303" s="378"/>
      <c r="AC303" s="378"/>
      <c r="AD303" s="378"/>
      <c r="AE303" s="378"/>
      <c r="AF303" s="378"/>
      <c r="AG303" s="378"/>
    </row>
    <row r="304">
      <c r="A304" s="378"/>
      <c r="B304" s="555">
        <f>IFERROR(__xludf.DUMMYFUNCTION("""COMPUTED_VALUE"""),45982.0)</f>
        <v>45982</v>
      </c>
      <c r="C304" s="404">
        <f>IFERROR(__xludf.DUMMYFUNCTION("""COMPUTED_VALUE"""),1240875.0)</f>
        <v>1240875</v>
      </c>
      <c r="D304" s="405" t="str">
        <f>IFERROR(__xludf.DUMMYFUNCTION("""COMPUTED_VALUE"""),"Salt Lake City, UT, 84116")</f>
        <v>Salt Lake City, UT, 84116</v>
      </c>
      <c r="E304" s="406" t="str">
        <f>IFERROR(__xludf.DUMMYFUNCTION("""COMPUTED_VALUE"""),"Batavia, NY, 14020")</f>
        <v>Batavia, NY, 14020</v>
      </c>
      <c r="F304" s="414">
        <f>IFERROR(__xludf.DUMMYFUNCTION("""COMPUTED_VALUE"""),3900.0)</f>
        <v>3900</v>
      </c>
      <c r="G304" s="413">
        <v>0.88</v>
      </c>
      <c r="H304" s="414">
        <f t="shared" si="14"/>
        <v>3432</v>
      </c>
      <c r="I304" s="376"/>
      <c r="J304" s="418">
        <f>IFERROR(__xludf.DUMMYFUNCTION("""COMPUTED_VALUE"""),45982.0)</f>
        <v>45982</v>
      </c>
      <c r="K304" s="411">
        <f>IFERROR(__xludf.DUMMYFUNCTION("""COMPUTED_VALUE"""),1240875.0)</f>
        <v>1240875</v>
      </c>
      <c r="L304" s="411" t="str">
        <f>IFERROR(__xludf.DUMMYFUNCTION("""COMPUTED_VALUE"""),"Salt Lake City, UT, 84116")</f>
        <v>Salt Lake City, UT, 84116</v>
      </c>
      <c r="M304" s="411" t="str">
        <f>IFERROR(__xludf.DUMMYFUNCTION("""COMPUTED_VALUE"""),"Batavia, NY, 14020")</f>
        <v>Batavia, NY, 14020</v>
      </c>
      <c r="N304" s="416">
        <f>IFERROR(__xludf.DUMMYFUNCTION("""COMPUTED_VALUE"""),2259.0)</f>
        <v>2259</v>
      </c>
      <c r="O304" s="408">
        <v>0.65</v>
      </c>
      <c r="P304" s="414">
        <f t="shared" si="15"/>
        <v>1468.35</v>
      </c>
      <c r="Q304" s="378"/>
      <c r="R304" s="378"/>
      <c r="S304" s="378"/>
      <c r="T304" s="378"/>
      <c r="U304" s="378"/>
      <c r="V304" s="378"/>
      <c r="W304" s="378"/>
      <c r="X304" s="378"/>
      <c r="Y304" s="378"/>
      <c r="Z304" s="378"/>
      <c r="AA304" s="378"/>
      <c r="AB304" s="378"/>
      <c r="AC304" s="378"/>
      <c r="AD304" s="378"/>
      <c r="AE304" s="378"/>
      <c r="AF304" s="378"/>
      <c r="AG304" s="378"/>
    </row>
    <row r="305">
      <c r="A305" s="378"/>
      <c r="B305" s="420"/>
      <c r="C305" s="421"/>
      <c r="D305" s="422"/>
      <c r="E305" s="423"/>
      <c r="F305" s="421"/>
      <c r="G305" s="413"/>
      <c r="H305" s="414"/>
      <c r="I305" s="376"/>
      <c r="J305" s="424"/>
      <c r="K305" s="421"/>
      <c r="L305" s="422"/>
      <c r="M305" s="423"/>
      <c r="N305" s="425"/>
      <c r="O305" s="408">
        <v>0.65</v>
      </c>
      <c r="P305" s="414">
        <f t="shared" si="15"/>
        <v>0</v>
      </c>
      <c r="Q305" s="378"/>
      <c r="R305" s="378"/>
      <c r="S305" s="378"/>
      <c r="T305" s="378"/>
      <c r="U305" s="378"/>
      <c r="V305" s="378"/>
      <c r="W305" s="378"/>
      <c r="X305" s="378"/>
      <c r="Y305" s="378"/>
      <c r="Z305" s="378"/>
      <c r="AA305" s="378"/>
      <c r="AB305" s="378"/>
      <c r="AC305" s="378"/>
      <c r="AD305" s="378"/>
      <c r="AE305" s="378"/>
      <c r="AF305" s="378"/>
      <c r="AG305" s="378"/>
    </row>
    <row r="306">
      <c r="A306" s="378"/>
      <c r="B306" s="420"/>
      <c r="C306" s="421"/>
      <c r="D306" s="422"/>
      <c r="E306" s="423"/>
      <c r="F306" s="421"/>
      <c r="G306" s="413"/>
      <c r="H306" s="414"/>
      <c r="I306" s="376"/>
      <c r="J306" s="424"/>
      <c r="K306" s="421"/>
      <c r="L306" s="422"/>
      <c r="M306" s="423"/>
      <c r="N306" s="425"/>
      <c r="O306" s="408">
        <v>0.65</v>
      </c>
      <c r="P306" s="414">
        <f t="shared" si="15"/>
        <v>0</v>
      </c>
      <c r="Q306" s="378"/>
      <c r="R306" s="378"/>
      <c r="S306" s="378"/>
      <c r="T306" s="378"/>
      <c r="U306" s="378"/>
      <c r="V306" s="378"/>
      <c r="W306" s="378"/>
      <c r="X306" s="378"/>
      <c r="Y306" s="378"/>
      <c r="Z306" s="378"/>
      <c r="AA306" s="378"/>
      <c r="AB306" s="378"/>
      <c r="AC306" s="378"/>
      <c r="AD306" s="378"/>
      <c r="AE306" s="378"/>
      <c r="AF306" s="378"/>
      <c r="AG306" s="378"/>
    </row>
    <row r="307">
      <c r="A307" s="378"/>
      <c r="B307" s="420"/>
      <c r="C307" s="421"/>
      <c r="D307" s="422"/>
      <c r="E307" s="423"/>
      <c r="F307" s="421"/>
      <c r="G307" s="413"/>
      <c r="H307" s="414"/>
      <c r="I307" s="376"/>
      <c r="J307" s="424"/>
      <c r="K307" s="421"/>
      <c r="L307" s="422"/>
      <c r="M307" s="423"/>
      <c r="N307" s="425"/>
      <c r="O307" s="408"/>
      <c r="P307" s="414"/>
      <c r="Q307" s="378"/>
      <c r="R307" s="378"/>
      <c r="S307" s="378"/>
      <c r="T307" s="378"/>
      <c r="U307" s="378"/>
      <c r="V307" s="378"/>
      <c r="W307" s="378"/>
      <c r="X307" s="378"/>
      <c r="Y307" s="378"/>
      <c r="Z307" s="378"/>
      <c r="AA307" s="378"/>
      <c r="AB307" s="378"/>
      <c r="AC307" s="378"/>
      <c r="AD307" s="378"/>
      <c r="AE307" s="378"/>
      <c r="AF307" s="378"/>
      <c r="AG307" s="378"/>
    </row>
    <row r="308">
      <c r="A308" s="378"/>
      <c r="B308" s="420"/>
      <c r="C308" s="421"/>
      <c r="D308" s="422"/>
      <c r="E308" s="423"/>
      <c r="F308" s="421"/>
      <c r="G308" s="413"/>
      <c r="H308" s="414"/>
      <c r="I308" s="376"/>
      <c r="J308" s="424"/>
      <c r="K308" s="421"/>
      <c r="L308" s="422"/>
      <c r="M308" s="423"/>
      <c r="N308" s="425"/>
      <c r="O308" s="408"/>
      <c r="P308" s="414"/>
      <c r="Q308" s="378"/>
      <c r="R308" s="378"/>
      <c r="S308" s="378"/>
      <c r="T308" s="378"/>
      <c r="U308" s="378"/>
      <c r="V308" s="378"/>
      <c r="W308" s="378"/>
      <c r="X308" s="378"/>
      <c r="Y308" s="378"/>
      <c r="Z308" s="378"/>
      <c r="AA308" s="378"/>
      <c r="AB308" s="378"/>
      <c r="AC308" s="378"/>
      <c r="AD308" s="378"/>
      <c r="AE308" s="378"/>
      <c r="AF308" s="378"/>
      <c r="AG308" s="378"/>
    </row>
    <row r="309">
      <c r="A309" s="378"/>
      <c r="B309" s="403" t="s">
        <v>711</v>
      </c>
      <c r="C309" s="224"/>
      <c r="D309" s="224"/>
      <c r="E309" s="222"/>
      <c r="F309" s="414">
        <f>SUM(F303:F308)</f>
        <v>6200</v>
      </c>
      <c r="G309" s="421"/>
      <c r="H309" s="414">
        <f>SUM(H303:H308)</f>
        <v>5456</v>
      </c>
      <c r="I309" s="376"/>
      <c r="J309" s="407" t="s">
        <v>711</v>
      </c>
      <c r="K309" s="224"/>
      <c r="L309" s="224"/>
      <c r="M309" s="222"/>
      <c r="N309" s="426">
        <f>SUM(N303:N308)</f>
        <v>3196</v>
      </c>
      <c r="O309" s="427"/>
      <c r="P309" s="414">
        <f>SUM(P303:P308)</f>
        <v>2077.4</v>
      </c>
      <c r="Q309" s="378"/>
      <c r="R309" s="378"/>
      <c r="S309" s="378"/>
      <c r="T309" s="378"/>
      <c r="U309" s="378"/>
      <c r="V309" s="378"/>
      <c r="W309" s="378"/>
      <c r="X309" s="378"/>
      <c r="Y309" s="378"/>
      <c r="Z309" s="378"/>
      <c r="AA309" s="378"/>
      <c r="AB309" s="378"/>
      <c r="AC309" s="378"/>
      <c r="AD309" s="378"/>
      <c r="AE309" s="378"/>
      <c r="AF309" s="378"/>
      <c r="AG309" s="378"/>
    </row>
    <row r="310">
      <c r="A310" s="378"/>
      <c r="B310" s="428"/>
      <c r="C310" s="419"/>
      <c r="D310" s="419"/>
      <c r="E310" s="419"/>
      <c r="F310" s="419"/>
      <c r="G310" s="419"/>
      <c r="H310" s="429"/>
      <c r="I310" s="376"/>
      <c r="J310" s="430"/>
      <c r="K310" s="419"/>
      <c r="L310" s="419"/>
      <c r="M310" s="419"/>
      <c r="N310" s="431"/>
      <c r="O310" s="432"/>
      <c r="P310" s="429"/>
      <c r="Q310" s="378"/>
      <c r="R310" s="378"/>
      <c r="S310" s="378"/>
      <c r="T310" s="378"/>
      <c r="U310" s="378"/>
      <c r="V310" s="378"/>
      <c r="W310" s="378"/>
      <c r="X310" s="378"/>
      <c r="Y310" s="378"/>
      <c r="Z310" s="378"/>
      <c r="AA310" s="378"/>
      <c r="AB310" s="378"/>
      <c r="AC310" s="378"/>
      <c r="AD310" s="378"/>
      <c r="AE310" s="378"/>
      <c r="AF310" s="378"/>
      <c r="AG310" s="378"/>
    </row>
    <row r="311">
      <c r="A311" s="378"/>
      <c r="B311" s="433" t="s">
        <v>712</v>
      </c>
      <c r="C311" s="434"/>
      <c r="D311" s="435"/>
      <c r="E311" s="419"/>
      <c r="F311" s="419"/>
      <c r="G311" s="419"/>
      <c r="H311" s="429"/>
      <c r="I311" s="376"/>
      <c r="J311" s="437" t="s">
        <v>712</v>
      </c>
      <c r="K311" s="434"/>
      <c r="L311" s="435"/>
      <c r="M311" s="419"/>
      <c r="N311" s="431"/>
      <c r="O311" s="432"/>
      <c r="P311" s="429"/>
      <c r="Q311" s="378"/>
      <c r="R311" s="378"/>
      <c r="S311" s="378"/>
      <c r="T311" s="378"/>
      <c r="U311" s="378"/>
      <c r="V311" s="378"/>
      <c r="W311" s="378"/>
      <c r="X311" s="378"/>
      <c r="Y311" s="378"/>
      <c r="Z311" s="378"/>
      <c r="AA311" s="378"/>
      <c r="AB311" s="378"/>
      <c r="AC311" s="378"/>
      <c r="AD311" s="378"/>
      <c r="AE311" s="378"/>
      <c r="AF311" s="378"/>
      <c r="AG311" s="378"/>
    </row>
    <row r="312">
      <c r="A312" s="378"/>
      <c r="B312" s="438" t="s">
        <v>713</v>
      </c>
      <c r="C312" s="439"/>
      <c r="D312" s="440"/>
      <c r="E312" s="419"/>
      <c r="F312" s="419"/>
      <c r="G312" s="419"/>
      <c r="H312" s="429"/>
      <c r="I312" s="376"/>
      <c r="J312" s="443" t="s">
        <v>866</v>
      </c>
      <c r="K312" s="439">
        <f>250*0.65</f>
        <v>162.5</v>
      </c>
      <c r="L312" s="440"/>
      <c r="M312" s="419"/>
      <c r="N312" s="431"/>
      <c r="O312" s="432"/>
      <c r="P312" s="429"/>
      <c r="Q312" s="378"/>
      <c r="R312" s="378"/>
      <c r="S312" s="378"/>
      <c r="T312" s="378"/>
      <c r="U312" s="378"/>
      <c r="V312" s="378"/>
      <c r="W312" s="378"/>
      <c r="X312" s="378"/>
      <c r="Y312" s="378"/>
      <c r="Z312" s="378"/>
      <c r="AA312" s="378"/>
      <c r="AB312" s="378"/>
      <c r="AC312" s="378"/>
      <c r="AD312" s="378"/>
      <c r="AE312" s="378"/>
      <c r="AF312" s="378"/>
      <c r="AG312" s="378"/>
    </row>
    <row r="313">
      <c r="A313" s="378"/>
      <c r="B313" s="444"/>
      <c r="C313" s="434"/>
      <c r="D313" s="435"/>
      <c r="E313" s="419"/>
      <c r="F313" s="463"/>
      <c r="G313" s="463"/>
      <c r="H313" s="448"/>
      <c r="I313" s="376"/>
      <c r="J313" s="445"/>
      <c r="K313" s="434"/>
      <c r="L313" s="435"/>
      <c r="M313" s="419"/>
      <c r="N313" s="446"/>
      <c r="O313" s="447"/>
      <c r="P313" s="448"/>
      <c r="Q313" s="378"/>
      <c r="R313" s="378"/>
      <c r="S313" s="378"/>
      <c r="T313" s="378"/>
      <c r="U313" s="378"/>
      <c r="V313" s="378"/>
      <c r="W313" s="378"/>
      <c r="X313" s="378"/>
      <c r="Y313" s="378"/>
      <c r="Z313" s="378"/>
      <c r="AA313" s="378"/>
      <c r="AB313" s="378"/>
      <c r="AC313" s="378"/>
      <c r="AD313" s="378"/>
      <c r="AE313" s="378"/>
      <c r="AF313" s="378"/>
      <c r="AG313" s="378"/>
    </row>
    <row r="314">
      <c r="A314" s="378"/>
      <c r="B314" s="438" t="s">
        <v>714</v>
      </c>
      <c r="C314" s="439">
        <f>SUM(C312:C313)</f>
        <v>0</v>
      </c>
      <c r="D314" s="440"/>
      <c r="E314" s="419"/>
      <c r="F314" s="463"/>
      <c r="G314" s="463"/>
      <c r="H314" s="448"/>
      <c r="I314" s="376"/>
      <c r="J314" s="443" t="s">
        <v>714</v>
      </c>
      <c r="K314" s="439">
        <f>SUM(K312:K313)</f>
        <v>162.5</v>
      </c>
      <c r="L314" s="440"/>
      <c r="M314" s="419"/>
      <c r="N314" s="446"/>
      <c r="O314" s="447"/>
      <c r="P314" s="448"/>
      <c r="Q314" s="378"/>
      <c r="R314" s="378"/>
      <c r="S314" s="378"/>
      <c r="T314" s="378"/>
      <c r="U314" s="378"/>
      <c r="V314" s="378"/>
      <c r="W314" s="378"/>
      <c r="X314" s="378"/>
      <c r="Y314" s="378"/>
      <c r="Z314" s="378"/>
      <c r="AA314" s="378"/>
      <c r="AB314" s="378"/>
      <c r="AC314" s="378"/>
      <c r="AD314" s="378"/>
      <c r="AE314" s="378"/>
      <c r="AF314" s="378"/>
      <c r="AG314" s="378"/>
    </row>
    <row r="315">
      <c r="A315" s="378"/>
      <c r="B315" s="450"/>
      <c r="C315" s="451"/>
      <c r="D315" s="419"/>
      <c r="E315" s="419"/>
      <c r="F315" s="463"/>
      <c r="G315" s="463"/>
      <c r="H315" s="448"/>
      <c r="I315" s="376"/>
      <c r="J315" s="535"/>
      <c r="K315" s="451"/>
      <c r="L315" s="419"/>
      <c r="M315" s="419"/>
      <c r="N315" s="446"/>
      <c r="O315" s="447"/>
      <c r="P315" s="448"/>
      <c r="Q315" s="378"/>
      <c r="R315" s="378"/>
      <c r="S315" s="378"/>
      <c r="T315" s="378"/>
      <c r="U315" s="378"/>
      <c r="V315" s="378"/>
      <c r="W315" s="378"/>
      <c r="X315" s="378"/>
      <c r="Y315" s="378"/>
      <c r="Z315" s="378"/>
      <c r="AA315" s="378"/>
      <c r="AB315" s="378"/>
      <c r="AC315" s="378"/>
      <c r="AD315" s="378"/>
      <c r="AE315" s="378"/>
      <c r="AF315" s="378"/>
      <c r="AG315" s="378"/>
    </row>
    <row r="316">
      <c r="A316" s="378"/>
      <c r="B316" s="454" t="s">
        <v>715</v>
      </c>
      <c r="C316" s="455"/>
      <c r="D316" s="435"/>
      <c r="E316" s="419"/>
      <c r="F316" s="463"/>
      <c r="G316" s="463"/>
      <c r="H316" s="448"/>
      <c r="I316" s="376"/>
      <c r="J316" s="458" t="s">
        <v>715</v>
      </c>
      <c r="K316" s="455"/>
      <c r="L316" s="435"/>
      <c r="M316" s="419"/>
      <c r="N316" s="446"/>
      <c r="O316" s="447"/>
      <c r="P316" s="448"/>
      <c r="Q316" s="378"/>
      <c r="R316" s="378"/>
      <c r="S316" s="378"/>
      <c r="T316" s="378"/>
      <c r="U316" s="378"/>
      <c r="V316" s="378"/>
      <c r="W316" s="378"/>
      <c r="X316" s="378"/>
      <c r="Y316" s="378"/>
      <c r="Z316" s="378"/>
      <c r="AA316" s="378"/>
      <c r="AB316" s="378"/>
      <c r="AC316" s="378"/>
      <c r="AD316" s="378"/>
      <c r="AE316" s="378"/>
      <c r="AF316" s="378"/>
      <c r="AG316" s="378"/>
    </row>
    <row r="317">
      <c r="A317" s="378"/>
      <c r="B317" s="459" t="s">
        <v>716</v>
      </c>
      <c r="C317" s="460">
        <v>150.0</v>
      </c>
      <c r="D317" s="440"/>
      <c r="E317" s="419"/>
      <c r="F317" s="463"/>
      <c r="G317" s="463"/>
      <c r="H317" s="448"/>
      <c r="I317" s="376"/>
      <c r="J317" s="462" t="s">
        <v>716</v>
      </c>
      <c r="K317" s="460"/>
      <c r="L317" s="440"/>
      <c r="M317" s="419"/>
      <c r="N317" s="446"/>
      <c r="O317" s="447"/>
      <c r="P317" s="448"/>
      <c r="Q317" s="378"/>
      <c r="R317" s="378"/>
      <c r="S317" s="378"/>
      <c r="T317" s="378"/>
      <c r="U317" s="378"/>
      <c r="V317" s="378"/>
      <c r="W317" s="378"/>
      <c r="X317" s="378"/>
      <c r="Y317" s="378"/>
      <c r="Z317" s="378"/>
      <c r="AA317" s="378"/>
      <c r="AB317" s="378"/>
      <c r="AC317" s="378"/>
      <c r="AD317" s="378"/>
      <c r="AE317" s="378"/>
      <c r="AF317" s="378"/>
      <c r="AG317" s="378"/>
    </row>
    <row r="318">
      <c r="A318" s="378"/>
      <c r="B318" s="459" t="s">
        <v>717</v>
      </c>
      <c r="C318" s="460">
        <v>400.0</v>
      </c>
      <c r="D318" s="440"/>
      <c r="E318" s="419"/>
      <c r="F318" s="463"/>
      <c r="G318" s="463"/>
      <c r="H318" s="448"/>
      <c r="I318" s="376"/>
      <c r="J318" s="462" t="s">
        <v>717</v>
      </c>
      <c r="K318" s="460"/>
      <c r="L318" s="440"/>
      <c r="M318" s="419"/>
      <c r="N318" s="446"/>
      <c r="O318" s="447"/>
      <c r="P318" s="448"/>
      <c r="Q318" s="378"/>
      <c r="R318" s="378"/>
      <c r="S318" s="378"/>
      <c r="T318" s="378"/>
      <c r="U318" s="378"/>
      <c r="V318" s="378"/>
      <c r="W318" s="378"/>
      <c r="X318" s="378"/>
      <c r="Y318" s="378"/>
      <c r="Z318" s="378"/>
      <c r="AA318" s="378"/>
      <c r="AB318" s="378"/>
      <c r="AC318" s="378"/>
      <c r="AD318" s="378"/>
      <c r="AE318" s="378"/>
      <c r="AF318" s="378"/>
      <c r="AG318" s="378"/>
    </row>
    <row r="319">
      <c r="A319" s="378"/>
      <c r="B319" s="459" t="s">
        <v>718</v>
      </c>
      <c r="C319" s="460">
        <v>200.0</v>
      </c>
      <c r="D319" s="440"/>
      <c r="E319" s="419"/>
      <c r="F319" s="463"/>
      <c r="G319" s="463"/>
      <c r="H319" s="448"/>
      <c r="I319" s="376"/>
      <c r="J319" s="462" t="s">
        <v>718</v>
      </c>
      <c r="K319" s="460"/>
      <c r="L319" s="440"/>
      <c r="M319" s="419"/>
      <c r="N319" s="446"/>
      <c r="O319" s="447"/>
      <c r="P319" s="448"/>
      <c r="Q319" s="378"/>
      <c r="R319" s="378"/>
      <c r="S319" s="378"/>
      <c r="T319" s="378"/>
      <c r="U319" s="378"/>
      <c r="V319" s="378"/>
      <c r="W319" s="378"/>
      <c r="X319" s="378"/>
      <c r="Y319" s="378"/>
      <c r="Z319" s="378"/>
      <c r="AA319" s="378"/>
      <c r="AB319" s="378"/>
      <c r="AC319" s="378"/>
      <c r="AD319" s="378"/>
      <c r="AE319" s="378"/>
      <c r="AF319" s="378"/>
      <c r="AG319" s="378"/>
    </row>
    <row r="320">
      <c r="A320" s="378"/>
      <c r="B320" s="459" t="s">
        <v>656</v>
      </c>
      <c r="C320" s="460" t="str">
        <f>IFERROR(__xludf.DUMMYFUNCTION("FILTER(D1045:D1073,C1045:C1073=F301)"),"#REF!")</f>
        <v>#REF!</v>
      </c>
      <c r="D320" s="440"/>
      <c r="E320" s="419"/>
      <c r="F320" s="463"/>
      <c r="G320" s="463"/>
      <c r="H320" s="448"/>
      <c r="I320" s="376"/>
      <c r="J320" s="462" t="s">
        <v>656</v>
      </c>
      <c r="K320" s="460"/>
      <c r="L320" s="440"/>
      <c r="M320" s="419"/>
      <c r="N320" s="446"/>
      <c r="O320" s="447"/>
      <c r="P320" s="448"/>
      <c r="Q320" s="378"/>
      <c r="R320" s="378"/>
      <c r="S320" s="378"/>
      <c r="T320" s="378"/>
      <c r="U320" s="378"/>
      <c r="V320" s="378"/>
      <c r="W320" s="378"/>
      <c r="X320" s="378"/>
      <c r="Y320" s="378"/>
      <c r="Z320" s="378"/>
      <c r="AA320" s="378"/>
      <c r="AB320" s="378"/>
      <c r="AC320" s="378"/>
      <c r="AD320" s="378"/>
      <c r="AE320" s="378"/>
      <c r="AF320" s="378"/>
      <c r="AG320" s="378"/>
    </row>
    <row r="321">
      <c r="A321" s="378"/>
      <c r="B321" s="454" t="s">
        <v>867</v>
      </c>
      <c r="C321" s="537">
        <v>1039.2</v>
      </c>
      <c r="D321" s="435"/>
      <c r="E321" s="419"/>
      <c r="F321" s="468" t="s">
        <v>842</v>
      </c>
      <c r="G321" s="466" t="str">
        <f>H309+C314-C326</f>
        <v>#REF!</v>
      </c>
      <c r="H321" s="211"/>
      <c r="I321" s="376"/>
      <c r="J321" s="467"/>
      <c r="K321" s="455"/>
      <c r="L321" s="435"/>
      <c r="M321" s="419"/>
      <c r="N321" s="468" t="s">
        <v>842</v>
      </c>
      <c r="O321" s="539">
        <f>P309+K314-K326</f>
        <v>2239.9</v>
      </c>
      <c r="P321" s="211"/>
      <c r="Q321" s="378"/>
      <c r="R321" s="378"/>
      <c r="S321" s="378"/>
      <c r="T321" s="378"/>
      <c r="U321" s="378"/>
      <c r="V321" s="378"/>
      <c r="W321" s="378"/>
      <c r="X321" s="378"/>
      <c r="Y321" s="378"/>
      <c r="Z321" s="378"/>
      <c r="AA321" s="378"/>
      <c r="AB321" s="378"/>
      <c r="AC321" s="378"/>
      <c r="AD321" s="378"/>
      <c r="AE321" s="378"/>
      <c r="AF321" s="378"/>
      <c r="AG321" s="378"/>
    </row>
    <row r="322">
      <c r="A322" s="378"/>
      <c r="B322" s="454" t="s">
        <v>868</v>
      </c>
      <c r="C322" s="537">
        <v>438.36</v>
      </c>
      <c r="D322" s="435"/>
      <c r="E322" s="419"/>
      <c r="F322" s="469" t="s">
        <v>843</v>
      </c>
      <c r="G322" s="278"/>
      <c r="H322" s="56"/>
      <c r="I322" s="376"/>
      <c r="J322" s="467"/>
      <c r="K322" s="455"/>
      <c r="L322" s="435"/>
      <c r="M322" s="419"/>
      <c r="N322" s="469" t="s">
        <v>854</v>
      </c>
      <c r="O322" s="278"/>
      <c r="P322" s="56"/>
      <c r="Q322" s="378"/>
      <c r="R322" s="378"/>
      <c r="S322" s="378"/>
      <c r="T322" s="378"/>
      <c r="U322" s="378"/>
      <c r="V322" s="378"/>
      <c r="W322" s="378"/>
      <c r="X322" s="378"/>
      <c r="Y322" s="378"/>
      <c r="Z322" s="378"/>
      <c r="AA322" s="378"/>
      <c r="AB322" s="378"/>
      <c r="AC322" s="378"/>
      <c r="AD322" s="378"/>
      <c r="AE322" s="378"/>
      <c r="AF322" s="378"/>
      <c r="AG322" s="378"/>
    </row>
    <row r="323">
      <c r="A323" s="378"/>
      <c r="B323" s="464"/>
      <c r="C323" s="543"/>
      <c r="D323" s="435"/>
      <c r="E323" s="419"/>
      <c r="F323" s="470"/>
      <c r="G323" s="215"/>
      <c r="H323" s="64"/>
      <c r="I323" s="376"/>
      <c r="J323" s="467"/>
      <c r="K323" s="455"/>
      <c r="L323" s="435"/>
      <c r="M323" s="419"/>
      <c r="N323" s="470"/>
      <c r="O323" s="215"/>
      <c r="P323" s="64"/>
      <c r="Q323" s="378"/>
      <c r="R323" s="378"/>
      <c r="S323" s="378"/>
      <c r="T323" s="378"/>
      <c r="U323" s="378"/>
      <c r="V323" s="378"/>
      <c r="W323" s="378"/>
      <c r="X323" s="378"/>
      <c r="Y323" s="378"/>
      <c r="Z323" s="378"/>
      <c r="AA323" s="378"/>
      <c r="AB323" s="378"/>
      <c r="AC323" s="378"/>
      <c r="AD323" s="378"/>
      <c r="AE323" s="378"/>
      <c r="AF323" s="378"/>
      <c r="AG323" s="378"/>
    </row>
    <row r="324">
      <c r="A324" s="378"/>
      <c r="B324" s="464"/>
      <c r="C324" s="543"/>
      <c r="D324" s="435"/>
      <c r="E324" s="419"/>
      <c r="F324" s="419"/>
      <c r="G324" s="419"/>
      <c r="H324" s="429"/>
      <c r="I324" s="376"/>
      <c r="J324" s="467"/>
      <c r="K324" s="455"/>
      <c r="L324" s="435"/>
      <c r="M324" s="419"/>
      <c r="N324" s="431"/>
      <c r="O324" s="432"/>
      <c r="P324" s="429"/>
      <c r="Q324" s="378"/>
      <c r="R324" s="378"/>
      <c r="S324" s="378"/>
      <c r="T324" s="378"/>
      <c r="U324" s="378"/>
      <c r="V324" s="378"/>
      <c r="W324" s="378"/>
      <c r="X324" s="378"/>
      <c r="Y324" s="378"/>
      <c r="Z324" s="378"/>
      <c r="AA324" s="378"/>
      <c r="AB324" s="378"/>
      <c r="AC324" s="378"/>
      <c r="AD324" s="378"/>
      <c r="AE324" s="378"/>
      <c r="AF324" s="378"/>
      <c r="AG324" s="378"/>
    </row>
    <row r="325">
      <c r="A325" s="378"/>
      <c r="B325" s="464"/>
      <c r="C325" s="543"/>
      <c r="D325" s="435"/>
      <c r="E325" s="419"/>
      <c r="F325" s="419"/>
      <c r="G325" s="419"/>
      <c r="H325" s="429"/>
      <c r="I325" s="376"/>
      <c r="J325" s="467"/>
      <c r="K325" s="455"/>
      <c r="L325" s="435"/>
      <c r="M325" s="419"/>
      <c r="N325" s="431"/>
      <c r="O325" s="432"/>
      <c r="P325" s="429"/>
      <c r="Q325" s="378"/>
      <c r="R325" s="378"/>
      <c r="S325" s="378"/>
      <c r="T325" s="378"/>
      <c r="U325" s="378"/>
      <c r="V325" s="378"/>
      <c r="W325" s="378"/>
      <c r="X325" s="378"/>
      <c r="Y325" s="378"/>
      <c r="Z325" s="378"/>
      <c r="AA325" s="378"/>
      <c r="AB325" s="378"/>
      <c r="AC325" s="378"/>
      <c r="AD325" s="378"/>
      <c r="AE325" s="378"/>
      <c r="AF325" s="378"/>
      <c r="AG325" s="378"/>
    </row>
    <row r="326">
      <c r="A326" s="378"/>
      <c r="B326" s="454" t="s">
        <v>721</v>
      </c>
      <c r="C326" s="460" t="str">
        <f>SUM(C317:C325)</f>
        <v>#REF!</v>
      </c>
      <c r="D326" s="440"/>
      <c r="E326" s="419"/>
      <c r="F326" s="419"/>
      <c r="G326" s="419"/>
      <c r="H326" s="429"/>
      <c r="I326" s="376"/>
      <c r="J326" s="458" t="s">
        <v>721</v>
      </c>
      <c r="K326" s="460">
        <f>SUM(K317:K325)</f>
        <v>0</v>
      </c>
      <c r="L326" s="440"/>
      <c r="M326" s="419"/>
      <c r="N326" s="431"/>
      <c r="O326" s="432"/>
      <c r="P326" s="429"/>
      <c r="Q326" s="378"/>
      <c r="R326" s="378"/>
      <c r="S326" s="378"/>
      <c r="T326" s="378"/>
      <c r="U326" s="378"/>
      <c r="V326" s="378"/>
      <c r="W326" s="378"/>
      <c r="X326" s="378"/>
      <c r="Y326" s="378"/>
      <c r="Z326" s="378"/>
      <c r="AA326" s="378"/>
      <c r="AB326" s="378"/>
      <c r="AC326" s="378"/>
      <c r="AD326" s="378"/>
      <c r="AE326" s="378"/>
      <c r="AF326" s="378"/>
      <c r="AG326" s="378"/>
    </row>
    <row r="327">
      <c r="A327" s="378"/>
      <c r="B327" s="471"/>
      <c r="C327" s="472"/>
      <c r="D327" s="472"/>
      <c r="E327" s="472"/>
      <c r="F327" s="472"/>
      <c r="G327" s="472"/>
      <c r="H327" s="473"/>
      <c r="I327" s="376"/>
      <c r="J327" s="474"/>
      <c r="K327" s="472"/>
      <c r="L327" s="472"/>
      <c r="M327" s="472"/>
      <c r="N327" s="475"/>
      <c r="O327" s="476"/>
      <c r="P327" s="473"/>
      <c r="Q327" s="378"/>
      <c r="R327" s="378"/>
      <c r="S327" s="378"/>
      <c r="T327" s="378"/>
      <c r="U327" s="378"/>
      <c r="V327" s="378"/>
      <c r="W327" s="378"/>
      <c r="X327" s="378"/>
      <c r="Y327" s="378"/>
      <c r="Z327" s="378"/>
      <c r="AA327" s="378"/>
      <c r="AB327" s="378"/>
      <c r="AC327" s="378"/>
      <c r="AD327" s="378"/>
      <c r="AE327" s="378"/>
      <c r="AF327" s="378"/>
      <c r="AG327" s="378"/>
    </row>
    <row r="328">
      <c r="A328" s="378"/>
      <c r="B328" s="550"/>
      <c r="C328" s="463"/>
      <c r="D328" s="463"/>
      <c r="E328" s="463"/>
      <c r="F328" s="463"/>
      <c r="G328" s="463"/>
      <c r="H328" s="463"/>
      <c r="I328" s="376"/>
      <c r="J328" s="377"/>
      <c r="K328" s="378"/>
      <c r="L328" s="378"/>
      <c r="M328" s="378"/>
      <c r="N328" s="379"/>
      <c r="O328" s="380"/>
      <c r="P328" s="378"/>
      <c r="Q328" s="378"/>
      <c r="R328" s="378"/>
      <c r="S328" s="378"/>
      <c r="T328" s="378"/>
      <c r="U328" s="378"/>
      <c r="V328" s="378"/>
      <c r="W328" s="378"/>
      <c r="X328" s="378"/>
      <c r="Y328" s="378"/>
      <c r="Z328" s="378"/>
      <c r="AA328" s="378"/>
      <c r="AB328" s="378"/>
      <c r="AC328" s="378"/>
      <c r="AD328" s="378"/>
      <c r="AE328" s="378"/>
      <c r="AF328" s="378"/>
      <c r="AG328" s="378"/>
    </row>
    <row r="329">
      <c r="A329" s="378"/>
      <c r="B329" s="550"/>
      <c r="C329" s="463"/>
      <c r="D329" s="463"/>
      <c r="E329" s="463"/>
      <c r="F329" s="463"/>
      <c r="G329" s="463"/>
      <c r="H329" s="463"/>
      <c r="I329" s="376"/>
      <c r="J329" s="377"/>
      <c r="K329" s="378"/>
      <c r="L329" s="378"/>
      <c r="M329" s="378"/>
      <c r="N329" s="379"/>
      <c r="O329" s="380"/>
      <c r="P329" s="378"/>
      <c r="Q329" s="378"/>
      <c r="R329" s="378"/>
      <c r="S329" s="378"/>
      <c r="T329" s="378"/>
      <c r="U329" s="378"/>
      <c r="V329" s="378"/>
      <c r="W329" s="378"/>
      <c r="X329" s="378"/>
      <c r="Y329" s="378"/>
      <c r="Z329" s="378"/>
      <c r="AA329" s="378"/>
      <c r="AB329" s="378"/>
      <c r="AC329" s="378"/>
      <c r="AD329" s="378"/>
      <c r="AE329" s="378"/>
      <c r="AF329" s="378"/>
      <c r="AG329" s="378"/>
    </row>
    <row r="330">
      <c r="A330" s="378"/>
      <c r="B330" s="382"/>
      <c r="C330" s="388"/>
      <c r="D330" s="384"/>
      <c r="E330" s="385" t="s">
        <v>700</v>
      </c>
      <c r="F330" s="385" t="str">
        <f>Board!A2</f>
        <v>11.17.25-11.23.25</v>
      </c>
      <c r="G330" s="213"/>
      <c r="H330" s="211"/>
      <c r="I330" s="386">
        <v>9.0</v>
      </c>
      <c r="J330" s="387"/>
      <c r="K330" s="388"/>
      <c r="L330" s="384"/>
      <c r="M330" s="385" t="s">
        <v>700</v>
      </c>
      <c r="N330" s="385" t="str">
        <f>Board!A2</f>
        <v>11.17.25-11.23.25</v>
      </c>
      <c r="O330" s="213"/>
      <c r="P330" s="211"/>
      <c r="Q330" s="378"/>
      <c r="R330" s="389" t="s">
        <v>831</v>
      </c>
      <c r="S330" s="389" t="s">
        <v>652</v>
      </c>
      <c r="T330" s="390" t="s">
        <v>832</v>
      </c>
      <c r="U330" s="391" t="s">
        <v>833</v>
      </c>
      <c r="V330" s="389" t="s">
        <v>655</v>
      </c>
      <c r="W330" s="389" t="s">
        <v>8</v>
      </c>
      <c r="X330" s="389" t="s">
        <v>656</v>
      </c>
      <c r="Y330" s="390" t="s">
        <v>834</v>
      </c>
      <c r="Z330" s="392" t="s">
        <v>835</v>
      </c>
      <c r="AA330" s="390" t="s">
        <v>836</v>
      </c>
      <c r="AB330" s="390" t="s">
        <v>837</v>
      </c>
      <c r="AC330" s="393" t="s">
        <v>716</v>
      </c>
      <c r="AD330" s="393" t="s">
        <v>717</v>
      </c>
      <c r="AE330" s="393" t="s">
        <v>718</v>
      </c>
      <c r="AF330" s="394" t="s">
        <v>838</v>
      </c>
      <c r="AG330" s="394"/>
    </row>
    <row r="331">
      <c r="A331" s="378"/>
      <c r="B331" s="395"/>
      <c r="C331" s="372"/>
      <c r="D331" s="396"/>
      <c r="E331" s="385" t="s">
        <v>702</v>
      </c>
      <c r="F331" s="385" t="s">
        <v>869</v>
      </c>
      <c r="G331" s="213"/>
      <c r="H331" s="211"/>
      <c r="I331" s="376"/>
      <c r="J331" s="397"/>
      <c r="K331" s="372"/>
      <c r="L331" s="396"/>
      <c r="M331" s="385" t="s">
        <v>351</v>
      </c>
      <c r="N331" s="385" t="str">
        <f t="array" ref="N331">XLOOKUP(N332,Board!K:K,Board!J:J)</f>
        <v>WILLIE HAMPTON ANDERSON</v>
      </c>
      <c r="O331" s="213"/>
      <c r="P331" s="211"/>
      <c r="Q331" s="378"/>
      <c r="R331" s="398">
        <f>I330</f>
        <v>9</v>
      </c>
      <c r="S331" s="398">
        <f>F332</f>
        <v>2675</v>
      </c>
      <c r="T331" s="399" t="str">
        <f>G352</f>
        <v>#REF!</v>
      </c>
      <c r="U331" s="378" t="str">
        <f>N331</f>
        <v>WILLIE HAMPTON ANDERSON</v>
      </c>
      <c r="V331" s="380">
        <f>O352</f>
        <v>3199.35</v>
      </c>
      <c r="W331" s="399">
        <f>P340</f>
        <v>3249.35</v>
      </c>
      <c r="X331" s="399" t="str">
        <f>C351</f>
        <v>#REF!</v>
      </c>
      <c r="Y331" s="400">
        <f>N340</f>
        <v>4999</v>
      </c>
      <c r="Z331" s="378" t="str">
        <f>V332-V331</f>
        <v>#REF!</v>
      </c>
      <c r="AA331" s="378"/>
      <c r="AB331" s="378"/>
      <c r="AC331" s="401">
        <f>C348</f>
        <v>100</v>
      </c>
      <c r="AD331" s="401">
        <f>C349</f>
        <v>400</v>
      </c>
      <c r="AE331" s="401">
        <f>C350</f>
        <v>200</v>
      </c>
      <c r="AF331" s="530">
        <f>C352+C353+C354+C355+C356</f>
        <v>300</v>
      </c>
      <c r="AG331" s="398"/>
    </row>
    <row r="332">
      <c r="A332" s="378"/>
      <c r="B332" s="395"/>
      <c r="C332" s="372"/>
      <c r="D332" s="402"/>
      <c r="E332" s="385" t="s">
        <v>703</v>
      </c>
      <c r="F332" s="385">
        <v>2675.0</v>
      </c>
      <c r="G332" s="213"/>
      <c r="H332" s="211"/>
      <c r="I332" s="376"/>
      <c r="J332" s="397"/>
      <c r="K332" s="372"/>
      <c r="L332" s="402"/>
      <c r="M332" s="385" t="s">
        <v>703</v>
      </c>
      <c r="N332" s="385">
        <f>F332</f>
        <v>2675</v>
      </c>
      <c r="O332" s="213"/>
      <c r="P332" s="211"/>
      <c r="Q332" s="378"/>
      <c r="R332" s="378"/>
      <c r="S332" s="378"/>
      <c r="T332" s="378"/>
      <c r="U332" s="378" t="str">
        <f>F331</f>
        <v>Besa Transport LLC</v>
      </c>
      <c r="V332" s="399" t="str">
        <f>G352</f>
        <v>#REF!</v>
      </c>
      <c r="W332" s="399">
        <f>H340</f>
        <v>9042</v>
      </c>
      <c r="X332" s="378"/>
      <c r="Y332" s="378"/>
      <c r="Z332" s="378"/>
      <c r="AA332" s="378"/>
      <c r="AB332" s="378"/>
      <c r="AC332" s="378"/>
      <c r="AD332" s="378"/>
      <c r="AE332" s="378"/>
      <c r="AF332" s="378"/>
      <c r="AG332" s="378"/>
    </row>
    <row r="333">
      <c r="A333" s="378"/>
      <c r="B333" s="403" t="s">
        <v>704</v>
      </c>
      <c r="C333" s="404" t="s">
        <v>5</v>
      </c>
      <c r="D333" s="405" t="s">
        <v>6</v>
      </c>
      <c r="E333" s="406" t="s">
        <v>7</v>
      </c>
      <c r="F333" s="404" t="s">
        <v>8</v>
      </c>
      <c r="G333" s="404" t="s">
        <v>706</v>
      </c>
      <c r="H333" s="404" t="s">
        <v>707</v>
      </c>
      <c r="I333" s="376"/>
      <c r="J333" s="407" t="s">
        <v>704</v>
      </c>
      <c r="K333" s="404" t="s">
        <v>5</v>
      </c>
      <c r="L333" s="405" t="s">
        <v>6</v>
      </c>
      <c r="M333" s="406" t="s">
        <v>7</v>
      </c>
      <c r="N333" s="404" t="s">
        <v>591</v>
      </c>
      <c r="O333" s="408" t="s">
        <v>839</v>
      </c>
      <c r="P333" s="404" t="s">
        <v>707</v>
      </c>
      <c r="Q333" s="378"/>
      <c r="R333" s="378"/>
      <c r="S333" s="378"/>
      <c r="T333" s="378"/>
      <c r="U333" s="378"/>
      <c r="V333" s="378"/>
      <c r="W333" s="378"/>
      <c r="X333" s="378"/>
      <c r="Y333" s="378"/>
      <c r="Z333" s="378"/>
      <c r="AA333" s="378"/>
      <c r="AB333" s="378"/>
      <c r="AC333" s="378"/>
      <c r="AD333" s="378"/>
      <c r="AE333" s="378"/>
      <c r="AF333" s="378"/>
      <c r="AG333" s="378"/>
    </row>
    <row r="334">
      <c r="A334" s="378"/>
      <c r="B334" s="555">
        <f>IFERROR(__xludf.DUMMYFUNCTION("FILTER(Board!C:G,Board!K:K=F332)"),45978.0)</f>
        <v>45978</v>
      </c>
      <c r="C334" s="404">
        <f>IFERROR(__xludf.DUMMYFUNCTION("""COMPUTED_VALUE"""),2870321.0)</f>
        <v>2870321</v>
      </c>
      <c r="D334" s="405" t="str">
        <f>IFERROR(__xludf.DUMMYFUNCTION("""COMPUTED_VALUE"""),"Quincy, IL, 62305")</f>
        <v>Quincy, IL, 62305</v>
      </c>
      <c r="E334" s="406" t="str">
        <f>IFERROR(__xludf.DUMMYFUNCTION("""COMPUTED_VALUE"""),"North Sioux City, SD, 57049")</f>
        <v>North Sioux City, SD, 57049</v>
      </c>
      <c r="F334" s="414">
        <f>IFERROR(__xludf.DUMMYFUNCTION("""COMPUTED_VALUE"""),1200.0)</f>
        <v>1200</v>
      </c>
      <c r="G334" s="413">
        <v>0.88</v>
      </c>
      <c r="H334" s="414">
        <f t="shared" ref="H334:H336" si="16">F334*G334</f>
        <v>1056</v>
      </c>
      <c r="I334" s="376"/>
      <c r="J334" s="415">
        <f>IFERROR(__xludf.DUMMYFUNCTION("FILTER(Board!C:F,Board!K:K=N332)"),45978.0)</f>
        <v>45978</v>
      </c>
      <c r="K334" s="411">
        <f>IFERROR(__xludf.DUMMYFUNCTION("""COMPUTED_VALUE"""),2870321.0)</f>
        <v>2870321</v>
      </c>
      <c r="L334" s="411" t="str">
        <f>IFERROR(__xludf.DUMMYFUNCTION("""COMPUTED_VALUE"""),"Quincy, IL, 62305")</f>
        <v>Quincy, IL, 62305</v>
      </c>
      <c r="M334" s="411" t="str">
        <f>IFERROR(__xludf.DUMMYFUNCTION("""COMPUTED_VALUE"""),"North Sioux City, SD, 57049")</f>
        <v>North Sioux City, SD, 57049</v>
      </c>
      <c r="N334" s="416">
        <f>IFERROR(__xludf.DUMMYFUNCTION("FILTER(Board!H:H,Board!K:K=N332)"),534.0)</f>
        <v>534</v>
      </c>
      <c r="O334" s="408">
        <v>0.65</v>
      </c>
      <c r="P334" s="414">
        <f t="shared" ref="P334:P336" si="17">N334*O334</f>
        <v>347.1</v>
      </c>
      <c r="Q334" s="378"/>
      <c r="R334" s="378"/>
      <c r="S334" s="378"/>
      <c r="T334" s="378"/>
      <c r="U334" s="378"/>
      <c r="V334" s="378"/>
      <c r="W334" s="378"/>
      <c r="X334" s="378"/>
      <c r="Y334" s="378"/>
      <c r="Z334" s="378"/>
      <c r="AA334" s="378"/>
      <c r="AB334" s="378"/>
      <c r="AC334" s="378"/>
      <c r="AD334" s="378"/>
      <c r="AE334" s="378"/>
      <c r="AF334" s="378"/>
      <c r="AG334" s="378"/>
    </row>
    <row r="335">
      <c r="A335" s="378"/>
      <c r="B335" s="555">
        <f>IFERROR(__xludf.DUMMYFUNCTION("""COMPUTED_VALUE"""),45979.0)</f>
        <v>45979</v>
      </c>
      <c r="C335" s="404">
        <f>IFERROR(__xludf.DUMMYFUNCTION("""COMPUTED_VALUE"""),5.35189665E8)</f>
        <v>535189665</v>
      </c>
      <c r="D335" s="405" t="str">
        <f>IFERROR(__xludf.DUMMYFUNCTION("""COMPUTED_VALUE"""),"North Sioux City, SD, 57049")</f>
        <v>North Sioux City, SD, 57049</v>
      </c>
      <c r="E335" s="406" t="str">
        <f>IFERROR(__xludf.DUMMYFUNCTION("""COMPUTED_VALUE"""),"San Diego, CA, 92121")</f>
        <v>San Diego, CA, 92121</v>
      </c>
      <c r="F335" s="414">
        <f>IFERROR(__xludf.DUMMYFUNCTION("""COMPUTED_VALUE"""),2775.0)</f>
        <v>2775</v>
      </c>
      <c r="G335" s="413">
        <v>0.88</v>
      </c>
      <c r="H335" s="414">
        <f t="shared" si="16"/>
        <v>2442</v>
      </c>
      <c r="I335" s="376"/>
      <c r="J335" s="418">
        <f>IFERROR(__xludf.DUMMYFUNCTION("""COMPUTED_VALUE"""),45979.0)</f>
        <v>45979</v>
      </c>
      <c r="K335" s="411">
        <f>IFERROR(__xludf.DUMMYFUNCTION("""COMPUTED_VALUE"""),5.35189665E8)</f>
        <v>535189665</v>
      </c>
      <c r="L335" s="411" t="str">
        <f>IFERROR(__xludf.DUMMYFUNCTION("""COMPUTED_VALUE"""),"North Sioux City, SD, 57049")</f>
        <v>North Sioux City, SD, 57049</v>
      </c>
      <c r="M335" s="411" t="str">
        <f>IFERROR(__xludf.DUMMYFUNCTION("""COMPUTED_VALUE"""),"San Diego, CA, 92121")</f>
        <v>San Diego, CA, 92121</v>
      </c>
      <c r="N335" s="416">
        <f>IFERROR(__xludf.DUMMYFUNCTION("""COMPUTED_VALUE"""),1636.0)</f>
        <v>1636</v>
      </c>
      <c r="O335" s="408">
        <v>0.65</v>
      </c>
      <c r="P335" s="414">
        <f t="shared" si="17"/>
        <v>1063.4</v>
      </c>
      <c r="Q335" s="378"/>
      <c r="R335" s="378"/>
      <c r="S335" s="378"/>
      <c r="T335" s="378"/>
      <c r="U335" s="378"/>
      <c r="V335" s="378"/>
      <c r="W335" s="378"/>
      <c r="X335" s="378"/>
      <c r="Y335" s="378"/>
      <c r="Z335" s="378"/>
      <c r="AA335" s="378"/>
      <c r="AB335" s="378"/>
      <c r="AC335" s="378"/>
      <c r="AD335" s="378"/>
      <c r="AE335" s="378"/>
      <c r="AF335" s="378"/>
      <c r="AG335" s="378"/>
    </row>
    <row r="336">
      <c r="A336" s="378"/>
      <c r="B336" s="499">
        <f>IFERROR(__xludf.DUMMYFUNCTION("""COMPUTED_VALUE"""),45982.0)</f>
        <v>45982</v>
      </c>
      <c r="C336" s="421">
        <f>IFERROR(__xludf.DUMMYFUNCTION("""COMPUTED_VALUE"""),5.35391448E8)</f>
        <v>535391448</v>
      </c>
      <c r="D336" s="422" t="str">
        <f>IFERROR(__xludf.DUMMYFUNCTION("""COMPUTED_VALUE"""),", CA, 91746")</f>
        <v>, CA, 91746</v>
      </c>
      <c r="E336" s="557" t="str">
        <f>IFERROR(__xludf.DUMMYFUNCTION("""COMPUTED_VALUE"""),"Wilmington, DE, 19801")</f>
        <v>Wilmington, DE, 19801</v>
      </c>
      <c r="F336" s="500">
        <f>IFERROR(__xludf.DUMMYFUNCTION("""COMPUTED_VALUE"""),6300.0)</f>
        <v>6300</v>
      </c>
      <c r="G336" s="413">
        <v>0.88</v>
      </c>
      <c r="H336" s="414">
        <f t="shared" si="16"/>
        <v>5544</v>
      </c>
      <c r="I336" s="376"/>
      <c r="J336" s="545">
        <f>IFERROR(__xludf.DUMMYFUNCTION("""COMPUTED_VALUE"""),45982.0)</f>
        <v>45982</v>
      </c>
      <c r="K336" s="421">
        <f>IFERROR(__xludf.DUMMYFUNCTION("""COMPUTED_VALUE"""),5.35391448E8)</f>
        <v>535391448</v>
      </c>
      <c r="L336" s="422" t="str">
        <f>IFERROR(__xludf.DUMMYFUNCTION("""COMPUTED_VALUE"""),", CA, 91746")</f>
        <v>, CA, 91746</v>
      </c>
      <c r="M336" s="557" t="str">
        <f>IFERROR(__xludf.DUMMYFUNCTION("""COMPUTED_VALUE"""),"Wilmington, DE, 19801")</f>
        <v>Wilmington, DE, 19801</v>
      </c>
      <c r="N336" s="546">
        <f>IFERROR(__xludf.DUMMYFUNCTION("""COMPUTED_VALUE"""),2829.0)</f>
        <v>2829</v>
      </c>
      <c r="O336" s="408">
        <v>0.65</v>
      </c>
      <c r="P336" s="414">
        <f t="shared" si="17"/>
        <v>1838.85</v>
      </c>
      <c r="Q336" s="378"/>
      <c r="R336" s="378"/>
      <c r="S336" s="378"/>
      <c r="T336" s="378"/>
      <c r="U336" s="378"/>
      <c r="V336" s="378"/>
      <c r="W336" s="378"/>
      <c r="X336" s="378"/>
      <c r="Y336" s="378"/>
      <c r="Z336" s="378"/>
      <c r="AA336" s="378"/>
      <c r="AB336" s="378"/>
      <c r="AC336" s="378"/>
      <c r="AD336" s="378"/>
      <c r="AE336" s="378"/>
      <c r="AF336" s="378"/>
      <c r="AG336" s="378"/>
    </row>
    <row r="337">
      <c r="A337" s="378"/>
      <c r="B337" s="420"/>
      <c r="C337" s="421"/>
      <c r="D337" s="422"/>
      <c r="E337" s="423"/>
      <c r="F337" s="421"/>
      <c r="G337" s="413"/>
      <c r="H337" s="414"/>
      <c r="I337" s="376"/>
      <c r="J337" s="424"/>
      <c r="K337" s="421"/>
      <c r="L337" s="422"/>
      <c r="M337" s="423"/>
      <c r="N337" s="425"/>
      <c r="O337" s="408"/>
      <c r="P337" s="414"/>
      <c r="Q337" s="378"/>
      <c r="R337" s="378"/>
      <c r="S337" s="378"/>
      <c r="T337" s="378"/>
      <c r="U337" s="378"/>
      <c r="V337" s="378"/>
      <c r="W337" s="378"/>
      <c r="X337" s="378"/>
      <c r="Y337" s="378"/>
      <c r="Z337" s="378"/>
      <c r="AA337" s="378"/>
      <c r="AB337" s="378"/>
      <c r="AC337" s="378"/>
      <c r="AD337" s="378"/>
      <c r="AE337" s="378"/>
      <c r="AF337" s="378"/>
      <c r="AG337" s="378"/>
    </row>
    <row r="338">
      <c r="A338" s="378"/>
      <c r="B338" s="420"/>
      <c r="C338" s="421"/>
      <c r="D338" s="422"/>
      <c r="E338" s="423"/>
      <c r="F338" s="421"/>
      <c r="G338" s="413"/>
      <c r="H338" s="414"/>
      <c r="I338" s="376"/>
      <c r="J338" s="424"/>
      <c r="K338" s="421"/>
      <c r="L338" s="422"/>
      <c r="M338" s="423"/>
      <c r="N338" s="425"/>
      <c r="O338" s="408"/>
      <c r="P338" s="414"/>
      <c r="Q338" s="378"/>
      <c r="R338" s="378"/>
      <c r="S338" s="378"/>
      <c r="T338" s="378"/>
      <c r="U338" s="378"/>
      <c r="V338" s="378"/>
      <c r="W338" s="378"/>
      <c r="X338" s="378"/>
      <c r="Y338" s="378"/>
      <c r="Z338" s="378"/>
      <c r="AA338" s="378"/>
      <c r="AB338" s="378"/>
      <c r="AC338" s="378"/>
      <c r="AD338" s="378"/>
      <c r="AE338" s="378"/>
      <c r="AF338" s="378"/>
      <c r="AG338" s="378"/>
    </row>
    <row r="339">
      <c r="A339" s="378"/>
      <c r="B339" s="420"/>
      <c r="C339" s="421"/>
      <c r="D339" s="422"/>
      <c r="E339" s="423"/>
      <c r="F339" s="421"/>
      <c r="G339" s="413"/>
      <c r="H339" s="414"/>
      <c r="I339" s="376"/>
      <c r="J339" s="424"/>
      <c r="K339" s="421"/>
      <c r="L339" s="422"/>
      <c r="M339" s="423"/>
      <c r="N339" s="425"/>
      <c r="O339" s="408"/>
      <c r="P339" s="414"/>
      <c r="Q339" s="378"/>
      <c r="R339" s="378"/>
      <c r="S339" s="378"/>
      <c r="T339" s="378"/>
      <c r="U339" s="378"/>
      <c r="V339" s="378"/>
      <c r="W339" s="378"/>
      <c r="X339" s="378"/>
      <c r="Y339" s="378"/>
      <c r="Z339" s="378"/>
      <c r="AA339" s="378"/>
      <c r="AB339" s="378"/>
      <c r="AC339" s="378"/>
      <c r="AD339" s="378"/>
      <c r="AE339" s="378"/>
      <c r="AF339" s="378"/>
      <c r="AG339" s="378"/>
    </row>
    <row r="340">
      <c r="A340" s="378"/>
      <c r="B340" s="403" t="s">
        <v>711</v>
      </c>
      <c r="C340" s="224"/>
      <c r="D340" s="224"/>
      <c r="E340" s="222"/>
      <c r="F340" s="414">
        <f>SUM(F334:F339)</f>
        <v>10275</v>
      </c>
      <c r="G340" s="421"/>
      <c r="H340" s="414">
        <f>SUM(H334:H339)</f>
        <v>9042</v>
      </c>
      <c r="I340" s="376"/>
      <c r="J340" s="407" t="s">
        <v>711</v>
      </c>
      <c r="K340" s="224"/>
      <c r="L340" s="224"/>
      <c r="M340" s="222"/>
      <c r="N340" s="426">
        <f>SUM(N334:N339)</f>
        <v>4999</v>
      </c>
      <c r="O340" s="427"/>
      <c r="P340" s="414">
        <f>SUM(P334:P339)</f>
        <v>3249.35</v>
      </c>
      <c r="Q340" s="378"/>
      <c r="R340" s="378"/>
      <c r="S340" s="378"/>
      <c r="T340" s="378"/>
      <c r="U340" s="378"/>
      <c r="V340" s="378"/>
      <c r="W340" s="378"/>
      <c r="X340" s="378"/>
      <c r="Y340" s="378"/>
      <c r="Z340" s="378"/>
      <c r="AA340" s="378"/>
      <c r="AB340" s="378"/>
      <c r="AC340" s="378"/>
      <c r="AD340" s="378"/>
      <c r="AE340" s="378"/>
      <c r="AF340" s="378"/>
      <c r="AG340" s="378"/>
    </row>
    <row r="341">
      <c r="A341" s="378"/>
      <c r="B341" s="428"/>
      <c r="C341" s="419"/>
      <c r="D341" s="419"/>
      <c r="E341" s="419"/>
      <c r="F341" s="419"/>
      <c r="G341" s="419"/>
      <c r="H341" s="429"/>
      <c r="I341" s="376"/>
      <c r="J341" s="430"/>
      <c r="K341" s="419"/>
      <c r="L341" s="419"/>
      <c r="M341" s="419"/>
      <c r="N341" s="431"/>
      <c r="O341" s="432"/>
      <c r="P341" s="429"/>
      <c r="Q341" s="378"/>
      <c r="R341" s="378"/>
      <c r="S341" s="378"/>
      <c r="T341" s="378"/>
      <c r="U341" s="378"/>
      <c r="V341" s="378"/>
      <c r="W341" s="378"/>
      <c r="X341" s="378"/>
      <c r="Y341" s="378"/>
      <c r="Z341" s="378"/>
      <c r="AA341" s="378"/>
      <c r="AB341" s="378"/>
      <c r="AC341" s="378"/>
      <c r="AD341" s="378"/>
      <c r="AE341" s="378"/>
      <c r="AF341" s="378"/>
      <c r="AG341" s="378"/>
    </row>
    <row r="342">
      <c r="A342" s="378"/>
      <c r="B342" s="433" t="s">
        <v>712</v>
      </c>
      <c r="C342" s="434"/>
      <c r="D342" s="435"/>
      <c r="E342" s="419"/>
      <c r="F342" s="419"/>
      <c r="G342" s="419"/>
      <c r="H342" s="429"/>
      <c r="I342" s="376"/>
      <c r="J342" s="437" t="s">
        <v>712</v>
      </c>
      <c r="K342" s="434"/>
      <c r="L342" s="435"/>
      <c r="M342" s="419"/>
      <c r="N342" s="431"/>
      <c r="O342" s="432"/>
      <c r="P342" s="429"/>
      <c r="Q342" s="378"/>
      <c r="R342" s="378"/>
      <c r="S342" s="378"/>
      <c r="T342" s="378"/>
      <c r="U342" s="378"/>
      <c r="V342" s="378"/>
      <c r="W342" s="378"/>
      <c r="X342" s="378"/>
      <c r="Y342" s="378"/>
      <c r="Z342" s="378"/>
      <c r="AA342" s="378"/>
      <c r="AB342" s="378"/>
      <c r="AC342" s="378"/>
      <c r="AD342" s="378"/>
      <c r="AE342" s="378"/>
      <c r="AF342" s="378"/>
      <c r="AG342" s="378"/>
    </row>
    <row r="343">
      <c r="A343" s="378"/>
      <c r="B343" s="443" t="s">
        <v>746</v>
      </c>
      <c r="C343" s="439">
        <v>250.0</v>
      </c>
      <c r="D343" s="440"/>
      <c r="E343" s="419"/>
      <c r="F343" s="419"/>
      <c r="G343" s="419"/>
      <c r="H343" s="429"/>
      <c r="I343" s="376"/>
      <c r="J343" s="443" t="s">
        <v>746</v>
      </c>
      <c r="K343" s="439">
        <v>250.0</v>
      </c>
      <c r="L343" s="440"/>
      <c r="M343" s="419"/>
      <c r="N343" s="431"/>
      <c r="O343" s="432"/>
      <c r="P343" s="429"/>
      <c r="Q343" s="378"/>
      <c r="R343" s="378"/>
      <c r="S343" s="378"/>
      <c r="T343" s="378"/>
      <c r="U343" s="378"/>
      <c r="V343" s="378"/>
      <c r="W343" s="378"/>
      <c r="X343" s="378"/>
      <c r="Y343" s="378"/>
      <c r="Z343" s="378"/>
      <c r="AA343" s="378"/>
      <c r="AB343" s="378"/>
      <c r="AC343" s="378"/>
      <c r="AD343" s="378"/>
      <c r="AE343" s="378"/>
      <c r="AF343" s="378"/>
      <c r="AG343" s="378"/>
    </row>
    <row r="344">
      <c r="A344" s="378"/>
      <c r="B344" s="444"/>
      <c r="C344" s="434"/>
      <c r="D344" s="435"/>
      <c r="E344" s="419"/>
      <c r="F344" s="463"/>
      <c r="G344" s="463"/>
      <c r="H344" s="448"/>
      <c r="I344" s="376"/>
      <c r="J344" s="445"/>
      <c r="K344" s="434"/>
      <c r="L344" s="435"/>
      <c r="M344" s="419"/>
      <c r="N344" s="446"/>
      <c r="O344" s="447"/>
      <c r="P344" s="448"/>
      <c r="Q344" s="378"/>
      <c r="R344" s="378"/>
      <c r="S344" s="378"/>
      <c r="T344" s="378"/>
      <c r="U344" s="378"/>
      <c r="V344" s="378"/>
      <c r="W344" s="378"/>
      <c r="X344" s="378"/>
      <c r="Y344" s="378"/>
      <c r="Z344" s="378"/>
      <c r="AA344" s="378"/>
      <c r="AB344" s="378"/>
      <c r="AC344" s="378"/>
      <c r="AD344" s="378"/>
      <c r="AE344" s="378"/>
      <c r="AF344" s="378"/>
      <c r="AG344" s="378"/>
    </row>
    <row r="345">
      <c r="A345" s="378"/>
      <c r="B345" s="438" t="s">
        <v>714</v>
      </c>
      <c r="C345" s="439">
        <f>SUM(C343:C344)</f>
        <v>250</v>
      </c>
      <c r="D345" s="440"/>
      <c r="E345" s="419"/>
      <c r="F345" s="463"/>
      <c r="G345" s="463"/>
      <c r="H345" s="448"/>
      <c r="I345" s="376"/>
      <c r="J345" s="443" t="s">
        <v>714</v>
      </c>
      <c r="K345" s="439">
        <f>SUM(K343:K344)</f>
        <v>250</v>
      </c>
      <c r="L345" s="440"/>
      <c r="M345" s="419"/>
      <c r="N345" s="446"/>
      <c r="O345" s="447"/>
      <c r="P345" s="448"/>
      <c r="Q345" s="378"/>
      <c r="R345" s="378"/>
      <c r="S345" s="378"/>
      <c r="T345" s="378"/>
      <c r="U345" s="378"/>
      <c r="V345" s="378"/>
      <c r="W345" s="378"/>
      <c r="X345" s="378"/>
      <c r="Y345" s="378"/>
      <c r="Z345" s="378"/>
      <c r="AA345" s="378"/>
      <c r="AB345" s="378"/>
      <c r="AC345" s="378"/>
      <c r="AD345" s="378"/>
      <c r="AE345" s="378"/>
      <c r="AF345" s="378"/>
      <c r="AG345" s="378"/>
    </row>
    <row r="346">
      <c r="A346" s="378"/>
      <c r="B346" s="450"/>
      <c r="C346" s="451"/>
      <c r="D346" s="419"/>
      <c r="E346" s="419"/>
      <c r="F346" s="463"/>
      <c r="G346" s="463"/>
      <c r="H346" s="448"/>
      <c r="I346" s="376"/>
      <c r="J346" s="535"/>
      <c r="K346" s="451"/>
      <c r="L346" s="419"/>
      <c r="M346" s="419"/>
      <c r="N346" s="446"/>
      <c r="O346" s="447"/>
      <c r="P346" s="448"/>
      <c r="Q346" s="378"/>
      <c r="R346" s="378"/>
      <c r="S346" s="378"/>
      <c r="T346" s="378"/>
      <c r="U346" s="378"/>
      <c r="V346" s="378"/>
      <c r="W346" s="378"/>
      <c r="X346" s="378"/>
      <c r="Y346" s="378"/>
      <c r="Z346" s="378"/>
      <c r="AA346" s="378"/>
      <c r="AB346" s="378"/>
      <c r="AC346" s="378"/>
      <c r="AD346" s="378"/>
      <c r="AE346" s="378"/>
      <c r="AF346" s="378"/>
      <c r="AG346" s="378"/>
    </row>
    <row r="347">
      <c r="A347" s="378"/>
      <c r="B347" s="454" t="s">
        <v>715</v>
      </c>
      <c r="C347" s="455"/>
      <c r="D347" s="435"/>
      <c r="E347" s="419"/>
      <c r="F347" s="463"/>
      <c r="G347" s="463"/>
      <c r="H347" s="448"/>
      <c r="I347" s="376"/>
      <c r="J347" s="458" t="s">
        <v>715</v>
      </c>
      <c r="K347" s="455"/>
      <c r="L347" s="435"/>
      <c r="M347" s="419"/>
      <c r="N347" s="446"/>
      <c r="O347" s="447"/>
      <c r="P347" s="448"/>
      <c r="Q347" s="378"/>
      <c r="R347" s="378"/>
      <c r="S347" s="378"/>
      <c r="T347" s="378"/>
      <c r="U347" s="378"/>
      <c r="V347" s="378"/>
      <c r="W347" s="378"/>
      <c r="X347" s="378"/>
      <c r="Y347" s="378"/>
      <c r="Z347" s="378"/>
      <c r="AA347" s="378"/>
      <c r="AB347" s="378"/>
      <c r="AC347" s="378"/>
      <c r="AD347" s="378"/>
      <c r="AE347" s="378"/>
      <c r="AF347" s="378"/>
      <c r="AG347" s="378"/>
    </row>
    <row r="348">
      <c r="A348" s="378"/>
      <c r="B348" s="558" t="s">
        <v>716</v>
      </c>
      <c r="C348" s="559">
        <v>100.0</v>
      </c>
      <c r="D348" s="440" t="s">
        <v>860</v>
      </c>
      <c r="E348" s="375" t="s">
        <v>870</v>
      </c>
      <c r="F348" s="463"/>
      <c r="G348" s="463"/>
      <c r="H348" s="448"/>
      <c r="I348" s="376"/>
      <c r="J348" s="458" t="s">
        <v>871</v>
      </c>
      <c r="K348" s="460">
        <v>300.0</v>
      </c>
      <c r="L348" s="440"/>
      <c r="M348" s="419"/>
      <c r="N348" s="446"/>
      <c r="O348" s="447"/>
      <c r="P348" s="448"/>
      <c r="Q348" s="378"/>
      <c r="R348" s="378"/>
      <c r="S348" s="378"/>
      <c r="T348" s="378"/>
      <c r="U348" s="378"/>
      <c r="V348" s="378"/>
      <c r="W348" s="378"/>
      <c r="X348" s="378"/>
      <c r="Y348" s="378"/>
      <c r="Z348" s="378"/>
      <c r="AA348" s="378"/>
      <c r="AB348" s="378"/>
      <c r="AC348" s="378"/>
      <c r="AD348" s="378"/>
      <c r="AE348" s="378"/>
      <c r="AF348" s="378"/>
      <c r="AG348" s="378"/>
    </row>
    <row r="349">
      <c r="A349" s="378"/>
      <c r="B349" s="459" t="s">
        <v>717</v>
      </c>
      <c r="C349" s="460">
        <v>400.0</v>
      </c>
      <c r="D349" s="440"/>
      <c r="E349" s="419"/>
      <c r="F349" s="463"/>
      <c r="G349" s="463"/>
      <c r="H349" s="448"/>
      <c r="I349" s="376"/>
      <c r="J349" s="462"/>
      <c r="K349" s="460"/>
      <c r="L349" s="440"/>
      <c r="M349" s="419"/>
      <c r="N349" s="446"/>
      <c r="O349" s="447"/>
      <c r="P349" s="448"/>
      <c r="Q349" s="378"/>
      <c r="R349" s="378"/>
      <c r="S349" s="378"/>
      <c r="T349" s="378"/>
      <c r="U349" s="378"/>
      <c r="V349" s="378"/>
      <c r="W349" s="378"/>
      <c r="X349" s="378"/>
      <c r="Y349" s="378"/>
      <c r="Z349" s="378"/>
      <c r="AA349" s="378"/>
      <c r="AB349" s="378"/>
      <c r="AC349" s="378"/>
      <c r="AD349" s="378"/>
      <c r="AE349" s="378"/>
      <c r="AF349" s="378"/>
      <c r="AG349" s="378"/>
    </row>
    <row r="350">
      <c r="A350" s="378"/>
      <c r="B350" s="459" t="s">
        <v>718</v>
      </c>
      <c r="C350" s="460">
        <v>200.0</v>
      </c>
      <c r="D350" s="440"/>
      <c r="E350" s="419"/>
      <c r="F350" s="463"/>
      <c r="G350" s="463"/>
      <c r="H350" s="448"/>
      <c r="I350" s="376"/>
      <c r="J350" s="462"/>
      <c r="K350" s="460"/>
      <c r="L350" s="440"/>
      <c r="M350" s="419"/>
      <c r="N350" s="446"/>
      <c r="O350" s="447"/>
      <c r="P350" s="448"/>
      <c r="Q350" s="378"/>
      <c r="R350" s="378"/>
      <c r="S350" s="378"/>
      <c r="T350" s="378"/>
      <c r="U350" s="378"/>
      <c r="V350" s="378"/>
      <c r="W350" s="378"/>
      <c r="X350" s="378"/>
      <c r="Y350" s="378"/>
      <c r="Z350" s="378"/>
      <c r="AA350" s="378"/>
      <c r="AB350" s="378"/>
      <c r="AC350" s="378"/>
      <c r="AD350" s="378"/>
      <c r="AE350" s="378"/>
      <c r="AF350" s="378"/>
      <c r="AG350" s="378"/>
    </row>
    <row r="351">
      <c r="A351" s="378"/>
      <c r="B351" s="459" t="s">
        <v>656</v>
      </c>
      <c r="C351" s="460" t="str">
        <f>IFERROR(__xludf.DUMMYFUNCTION("FILTER(D1045:D1073,C1045:C1073=F332)"),"#REF!")</f>
        <v>#REF!</v>
      </c>
      <c r="D351" s="440"/>
      <c r="E351" s="419"/>
      <c r="F351" s="463"/>
      <c r="G351" s="463"/>
      <c r="H351" s="448"/>
      <c r="I351" s="376"/>
      <c r="J351" s="462"/>
      <c r="K351" s="460"/>
      <c r="L351" s="440"/>
      <c r="M351" s="419"/>
      <c r="N351" s="446"/>
      <c r="O351" s="447"/>
      <c r="P351" s="448"/>
      <c r="Q351" s="378"/>
      <c r="R351" s="378"/>
      <c r="S351" s="378"/>
      <c r="T351" s="378"/>
      <c r="U351" s="378"/>
      <c r="V351" s="378"/>
      <c r="W351" s="378"/>
      <c r="X351" s="378"/>
      <c r="Y351" s="378"/>
      <c r="Z351" s="378"/>
      <c r="AA351" s="378"/>
      <c r="AB351" s="378"/>
      <c r="AC351" s="378"/>
      <c r="AD351" s="378"/>
      <c r="AE351" s="378"/>
      <c r="AF351" s="378"/>
      <c r="AG351" s="378"/>
    </row>
    <row r="352">
      <c r="A352" s="378"/>
      <c r="B352" s="454" t="s">
        <v>871</v>
      </c>
      <c r="C352" s="537">
        <v>300.0</v>
      </c>
      <c r="D352" s="435"/>
      <c r="E352" s="419"/>
      <c r="F352" s="468" t="s">
        <v>842</v>
      </c>
      <c r="G352" s="466" t="str">
        <f>H340+C345-C357</f>
        <v>#REF!</v>
      </c>
      <c r="H352" s="211"/>
      <c r="I352" s="376"/>
      <c r="J352" s="467"/>
      <c r="K352" s="455"/>
      <c r="L352" s="435"/>
      <c r="M352" s="419"/>
      <c r="N352" s="468" t="s">
        <v>842</v>
      </c>
      <c r="O352" s="539">
        <f>P340+K345-K357</f>
        <v>3199.35</v>
      </c>
      <c r="P352" s="211"/>
      <c r="Q352" s="378"/>
      <c r="R352" s="378"/>
      <c r="S352" s="378"/>
      <c r="T352" s="378"/>
      <c r="U352" s="378"/>
      <c r="V352" s="378"/>
      <c r="W352" s="378"/>
      <c r="X352" s="378"/>
      <c r="Y352" s="378"/>
      <c r="Z352" s="378"/>
      <c r="AA352" s="378"/>
      <c r="AB352" s="378"/>
      <c r="AC352" s="378"/>
      <c r="AD352" s="378"/>
      <c r="AE352" s="378"/>
      <c r="AF352" s="378"/>
      <c r="AG352" s="378"/>
    </row>
    <row r="353">
      <c r="A353" s="378"/>
      <c r="B353" s="464"/>
      <c r="C353" s="455"/>
      <c r="D353" s="435"/>
      <c r="E353" s="419"/>
      <c r="F353" s="469" t="s">
        <v>843</v>
      </c>
      <c r="G353" s="278"/>
      <c r="H353" s="56"/>
      <c r="I353" s="376"/>
      <c r="J353" s="467"/>
      <c r="K353" s="455"/>
      <c r="L353" s="435"/>
      <c r="M353" s="419"/>
      <c r="N353" s="469" t="s">
        <v>854</v>
      </c>
      <c r="O353" s="278"/>
      <c r="P353" s="56"/>
      <c r="Q353" s="378"/>
      <c r="R353" s="378"/>
      <c r="S353" s="378"/>
      <c r="T353" s="378"/>
      <c r="U353" s="378"/>
      <c r="V353" s="378"/>
      <c r="W353" s="378"/>
      <c r="X353" s="378"/>
      <c r="Y353" s="378"/>
      <c r="Z353" s="378"/>
      <c r="AA353" s="378"/>
      <c r="AB353" s="378"/>
      <c r="AC353" s="378"/>
      <c r="AD353" s="378"/>
      <c r="AE353" s="378"/>
      <c r="AF353" s="378"/>
      <c r="AG353" s="378"/>
    </row>
    <row r="354">
      <c r="A354" s="378"/>
      <c r="B354" s="464"/>
      <c r="C354" s="455"/>
      <c r="D354" s="435"/>
      <c r="E354" s="419"/>
      <c r="F354" s="470"/>
      <c r="G354" s="215"/>
      <c r="H354" s="64"/>
      <c r="I354" s="376"/>
      <c r="J354" s="467"/>
      <c r="K354" s="455"/>
      <c r="L354" s="435"/>
      <c r="M354" s="419"/>
      <c r="N354" s="470"/>
      <c r="O354" s="215"/>
      <c r="P354" s="64"/>
      <c r="Q354" s="378"/>
      <c r="R354" s="378"/>
      <c r="S354" s="378"/>
      <c r="T354" s="378"/>
      <c r="U354" s="378"/>
      <c r="V354" s="378"/>
      <c r="W354" s="378"/>
      <c r="X354" s="378"/>
      <c r="Y354" s="378"/>
      <c r="Z354" s="378"/>
      <c r="AA354" s="378"/>
      <c r="AB354" s="378"/>
      <c r="AC354" s="378"/>
      <c r="AD354" s="378"/>
      <c r="AE354" s="378"/>
      <c r="AF354" s="378"/>
      <c r="AG354" s="378"/>
    </row>
    <row r="355">
      <c r="A355" s="378"/>
      <c r="B355" s="464"/>
      <c r="C355" s="455"/>
      <c r="D355" s="435"/>
      <c r="E355" s="419"/>
      <c r="F355" s="419"/>
      <c r="G355" s="419"/>
      <c r="H355" s="429"/>
      <c r="I355" s="376"/>
      <c r="J355" s="467"/>
      <c r="K355" s="455"/>
      <c r="L355" s="435"/>
      <c r="M355" s="419"/>
      <c r="N355" s="431"/>
      <c r="O355" s="432"/>
      <c r="P355" s="429"/>
      <c r="Q355" s="378"/>
      <c r="R355" s="378"/>
      <c r="S355" s="378"/>
      <c r="T355" s="378"/>
      <c r="U355" s="378"/>
      <c r="V355" s="378"/>
      <c r="W355" s="378"/>
      <c r="X355" s="378"/>
      <c r="Y355" s="378"/>
      <c r="Z355" s="378"/>
      <c r="AA355" s="378"/>
      <c r="AB355" s="378"/>
      <c r="AC355" s="378"/>
      <c r="AD355" s="378"/>
      <c r="AE355" s="378"/>
      <c r="AF355" s="378"/>
      <c r="AG355" s="378"/>
    </row>
    <row r="356">
      <c r="A356" s="378"/>
      <c r="B356" s="464"/>
      <c r="C356" s="455"/>
      <c r="D356" s="435"/>
      <c r="E356" s="419"/>
      <c r="F356" s="419"/>
      <c r="G356" s="419"/>
      <c r="H356" s="429"/>
      <c r="I356" s="376"/>
      <c r="J356" s="467"/>
      <c r="K356" s="455"/>
      <c r="L356" s="435"/>
      <c r="M356" s="419"/>
      <c r="N356" s="431"/>
      <c r="O356" s="432"/>
      <c r="P356" s="429"/>
      <c r="Q356" s="378"/>
      <c r="R356" s="378"/>
      <c r="S356" s="378"/>
      <c r="T356" s="378"/>
      <c r="U356" s="378"/>
      <c r="V356" s="378"/>
      <c r="W356" s="378"/>
      <c r="X356" s="378"/>
      <c r="Y356" s="378"/>
      <c r="Z356" s="378"/>
      <c r="AA356" s="378"/>
      <c r="AB356" s="378"/>
      <c r="AC356" s="378"/>
      <c r="AD356" s="378"/>
      <c r="AE356" s="378"/>
      <c r="AF356" s="378"/>
      <c r="AG356" s="378"/>
    </row>
    <row r="357">
      <c r="A357" s="378"/>
      <c r="B357" s="454" t="s">
        <v>721</v>
      </c>
      <c r="C357" s="460" t="str">
        <f>SUM(C348:C356)</f>
        <v>#REF!</v>
      </c>
      <c r="D357" s="440"/>
      <c r="E357" s="419"/>
      <c r="F357" s="419"/>
      <c r="G357" s="419"/>
      <c r="H357" s="429"/>
      <c r="I357" s="376"/>
      <c r="J357" s="458" t="s">
        <v>721</v>
      </c>
      <c r="K357" s="460">
        <f>SUM(K348:K356)</f>
        <v>300</v>
      </c>
      <c r="L357" s="440"/>
      <c r="M357" s="419"/>
      <c r="N357" s="431"/>
      <c r="O357" s="432"/>
      <c r="P357" s="429"/>
      <c r="Q357" s="378"/>
      <c r="R357" s="378"/>
      <c r="S357" s="378"/>
      <c r="T357" s="378"/>
      <c r="U357" s="378"/>
      <c r="V357" s="378"/>
      <c r="W357" s="378"/>
      <c r="X357" s="378"/>
      <c r="Y357" s="378"/>
      <c r="Z357" s="378"/>
      <c r="AA357" s="378"/>
      <c r="AB357" s="378"/>
      <c r="AC357" s="378"/>
      <c r="AD357" s="378"/>
      <c r="AE357" s="378"/>
      <c r="AF357" s="378"/>
      <c r="AG357" s="378"/>
    </row>
    <row r="358">
      <c r="A358" s="378"/>
      <c r="B358" s="471"/>
      <c r="C358" s="472"/>
      <c r="D358" s="472"/>
      <c r="E358" s="472"/>
      <c r="F358" s="472"/>
      <c r="G358" s="472"/>
      <c r="H358" s="473"/>
      <c r="I358" s="376"/>
      <c r="J358" s="474"/>
      <c r="K358" s="472"/>
      <c r="L358" s="472"/>
      <c r="M358" s="472"/>
      <c r="N358" s="475"/>
      <c r="O358" s="476"/>
      <c r="P358" s="473"/>
      <c r="Q358" s="378"/>
      <c r="R358" s="378"/>
      <c r="S358" s="378"/>
      <c r="T358" s="378"/>
      <c r="U358" s="378"/>
      <c r="V358" s="378"/>
      <c r="W358" s="378"/>
      <c r="X358" s="378"/>
      <c r="Y358" s="378"/>
      <c r="Z358" s="378"/>
      <c r="AA358" s="378"/>
      <c r="AB358" s="378"/>
      <c r="AC358" s="378"/>
      <c r="AD358" s="378"/>
      <c r="AE358" s="378"/>
      <c r="AF358" s="378"/>
      <c r="AG358" s="378"/>
    </row>
    <row r="359">
      <c r="A359" s="378"/>
      <c r="B359" s="550"/>
      <c r="C359" s="463"/>
      <c r="D359" s="463"/>
      <c r="E359" s="463"/>
      <c r="F359" s="463"/>
      <c r="G359" s="463"/>
      <c r="H359" s="463"/>
      <c r="I359" s="376"/>
      <c r="J359" s="377"/>
      <c r="K359" s="378"/>
      <c r="L359" s="378"/>
      <c r="M359" s="378"/>
      <c r="N359" s="379"/>
      <c r="O359" s="380"/>
      <c r="P359" s="378"/>
      <c r="Q359" s="378"/>
      <c r="R359" s="378"/>
      <c r="S359" s="378"/>
      <c r="T359" s="378"/>
      <c r="U359" s="378"/>
      <c r="V359" s="378"/>
      <c r="W359" s="378"/>
      <c r="X359" s="378"/>
      <c r="Y359" s="378"/>
      <c r="Z359" s="378"/>
      <c r="AA359" s="378"/>
      <c r="AB359" s="378"/>
      <c r="AC359" s="378"/>
      <c r="AD359" s="378"/>
      <c r="AE359" s="378"/>
      <c r="AF359" s="378"/>
      <c r="AG359" s="378"/>
    </row>
    <row r="360">
      <c r="A360" s="378"/>
      <c r="B360" s="477"/>
      <c r="C360" s="378"/>
      <c r="D360" s="378"/>
      <c r="E360" s="378"/>
      <c r="F360" s="378"/>
      <c r="G360" s="378"/>
      <c r="H360" s="378"/>
      <c r="I360" s="376"/>
      <c r="J360" s="377"/>
      <c r="K360" s="378"/>
      <c r="L360" s="378"/>
      <c r="M360" s="378"/>
      <c r="N360" s="379"/>
      <c r="O360" s="380"/>
      <c r="P360" s="378"/>
      <c r="Q360" s="378"/>
      <c r="R360" s="378"/>
      <c r="S360" s="378"/>
      <c r="T360" s="378"/>
      <c r="U360" s="378"/>
      <c r="V360" s="378"/>
      <c r="W360" s="378"/>
      <c r="X360" s="378"/>
      <c r="Y360" s="378"/>
      <c r="Z360" s="378"/>
      <c r="AA360" s="378"/>
      <c r="AB360" s="378"/>
      <c r="AC360" s="378"/>
      <c r="AD360" s="378"/>
      <c r="AE360" s="378"/>
      <c r="AF360" s="378"/>
      <c r="AG360" s="378"/>
    </row>
    <row r="361">
      <c r="A361" s="378"/>
      <c r="B361" s="382"/>
      <c r="C361" s="388"/>
      <c r="D361" s="384"/>
      <c r="E361" s="385" t="s">
        <v>700</v>
      </c>
      <c r="F361" s="385" t="str">
        <f>Board!A2</f>
        <v>11.17.25-11.23.25</v>
      </c>
      <c r="G361" s="213"/>
      <c r="H361" s="211"/>
      <c r="I361" s="386">
        <v>10.0</v>
      </c>
      <c r="J361" s="387"/>
      <c r="K361" s="388"/>
      <c r="L361" s="384"/>
      <c r="M361" s="385" t="s">
        <v>700</v>
      </c>
      <c r="N361" s="385" t="str">
        <f>Board!A2</f>
        <v>11.17.25-11.23.25</v>
      </c>
      <c r="O361" s="213"/>
      <c r="P361" s="211"/>
      <c r="Q361" s="378"/>
      <c r="R361" s="389" t="s">
        <v>831</v>
      </c>
      <c r="S361" s="389" t="s">
        <v>652</v>
      </c>
      <c r="T361" s="390" t="s">
        <v>832</v>
      </c>
      <c r="U361" s="391" t="s">
        <v>833</v>
      </c>
      <c r="V361" s="389" t="s">
        <v>655</v>
      </c>
      <c r="W361" s="389" t="s">
        <v>8</v>
      </c>
      <c r="X361" s="389" t="s">
        <v>656</v>
      </c>
      <c r="Y361" s="390" t="s">
        <v>834</v>
      </c>
      <c r="Z361" s="392" t="s">
        <v>835</v>
      </c>
      <c r="AA361" s="390" t="s">
        <v>836</v>
      </c>
      <c r="AB361" s="390" t="s">
        <v>837</v>
      </c>
      <c r="AC361" s="393" t="s">
        <v>716</v>
      </c>
      <c r="AD361" s="393" t="s">
        <v>717</v>
      </c>
      <c r="AE361" s="393" t="s">
        <v>718</v>
      </c>
      <c r="AF361" s="394" t="s">
        <v>838</v>
      </c>
      <c r="AG361" s="394"/>
    </row>
    <row r="362">
      <c r="A362" s="378"/>
      <c r="B362" s="395"/>
      <c r="C362" s="372"/>
      <c r="D362" s="396"/>
      <c r="E362" s="385" t="s">
        <v>702</v>
      </c>
      <c r="F362" s="385" t="s">
        <v>872</v>
      </c>
      <c r="G362" s="213"/>
      <c r="H362" s="211"/>
      <c r="I362" s="376"/>
      <c r="J362" s="397"/>
      <c r="K362" s="372"/>
      <c r="L362" s="396"/>
      <c r="M362" s="385" t="s">
        <v>351</v>
      </c>
      <c r="N362" s="385" t="str">
        <f t="array" ref="N362">XLOOKUP(N363,Board!K:K,Board!J:J)</f>
        <v>JOSEPH JOSEPH HYVENS</v>
      </c>
      <c r="O362" s="213"/>
      <c r="P362" s="211"/>
      <c r="Q362" s="378"/>
      <c r="R362" s="398">
        <f>I361</f>
        <v>10</v>
      </c>
      <c r="S362" s="398">
        <f>F363</f>
        <v>2693</v>
      </c>
      <c r="T362" s="399" t="str">
        <f>G383</f>
        <v>#REF!</v>
      </c>
      <c r="U362" s="378" t="str">
        <f>N362</f>
        <v>JOSEPH JOSEPH HYVENS</v>
      </c>
      <c r="V362" s="380">
        <f>O383</f>
        <v>2114.75</v>
      </c>
      <c r="W362" s="399">
        <f>P371</f>
        <v>1764.75</v>
      </c>
      <c r="X362" s="399" t="str">
        <f>C382</f>
        <v>#REF!</v>
      </c>
      <c r="Y362" s="400">
        <f>N371</f>
        <v>2715</v>
      </c>
      <c r="Z362" s="378" t="str">
        <f>V363-V362</f>
        <v>#REF!</v>
      </c>
      <c r="AA362" s="378"/>
      <c r="AB362" s="378"/>
      <c r="AC362" s="401">
        <f>C379</f>
        <v>150</v>
      </c>
      <c r="AD362" s="401">
        <f>C380</f>
        <v>400</v>
      </c>
      <c r="AE362" s="401">
        <f>C381</f>
        <v>200</v>
      </c>
      <c r="AF362" s="530">
        <f>C383+C384+C385+C386+C387</f>
        <v>612.98</v>
      </c>
      <c r="AG362" s="398"/>
    </row>
    <row r="363">
      <c r="A363" s="378"/>
      <c r="B363" s="395"/>
      <c r="C363" s="372"/>
      <c r="D363" s="402"/>
      <c r="E363" s="385" t="s">
        <v>703</v>
      </c>
      <c r="F363" s="385">
        <v>2693.0</v>
      </c>
      <c r="G363" s="213"/>
      <c r="H363" s="211"/>
      <c r="I363" s="376"/>
      <c r="J363" s="397"/>
      <c r="K363" s="372"/>
      <c r="L363" s="402"/>
      <c r="M363" s="385" t="s">
        <v>703</v>
      </c>
      <c r="N363" s="385">
        <f>F363</f>
        <v>2693</v>
      </c>
      <c r="O363" s="213"/>
      <c r="P363" s="211"/>
      <c r="Q363" s="378"/>
      <c r="R363" s="378"/>
      <c r="S363" s="378"/>
      <c r="T363" s="378"/>
      <c r="U363" s="378" t="str">
        <f>F362</f>
        <v>US Ela Logistics LLC</v>
      </c>
      <c r="V363" s="399" t="str">
        <f>G383</f>
        <v>#REF!</v>
      </c>
      <c r="W363" s="399">
        <f>H371</f>
        <v>5456</v>
      </c>
      <c r="X363" s="378"/>
      <c r="Y363" s="378"/>
      <c r="Z363" s="378"/>
      <c r="AA363" s="378"/>
      <c r="AB363" s="378"/>
      <c r="AC363" s="378"/>
      <c r="AD363" s="378"/>
      <c r="AE363" s="378"/>
      <c r="AF363" s="378"/>
      <c r="AG363" s="378"/>
    </row>
    <row r="364">
      <c r="A364" s="378"/>
      <c r="B364" s="403" t="s">
        <v>704</v>
      </c>
      <c r="C364" s="404" t="s">
        <v>5</v>
      </c>
      <c r="D364" s="405" t="s">
        <v>6</v>
      </c>
      <c r="E364" s="406" t="s">
        <v>7</v>
      </c>
      <c r="F364" s="404" t="s">
        <v>8</v>
      </c>
      <c r="G364" s="404" t="s">
        <v>706</v>
      </c>
      <c r="H364" s="404" t="s">
        <v>707</v>
      </c>
      <c r="I364" s="376"/>
      <c r="J364" s="407" t="s">
        <v>704</v>
      </c>
      <c r="K364" s="404" t="s">
        <v>5</v>
      </c>
      <c r="L364" s="405" t="s">
        <v>6</v>
      </c>
      <c r="M364" s="406" t="s">
        <v>7</v>
      </c>
      <c r="N364" s="404" t="s">
        <v>591</v>
      </c>
      <c r="O364" s="408" t="s">
        <v>839</v>
      </c>
      <c r="P364" s="404" t="s">
        <v>707</v>
      </c>
      <c r="Q364" s="378"/>
      <c r="R364" s="378"/>
      <c r="S364" s="378"/>
      <c r="T364" s="378"/>
      <c r="U364" s="378"/>
      <c r="V364" s="378"/>
      <c r="W364" s="378"/>
      <c r="X364" s="378"/>
      <c r="Y364" s="378"/>
      <c r="Z364" s="378"/>
      <c r="AA364" s="378"/>
      <c r="AB364" s="378"/>
      <c r="AC364" s="378"/>
      <c r="AD364" s="378"/>
      <c r="AE364" s="378"/>
      <c r="AF364" s="378"/>
      <c r="AG364" s="378"/>
    </row>
    <row r="365">
      <c r="A365" s="378"/>
      <c r="B365" s="555">
        <f>IFERROR(__xludf.DUMMYFUNCTION("FILTER(Board!C:G,Board!K:K=F363)"),45982.0)</f>
        <v>45982</v>
      </c>
      <c r="C365" s="404" t="str">
        <f>IFERROR(__xludf.DUMMYFUNCTION("""COMPUTED_VALUE"""),"BG1046317725")</f>
        <v>BG1046317725</v>
      </c>
      <c r="D365" s="405" t="str">
        <f>IFERROR(__xludf.DUMMYFUNCTION("""COMPUTED_VALUE"""),"Indio, CA, 92201")</f>
        <v>Indio, CA, 92201</v>
      </c>
      <c r="E365" s="406" t="str">
        <f>IFERROR(__xludf.DUMMYFUNCTION("""COMPUTED_VALUE"""),"Manchester Township, PA, 17406")</f>
        <v>Manchester Township, PA, 17406</v>
      </c>
      <c r="F365" s="414">
        <f>IFERROR(__xludf.DUMMYFUNCTION("""COMPUTED_VALUE"""),6200.0)</f>
        <v>6200</v>
      </c>
      <c r="G365" s="413">
        <v>0.88</v>
      </c>
      <c r="H365" s="414">
        <f>F365*G365</f>
        <v>5456</v>
      </c>
      <c r="I365" s="376"/>
      <c r="J365" s="415">
        <f>IFERROR(__xludf.DUMMYFUNCTION("FILTER(Board!C:F,Board!K:K=N363)"),45982.0)</f>
        <v>45982</v>
      </c>
      <c r="K365" s="411" t="str">
        <f>IFERROR(__xludf.DUMMYFUNCTION("""COMPUTED_VALUE"""),"BG1046317725")</f>
        <v>BG1046317725</v>
      </c>
      <c r="L365" s="411" t="str">
        <f>IFERROR(__xludf.DUMMYFUNCTION("""COMPUTED_VALUE"""),"Indio, CA, 92201")</f>
        <v>Indio, CA, 92201</v>
      </c>
      <c r="M365" s="411" t="str">
        <f>IFERROR(__xludf.DUMMYFUNCTION("""COMPUTED_VALUE"""),"Manchester Township, PA, 17406")</f>
        <v>Manchester Township, PA, 17406</v>
      </c>
      <c r="N365" s="416">
        <f>IFERROR(__xludf.DUMMYFUNCTION("FILTER(Board!H:H,Board!K:K=N363)"),2715.0)</f>
        <v>2715</v>
      </c>
      <c r="O365" s="408">
        <v>0.65</v>
      </c>
      <c r="P365" s="414">
        <f>N365*O365</f>
        <v>1764.75</v>
      </c>
      <c r="Q365" s="378"/>
      <c r="R365" s="378"/>
      <c r="S365" s="378"/>
      <c r="T365" s="378"/>
      <c r="U365" s="378"/>
      <c r="V365" s="378"/>
      <c r="W365" s="378"/>
      <c r="X365" s="378"/>
      <c r="Y365" s="378"/>
      <c r="Z365" s="378"/>
      <c r="AA365" s="378"/>
      <c r="AB365" s="378"/>
      <c r="AC365" s="378"/>
      <c r="AD365" s="378"/>
      <c r="AE365" s="378"/>
      <c r="AF365" s="378"/>
      <c r="AG365" s="378"/>
    </row>
    <row r="366">
      <c r="A366" s="378"/>
      <c r="B366" s="555"/>
      <c r="C366" s="404"/>
      <c r="D366" s="405"/>
      <c r="E366" s="406"/>
      <c r="F366" s="414"/>
      <c r="G366" s="413"/>
      <c r="H366" s="414"/>
      <c r="I366" s="376"/>
      <c r="J366" s="418"/>
      <c r="K366" s="411"/>
      <c r="L366" s="411"/>
      <c r="M366" s="411"/>
      <c r="N366" s="411"/>
      <c r="O366" s="408"/>
      <c r="P366" s="414"/>
      <c r="Q366" s="378"/>
      <c r="R366" s="378"/>
      <c r="S366" s="378"/>
      <c r="T366" s="378"/>
      <c r="U366" s="378"/>
      <c r="V366" s="378"/>
      <c r="W366" s="378"/>
      <c r="X366" s="378"/>
      <c r="Y366" s="378"/>
      <c r="Z366" s="378"/>
      <c r="AA366" s="378"/>
      <c r="AB366" s="378"/>
      <c r="AC366" s="378"/>
      <c r="AD366" s="378"/>
      <c r="AE366" s="378"/>
      <c r="AF366" s="378"/>
      <c r="AG366" s="378"/>
    </row>
    <row r="367">
      <c r="A367" s="378"/>
      <c r="B367" s="420"/>
      <c r="C367" s="421"/>
      <c r="D367" s="422"/>
      <c r="E367" s="423"/>
      <c r="F367" s="421"/>
      <c r="G367" s="413"/>
      <c r="H367" s="414"/>
      <c r="I367" s="376"/>
      <c r="J367" s="424"/>
      <c r="K367" s="421"/>
      <c r="L367" s="422"/>
      <c r="M367" s="423"/>
      <c r="N367" s="425"/>
      <c r="O367" s="408"/>
      <c r="P367" s="414"/>
      <c r="Q367" s="378"/>
      <c r="R367" s="378"/>
      <c r="S367" s="378"/>
      <c r="T367" s="378"/>
      <c r="U367" s="378"/>
      <c r="V367" s="378"/>
      <c r="W367" s="378"/>
      <c r="X367" s="378"/>
      <c r="Y367" s="378"/>
      <c r="Z367" s="378"/>
      <c r="AA367" s="378"/>
      <c r="AB367" s="378"/>
      <c r="AC367" s="378"/>
      <c r="AD367" s="378"/>
      <c r="AE367" s="378"/>
      <c r="AF367" s="378"/>
      <c r="AG367" s="378"/>
    </row>
    <row r="368">
      <c r="A368" s="378"/>
      <c r="B368" s="420"/>
      <c r="C368" s="421"/>
      <c r="D368" s="422"/>
      <c r="E368" s="423"/>
      <c r="F368" s="421"/>
      <c r="G368" s="413"/>
      <c r="H368" s="414"/>
      <c r="I368" s="376"/>
      <c r="J368" s="424"/>
      <c r="K368" s="421"/>
      <c r="L368" s="422"/>
      <c r="M368" s="423"/>
      <c r="N368" s="425"/>
      <c r="O368" s="408"/>
      <c r="P368" s="414"/>
      <c r="Q368" s="378"/>
      <c r="R368" s="378"/>
      <c r="S368" s="378"/>
      <c r="T368" s="378"/>
      <c r="U368" s="378"/>
      <c r="V368" s="378"/>
      <c r="W368" s="378"/>
      <c r="X368" s="378"/>
      <c r="Y368" s="378"/>
      <c r="Z368" s="378"/>
      <c r="AA368" s="378"/>
      <c r="AB368" s="378"/>
      <c r="AC368" s="378"/>
      <c r="AD368" s="378"/>
      <c r="AE368" s="378"/>
      <c r="AF368" s="378"/>
      <c r="AG368" s="378"/>
    </row>
    <row r="369">
      <c r="A369" s="378"/>
      <c r="B369" s="420"/>
      <c r="C369" s="421"/>
      <c r="D369" s="422"/>
      <c r="E369" s="423"/>
      <c r="F369" s="421"/>
      <c r="G369" s="413"/>
      <c r="H369" s="414"/>
      <c r="I369" s="376"/>
      <c r="J369" s="424"/>
      <c r="K369" s="421"/>
      <c r="L369" s="422"/>
      <c r="M369" s="423"/>
      <c r="N369" s="425"/>
      <c r="O369" s="408"/>
      <c r="P369" s="414"/>
      <c r="Q369" s="378"/>
      <c r="R369" s="378"/>
      <c r="S369" s="378"/>
      <c r="T369" s="378"/>
      <c r="U369" s="378"/>
      <c r="V369" s="378"/>
      <c r="W369" s="378"/>
      <c r="X369" s="378"/>
      <c r="Y369" s="378"/>
      <c r="Z369" s="378"/>
      <c r="AA369" s="378"/>
      <c r="AB369" s="378"/>
      <c r="AC369" s="378"/>
      <c r="AD369" s="378"/>
      <c r="AE369" s="378"/>
      <c r="AF369" s="378"/>
      <c r="AG369" s="378"/>
    </row>
    <row r="370">
      <c r="A370" s="378"/>
      <c r="B370" s="420"/>
      <c r="C370" s="421"/>
      <c r="D370" s="422"/>
      <c r="E370" s="423"/>
      <c r="F370" s="421"/>
      <c r="G370" s="413"/>
      <c r="H370" s="414"/>
      <c r="I370" s="376"/>
      <c r="J370" s="424"/>
      <c r="K370" s="421"/>
      <c r="L370" s="422"/>
      <c r="M370" s="423"/>
      <c r="N370" s="425"/>
      <c r="O370" s="408"/>
      <c r="P370" s="414"/>
      <c r="Q370" s="378"/>
      <c r="R370" s="378"/>
      <c r="S370" s="378"/>
      <c r="T370" s="378"/>
      <c r="U370" s="378"/>
      <c r="V370" s="378"/>
      <c r="W370" s="378"/>
      <c r="X370" s="378"/>
      <c r="Y370" s="378"/>
      <c r="Z370" s="378"/>
      <c r="AA370" s="378"/>
      <c r="AB370" s="378"/>
      <c r="AC370" s="378"/>
      <c r="AD370" s="378"/>
      <c r="AE370" s="378"/>
      <c r="AF370" s="378"/>
      <c r="AG370" s="378"/>
    </row>
    <row r="371">
      <c r="A371" s="378"/>
      <c r="B371" s="403" t="s">
        <v>711</v>
      </c>
      <c r="C371" s="224"/>
      <c r="D371" s="224"/>
      <c r="E371" s="222"/>
      <c r="F371" s="414">
        <f>SUM(F365:F370)</f>
        <v>6200</v>
      </c>
      <c r="G371" s="421"/>
      <c r="H371" s="414">
        <f>SUM(H365:H370)</f>
        <v>5456</v>
      </c>
      <c r="I371" s="376"/>
      <c r="J371" s="407" t="s">
        <v>711</v>
      </c>
      <c r="K371" s="224"/>
      <c r="L371" s="224"/>
      <c r="M371" s="222"/>
      <c r="N371" s="426">
        <f>SUM(N365:N370)</f>
        <v>2715</v>
      </c>
      <c r="O371" s="427"/>
      <c r="P371" s="414">
        <f>SUM(P365:P370)</f>
        <v>1764.75</v>
      </c>
      <c r="Q371" s="378"/>
      <c r="R371" s="378"/>
      <c r="S371" s="378"/>
      <c r="T371" s="378"/>
      <c r="U371" s="378"/>
      <c r="V371" s="378"/>
      <c r="W371" s="378"/>
      <c r="X371" s="378"/>
      <c r="Y371" s="378"/>
      <c r="Z371" s="378"/>
      <c r="AA371" s="378"/>
      <c r="AB371" s="378"/>
      <c r="AC371" s="378"/>
      <c r="AD371" s="378"/>
      <c r="AE371" s="378"/>
      <c r="AF371" s="378"/>
      <c r="AG371" s="378"/>
    </row>
    <row r="372">
      <c r="A372" s="378"/>
      <c r="B372" s="428"/>
      <c r="C372" s="419"/>
      <c r="D372" s="419"/>
      <c r="E372" s="419"/>
      <c r="F372" s="419"/>
      <c r="G372" s="419"/>
      <c r="H372" s="429"/>
      <c r="I372" s="376"/>
      <c r="J372" s="430"/>
      <c r="K372" s="419"/>
      <c r="L372" s="419"/>
      <c r="M372" s="419"/>
      <c r="N372" s="431"/>
      <c r="O372" s="432"/>
      <c r="P372" s="429"/>
      <c r="Q372" s="378"/>
      <c r="R372" s="378"/>
      <c r="S372" s="378"/>
      <c r="T372" s="378"/>
      <c r="U372" s="378"/>
      <c r="V372" s="378"/>
      <c r="W372" s="378"/>
      <c r="X372" s="378"/>
      <c r="Y372" s="378"/>
      <c r="Z372" s="378"/>
      <c r="AA372" s="378"/>
      <c r="AB372" s="378"/>
      <c r="AC372" s="378"/>
      <c r="AD372" s="378"/>
      <c r="AE372" s="378"/>
      <c r="AF372" s="378"/>
      <c r="AG372" s="378"/>
    </row>
    <row r="373">
      <c r="A373" s="378"/>
      <c r="B373" s="433" t="s">
        <v>712</v>
      </c>
      <c r="C373" s="434"/>
      <c r="D373" s="435"/>
      <c r="E373" s="419"/>
      <c r="F373" s="419"/>
      <c r="G373" s="419"/>
      <c r="H373" s="429"/>
      <c r="I373" s="376"/>
      <c r="J373" s="437" t="s">
        <v>712</v>
      </c>
      <c r="K373" s="434"/>
      <c r="L373" s="435"/>
      <c r="M373" s="419"/>
      <c r="N373" s="431"/>
      <c r="O373" s="432"/>
      <c r="P373" s="429"/>
      <c r="Q373" s="378"/>
      <c r="R373" s="378"/>
      <c r="S373" s="378"/>
      <c r="T373" s="378"/>
      <c r="U373" s="378"/>
      <c r="V373" s="378"/>
      <c r="W373" s="378"/>
      <c r="X373" s="378"/>
      <c r="Y373" s="378"/>
      <c r="Z373" s="378"/>
      <c r="AA373" s="378"/>
      <c r="AB373" s="378"/>
      <c r="AC373" s="378"/>
      <c r="AD373" s="378"/>
      <c r="AE373" s="378"/>
      <c r="AF373" s="378"/>
      <c r="AG373" s="378"/>
    </row>
    <row r="374">
      <c r="A374" s="378"/>
      <c r="B374" s="438" t="s">
        <v>873</v>
      </c>
      <c r="C374" s="439">
        <v>750.0</v>
      </c>
      <c r="D374" s="440"/>
      <c r="E374" s="419"/>
      <c r="F374" s="419"/>
      <c r="G374" s="419"/>
      <c r="H374" s="429"/>
      <c r="I374" s="376"/>
      <c r="J374" s="443" t="s">
        <v>874</v>
      </c>
      <c r="K374" s="439">
        <v>350.0</v>
      </c>
      <c r="L374" s="440"/>
      <c r="M374" s="419"/>
      <c r="N374" s="431"/>
      <c r="O374" s="432"/>
      <c r="P374" s="429"/>
      <c r="Q374" s="378"/>
      <c r="R374" s="378"/>
      <c r="S374" s="378"/>
      <c r="T374" s="378"/>
      <c r="U374" s="378"/>
      <c r="V374" s="378"/>
      <c r="W374" s="378"/>
      <c r="X374" s="378"/>
      <c r="Y374" s="378"/>
      <c r="Z374" s="378"/>
      <c r="AA374" s="378"/>
      <c r="AB374" s="378"/>
      <c r="AC374" s="378"/>
      <c r="AD374" s="378"/>
      <c r="AE374" s="378"/>
      <c r="AF374" s="378"/>
      <c r="AG374" s="378"/>
    </row>
    <row r="375">
      <c r="A375" s="378"/>
      <c r="B375" s="444"/>
      <c r="C375" s="434"/>
      <c r="D375" s="435"/>
      <c r="E375" s="419"/>
      <c r="F375" s="463"/>
      <c r="G375" s="463"/>
      <c r="H375" s="448"/>
      <c r="I375" s="376"/>
      <c r="J375" s="445"/>
      <c r="K375" s="434"/>
      <c r="L375" s="435"/>
      <c r="M375" s="419"/>
      <c r="N375" s="446"/>
      <c r="O375" s="447"/>
      <c r="P375" s="448"/>
      <c r="Q375" s="378"/>
      <c r="R375" s="378"/>
      <c r="S375" s="378"/>
      <c r="T375" s="378"/>
      <c r="U375" s="378"/>
      <c r="V375" s="378"/>
      <c r="W375" s="378"/>
      <c r="X375" s="378"/>
      <c r="Y375" s="378"/>
      <c r="Z375" s="378"/>
      <c r="AA375" s="378"/>
      <c r="AB375" s="378"/>
      <c r="AC375" s="378"/>
      <c r="AD375" s="378"/>
      <c r="AE375" s="378"/>
      <c r="AF375" s="378"/>
      <c r="AG375" s="378"/>
    </row>
    <row r="376">
      <c r="A376" s="378"/>
      <c r="B376" s="438" t="s">
        <v>714</v>
      </c>
      <c r="C376" s="439">
        <f>SUM(C374:C375)</f>
        <v>750</v>
      </c>
      <c r="D376" s="440"/>
      <c r="E376" s="419"/>
      <c r="F376" s="463"/>
      <c r="G376" s="463"/>
      <c r="H376" s="448"/>
      <c r="I376" s="376"/>
      <c r="J376" s="443" t="s">
        <v>714</v>
      </c>
      <c r="K376" s="439">
        <f>SUM(K374:K375)</f>
        <v>350</v>
      </c>
      <c r="L376" s="440"/>
      <c r="M376" s="419"/>
      <c r="N376" s="446"/>
      <c r="O376" s="447"/>
      <c r="P376" s="448"/>
      <c r="Q376" s="378"/>
      <c r="R376" s="378"/>
      <c r="S376" s="378"/>
      <c r="T376" s="378"/>
      <c r="U376" s="378"/>
      <c r="V376" s="378"/>
      <c r="W376" s="378"/>
      <c r="X376" s="378"/>
      <c r="Y376" s="378"/>
      <c r="Z376" s="378"/>
      <c r="AA376" s="378"/>
      <c r="AB376" s="378"/>
      <c r="AC376" s="378"/>
      <c r="AD376" s="378"/>
      <c r="AE376" s="378"/>
      <c r="AF376" s="378"/>
      <c r="AG376" s="378"/>
    </row>
    <row r="377">
      <c r="A377" s="378"/>
      <c r="B377" s="450"/>
      <c r="C377" s="451"/>
      <c r="D377" s="419"/>
      <c r="E377" s="419"/>
      <c r="F377" s="463"/>
      <c r="G377" s="463"/>
      <c r="H377" s="448"/>
      <c r="I377" s="376"/>
      <c r="J377" s="535"/>
      <c r="K377" s="451"/>
      <c r="L377" s="419"/>
      <c r="M377" s="419"/>
      <c r="N377" s="446"/>
      <c r="O377" s="447"/>
      <c r="P377" s="448"/>
      <c r="Q377" s="378"/>
      <c r="R377" s="378"/>
      <c r="S377" s="378"/>
      <c r="T377" s="378"/>
      <c r="U377" s="378"/>
      <c r="V377" s="378"/>
      <c r="W377" s="378"/>
      <c r="X377" s="378"/>
      <c r="Y377" s="378"/>
      <c r="Z377" s="378"/>
      <c r="AA377" s="378"/>
      <c r="AB377" s="378"/>
      <c r="AC377" s="378"/>
      <c r="AD377" s="378"/>
      <c r="AE377" s="378"/>
      <c r="AF377" s="378"/>
      <c r="AG377" s="378"/>
    </row>
    <row r="378">
      <c r="A378" s="378"/>
      <c r="B378" s="454" t="s">
        <v>715</v>
      </c>
      <c r="C378" s="455"/>
      <c r="D378" s="435"/>
      <c r="E378" s="419"/>
      <c r="F378" s="463"/>
      <c r="G378" s="463"/>
      <c r="H378" s="448"/>
      <c r="I378" s="376"/>
      <c r="J378" s="458" t="s">
        <v>715</v>
      </c>
      <c r="K378" s="455"/>
      <c r="L378" s="435"/>
      <c r="M378" s="419"/>
      <c r="N378" s="446"/>
      <c r="O378" s="447"/>
      <c r="P378" s="448"/>
      <c r="Q378" s="378"/>
      <c r="R378" s="378"/>
      <c r="S378" s="378"/>
      <c r="T378" s="378"/>
      <c r="U378" s="378"/>
      <c r="V378" s="378"/>
      <c r="W378" s="378"/>
      <c r="X378" s="378"/>
      <c r="Y378" s="378"/>
      <c r="Z378" s="378"/>
      <c r="AA378" s="378"/>
      <c r="AB378" s="378"/>
      <c r="AC378" s="378"/>
      <c r="AD378" s="378"/>
      <c r="AE378" s="378"/>
      <c r="AF378" s="378"/>
      <c r="AG378" s="378"/>
    </row>
    <row r="379">
      <c r="A379" s="378"/>
      <c r="B379" s="459" t="s">
        <v>716</v>
      </c>
      <c r="C379" s="460">
        <v>150.0</v>
      </c>
      <c r="D379" s="440"/>
      <c r="E379" s="419"/>
      <c r="F379" s="463"/>
      <c r="G379" s="463"/>
      <c r="H379" s="448"/>
      <c r="I379" s="376"/>
      <c r="J379" s="462"/>
      <c r="K379" s="460"/>
      <c r="L379" s="440"/>
      <c r="M379" s="419"/>
      <c r="N379" s="446"/>
      <c r="O379" s="447"/>
      <c r="P379" s="448"/>
      <c r="Q379" s="378"/>
      <c r="R379" s="378"/>
      <c r="S379" s="378"/>
      <c r="T379" s="378"/>
      <c r="U379" s="378"/>
      <c r="V379" s="378"/>
      <c r="W379" s="378"/>
      <c r="X379" s="378"/>
      <c r="Y379" s="378"/>
      <c r="Z379" s="378"/>
      <c r="AA379" s="378"/>
      <c r="AB379" s="378"/>
      <c r="AC379" s="378"/>
      <c r="AD379" s="378"/>
      <c r="AE379" s="378"/>
      <c r="AF379" s="378"/>
      <c r="AG379" s="378"/>
    </row>
    <row r="380">
      <c r="A380" s="378"/>
      <c r="B380" s="459" t="s">
        <v>717</v>
      </c>
      <c r="C380" s="460">
        <v>400.0</v>
      </c>
      <c r="D380" s="440"/>
      <c r="E380" s="419"/>
      <c r="F380" s="463"/>
      <c r="G380" s="463"/>
      <c r="H380" s="448"/>
      <c r="I380" s="376"/>
      <c r="J380" s="462"/>
      <c r="K380" s="460"/>
      <c r="L380" s="440"/>
      <c r="M380" s="419"/>
      <c r="N380" s="446"/>
      <c r="O380" s="447"/>
      <c r="P380" s="448"/>
      <c r="Q380" s="378"/>
      <c r="R380" s="378"/>
      <c r="S380" s="378"/>
      <c r="T380" s="378"/>
      <c r="U380" s="378"/>
      <c r="V380" s="378"/>
      <c r="W380" s="378"/>
      <c r="X380" s="378"/>
      <c r="Y380" s="378"/>
      <c r="Z380" s="378"/>
      <c r="AA380" s="378"/>
      <c r="AB380" s="378"/>
      <c r="AC380" s="378"/>
      <c r="AD380" s="378"/>
      <c r="AE380" s="378"/>
      <c r="AF380" s="378"/>
      <c r="AG380" s="378"/>
    </row>
    <row r="381">
      <c r="A381" s="378"/>
      <c r="B381" s="459" t="s">
        <v>718</v>
      </c>
      <c r="C381" s="460">
        <v>200.0</v>
      </c>
      <c r="D381" s="440"/>
      <c r="E381" s="419"/>
      <c r="F381" s="463"/>
      <c r="G381" s="463"/>
      <c r="H381" s="448"/>
      <c r="I381" s="376"/>
      <c r="J381" s="462"/>
      <c r="K381" s="460"/>
      <c r="L381" s="440"/>
      <c r="M381" s="419"/>
      <c r="N381" s="446"/>
      <c r="O381" s="447"/>
      <c r="P381" s="448"/>
      <c r="Q381" s="378"/>
      <c r="R381" s="378"/>
      <c r="S381" s="378"/>
      <c r="T381" s="378"/>
      <c r="U381" s="378"/>
      <c r="V381" s="378"/>
      <c r="W381" s="378"/>
      <c r="X381" s="378"/>
      <c r="Y381" s="378"/>
      <c r="Z381" s="378"/>
      <c r="AA381" s="378"/>
      <c r="AB381" s="378"/>
      <c r="AC381" s="378"/>
      <c r="AD381" s="378"/>
      <c r="AE381" s="378"/>
      <c r="AF381" s="378"/>
      <c r="AG381" s="378"/>
    </row>
    <row r="382">
      <c r="A382" s="378"/>
      <c r="B382" s="459" t="s">
        <v>656</v>
      </c>
      <c r="C382" s="460" t="str">
        <f>IFERROR(__xludf.DUMMYFUNCTION("FILTER(D1045:D1073,C1045:C1073=F363)"),"#REF!")</f>
        <v>#REF!</v>
      </c>
      <c r="D382" s="440"/>
      <c r="E382" s="419"/>
      <c r="F382" s="463"/>
      <c r="G382" s="463"/>
      <c r="H382" s="448"/>
      <c r="I382" s="376"/>
      <c r="J382" s="462"/>
      <c r="K382" s="460"/>
      <c r="L382" s="440"/>
      <c r="M382" s="419"/>
      <c r="N382" s="446"/>
      <c r="O382" s="447"/>
      <c r="P382" s="448"/>
      <c r="Q382" s="378"/>
      <c r="R382" s="378"/>
      <c r="S382" s="378"/>
      <c r="T382" s="378"/>
      <c r="U382" s="378"/>
      <c r="V382" s="378"/>
      <c r="W382" s="378"/>
      <c r="X382" s="378"/>
      <c r="Y382" s="378"/>
      <c r="Z382" s="378"/>
      <c r="AA382" s="378"/>
      <c r="AB382" s="378"/>
      <c r="AC382" s="378"/>
      <c r="AD382" s="378"/>
      <c r="AE382" s="378"/>
      <c r="AF382" s="378"/>
      <c r="AG382" s="378"/>
    </row>
    <row r="383">
      <c r="A383" s="378"/>
      <c r="B383" s="454" t="s">
        <v>875</v>
      </c>
      <c r="C383" s="537">
        <v>612.98</v>
      </c>
      <c r="D383" s="435"/>
      <c r="E383" s="419"/>
      <c r="F383" s="468" t="s">
        <v>842</v>
      </c>
      <c r="G383" s="466" t="str">
        <f>H371+C376-C388</f>
        <v>#REF!</v>
      </c>
      <c r="H383" s="211"/>
      <c r="I383" s="376"/>
      <c r="J383" s="467"/>
      <c r="K383" s="455"/>
      <c r="L383" s="435"/>
      <c r="M383" s="419"/>
      <c r="N383" s="468" t="s">
        <v>842</v>
      </c>
      <c r="O383" s="539">
        <f>P371+K376-K388</f>
        <v>2114.75</v>
      </c>
      <c r="P383" s="211"/>
      <c r="Q383" s="378"/>
      <c r="R383" s="378"/>
      <c r="S383" s="378"/>
      <c r="T383" s="378"/>
      <c r="U383" s="378"/>
      <c r="V383" s="378"/>
      <c r="W383" s="378"/>
      <c r="X383" s="378"/>
      <c r="Y383" s="378"/>
      <c r="Z383" s="378"/>
      <c r="AA383" s="378"/>
      <c r="AB383" s="378"/>
      <c r="AC383" s="378"/>
      <c r="AD383" s="378"/>
      <c r="AE383" s="378"/>
      <c r="AF383" s="378"/>
      <c r="AG383" s="378"/>
    </row>
    <row r="384">
      <c r="A384" s="378"/>
      <c r="B384" s="464"/>
      <c r="C384" s="455"/>
      <c r="D384" s="435"/>
      <c r="E384" s="419"/>
      <c r="F384" s="469" t="s">
        <v>843</v>
      </c>
      <c r="G384" s="278"/>
      <c r="H384" s="56"/>
      <c r="I384" s="376"/>
      <c r="J384" s="467"/>
      <c r="K384" s="455"/>
      <c r="L384" s="435"/>
      <c r="M384" s="419"/>
      <c r="N384" s="469" t="s">
        <v>854</v>
      </c>
      <c r="O384" s="278"/>
      <c r="P384" s="56"/>
      <c r="Q384" s="378"/>
      <c r="R384" s="378"/>
      <c r="S384" s="378"/>
      <c r="T384" s="378"/>
      <c r="U384" s="378"/>
      <c r="V384" s="378"/>
      <c r="W384" s="378"/>
      <c r="X384" s="378"/>
      <c r="Y384" s="378"/>
      <c r="Z384" s="378"/>
      <c r="AA384" s="378"/>
      <c r="AB384" s="378"/>
      <c r="AC384" s="378"/>
      <c r="AD384" s="378"/>
      <c r="AE384" s="378"/>
      <c r="AF384" s="378"/>
      <c r="AG384" s="378"/>
    </row>
    <row r="385">
      <c r="A385" s="378"/>
      <c r="B385" s="464"/>
      <c r="C385" s="455"/>
      <c r="D385" s="435"/>
      <c r="E385" s="419"/>
      <c r="F385" s="470"/>
      <c r="G385" s="215"/>
      <c r="H385" s="64"/>
      <c r="I385" s="376"/>
      <c r="J385" s="467"/>
      <c r="K385" s="455"/>
      <c r="L385" s="435"/>
      <c r="M385" s="419"/>
      <c r="N385" s="470"/>
      <c r="O385" s="215"/>
      <c r="P385" s="64"/>
      <c r="Q385" s="378"/>
      <c r="R385" s="378"/>
      <c r="S385" s="378"/>
      <c r="T385" s="378"/>
      <c r="U385" s="378"/>
      <c r="V385" s="378"/>
      <c r="W385" s="378"/>
      <c r="X385" s="378"/>
      <c r="Y385" s="378"/>
      <c r="Z385" s="378"/>
      <c r="AA385" s="378"/>
      <c r="AB385" s="378"/>
      <c r="AC385" s="378"/>
      <c r="AD385" s="378"/>
      <c r="AE385" s="378"/>
      <c r="AF385" s="378"/>
      <c r="AG385" s="378"/>
    </row>
    <row r="386">
      <c r="A386" s="378"/>
      <c r="B386" s="464"/>
      <c r="C386" s="455"/>
      <c r="D386" s="435"/>
      <c r="E386" s="419"/>
      <c r="F386" s="419"/>
      <c r="G386" s="419"/>
      <c r="H386" s="429"/>
      <c r="I386" s="376"/>
      <c r="J386" s="467"/>
      <c r="K386" s="455"/>
      <c r="L386" s="435"/>
      <c r="M386" s="419"/>
      <c r="N386" s="431"/>
      <c r="O386" s="432"/>
      <c r="P386" s="429"/>
      <c r="Q386" s="378"/>
      <c r="R386" s="378"/>
      <c r="S386" s="378"/>
      <c r="T386" s="378"/>
      <c r="U386" s="378"/>
      <c r="V386" s="378"/>
      <c r="W386" s="378"/>
      <c r="X386" s="378"/>
      <c r="Y386" s="378"/>
      <c r="Z386" s="378"/>
      <c r="AA386" s="378"/>
      <c r="AB386" s="378"/>
      <c r="AC386" s="378"/>
      <c r="AD386" s="378"/>
      <c r="AE386" s="378"/>
      <c r="AF386" s="378"/>
      <c r="AG386" s="378"/>
    </row>
    <row r="387">
      <c r="A387" s="378"/>
      <c r="B387" s="464"/>
      <c r="C387" s="455"/>
      <c r="D387" s="435"/>
      <c r="E387" s="419"/>
      <c r="F387" s="419"/>
      <c r="G387" s="419"/>
      <c r="H387" s="429"/>
      <c r="I387" s="376"/>
      <c r="J387" s="467"/>
      <c r="K387" s="455"/>
      <c r="L387" s="435"/>
      <c r="M387" s="419"/>
      <c r="N387" s="431"/>
      <c r="O387" s="432"/>
      <c r="P387" s="429"/>
      <c r="Q387" s="378"/>
      <c r="R387" s="378"/>
      <c r="S387" s="378"/>
      <c r="T387" s="378"/>
      <c r="U387" s="378"/>
      <c r="V387" s="378"/>
      <c r="W387" s="378"/>
      <c r="X387" s="378"/>
      <c r="Y387" s="378"/>
      <c r="Z387" s="378"/>
      <c r="AA387" s="378"/>
      <c r="AB387" s="378"/>
      <c r="AC387" s="378"/>
      <c r="AD387" s="378"/>
      <c r="AE387" s="378"/>
      <c r="AF387" s="378"/>
      <c r="AG387" s="378"/>
    </row>
    <row r="388">
      <c r="A388" s="378"/>
      <c r="B388" s="454" t="s">
        <v>721</v>
      </c>
      <c r="C388" s="460" t="str">
        <f>SUM(C379:C387)</f>
        <v>#REF!</v>
      </c>
      <c r="D388" s="440"/>
      <c r="E388" s="419"/>
      <c r="F388" s="419"/>
      <c r="G388" s="419"/>
      <c r="H388" s="429"/>
      <c r="I388" s="376"/>
      <c r="J388" s="458" t="s">
        <v>721</v>
      </c>
      <c r="K388" s="460">
        <f>SUM(K379:K387)</f>
        <v>0</v>
      </c>
      <c r="L388" s="440"/>
      <c r="M388" s="419"/>
      <c r="N388" s="431"/>
      <c r="O388" s="432"/>
      <c r="P388" s="429"/>
      <c r="Q388" s="378"/>
      <c r="R388" s="378"/>
      <c r="S388" s="378"/>
      <c r="T388" s="378"/>
      <c r="U388" s="378"/>
      <c r="V388" s="378"/>
      <c r="W388" s="378"/>
      <c r="X388" s="378"/>
      <c r="Y388" s="378"/>
      <c r="Z388" s="378"/>
      <c r="AA388" s="378"/>
      <c r="AB388" s="378"/>
      <c r="AC388" s="378"/>
      <c r="AD388" s="378"/>
      <c r="AE388" s="378"/>
      <c r="AF388" s="378"/>
      <c r="AG388" s="378"/>
    </row>
    <row r="389">
      <c r="A389" s="378"/>
      <c r="B389" s="471"/>
      <c r="C389" s="472"/>
      <c r="D389" s="472"/>
      <c r="E389" s="472"/>
      <c r="F389" s="472"/>
      <c r="G389" s="472"/>
      <c r="H389" s="473"/>
      <c r="I389" s="376"/>
      <c r="J389" s="474"/>
      <c r="K389" s="472"/>
      <c r="L389" s="472"/>
      <c r="M389" s="472"/>
      <c r="N389" s="475"/>
      <c r="O389" s="476"/>
      <c r="P389" s="473"/>
      <c r="Q389" s="378"/>
      <c r="R389" s="378"/>
      <c r="S389" s="378"/>
      <c r="T389" s="378"/>
      <c r="U389" s="378"/>
      <c r="V389" s="378"/>
      <c r="W389" s="378"/>
      <c r="X389" s="378"/>
      <c r="Y389" s="378"/>
      <c r="Z389" s="378"/>
      <c r="AA389" s="378"/>
      <c r="AB389" s="378"/>
      <c r="AC389" s="378"/>
      <c r="AD389" s="378"/>
      <c r="AE389" s="378"/>
      <c r="AF389" s="378"/>
      <c r="AG389" s="378"/>
    </row>
    <row r="390">
      <c r="A390" s="378"/>
      <c r="B390" s="550"/>
      <c r="C390" s="463"/>
      <c r="D390" s="463"/>
      <c r="E390" s="463"/>
      <c r="F390" s="463"/>
      <c r="G390" s="463"/>
      <c r="H390" s="463"/>
      <c r="I390" s="376"/>
      <c r="J390" s="377"/>
      <c r="K390" s="378"/>
      <c r="L390" s="378"/>
      <c r="M390" s="378"/>
      <c r="N390" s="379"/>
      <c r="O390" s="380"/>
      <c r="P390" s="378"/>
      <c r="Q390" s="378"/>
      <c r="R390" s="378"/>
      <c r="S390" s="378"/>
      <c r="T390" s="378"/>
      <c r="U390" s="378"/>
      <c r="V390" s="378"/>
      <c r="W390" s="378"/>
      <c r="X390" s="378"/>
      <c r="Y390" s="378"/>
      <c r="Z390" s="378"/>
      <c r="AA390" s="378"/>
      <c r="AB390" s="378"/>
      <c r="AC390" s="378"/>
      <c r="AD390" s="378"/>
      <c r="AE390" s="378"/>
      <c r="AF390" s="378"/>
      <c r="AG390" s="378"/>
    </row>
    <row r="391">
      <c r="A391" s="378"/>
      <c r="B391" s="477"/>
      <c r="C391" s="378"/>
      <c r="D391" s="378"/>
      <c r="E391" s="378"/>
      <c r="F391" s="378"/>
      <c r="G391" s="378"/>
      <c r="H391" s="378"/>
      <c r="I391" s="376"/>
      <c r="J391" s="377"/>
      <c r="K391" s="378"/>
      <c r="L391" s="378"/>
      <c r="M391" s="378"/>
      <c r="N391" s="379"/>
      <c r="O391" s="380"/>
      <c r="P391" s="378"/>
      <c r="Q391" s="378"/>
      <c r="R391" s="378"/>
      <c r="S391" s="378"/>
      <c r="T391" s="378"/>
      <c r="U391" s="378"/>
      <c r="V391" s="378"/>
      <c r="W391" s="378"/>
      <c r="X391" s="378"/>
      <c r="Y391" s="378"/>
      <c r="Z391" s="378"/>
      <c r="AA391" s="378"/>
      <c r="AB391" s="378"/>
      <c r="AC391" s="378"/>
      <c r="AD391" s="378"/>
      <c r="AE391" s="378"/>
      <c r="AF391" s="378"/>
      <c r="AG391" s="378"/>
    </row>
    <row r="392">
      <c r="A392" s="378"/>
      <c r="B392" s="382"/>
      <c r="C392" s="388"/>
      <c r="D392" s="384"/>
      <c r="E392" s="385" t="s">
        <v>700</v>
      </c>
      <c r="F392" s="385" t="str">
        <f>Board!A2</f>
        <v>11.17.25-11.23.25</v>
      </c>
      <c r="G392" s="213"/>
      <c r="H392" s="211"/>
      <c r="I392" s="386">
        <v>11.0</v>
      </c>
      <c r="J392" s="387"/>
      <c r="K392" s="388"/>
      <c r="L392" s="384"/>
      <c r="M392" s="385" t="s">
        <v>700</v>
      </c>
      <c r="N392" s="385" t="str">
        <f>Board!A2</f>
        <v>11.17.25-11.23.25</v>
      </c>
      <c r="O392" s="213"/>
      <c r="P392" s="211"/>
      <c r="Q392" s="378"/>
      <c r="R392" s="389" t="s">
        <v>831</v>
      </c>
      <c r="S392" s="389" t="s">
        <v>652</v>
      </c>
      <c r="T392" s="390" t="s">
        <v>832</v>
      </c>
      <c r="U392" s="391" t="s">
        <v>833</v>
      </c>
      <c r="V392" s="389" t="s">
        <v>655</v>
      </c>
      <c r="W392" s="389" t="s">
        <v>8</v>
      </c>
      <c r="X392" s="389" t="s">
        <v>656</v>
      </c>
      <c r="Y392" s="390" t="s">
        <v>834</v>
      </c>
      <c r="Z392" s="392" t="s">
        <v>835</v>
      </c>
      <c r="AA392" s="390" t="s">
        <v>836</v>
      </c>
      <c r="AB392" s="390" t="s">
        <v>837</v>
      </c>
      <c r="AC392" s="393" t="s">
        <v>716</v>
      </c>
      <c r="AD392" s="393" t="s">
        <v>717</v>
      </c>
      <c r="AE392" s="393" t="s">
        <v>718</v>
      </c>
      <c r="AF392" s="394" t="s">
        <v>838</v>
      </c>
      <c r="AG392" s="394"/>
    </row>
    <row r="393">
      <c r="A393" s="378"/>
      <c r="B393" s="395"/>
      <c r="C393" s="372"/>
      <c r="D393" s="396"/>
      <c r="E393" s="385" t="s">
        <v>702</v>
      </c>
      <c r="F393" s="385" t="s">
        <v>680</v>
      </c>
      <c r="G393" s="213"/>
      <c r="H393" s="211"/>
      <c r="I393" s="376"/>
      <c r="J393" s="397"/>
      <c r="K393" s="372"/>
      <c r="L393" s="396"/>
      <c r="M393" s="385" t="s">
        <v>351</v>
      </c>
      <c r="N393" s="385" t="str">
        <f t="array" ref="N393">XLOOKUP(N394,Board!K:K,Board!J:J)</f>
        <v>Christopher Elliot Nunez</v>
      </c>
      <c r="O393" s="213"/>
      <c r="P393" s="211"/>
      <c r="Q393" s="378"/>
      <c r="R393" s="398">
        <f>I392</f>
        <v>11</v>
      </c>
      <c r="S393" s="398">
        <f>F394</f>
        <v>2774</v>
      </c>
      <c r="T393" s="399" t="str">
        <f>G414</f>
        <v>#N/A</v>
      </c>
      <c r="U393" s="378" t="str">
        <f>N393</f>
        <v>Christopher Elliot Nunez</v>
      </c>
      <c r="V393" s="380">
        <f>O414</f>
        <v>1882.4</v>
      </c>
      <c r="W393" s="399">
        <f>P402</f>
        <v>1882.4</v>
      </c>
      <c r="X393" s="399" t="str">
        <f>C413</f>
        <v>#N/A</v>
      </c>
      <c r="Y393" s="400">
        <f>N402</f>
        <v>2896</v>
      </c>
      <c r="Z393" s="378" t="str">
        <f>V394-V393</f>
        <v>#N/A</v>
      </c>
      <c r="AA393" s="378"/>
      <c r="AB393" s="378"/>
      <c r="AC393" s="401">
        <f>C410</f>
        <v>150</v>
      </c>
      <c r="AD393" s="401">
        <f>C411</f>
        <v>400</v>
      </c>
      <c r="AE393" s="401">
        <f>C412</f>
        <v>200</v>
      </c>
      <c r="AF393" s="530">
        <f>C414+C415+C416+C417+C418</f>
        <v>564.3</v>
      </c>
      <c r="AG393" s="398"/>
    </row>
    <row r="394">
      <c r="A394" s="378"/>
      <c r="B394" s="395"/>
      <c r="C394" s="372"/>
      <c r="D394" s="402"/>
      <c r="E394" s="385" t="s">
        <v>703</v>
      </c>
      <c r="F394" s="385">
        <v>2774.0</v>
      </c>
      <c r="G394" s="213"/>
      <c r="H394" s="211"/>
      <c r="I394" s="376"/>
      <c r="J394" s="397"/>
      <c r="K394" s="372"/>
      <c r="L394" s="402"/>
      <c r="M394" s="385" t="s">
        <v>703</v>
      </c>
      <c r="N394" s="385">
        <f>F394</f>
        <v>2774</v>
      </c>
      <c r="O394" s="213"/>
      <c r="P394" s="211"/>
      <c r="Q394" s="378"/>
      <c r="R394" s="378"/>
      <c r="S394" s="378"/>
      <c r="T394" s="378"/>
      <c r="U394" s="378" t="str">
        <f>F393</f>
        <v>EDT Logistics LLC</v>
      </c>
      <c r="V394" s="399" t="str">
        <f>G414</f>
        <v>#N/A</v>
      </c>
      <c r="W394" s="399">
        <f>H402</f>
        <v>4576</v>
      </c>
      <c r="X394" s="378"/>
      <c r="Y394" s="378"/>
      <c r="Z394" s="378"/>
      <c r="AA394" s="378"/>
      <c r="AB394" s="378"/>
      <c r="AC394" s="378"/>
      <c r="AD394" s="378"/>
      <c r="AE394" s="378"/>
      <c r="AF394" s="378"/>
      <c r="AG394" s="378"/>
    </row>
    <row r="395">
      <c r="A395" s="378"/>
      <c r="B395" s="403" t="s">
        <v>704</v>
      </c>
      <c r="C395" s="404" t="s">
        <v>5</v>
      </c>
      <c r="D395" s="405" t="s">
        <v>6</v>
      </c>
      <c r="E395" s="406" t="s">
        <v>7</v>
      </c>
      <c r="F395" s="404" t="s">
        <v>8</v>
      </c>
      <c r="G395" s="404" t="s">
        <v>706</v>
      </c>
      <c r="H395" s="404" t="s">
        <v>707</v>
      </c>
      <c r="I395" s="376"/>
      <c r="J395" s="407" t="s">
        <v>704</v>
      </c>
      <c r="K395" s="404" t="s">
        <v>5</v>
      </c>
      <c r="L395" s="405" t="s">
        <v>6</v>
      </c>
      <c r="M395" s="406" t="s">
        <v>7</v>
      </c>
      <c r="N395" s="404" t="s">
        <v>591</v>
      </c>
      <c r="O395" s="408" t="s">
        <v>839</v>
      </c>
      <c r="P395" s="404" t="s">
        <v>707</v>
      </c>
      <c r="Q395" s="378"/>
      <c r="R395" s="378"/>
      <c r="S395" s="378"/>
      <c r="T395" s="378"/>
      <c r="U395" s="378"/>
      <c r="V395" s="378"/>
      <c r="W395" s="378"/>
      <c r="X395" s="378"/>
      <c r="Y395" s="378"/>
      <c r="Z395" s="378"/>
      <c r="AA395" s="378"/>
      <c r="AB395" s="378"/>
      <c r="AC395" s="378"/>
      <c r="AD395" s="378"/>
      <c r="AE395" s="378"/>
      <c r="AF395" s="378"/>
      <c r="AG395" s="378"/>
    </row>
    <row r="396">
      <c r="A396" s="378"/>
      <c r="B396" s="555">
        <f>IFERROR(__xludf.DUMMYFUNCTION("FILTER(Board!C:G,Board!K:K=F394)"),45978.0)</f>
        <v>45978</v>
      </c>
      <c r="C396" s="404">
        <f>IFERROR(__xludf.DUMMYFUNCTION("""COMPUTED_VALUE"""),2.0589363E7)</f>
        <v>20589363</v>
      </c>
      <c r="D396" s="405" t="str">
        <f>IFERROR(__xludf.DUMMYFUNCTION("""COMPUTED_VALUE"""),"Greenville, TX, 75402")</f>
        <v>Greenville, TX, 75402</v>
      </c>
      <c r="E396" s="406" t="str">
        <f>IFERROR(__xludf.DUMMYFUNCTION("""COMPUTED_VALUE"""),"Selma, TX, 78154")</f>
        <v>Selma, TX, 78154</v>
      </c>
      <c r="F396" s="414">
        <f>IFERROR(__xludf.DUMMYFUNCTION("""COMPUTED_VALUE"""),800.0)</f>
        <v>800</v>
      </c>
      <c r="G396" s="413">
        <v>0.88</v>
      </c>
      <c r="H396" s="414">
        <f t="shared" ref="H396:H398" si="18">F396*G396</f>
        <v>704</v>
      </c>
      <c r="I396" s="376"/>
      <c r="J396" s="415">
        <f>IFERROR(__xludf.DUMMYFUNCTION("FILTER(Board!C:F,Board!K:K=N394)"),45978.0)</f>
        <v>45978</v>
      </c>
      <c r="K396" s="411">
        <f>IFERROR(__xludf.DUMMYFUNCTION("""COMPUTED_VALUE"""),2.0589363E7)</f>
        <v>20589363</v>
      </c>
      <c r="L396" s="411" t="str">
        <f>IFERROR(__xludf.DUMMYFUNCTION("""COMPUTED_VALUE"""),"Greenville, TX, 75402")</f>
        <v>Greenville, TX, 75402</v>
      </c>
      <c r="M396" s="411" t="str">
        <f>IFERROR(__xludf.DUMMYFUNCTION("""COMPUTED_VALUE"""),"Selma, TX, 78154")</f>
        <v>Selma, TX, 78154</v>
      </c>
      <c r="N396" s="416">
        <f>IFERROR(__xludf.DUMMYFUNCTION("FILTER(Board!H:H,Board!K:K=N394)"),400.0)</f>
        <v>400</v>
      </c>
      <c r="O396" s="408">
        <v>0.65</v>
      </c>
      <c r="P396" s="414">
        <f t="shared" ref="P396:P399" si="19">N396*O396</f>
        <v>260</v>
      </c>
      <c r="Q396" s="378"/>
      <c r="R396" s="378"/>
      <c r="S396" s="378"/>
      <c r="T396" s="378"/>
      <c r="U396" s="378"/>
      <c r="V396" s="378"/>
      <c r="W396" s="378"/>
      <c r="X396" s="378"/>
      <c r="Y396" s="378"/>
      <c r="Z396" s="378"/>
      <c r="AA396" s="378"/>
      <c r="AB396" s="378"/>
      <c r="AC396" s="378"/>
      <c r="AD396" s="378"/>
      <c r="AE396" s="378"/>
      <c r="AF396" s="378"/>
      <c r="AG396" s="378"/>
    </row>
    <row r="397">
      <c r="A397" s="378"/>
      <c r="B397" s="555">
        <f>IFERROR(__xludf.DUMMYFUNCTION("""COMPUTED_VALUE"""),45979.0)</f>
        <v>45979</v>
      </c>
      <c r="C397" s="404">
        <f>IFERROR(__xludf.DUMMYFUNCTION("""COMPUTED_VALUE"""),51417.0)</f>
        <v>51417</v>
      </c>
      <c r="D397" s="405" t="str">
        <f>IFERROR(__xludf.DUMMYFUNCTION("""COMPUTED_VALUE"""),"Fredericksburg, TX, 78624")</f>
        <v>Fredericksburg, TX, 78624</v>
      </c>
      <c r="E397" s="406" t="str">
        <f>IFERROR(__xludf.DUMMYFUNCTION("""COMPUTED_VALUE"""),"New Cumberland, PA, 17070")</f>
        <v>New Cumberland, PA, 17070</v>
      </c>
      <c r="F397" s="414">
        <f>IFERROR(__xludf.DUMMYFUNCTION("""COMPUTED_VALUE"""),2900.0)</f>
        <v>2900</v>
      </c>
      <c r="G397" s="413">
        <v>0.88</v>
      </c>
      <c r="H397" s="414">
        <f t="shared" si="18"/>
        <v>2552</v>
      </c>
      <c r="I397" s="376"/>
      <c r="J397" s="418">
        <f>IFERROR(__xludf.DUMMYFUNCTION("""COMPUTED_VALUE"""),45979.0)</f>
        <v>45979</v>
      </c>
      <c r="K397" s="411">
        <f>IFERROR(__xludf.DUMMYFUNCTION("""COMPUTED_VALUE"""),51417.0)</f>
        <v>51417</v>
      </c>
      <c r="L397" s="411" t="str">
        <f>IFERROR(__xludf.DUMMYFUNCTION("""COMPUTED_VALUE"""),"Fredericksburg, TX, 78624")</f>
        <v>Fredericksburg, TX, 78624</v>
      </c>
      <c r="M397" s="411" t="str">
        <f>IFERROR(__xludf.DUMMYFUNCTION("""COMPUTED_VALUE"""),"New Cumberland, PA, 17070")</f>
        <v>New Cumberland, PA, 17070</v>
      </c>
      <c r="N397" s="416">
        <f>IFERROR(__xludf.DUMMYFUNCTION("""COMPUTED_VALUE"""),1721.0)</f>
        <v>1721</v>
      </c>
      <c r="O397" s="408">
        <v>0.65</v>
      </c>
      <c r="P397" s="414">
        <f t="shared" si="19"/>
        <v>1118.65</v>
      </c>
      <c r="Q397" s="378"/>
      <c r="R397" s="378"/>
      <c r="S397" s="378"/>
      <c r="T397" s="378"/>
      <c r="U397" s="378"/>
      <c r="V397" s="378"/>
      <c r="W397" s="378"/>
      <c r="X397" s="378"/>
      <c r="Y397" s="378"/>
      <c r="Z397" s="378"/>
      <c r="AA397" s="378"/>
      <c r="AB397" s="378"/>
      <c r="AC397" s="378"/>
      <c r="AD397" s="378"/>
      <c r="AE397" s="378"/>
      <c r="AF397" s="378"/>
      <c r="AG397" s="378"/>
    </row>
    <row r="398">
      <c r="A398" s="378"/>
      <c r="B398" s="499">
        <f>IFERROR(__xludf.DUMMYFUNCTION("""COMPUTED_VALUE"""),45984.0)</f>
        <v>45984</v>
      </c>
      <c r="C398" s="421">
        <f>IFERROR(__xludf.DUMMYFUNCTION("""COMPUTED_VALUE"""),286330.0)</f>
        <v>286330</v>
      </c>
      <c r="D398" s="422" t="str">
        <f>IFERROR(__xludf.DUMMYFUNCTION("""COMPUTED_VALUE"""),"Hanover, PA, 17331")</f>
        <v>Hanover, PA, 17331</v>
      </c>
      <c r="E398" s="423" t="str">
        <f>IFERROR(__xludf.DUMMYFUNCTION("""COMPUTED_VALUE"""),"Hanover, PA, 17331")</f>
        <v>Hanover, PA, 17331</v>
      </c>
      <c r="F398" s="427">
        <f>IFERROR(__xludf.DUMMYFUNCTION("""COMPUTED_VALUE"""),1500.0)</f>
        <v>1500</v>
      </c>
      <c r="G398" s="413">
        <v>0.88</v>
      </c>
      <c r="H398" s="414">
        <f t="shared" si="18"/>
        <v>1320</v>
      </c>
      <c r="I398" s="376"/>
      <c r="J398" s="545">
        <f>IFERROR(__xludf.DUMMYFUNCTION("""COMPUTED_VALUE"""),45984.0)</f>
        <v>45984</v>
      </c>
      <c r="K398" s="421">
        <f>IFERROR(__xludf.DUMMYFUNCTION("""COMPUTED_VALUE"""),286330.0)</f>
        <v>286330</v>
      </c>
      <c r="L398" s="422" t="str">
        <f>IFERROR(__xludf.DUMMYFUNCTION("""COMPUTED_VALUE"""),"Hanover, PA, 17331")</f>
        <v>Hanover, PA, 17331</v>
      </c>
      <c r="M398" s="423" t="str">
        <f>IFERROR(__xludf.DUMMYFUNCTION("""COMPUTED_VALUE"""),"Hanover, PA, 17331")</f>
        <v>Hanover, PA, 17331</v>
      </c>
      <c r="N398" s="546">
        <f>IFERROR(__xludf.DUMMYFUNCTION("""COMPUTED_VALUE"""),775.0)</f>
        <v>775</v>
      </c>
      <c r="O398" s="408">
        <v>0.65</v>
      </c>
      <c r="P398" s="414">
        <f t="shared" si="19"/>
        <v>503.75</v>
      </c>
      <c r="Q398" s="378"/>
      <c r="R398" s="378"/>
      <c r="S398" s="378"/>
      <c r="T398" s="378"/>
      <c r="U398" s="378"/>
      <c r="V398" s="378"/>
      <c r="W398" s="378"/>
      <c r="X398" s="378"/>
      <c r="Y398" s="378"/>
      <c r="Z398" s="378"/>
      <c r="AA398" s="378"/>
      <c r="AB398" s="378"/>
      <c r="AC398" s="378"/>
      <c r="AD398" s="378"/>
      <c r="AE398" s="378"/>
      <c r="AF398" s="378"/>
      <c r="AG398" s="378"/>
    </row>
    <row r="399">
      <c r="A399" s="378"/>
      <c r="B399" s="420"/>
      <c r="C399" s="421"/>
      <c r="D399" s="422"/>
      <c r="E399" s="423"/>
      <c r="F399" s="421"/>
      <c r="G399" s="413"/>
      <c r="H399" s="414"/>
      <c r="I399" s="376"/>
      <c r="J399" s="424"/>
      <c r="K399" s="421"/>
      <c r="L399" s="422"/>
      <c r="M399" s="423"/>
      <c r="N399" s="425"/>
      <c r="O399" s="408">
        <v>0.65</v>
      </c>
      <c r="P399" s="414">
        <f t="shared" si="19"/>
        <v>0</v>
      </c>
      <c r="Q399" s="378"/>
      <c r="R399" s="378"/>
      <c r="S399" s="378"/>
      <c r="T399" s="378"/>
      <c r="U399" s="378"/>
      <c r="V399" s="378"/>
      <c r="W399" s="378"/>
      <c r="X399" s="378"/>
      <c r="Y399" s="378"/>
      <c r="Z399" s="378"/>
      <c r="AA399" s="378"/>
      <c r="AB399" s="378"/>
      <c r="AC399" s="378"/>
      <c r="AD399" s="378"/>
      <c r="AE399" s="378"/>
      <c r="AF399" s="378"/>
      <c r="AG399" s="378"/>
    </row>
    <row r="400">
      <c r="A400" s="378"/>
      <c r="B400" s="420"/>
      <c r="C400" s="421"/>
      <c r="D400" s="422"/>
      <c r="E400" s="423"/>
      <c r="F400" s="421"/>
      <c r="G400" s="413"/>
      <c r="H400" s="414"/>
      <c r="I400" s="376"/>
      <c r="J400" s="424"/>
      <c r="K400" s="421"/>
      <c r="L400" s="422"/>
      <c r="M400" s="423"/>
      <c r="N400" s="425"/>
      <c r="O400" s="408"/>
      <c r="P400" s="414"/>
      <c r="Q400" s="378"/>
      <c r="R400" s="378"/>
      <c r="S400" s="378"/>
      <c r="T400" s="378"/>
      <c r="U400" s="378"/>
      <c r="V400" s="378"/>
      <c r="W400" s="378"/>
      <c r="X400" s="378"/>
      <c r="Y400" s="378"/>
      <c r="Z400" s="378"/>
      <c r="AA400" s="378"/>
      <c r="AB400" s="378"/>
      <c r="AC400" s="378"/>
      <c r="AD400" s="378"/>
      <c r="AE400" s="378"/>
      <c r="AF400" s="378"/>
      <c r="AG400" s="378"/>
    </row>
    <row r="401">
      <c r="A401" s="378"/>
      <c r="B401" s="420"/>
      <c r="C401" s="421"/>
      <c r="D401" s="422"/>
      <c r="E401" s="423"/>
      <c r="F401" s="421"/>
      <c r="G401" s="413"/>
      <c r="H401" s="414"/>
      <c r="I401" s="376"/>
      <c r="J401" s="424"/>
      <c r="K401" s="421"/>
      <c r="L401" s="422"/>
      <c r="M401" s="423"/>
      <c r="N401" s="425"/>
      <c r="O401" s="408"/>
      <c r="P401" s="414"/>
      <c r="Q401" s="378"/>
      <c r="R401" s="378"/>
      <c r="S401" s="378"/>
      <c r="T401" s="378"/>
      <c r="U401" s="378"/>
      <c r="V401" s="378"/>
      <c r="W401" s="378"/>
      <c r="X401" s="378"/>
      <c r="Y401" s="378"/>
      <c r="Z401" s="378"/>
      <c r="AA401" s="378"/>
      <c r="AB401" s="378"/>
      <c r="AC401" s="378"/>
      <c r="AD401" s="378"/>
      <c r="AE401" s="378"/>
      <c r="AF401" s="378"/>
      <c r="AG401" s="378"/>
    </row>
    <row r="402">
      <c r="A402" s="378"/>
      <c r="B402" s="403" t="s">
        <v>711</v>
      </c>
      <c r="C402" s="224"/>
      <c r="D402" s="224"/>
      <c r="E402" s="222"/>
      <c r="F402" s="414">
        <f>SUM(F396:F401)</f>
        <v>5200</v>
      </c>
      <c r="G402" s="421"/>
      <c r="H402" s="414">
        <f>SUM(H396:H401)</f>
        <v>4576</v>
      </c>
      <c r="I402" s="376"/>
      <c r="J402" s="407" t="s">
        <v>711</v>
      </c>
      <c r="K402" s="224"/>
      <c r="L402" s="224"/>
      <c r="M402" s="222"/>
      <c r="N402" s="426">
        <f>SUM(N396:N401)</f>
        <v>2896</v>
      </c>
      <c r="O402" s="427"/>
      <c r="P402" s="414">
        <f>SUM(P396:P401)</f>
        <v>1882.4</v>
      </c>
      <c r="Q402" s="378"/>
      <c r="R402" s="378"/>
      <c r="S402" s="378"/>
      <c r="T402" s="378"/>
      <c r="U402" s="378"/>
      <c r="V402" s="378"/>
      <c r="W402" s="378"/>
      <c r="X402" s="378"/>
      <c r="Y402" s="378"/>
      <c r="Z402" s="378"/>
      <c r="AA402" s="378"/>
      <c r="AB402" s="378"/>
      <c r="AC402" s="378"/>
      <c r="AD402" s="378"/>
      <c r="AE402" s="378"/>
      <c r="AF402" s="378"/>
      <c r="AG402" s="378"/>
    </row>
    <row r="403">
      <c r="A403" s="378"/>
      <c r="B403" s="428"/>
      <c r="C403" s="419"/>
      <c r="D403" s="419"/>
      <c r="E403" s="419"/>
      <c r="F403" s="419"/>
      <c r="G403" s="419"/>
      <c r="H403" s="429"/>
      <c r="I403" s="376"/>
      <c r="J403" s="430"/>
      <c r="K403" s="419"/>
      <c r="L403" s="419"/>
      <c r="M403" s="419"/>
      <c r="N403" s="431"/>
      <c r="O403" s="432"/>
      <c r="P403" s="429"/>
      <c r="Q403" s="378"/>
      <c r="R403" s="378"/>
      <c r="S403" s="378"/>
      <c r="T403" s="378"/>
      <c r="U403" s="378"/>
      <c r="V403" s="378"/>
      <c r="W403" s="378"/>
      <c r="X403" s="378"/>
      <c r="Y403" s="378"/>
      <c r="Z403" s="378"/>
      <c r="AA403" s="378"/>
      <c r="AB403" s="378"/>
      <c r="AC403" s="378"/>
      <c r="AD403" s="378"/>
      <c r="AE403" s="378"/>
      <c r="AF403" s="378"/>
      <c r="AG403" s="378"/>
    </row>
    <row r="404">
      <c r="A404" s="378"/>
      <c r="B404" s="433" t="s">
        <v>712</v>
      </c>
      <c r="C404" s="434"/>
      <c r="D404" s="435"/>
      <c r="E404" s="419"/>
      <c r="F404" s="419"/>
      <c r="G404" s="419"/>
      <c r="H404" s="429"/>
      <c r="I404" s="376"/>
      <c r="J404" s="437" t="s">
        <v>712</v>
      </c>
      <c r="K404" s="434"/>
      <c r="L404" s="435"/>
      <c r="M404" s="419"/>
      <c r="N404" s="431"/>
      <c r="O404" s="432"/>
      <c r="P404" s="429"/>
      <c r="Q404" s="378"/>
      <c r="R404" s="378"/>
      <c r="S404" s="378"/>
      <c r="T404" s="378"/>
      <c r="U404" s="378"/>
      <c r="V404" s="378"/>
      <c r="W404" s="378"/>
      <c r="X404" s="378"/>
      <c r="Y404" s="378"/>
      <c r="Z404" s="378"/>
      <c r="AA404" s="378"/>
      <c r="AB404" s="378"/>
      <c r="AC404" s="378"/>
      <c r="AD404" s="378"/>
      <c r="AE404" s="378"/>
      <c r="AF404" s="378"/>
      <c r="AG404" s="378"/>
    </row>
    <row r="405">
      <c r="A405" s="378"/>
      <c r="B405" s="438" t="s">
        <v>713</v>
      </c>
      <c r="C405" s="439"/>
      <c r="D405" s="440"/>
      <c r="E405" s="419"/>
      <c r="F405" s="419"/>
      <c r="G405" s="419"/>
      <c r="H405" s="429"/>
      <c r="I405" s="376"/>
      <c r="J405" s="443" t="s">
        <v>713</v>
      </c>
      <c r="K405" s="439"/>
      <c r="L405" s="440"/>
      <c r="M405" s="419"/>
      <c r="N405" s="431"/>
      <c r="O405" s="432"/>
      <c r="P405" s="429"/>
      <c r="Q405" s="378"/>
      <c r="R405" s="378"/>
      <c r="S405" s="378"/>
      <c r="T405" s="378"/>
      <c r="U405" s="378"/>
      <c r="V405" s="378"/>
      <c r="W405" s="378"/>
      <c r="X405" s="378"/>
      <c r="Y405" s="378"/>
      <c r="Z405" s="378"/>
      <c r="AA405" s="378"/>
      <c r="AB405" s="378"/>
      <c r="AC405" s="378"/>
      <c r="AD405" s="378"/>
      <c r="AE405" s="378"/>
      <c r="AF405" s="378"/>
      <c r="AG405" s="378"/>
    </row>
    <row r="406">
      <c r="A406" s="378"/>
      <c r="B406" s="444"/>
      <c r="C406" s="434"/>
      <c r="D406" s="435"/>
      <c r="E406" s="419"/>
      <c r="F406" s="463"/>
      <c r="G406" s="463"/>
      <c r="H406" s="448"/>
      <c r="I406" s="376"/>
      <c r="J406" s="445"/>
      <c r="K406" s="434"/>
      <c r="L406" s="435"/>
      <c r="M406" s="419"/>
      <c r="N406" s="446"/>
      <c r="O406" s="447"/>
      <c r="P406" s="448"/>
      <c r="Q406" s="378"/>
      <c r="R406" s="378"/>
      <c r="S406" s="378"/>
      <c r="T406" s="378"/>
      <c r="U406" s="378"/>
      <c r="V406" s="378"/>
      <c r="W406" s="378"/>
      <c r="X406" s="378"/>
      <c r="Y406" s="378"/>
      <c r="Z406" s="378"/>
      <c r="AA406" s="378"/>
      <c r="AB406" s="378"/>
      <c r="AC406" s="378"/>
      <c r="AD406" s="378"/>
      <c r="AE406" s="378"/>
      <c r="AF406" s="378"/>
      <c r="AG406" s="378"/>
    </row>
    <row r="407">
      <c r="A407" s="378"/>
      <c r="B407" s="438" t="s">
        <v>714</v>
      </c>
      <c r="C407" s="439">
        <f>SUM(C405:C406)</f>
        <v>0</v>
      </c>
      <c r="D407" s="440"/>
      <c r="E407" s="419"/>
      <c r="F407" s="463"/>
      <c r="G407" s="463"/>
      <c r="H407" s="448"/>
      <c r="I407" s="376"/>
      <c r="J407" s="443" t="s">
        <v>714</v>
      </c>
      <c r="K407" s="439">
        <f>SUM(K405:K406)</f>
        <v>0</v>
      </c>
      <c r="L407" s="440"/>
      <c r="M407" s="419"/>
      <c r="N407" s="446"/>
      <c r="O407" s="447"/>
      <c r="P407" s="448"/>
      <c r="Q407" s="378"/>
      <c r="R407" s="378"/>
      <c r="S407" s="378"/>
      <c r="T407" s="378"/>
      <c r="U407" s="378"/>
      <c r="V407" s="378"/>
      <c r="W407" s="378"/>
      <c r="X407" s="378"/>
      <c r="Y407" s="378"/>
      <c r="Z407" s="378"/>
      <c r="AA407" s="378"/>
      <c r="AB407" s="378"/>
      <c r="AC407" s="378"/>
      <c r="AD407" s="378"/>
      <c r="AE407" s="378"/>
      <c r="AF407" s="378"/>
      <c r="AG407" s="378"/>
    </row>
    <row r="408">
      <c r="A408" s="378"/>
      <c r="B408" s="450"/>
      <c r="C408" s="451"/>
      <c r="D408" s="419"/>
      <c r="E408" s="419"/>
      <c r="F408" s="463"/>
      <c r="G408" s="463"/>
      <c r="H408" s="448"/>
      <c r="I408" s="376"/>
      <c r="J408" s="535"/>
      <c r="K408" s="451"/>
      <c r="L408" s="419"/>
      <c r="M408" s="419"/>
      <c r="N408" s="446"/>
      <c r="O408" s="447"/>
      <c r="P408" s="448"/>
      <c r="Q408" s="378"/>
      <c r="R408" s="378"/>
      <c r="S408" s="378"/>
      <c r="T408" s="378"/>
      <c r="U408" s="378"/>
      <c r="V408" s="378"/>
      <c r="W408" s="378"/>
      <c r="X408" s="378"/>
      <c r="Y408" s="378"/>
      <c r="Z408" s="378"/>
      <c r="AA408" s="378"/>
      <c r="AB408" s="378"/>
      <c r="AC408" s="378"/>
      <c r="AD408" s="378"/>
      <c r="AE408" s="378"/>
      <c r="AF408" s="378"/>
      <c r="AG408" s="378"/>
    </row>
    <row r="409">
      <c r="A409" s="378"/>
      <c r="B409" s="454" t="s">
        <v>715</v>
      </c>
      <c r="C409" s="455"/>
      <c r="D409" s="435"/>
      <c r="E409" s="419"/>
      <c r="F409" s="463"/>
      <c r="G409" s="463"/>
      <c r="H409" s="448"/>
      <c r="I409" s="376"/>
      <c r="J409" s="458" t="s">
        <v>715</v>
      </c>
      <c r="K409" s="455"/>
      <c r="L409" s="435"/>
      <c r="M409" s="419"/>
      <c r="N409" s="446"/>
      <c r="O409" s="447"/>
      <c r="P409" s="448"/>
      <c r="Q409" s="378"/>
      <c r="R409" s="378"/>
      <c r="S409" s="378"/>
      <c r="T409" s="378"/>
      <c r="U409" s="378"/>
      <c r="V409" s="378"/>
      <c r="W409" s="378"/>
      <c r="X409" s="378"/>
      <c r="Y409" s="378"/>
      <c r="Z409" s="378"/>
      <c r="AA409" s="378"/>
      <c r="AB409" s="378"/>
      <c r="AC409" s="378"/>
      <c r="AD409" s="378"/>
      <c r="AE409" s="378"/>
      <c r="AF409" s="378"/>
      <c r="AG409" s="378"/>
    </row>
    <row r="410">
      <c r="A410" s="378"/>
      <c r="B410" s="459" t="s">
        <v>716</v>
      </c>
      <c r="C410" s="460">
        <v>150.0</v>
      </c>
      <c r="D410" s="440"/>
      <c r="E410" s="419"/>
      <c r="F410" s="463"/>
      <c r="G410" s="463"/>
      <c r="H410" s="448"/>
      <c r="I410" s="376"/>
      <c r="J410" s="462"/>
      <c r="K410" s="460"/>
      <c r="L410" s="440"/>
      <c r="M410" s="419"/>
      <c r="N410" s="446"/>
      <c r="O410" s="447"/>
      <c r="P410" s="448"/>
      <c r="Q410" s="378"/>
      <c r="R410" s="378"/>
      <c r="S410" s="378"/>
      <c r="T410" s="378"/>
      <c r="U410" s="378"/>
      <c r="V410" s="378"/>
      <c r="W410" s="378"/>
      <c r="X410" s="378"/>
      <c r="Y410" s="378"/>
      <c r="Z410" s="378"/>
      <c r="AA410" s="378"/>
      <c r="AB410" s="378"/>
      <c r="AC410" s="378"/>
      <c r="AD410" s="378"/>
      <c r="AE410" s="378"/>
      <c r="AF410" s="378"/>
      <c r="AG410" s="378"/>
    </row>
    <row r="411">
      <c r="A411" s="378"/>
      <c r="B411" s="459" t="s">
        <v>717</v>
      </c>
      <c r="C411" s="460">
        <v>400.0</v>
      </c>
      <c r="D411" s="440"/>
      <c r="E411" s="419"/>
      <c r="F411" s="463"/>
      <c r="G411" s="463"/>
      <c r="H411" s="448"/>
      <c r="I411" s="376"/>
      <c r="J411" s="462"/>
      <c r="K411" s="460"/>
      <c r="L411" s="440"/>
      <c r="M411" s="419"/>
      <c r="N411" s="446"/>
      <c r="O411" s="447"/>
      <c r="P411" s="448"/>
      <c r="Q411" s="378"/>
      <c r="R411" s="378"/>
      <c r="S411" s="378"/>
      <c r="T411" s="378"/>
      <c r="U411" s="378"/>
      <c r="V411" s="378"/>
      <c r="W411" s="378"/>
      <c r="X411" s="378"/>
      <c r="Y411" s="378"/>
      <c r="Z411" s="378"/>
      <c r="AA411" s="378"/>
      <c r="AB411" s="378"/>
      <c r="AC411" s="378"/>
      <c r="AD411" s="378"/>
      <c r="AE411" s="378"/>
      <c r="AF411" s="378"/>
      <c r="AG411" s="378"/>
    </row>
    <row r="412">
      <c r="A412" s="378"/>
      <c r="B412" s="459" t="s">
        <v>718</v>
      </c>
      <c r="C412" s="460">
        <v>200.0</v>
      </c>
      <c r="D412" s="440"/>
      <c r="E412" s="419"/>
      <c r="F412" s="463"/>
      <c r="G412" s="463"/>
      <c r="H412" s="448"/>
      <c r="I412" s="376"/>
      <c r="J412" s="462"/>
      <c r="K412" s="460"/>
      <c r="L412" s="440"/>
      <c r="M412" s="419"/>
      <c r="N412" s="446"/>
      <c r="O412" s="447"/>
      <c r="P412" s="448"/>
      <c r="Q412" s="378"/>
      <c r="R412" s="378"/>
      <c r="S412" s="378"/>
      <c r="T412" s="378"/>
      <c r="U412" s="378"/>
      <c r="V412" s="378"/>
      <c r="W412" s="378"/>
      <c r="X412" s="378"/>
      <c r="Y412" s="378"/>
      <c r="Z412" s="378"/>
      <c r="AA412" s="378"/>
      <c r="AB412" s="378"/>
      <c r="AC412" s="378"/>
      <c r="AD412" s="378"/>
      <c r="AE412" s="378"/>
      <c r="AF412" s="378"/>
      <c r="AG412" s="378"/>
    </row>
    <row r="413">
      <c r="A413" s="378"/>
      <c r="B413" s="459" t="s">
        <v>656</v>
      </c>
      <c r="C413" s="460" t="str">
        <f>IFERROR(__xludf.DUMMYFUNCTION("FILTER(D1045:D1073,C1045:C1073=F394)"),"#N/A")</f>
        <v>#N/A</v>
      </c>
      <c r="D413" s="440"/>
      <c r="E413" s="419"/>
      <c r="F413" s="463"/>
      <c r="G413" s="463"/>
      <c r="H413" s="448"/>
      <c r="I413" s="376"/>
      <c r="J413" s="462"/>
      <c r="K413" s="460"/>
      <c r="L413" s="440"/>
      <c r="M413" s="419"/>
      <c r="N413" s="446"/>
      <c r="O413" s="447"/>
      <c r="P413" s="448"/>
      <c r="Q413" s="378"/>
      <c r="R413" s="378"/>
      <c r="S413" s="378"/>
      <c r="T413" s="378"/>
      <c r="U413" s="378"/>
      <c r="V413" s="378"/>
      <c r="W413" s="378"/>
      <c r="X413" s="378"/>
      <c r="Y413" s="378"/>
      <c r="Z413" s="378"/>
      <c r="AA413" s="378"/>
      <c r="AB413" s="378"/>
      <c r="AC413" s="378"/>
      <c r="AD413" s="378"/>
      <c r="AE413" s="378"/>
      <c r="AF413" s="378"/>
      <c r="AG413" s="378"/>
    </row>
    <row r="414">
      <c r="A414" s="378"/>
      <c r="B414" s="454" t="s">
        <v>876</v>
      </c>
      <c r="C414" s="537">
        <v>564.3</v>
      </c>
      <c r="D414" s="435"/>
      <c r="E414" s="419"/>
      <c r="F414" s="468" t="s">
        <v>842</v>
      </c>
      <c r="G414" s="466" t="str">
        <f>H402+C407-C419</f>
        <v>#N/A</v>
      </c>
      <c r="H414" s="211"/>
      <c r="I414" s="376"/>
      <c r="J414" s="467"/>
      <c r="K414" s="455"/>
      <c r="L414" s="435"/>
      <c r="M414" s="419"/>
      <c r="N414" s="468" t="s">
        <v>842</v>
      </c>
      <c r="O414" s="539">
        <f>P402+K407-K419</f>
        <v>1882.4</v>
      </c>
      <c r="P414" s="211"/>
      <c r="Q414" s="378"/>
      <c r="R414" s="378"/>
      <c r="S414" s="378"/>
      <c r="T414" s="378"/>
      <c r="U414" s="378"/>
      <c r="V414" s="378"/>
      <c r="W414" s="378"/>
      <c r="X414" s="378"/>
      <c r="Y414" s="378"/>
      <c r="Z414" s="378"/>
      <c r="AA414" s="378"/>
      <c r="AB414" s="378"/>
      <c r="AC414" s="378"/>
      <c r="AD414" s="378"/>
      <c r="AE414" s="378"/>
      <c r="AF414" s="378"/>
      <c r="AG414" s="378"/>
    </row>
    <row r="415">
      <c r="A415" s="378"/>
      <c r="B415" s="464"/>
      <c r="C415" s="455"/>
      <c r="D415" s="435"/>
      <c r="E415" s="419"/>
      <c r="F415" s="469" t="s">
        <v>843</v>
      </c>
      <c r="G415" s="278"/>
      <c r="H415" s="56"/>
      <c r="I415" s="376"/>
      <c r="J415" s="467"/>
      <c r="K415" s="455"/>
      <c r="L415" s="435"/>
      <c r="M415" s="419"/>
      <c r="N415" s="469" t="s">
        <v>854</v>
      </c>
      <c r="O415" s="278"/>
      <c r="P415" s="56"/>
      <c r="Q415" s="378"/>
      <c r="R415" s="378"/>
      <c r="S415" s="378"/>
      <c r="T415" s="378"/>
      <c r="U415" s="378"/>
      <c r="V415" s="378"/>
      <c r="W415" s="378"/>
      <c r="X415" s="378"/>
      <c r="Y415" s="378"/>
      <c r="Z415" s="378"/>
      <c r="AA415" s="378"/>
      <c r="AB415" s="378"/>
      <c r="AC415" s="378"/>
      <c r="AD415" s="378"/>
      <c r="AE415" s="378"/>
      <c r="AF415" s="378"/>
      <c r="AG415" s="378"/>
    </row>
    <row r="416">
      <c r="A416" s="378"/>
      <c r="B416" s="464"/>
      <c r="C416" s="455"/>
      <c r="D416" s="435"/>
      <c r="E416" s="419"/>
      <c r="F416" s="470"/>
      <c r="G416" s="215"/>
      <c r="H416" s="64"/>
      <c r="I416" s="376"/>
      <c r="J416" s="467"/>
      <c r="K416" s="455"/>
      <c r="L416" s="435"/>
      <c r="M416" s="419"/>
      <c r="N416" s="470"/>
      <c r="O416" s="215"/>
      <c r="P416" s="64"/>
      <c r="Q416" s="378"/>
      <c r="R416" s="378"/>
      <c r="S416" s="378"/>
      <c r="T416" s="378"/>
      <c r="U416" s="378"/>
      <c r="V416" s="378"/>
      <c r="W416" s="378"/>
      <c r="X416" s="378"/>
      <c r="Y416" s="378"/>
      <c r="Z416" s="378"/>
      <c r="AA416" s="378"/>
      <c r="AB416" s="378"/>
      <c r="AC416" s="378"/>
      <c r="AD416" s="378"/>
      <c r="AE416" s="378"/>
      <c r="AF416" s="378"/>
      <c r="AG416" s="378"/>
    </row>
    <row r="417">
      <c r="A417" s="378"/>
      <c r="B417" s="464"/>
      <c r="C417" s="455"/>
      <c r="D417" s="435"/>
      <c r="E417" s="419"/>
      <c r="F417" s="419"/>
      <c r="G417" s="419"/>
      <c r="H417" s="429"/>
      <c r="I417" s="376"/>
      <c r="J417" s="467"/>
      <c r="K417" s="455"/>
      <c r="L417" s="435"/>
      <c r="M417" s="419"/>
      <c r="N417" s="431"/>
      <c r="O417" s="432"/>
      <c r="P417" s="429"/>
      <c r="Q417" s="378"/>
      <c r="R417" s="378"/>
      <c r="S417" s="378"/>
      <c r="T417" s="378"/>
      <c r="U417" s="378"/>
      <c r="V417" s="378"/>
      <c r="W417" s="378"/>
      <c r="X417" s="378"/>
      <c r="Y417" s="378"/>
      <c r="Z417" s="378"/>
      <c r="AA417" s="378"/>
      <c r="AB417" s="378"/>
      <c r="AC417" s="378"/>
      <c r="AD417" s="378"/>
      <c r="AE417" s="378"/>
      <c r="AF417" s="378"/>
      <c r="AG417" s="378"/>
    </row>
    <row r="418">
      <c r="A418" s="378"/>
      <c r="B418" s="464"/>
      <c r="C418" s="455"/>
      <c r="D418" s="435"/>
      <c r="E418" s="419"/>
      <c r="F418" s="419"/>
      <c r="G418" s="419"/>
      <c r="H418" s="429"/>
      <c r="I418" s="376"/>
      <c r="J418" s="467"/>
      <c r="K418" s="455"/>
      <c r="L418" s="435"/>
      <c r="M418" s="419"/>
      <c r="N418" s="431"/>
      <c r="O418" s="432"/>
      <c r="P418" s="429"/>
      <c r="Q418" s="378"/>
      <c r="R418" s="378"/>
      <c r="S418" s="378"/>
      <c r="T418" s="378"/>
      <c r="U418" s="378"/>
      <c r="V418" s="378"/>
      <c r="W418" s="378"/>
      <c r="X418" s="378"/>
      <c r="Y418" s="378"/>
      <c r="Z418" s="378"/>
      <c r="AA418" s="378"/>
      <c r="AB418" s="378"/>
      <c r="AC418" s="378"/>
      <c r="AD418" s="378"/>
      <c r="AE418" s="378"/>
      <c r="AF418" s="378"/>
      <c r="AG418" s="378"/>
    </row>
    <row r="419">
      <c r="A419" s="378"/>
      <c r="B419" s="454" t="s">
        <v>721</v>
      </c>
      <c r="C419" s="460" t="str">
        <f>SUM(C410:C418)</f>
        <v>#N/A</v>
      </c>
      <c r="D419" s="440"/>
      <c r="E419" s="419"/>
      <c r="F419" s="419"/>
      <c r="G419" s="419"/>
      <c r="H419" s="429"/>
      <c r="I419" s="376"/>
      <c r="J419" s="458" t="s">
        <v>721</v>
      </c>
      <c r="K419" s="460">
        <f>SUM(K410:K418)</f>
        <v>0</v>
      </c>
      <c r="L419" s="440"/>
      <c r="M419" s="419"/>
      <c r="N419" s="431"/>
      <c r="O419" s="432"/>
      <c r="P419" s="429"/>
      <c r="Q419" s="378"/>
      <c r="R419" s="378"/>
      <c r="S419" s="378"/>
      <c r="T419" s="378"/>
      <c r="U419" s="378"/>
      <c r="V419" s="378"/>
      <c r="W419" s="378"/>
      <c r="X419" s="378"/>
      <c r="Y419" s="378"/>
      <c r="Z419" s="378"/>
      <c r="AA419" s="378"/>
      <c r="AB419" s="378"/>
      <c r="AC419" s="378"/>
      <c r="AD419" s="378"/>
      <c r="AE419" s="378"/>
      <c r="AF419" s="378"/>
      <c r="AG419" s="378"/>
    </row>
    <row r="420">
      <c r="A420" s="378"/>
      <c r="B420" s="471"/>
      <c r="C420" s="472"/>
      <c r="D420" s="472"/>
      <c r="E420" s="472"/>
      <c r="F420" s="472"/>
      <c r="G420" s="472"/>
      <c r="H420" s="473"/>
      <c r="I420" s="376"/>
      <c r="J420" s="474"/>
      <c r="K420" s="472"/>
      <c r="L420" s="472"/>
      <c r="M420" s="472"/>
      <c r="N420" s="475"/>
      <c r="O420" s="476"/>
      <c r="P420" s="473"/>
      <c r="Q420" s="378"/>
      <c r="R420" s="378"/>
      <c r="S420" s="378"/>
      <c r="T420" s="378"/>
      <c r="U420" s="378"/>
      <c r="V420" s="378"/>
      <c r="W420" s="378"/>
      <c r="X420" s="378"/>
      <c r="Y420" s="378"/>
      <c r="Z420" s="378"/>
      <c r="AA420" s="378"/>
      <c r="AB420" s="378"/>
      <c r="AC420" s="378"/>
      <c r="AD420" s="378"/>
      <c r="AE420" s="378"/>
      <c r="AF420" s="378"/>
      <c r="AG420" s="378"/>
    </row>
    <row r="421">
      <c r="A421" s="378"/>
      <c r="B421" s="550"/>
      <c r="C421" s="463"/>
      <c r="D421" s="463"/>
      <c r="E421" s="463"/>
      <c r="F421" s="463"/>
      <c r="G421" s="463"/>
      <c r="H421" s="463"/>
      <c r="I421" s="376"/>
      <c r="J421" s="377"/>
      <c r="K421" s="378"/>
      <c r="L421" s="378"/>
      <c r="M421" s="378"/>
      <c r="N421" s="379"/>
      <c r="O421" s="380"/>
      <c r="P421" s="378"/>
      <c r="Q421" s="378"/>
      <c r="R421" s="378"/>
      <c r="S421" s="378"/>
      <c r="T421" s="378"/>
      <c r="U421" s="378"/>
      <c r="V421" s="378"/>
      <c r="W421" s="378"/>
      <c r="X421" s="378"/>
      <c r="Y421" s="378"/>
      <c r="Z421" s="378"/>
      <c r="AA421" s="378"/>
      <c r="AB421" s="378"/>
      <c r="AC421" s="378"/>
      <c r="AD421" s="378"/>
      <c r="AE421" s="378"/>
      <c r="AF421" s="378"/>
      <c r="AG421" s="378"/>
    </row>
    <row r="422">
      <c r="A422" s="378"/>
      <c r="B422" s="550"/>
      <c r="C422" s="463"/>
      <c r="D422" s="463"/>
      <c r="E422" s="463"/>
      <c r="F422" s="463"/>
      <c r="G422" s="463"/>
      <c r="H422" s="463"/>
      <c r="I422" s="376"/>
      <c r="J422" s="377"/>
      <c r="K422" s="378"/>
      <c r="L422" s="378"/>
      <c r="M422" s="378"/>
      <c r="N422" s="379"/>
      <c r="O422" s="380"/>
      <c r="P422" s="378"/>
      <c r="Q422" s="378"/>
      <c r="R422" s="378"/>
      <c r="S422" s="378"/>
      <c r="T422" s="378"/>
      <c r="U422" s="378"/>
      <c r="V422" s="378"/>
      <c r="W422" s="378"/>
      <c r="X422" s="378"/>
      <c r="Y422" s="378"/>
      <c r="Z422" s="378"/>
      <c r="AA422" s="378"/>
      <c r="AB422" s="378"/>
      <c r="AC422" s="378"/>
      <c r="AD422" s="378"/>
      <c r="AE422" s="378"/>
      <c r="AF422" s="378"/>
      <c r="AG422" s="378"/>
    </row>
    <row r="423">
      <c r="A423" s="378"/>
      <c r="B423" s="382"/>
      <c r="C423" s="388"/>
      <c r="D423" s="384"/>
      <c r="E423" s="385" t="s">
        <v>700</v>
      </c>
      <c r="F423" s="385" t="str">
        <f>Board!A2</f>
        <v>11.17.25-11.23.25</v>
      </c>
      <c r="G423" s="213"/>
      <c r="H423" s="211"/>
      <c r="I423" s="386">
        <v>12.0</v>
      </c>
      <c r="J423" s="387"/>
      <c r="K423" s="388"/>
      <c r="L423" s="384"/>
      <c r="M423" s="385" t="s">
        <v>700</v>
      </c>
      <c r="N423" s="385" t="str">
        <f>Board!A2</f>
        <v>11.17.25-11.23.25</v>
      </c>
      <c r="O423" s="213"/>
      <c r="P423" s="211"/>
      <c r="Q423" s="378"/>
      <c r="R423" s="389" t="s">
        <v>831</v>
      </c>
      <c r="S423" s="389" t="s">
        <v>652</v>
      </c>
      <c r="T423" s="390" t="s">
        <v>832</v>
      </c>
      <c r="U423" s="391" t="s">
        <v>833</v>
      </c>
      <c r="V423" s="389" t="s">
        <v>655</v>
      </c>
      <c r="W423" s="389" t="s">
        <v>8</v>
      </c>
      <c r="X423" s="389" t="s">
        <v>656</v>
      </c>
      <c r="Y423" s="390" t="s">
        <v>834</v>
      </c>
      <c r="Z423" s="392" t="s">
        <v>835</v>
      </c>
      <c r="AA423" s="390" t="s">
        <v>836</v>
      </c>
      <c r="AB423" s="390" t="s">
        <v>837</v>
      </c>
      <c r="AC423" s="393" t="s">
        <v>716</v>
      </c>
      <c r="AD423" s="393" t="s">
        <v>717</v>
      </c>
      <c r="AE423" s="393" t="s">
        <v>718</v>
      </c>
      <c r="AF423" s="394" t="s">
        <v>838</v>
      </c>
      <c r="AG423" s="394"/>
    </row>
    <row r="424">
      <c r="A424" s="378"/>
      <c r="B424" s="395"/>
      <c r="C424" s="372"/>
      <c r="D424" s="396"/>
      <c r="E424" s="385" t="s">
        <v>702</v>
      </c>
      <c r="F424" s="385" t="s">
        <v>676</v>
      </c>
      <c r="G424" s="213"/>
      <c r="H424" s="211"/>
      <c r="I424" s="376"/>
      <c r="J424" s="397"/>
      <c r="K424" s="372"/>
      <c r="L424" s="396"/>
      <c r="M424" s="385" t="s">
        <v>351</v>
      </c>
      <c r="N424" s="385" t="str">
        <f t="array" ref="N424">XLOOKUP(N425,Board!K:K,Board!J:J)</f>
        <v>KESNY METELUS</v>
      </c>
      <c r="O424" s="213"/>
      <c r="P424" s="211"/>
      <c r="Q424" s="378"/>
      <c r="R424" s="398">
        <f>I423</f>
        <v>12</v>
      </c>
      <c r="S424" s="398">
        <f>F425</f>
        <v>2890</v>
      </c>
      <c r="T424" s="399" t="str">
        <f>G445</f>
        <v>#N/A</v>
      </c>
      <c r="U424" s="378" t="str">
        <f>N424</f>
        <v>KESNY METELUS</v>
      </c>
      <c r="V424" s="380">
        <f>O445</f>
        <v>2996.5</v>
      </c>
      <c r="W424" s="399">
        <f>P433</f>
        <v>2996.5</v>
      </c>
      <c r="X424" s="399" t="str">
        <f>C444</f>
        <v>#N/A</v>
      </c>
      <c r="Y424" s="400">
        <f>N433</f>
        <v>4610</v>
      </c>
      <c r="Z424" s="378" t="str">
        <f>V425-V424</f>
        <v>#N/A</v>
      </c>
      <c r="AA424" s="378"/>
      <c r="AB424" s="378"/>
      <c r="AC424" s="401">
        <f>C441</f>
        <v>150</v>
      </c>
      <c r="AD424" s="401">
        <f>C442</f>
        <v>400</v>
      </c>
      <c r="AE424" s="401">
        <f>C443</f>
        <v>200</v>
      </c>
      <c r="AF424" s="398">
        <f>C445+C446+C447+C448+C449</f>
        <v>0</v>
      </c>
      <c r="AG424" s="398"/>
    </row>
    <row r="425">
      <c r="A425" s="378"/>
      <c r="B425" s="395"/>
      <c r="C425" s="372"/>
      <c r="D425" s="402"/>
      <c r="E425" s="385" t="s">
        <v>703</v>
      </c>
      <c r="F425" s="385">
        <v>2890.0</v>
      </c>
      <c r="G425" s="213"/>
      <c r="H425" s="211"/>
      <c r="I425" s="376"/>
      <c r="J425" s="397"/>
      <c r="K425" s="372"/>
      <c r="L425" s="402"/>
      <c r="M425" s="385" t="s">
        <v>703</v>
      </c>
      <c r="N425" s="385">
        <f>F425</f>
        <v>2890</v>
      </c>
      <c r="O425" s="213"/>
      <c r="P425" s="211"/>
      <c r="Q425" s="378"/>
      <c r="R425" s="378"/>
      <c r="S425" s="378"/>
      <c r="T425" s="378"/>
      <c r="U425" s="378" t="str">
        <f>F424</f>
        <v>Skyhill LLC</v>
      </c>
      <c r="V425" s="399" t="str">
        <f>G445</f>
        <v>#N/A</v>
      </c>
      <c r="W425" s="399">
        <f>H433</f>
        <v>8360</v>
      </c>
      <c r="X425" s="378"/>
      <c r="Y425" s="378"/>
      <c r="Z425" s="378"/>
      <c r="AA425" s="378"/>
      <c r="AB425" s="378"/>
      <c r="AC425" s="378"/>
      <c r="AD425" s="378"/>
      <c r="AE425" s="378"/>
      <c r="AF425" s="378"/>
      <c r="AG425" s="378"/>
    </row>
    <row r="426">
      <c r="A426" s="378"/>
      <c r="B426" s="403" t="s">
        <v>704</v>
      </c>
      <c r="C426" s="404" t="s">
        <v>5</v>
      </c>
      <c r="D426" s="405" t="s">
        <v>6</v>
      </c>
      <c r="E426" s="406" t="s">
        <v>7</v>
      </c>
      <c r="F426" s="404" t="s">
        <v>8</v>
      </c>
      <c r="G426" s="404" t="s">
        <v>706</v>
      </c>
      <c r="H426" s="404" t="s">
        <v>707</v>
      </c>
      <c r="I426" s="376"/>
      <c r="J426" s="407" t="s">
        <v>704</v>
      </c>
      <c r="K426" s="404" t="s">
        <v>5</v>
      </c>
      <c r="L426" s="405" t="s">
        <v>6</v>
      </c>
      <c r="M426" s="406" t="s">
        <v>7</v>
      </c>
      <c r="N426" s="404" t="s">
        <v>591</v>
      </c>
      <c r="O426" s="408" t="s">
        <v>839</v>
      </c>
      <c r="P426" s="404" t="s">
        <v>707</v>
      </c>
      <c r="Q426" s="378"/>
      <c r="R426" s="378"/>
      <c r="S426" s="378"/>
      <c r="T426" s="378"/>
      <c r="U426" s="378"/>
      <c r="V426" s="378"/>
      <c r="W426" s="378"/>
      <c r="X426" s="378"/>
      <c r="Y426" s="378"/>
      <c r="Z426" s="378"/>
      <c r="AA426" s="378"/>
      <c r="AB426" s="378"/>
      <c r="AC426" s="378"/>
      <c r="AD426" s="378"/>
      <c r="AE426" s="378"/>
      <c r="AF426" s="378"/>
      <c r="AG426" s="378"/>
    </row>
    <row r="427">
      <c r="A427" s="378"/>
      <c r="B427" s="555">
        <f>IFERROR(__xludf.DUMMYFUNCTION("FILTER(Board!C:G,Board!K:K=F425)"),45978.0)</f>
        <v>45978</v>
      </c>
      <c r="C427" s="404">
        <f>IFERROR(__xludf.DUMMYFUNCTION("""COMPUTED_VALUE"""),2776823.0)</f>
        <v>2776823</v>
      </c>
      <c r="D427" s="405" t="str">
        <f>IFERROR(__xludf.DUMMYFUNCTION("""COMPUTED_VALUE"""),"Oklahoma City, OK, 73108")</f>
        <v>Oklahoma City, OK, 73108</v>
      </c>
      <c r="E427" s="406" t="str">
        <f>IFERROR(__xludf.DUMMYFUNCTION("""COMPUTED_VALUE"""),"West Valley City, UT, 84128")</f>
        <v>West Valley City, UT, 84128</v>
      </c>
      <c r="F427" s="414">
        <f>IFERROR(__xludf.DUMMYFUNCTION("""COMPUTED_VALUE"""),2200.0)</f>
        <v>2200</v>
      </c>
      <c r="G427" s="413">
        <v>0.88</v>
      </c>
      <c r="H427" s="414">
        <f t="shared" ref="H427:H429" si="20">F427*G427</f>
        <v>1936</v>
      </c>
      <c r="I427" s="376"/>
      <c r="J427" s="415">
        <f>IFERROR(__xludf.DUMMYFUNCTION("FILTER(Board!C:F,Board!K:K=N425)"),45978.0)</f>
        <v>45978</v>
      </c>
      <c r="K427" s="411">
        <f>IFERROR(__xludf.DUMMYFUNCTION("""COMPUTED_VALUE"""),2776823.0)</f>
        <v>2776823</v>
      </c>
      <c r="L427" s="411" t="str">
        <f>IFERROR(__xludf.DUMMYFUNCTION("""COMPUTED_VALUE"""),"Oklahoma City, OK, 73108")</f>
        <v>Oklahoma City, OK, 73108</v>
      </c>
      <c r="M427" s="411" t="str">
        <f>IFERROR(__xludf.DUMMYFUNCTION("""COMPUTED_VALUE"""),"West Valley City, UT, 84128")</f>
        <v>West Valley City, UT, 84128</v>
      </c>
      <c r="N427" s="416">
        <f>IFERROR(__xludf.DUMMYFUNCTION("FILTER(Board!H:H,Board!K:K=N425)"),1139.0)</f>
        <v>1139</v>
      </c>
      <c r="O427" s="408">
        <v>0.65</v>
      </c>
      <c r="P427" s="414">
        <f t="shared" ref="P427:P429" si="21">N427*O427</f>
        <v>740.35</v>
      </c>
      <c r="Q427" s="378"/>
      <c r="R427" s="378"/>
      <c r="S427" s="378"/>
      <c r="T427" s="378"/>
      <c r="U427" s="378"/>
      <c r="V427" s="378"/>
      <c r="W427" s="378"/>
      <c r="X427" s="378"/>
      <c r="Y427" s="378"/>
      <c r="Z427" s="378"/>
      <c r="AA427" s="378"/>
      <c r="AB427" s="378"/>
      <c r="AC427" s="378"/>
      <c r="AD427" s="378"/>
      <c r="AE427" s="378"/>
      <c r="AF427" s="378"/>
      <c r="AG427" s="378"/>
    </row>
    <row r="428">
      <c r="A428" s="378"/>
      <c r="B428" s="555">
        <f>IFERROR(__xludf.DUMMYFUNCTION("""COMPUTED_VALUE"""),45980.0)</f>
        <v>45980</v>
      </c>
      <c r="C428" s="404">
        <f>IFERROR(__xludf.DUMMYFUNCTION("""COMPUTED_VALUE"""),2.0542938E7)</f>
        <v>20542938</v>
      </c>
      <c r="D428" s="405" t="str">
        <f>IFERROR(__xludf.DUMMYFUNCTION("""COMPUTED_VALUE"""),"Grantsville, UT, 84029")</f>
        <v>Grantsville, UT, 84029</v>
      </c>
      <c r="E428" s="406" t="str">
        <f>IFERROR(__xludf.DUMMYFUNCTION("""COMPUTED_VALUE"""),"Moxee, WA, 98936")</f>
        <v>Moxee, WA, 98936</v>
      </c>
      <c r="F428" s="414">
        <f>IFERROR(__xludf.DUMMYFUNCTION("""COMPUTED_VALUE"""),1800.0)</f>
        <v>1800</v>
      </c>
      <c r="G428" s="413">
        <v>0.88</v>
      </c>
      <c r="H428" s="414">
        <f t="shared" si="20"/>
        <v>1584</v>
      </c>
      <c r="I428" s="376"/>
      <c r="J428" s="418">
        <f>IFERROR(__xludf.DUMMYFUNCTION("""COMPUTED_VALUE"""),45980.0)</f>
        <v>45980</v>
      </c>
      <c r="K428" s="411">
        <f>IFERROR(__xludf.DUMMYFUNCTION("""COMPUTED_VALUE"""),2.0542938E7)</f>
        <v>20542938</v>
      </c>
      <c r="L428" s="411" t="str">
        <f>IFERROR(__xludf.DUMMYFUNCTION("""COMPUTED_VALUE"""),"Grantsville, UT, 84029")</f>
        <v>Grantsville, UT, 84029</v>
      </c>
      <c r="M428" s="411" t="str">
        <f>IFERROR(__xludf.DUMMYFUNCTION("""COMPUTED_VALUE"""),"Moxee, WA, 98936")</f>
        <v>Moxee, WA, 98936</v>
      </c>
      <c r="N428" s="416">
        <f>IFERROR(__xludf.DUMMYFUNCTION("""COMPUTED_VALUE"""),783.0)</f>
        <v>783</v>
      </c>
      <c r="O428" s="408">
        <v>0.65</v>
      </c>
      <c r="P428" s="414">
        <f t="shared" si="21"/>
        <v>508.95</v>
      </c>
      <c r="Q428" s="378"/>
      <c r="R428" s="378"/>
      <c r="S428" s="378"/>
      <c r="T428" s="378"/>
      <c r="U428" s="378"/>
      <c r="V428" s="378"/>
      <c r="W428" s="378"/>
      <c r="X428" s="378"/>
      <c r="Y428" s="378"/>
      <c r="Z428" s="378"/>
      <c r="AA428" s="378"/>
      <c r="AB428" s="378"/>
      <c r="AC428" s="378"/>
      <c r="AD428" s="378"/>
      <c r="AE428" s="378"/>
      <c r="AF428" s="378"/>
      <c r="AG428" s="378"/>
    </row>
    <row r="429">
      <c r="A429" s="378"/>
      <c r="B429" s="499">
        <f>IFERROR(__xludf.DUMMYFUNCTION("""COMPUTED_VALUE"""),45981.0)</f>
        <v>45981</v>
      </c>
      <c r="C429" s="421">
        <f>IFERROR(__xludf.DUMMYFUNCTION("""COMPUTED_VALUE"""),288863.0)</f>
        <v>288863</v>
      </c>
      <c r="D429" s="422" t="str">
        <f>IFERROR(__xludf.DUMMYFUNCTION("""COMPUTED_VALUE"""),"Yakima, WA, 98902")</f>
        <v>Yakima, WA, 98902</v>
      </c>
      <c r="E429" s="423" t="str">
        <f>IFERROR(__xludf.DUMMYFUNCTION("""COMPUTED_VALUE"""),"York, PA, 17406")</f>
        <v>York, PA, 17406</v>
      </c>
      <c r="F429" s="500">
        <f>IFERROR(__xludf.DUMMYFUNCTION("""COMPUTED_VALUE"""),5500.0)</f>
        <v>5500</v>
      </c>
      <c r="G429" s="413">
        <v>0.88</v>
      </c>
      <c r="H429" s="414">
        <f t="shared" si="20"/>
        <v>4840</v>
      </c>
      <c r="I429" s="376"/>
      <c r="J429" s="545">
        <f>IFERROR(__xludf.DUMMYFUNCTION("""COMPUTED_VALUE"""),45981.0)</f>
        <v>45981</v>
      </c>
      <c r="K429" s="421">
        <f>IFERROR(__xludf.DUMMYFUNCTION("""COMPUTED_VALUE"""),288863.0)</f>
        <v>288863</v>
      </c>
      <c r="L429" s="422" t="str">
        <f>IFERROR(__xludf.DUMMYFUNCTION("""COMPUTED_VALUE"""),"Yakima, WA, 98902")</f>
        <v>Yakima, WA, 98902</v>
      </c>
      <c r="M429" s="423" t="str">
        <f>IFERROR(__xludf.DUMMYFUNCTION("""COMPUTED_VALUE"""),"York, PA, 17406")</f>
        <v>York, PA, 17406</v>
      </c>
      <c r="N429" s="546">
        <f>IFERROR(__xludf.DUMMYFUNCTION("""COMPUTED_VALUE"""),2688.0)</f>
        <v>2688</v>
      </c>
      <c r="O429" s="408">
        <v>0.65</v>
      </c>
      <c r="P429" s="414">
        <f t="shared" si="21"/>
        <v>1747.2</v>
      </c>
      <c r="Q429" s="378"/>
      <c r="R429" s="378"/>
      <c r="S429" s="378"/>
      <c r="T429" s="378"/>
      <c r="U429" s="378"/>
      <c r="V429" s="378"/>
      <c r="W429" s="378"/>
      <c r="X429" s="378"/>
      <c r="Y429" s="378"/>
      <c r="Z429" s="378"/>
      <c r="AA429" s="378"/>
      <c r="AB429" s="378"/>
      <c r="AC429" s="378"/>
      <c r="AD429" s="378"/>
      <c r="AE429" s="378"/>
      <c r="AF429" s="378"/>
      <c r="AG429" s="378"/>
    </row>
    <row r="430">
      <c r="A430" s="378"/>
      <c r="B430" s="420"/>
      <c r="C430" s="421"/>
      <c r="D430" s="422"/>
      <c r="E430" s="423"/>
      <c r="F430" s="421"/>
      <c r="G430" s="413"/>
      <c r="H430" s="414"/>
      <c r="I430" s="376"/>
      <c r="J430" s="424"/>
      <c r="K430" s="421"/>
      <c r="L430" s="422"/>
      <c r="M430" s="423"/>
      <c r="N430" s="425"/>
      <c r="O430" s="408"/>
      <c r="P430" s="414"/>
      <c r="Q430" s="378"/>
      <c r="R430" s="378"/>
      <c r="S430" s="378"/>
      <c r="T430" s="378"/>
      <c r="U430" s="378"/>
      <c r="V430" s="378"/>
      <c r="W430" s="378"/>
      <c r="X430" s="378"/>
      <c r="Y430" s="378"/>
      <c r="Z430" s="378"/>
      <c r="AA430" s="378"/>
      <c r="AB430" s="378"/>
      <c r="AC430" s="378"/>
      <c r="AD430" s="378"/>
      <c r="AE430" s="378"/>
      <c r="AF430" s="378"/>
      <c r="AG430" s="378"/>
    </row>
    <row r="431">
      <c r="A431" s="378"/>
      <c r="B431" s="420"/>
      <c r="C431" s="421"/>
      <c r="D431" s="422"/>
      <c r="E431" s="423"/>
      <c r="F431" s="421"/>
      <c r="G431" s="413"/>
      <c r="H431" s="414"/>
      <c r="I431" s="376"/>
      <c r="J431" s="424"/>
      <c r="K431" s="421"/>
      <c r="L431" s="422"/>
      <c r="M431" s="423"/>
      <c r="N431" s="425"/>
      <c r="O431" s="408"/>
      <c r="P431" s="414"/>
      <c r="Q431" s="378"/>
      <c r="R431" s="378"/>
      <c r="S431" s="378"/>
      <c r="T431" s="378"/>
      <c r="U431" s="378"/>
      <c r="V431" s="378"/>
      <c r="W431" s="378"/>
      <c r="X431" s="378"/>
      <c r="Y431" s="378"/>
      <c r="Z431" s="378"/>
      <c r="AA431" s="378"/>
      <c r="AB431" s="378"/>
      <c r="AC431" s="378"/>
      <c r="AD431" s="378"/>
      <c r="AE431" s="378"/>
      <c r="AF431" s="378"/>
      <c r="AG431" s="378"/>
    </row>
    <row r="432">
      <c r="A432" s="378"/>
      <c r="B432" s="420"/>
      <c r="C432" s="421"/>
      <c r="D432" s="422"/>
      <c r="E432" s="423"/>
      <c r="F432" s="421"/>
      <c r="G432" s="413"/>
      <c r="H432" s="414"/>
      <c r="I432" s="376"/>
      <c r="J432" s="424"/>
      <c r="K432" s="421"/>
      <c r="L432" s="422"/>
      <c r="M432" s="423"/>
      <c r="N432" s="425"/>
      <c r="O432" s="408"/>
      <c r="P432" s="414"/>
      <c r="Q432" s="378"/>
      <c r="R432" s="378"/>
      <c r="S432" s="378"/>
      <c r="T432" s="378"/>
      <c r="U432" s="378"/>
      <c r="V432" s="378"/>
      <c r="W432" s="378"/>
      <c r="X432" s="378"/>
      <c r="Y432" s="378"/>
      <c r="Z432" s="378"/>
      <c r="AA432" s="378"/>
      <c r="AB432" s="378"/>
      <c r="AC432" s="378"/>
      <c r="AD432" s="378"/>
      <c r="AE432" s="378"/>
      <c r="AF432" s="378"/>
      <c r="AG432" s="378"/>
    </row>
    <row r="433">
      <c r="A433" s="378"/>
      <c r="B433" s="403" t="s">
        <v>711</v>
      </c>
      <c r="C433" s="224"/>
      <c r="D433" s="224"/>
      <c r="E433" s="222"/>
      <c r="F433" s="414">
        <f>SUM(F427:F432)</f>
        <v>9500</v>
      </c>
      <c r="G433" s="421"/>
      <c r="H433" s="414">
        <f>SUM(H427:H432)</f>
        <v>8360</v>
      </c>
      <c r="I433" s="376"/>
      <c r="J433" s="407" t="s">
        <v>711</v>
      </c>
      <c r="K433" s="224"/>
      <c r="L433" s="224"/>
      <c r="M433" s="222"/>
      <c r="N433" s="426">
        <f>SUM(N427:N432)</f>
        <v>4610</v>
      </c>
      <c r="O433" s="427"/>
      <c r="P433" s="414">
        <f>SUM(P427:P432)</f>
        <v>2996.5</v>
      </c>
      <c r="Q433" s="378"/>
      <c r="R433" s="378"/>
      <c r="S433" s="378"/>
      <c r="T433" s="378"/>
      <c r="U433" s="378"/>
      <c r="V433" s="378"/>
      <c r="W433" s="378"/>
      <c r="X433" s="378"/>
      <c r="Y433" s="378"/>
      <c r="Z433" s="378"/>
      <c r="AA433" s="378"/>
      <c r="AB433" s="378"/>
      <c r="AC433" s="378"/>
      <c r="AD433" s="378"/>
      <c r="AE433" s="378"/>
      <c r="AF433" s="378"/>
      <c r="AG433" s="378"/>
    </row>
    <row r="434">
      <c r="A434" s="378"/>
      <c r="B434" s="428"/>
      <c r="C434" s="419"/>
      <c r="D434" s="419"/>
      <c r="E434" s="419"/>
      <c r="F434" s="419"/>
      <c r="G434" s="419"/>
      <c r="H434" s="429"/>
      <c r="I434" s="376"/>
      <c r="J434" s="430"/>
      <c r="K434" s="419"/>
      <c r="L434" s="419"/>
      <c r="M434" s="419"/>
      <c r="N434" s="431"/>
      <c r="O434" s="432"/>
      <c r="P434" s="429"/>
      <c r="Q434" s="378"/>
      <c r="R434" s="378"/>
      <c r="S434" s="378"/>
      <c r="T434" s="378"/>
      <c r="U434" s="378"/>
      <c r="V434" s="378"/>
      <c r="W434" s="378"/>
      <c r="X434" s="378"/>
      <c r="Y434" s="378"/>
      <c r="Z434" s="378"/>
      <c r="AA434" s="378"/>
      <c r="AB434" s="378"/>
      <c r="AC434" s="378"/>
      <c r="AD434" s="378"/>
      <c r="AE434" s="378"/>
      <c r="AF434" s="378"/>
      <c r="AG434" s="378"/>
    </row>
    <row r="435">
      <c r="A435" s="378"/>
      <c r="B435" s="433" t="s">
        <v>712</v>
      </c>
      <c r="C435" s="434"/>
      <c r="D435" s="435"/>
      <c r="E435" s="419"/>
      <c r="F435" s="419"/>
      <c r="G435" s="419"/>
      <c r="H435" s="429"/>
      <c r="I435" s="376"/>
      <c r="J435" s="437" t="s">
        <v>712</v>
      </c>
      <c r="K435" s="434"/>
      <c r="L435" s="435"/>
      <c r="M435" s="419"/>
      <c r="N435" s="431"/>
      <c r="O435" s="432"/>
      <c r="P435" s="429"/>
      <c r="Q435" s="378"/>
      <c r="R435" s="378"/>
      <c r="S435" s="378"/>
      <c r="T435" s="378"/>
      <c r="U435" s="378"/>
      <c r="V435" s="378"/>
      <c r="W435" s="378"/>
      <c r="X435" s="378"/>
      <c r="Y435" s="378"/>
      <c r="Z435" s="378"/>
      <c r="AA435" s="378"/>
      <c r="AB435" s="378"/>
      <c r="AC435" s="378"/>
      <c r="AD435" s="378"/>
      <c r="AE435" s="378"/>
      <c r="AF435" s="378"/>
      <c r="AG435" s="378"/>
    </row>
    <row r="436">
      <c r="A436" s="378"/>
      <c r="B436" s="438" t="s">
        <v>713</v>
      </c>
      <c r="C436" s="439"/>
      <c r="D436" s="440"/>
      <c r="E436" s="419"/>
      <c r="F436" s="419"/>
      <c r="G436" s="419"/>
      <c r="H436" s="429"/>
      <c r="I436" s="376"/>
      <c r="J436" s="443" t="s">
        <v>713</v>
      </c>
      <c r="K436" s="439"/>
      <c r="L436" s="440"/>
      <c r="M436" s="419"/>
      <c r="N436" s="431"/>
      <c r="O436" s="432"/>
      <c r="P436" s="429"/>
      <c r="Q436" s="378"/>
      <c r="R436" s="378"/>
      <c r="S436" s="378"/>
      <c r="T436" s="378"/>
      <c r="U436" s="378"/>
      <c r="V436" s="378"/>
      <c r="W436" s="378"/>
      <c r="X436" s="378"/>
      <c r="Y436" s="378"/>
      <c r="Z436" s="378"/>
      <c r="AA436" s="378"/>
      <c r="AB436" s="378"/>
      <c r="AC436" s="378"/>
      <c r="AD436" s="378"/>
      <c r="AE436" s="378"/>
      <c r="AF436" s="378"/>
      <c r="AG436" s="378"/>
    </row>
    <row r="437">
      <c r="A437" s="378"/>
      <c r="B437" s="444"/>
      <c r="C437" s="434"/>
      <c r="D437" s="435"/>
      <c r="E437" s="419"/>
      <c r="F437" s="463"/>
      <c r="G437" s="463"/>
      <c r="H437" s="448"/>
      <c r="I437" s="376"/>
      <c r="J437" s="445"/>
      <c r="K437" s="434"/>
      <c r="L437" s="435"/>
      <c r="M437" s="419"/>
      <c r="N437" s="446"/>
      <c r="O437" s="447"/>
      <c r="P437" s="448"/>
      <c r="Q437" s="378"/>
      <c r="R437" s="378"/>
      <c r="S437" s="378"/>
      <c r="T437" s="378"/>
      <c r="U437" s="378"/>
      <c r="V437" s="378"/>
      <c r="W437" s="378"/>
      <c r="X437" s="378"/>
      <c r="Y437" s="378"/>
      <c r="Z437" s="378"/>
      <c r="AA437" s="378"/>
      <c r="AB437" s="378"/>
      <c r="AC437" s="378"/>
      <c r="AD437" s="378"/>
      <c r="AE437" s="378"/>
      <c r="AF437" s="378"/>
      <c r="AG437" s="378"/>
    </row>
    <row r="438">
      <c r="A438" s="378"/>
      <c r="B438" s="438" t="s">
        <v>714</v>
      </c>
      <c r="C438" s="439">
        <f>SUM(C436:C437)</f>
        <v>0</v>
      </c>
      <c r="D438" s="440"/>
      <c r="E438" s="419"/>
      <c r="F438" s="463"/>
      <c r="G438" s="463"/>
      <c r="H438" s="448"/>
      <c r="I438" s="376"/>
      <c r="J438" s="443" t="s">
        <v>714</v>
      </c>
      <c r="K438" s="439">
        <f>SUM(K436:K437)</f>
        <v>0</v>
      </c>
      <c r="L438" s="440"/>
      <c r="M438" s="419"/>
      <c r="N438" s="446"/>
      <c r="O438" s="447"/>
      <c r="P438" s="448"/>
      <c r="Q438" s="378"/>
      <c r="R438" s="378"/>
      <c r="S438" s="378"/>
      <c r="T438" s="378"/>
      <c r="U438" s="378"/>
      <c r="V438" s="378"/>
      <c r="W438" s="378"/>
      <c r="X438" s="378"/>
      <c r="Y438" s="378"/>
      <c r="Z438" s="378"/>
      <c r="AA438" s="378"/>
      <c r="AB438" s="378"/>
      <c r="AC438" s="378"/>
      <c r="AD438" s="378"/>
      <c r="AE438" s="378"/>
      <c r="AF438" s="378"/>
      <c r="AG438" s="378"/>
    </row>
    <row r="439">
      <c r="A439" s="378"/>
      <c r="B439" s="450"/>
      <c r="C439" s="451"/>
      <c r="D439" s="419"/>
      <c r="E439" s="419"/>
      <c r="F439" s="463"/>
      <c r="G439" s="463"/>
      <c r="H439" s="448"/>
      <c r="I439" s="376"/>
      <c r="J439" s="535"/>
      <c r="K439" s="451"/>
      <c r="L439" s="419"/>
      <c r="M439" s="419"/>
      <c r="N439" s="446"/>
      <c r="O439" s="447"/>
      <c r="P439" s="448"/>
      <c r="Q439" s="378"/>
      <c r="R439" s="378"/>
      <c r="S439" s="378"/>
      <c r="T439" s="378"/>
      <c r="U439" s="378"/>
      <c r="V439" s="378"/>
      <c r="W439" s="378"/>
      <c r="X439" s="378"/>
      <c r="Y439" s="378"/>
      <c r="Z439" s="378"/>
      <c r="AA439" s="378"/>
      <c r="AB439" s="378"/>
      <c r="AC439" s="378"/>
      <c r="AD439" s="378"/>
      <c r="AE439" s="378"/>
      <c r="AF439" s="378"/>
      <c r="AG439" s="378"/>
    </row>
    <row r="440">
      <c r="A440" s="378"/>
      <c r="B440" s="454" t="s">
        <v>715</v>
      </c>
      <c r="C440" s="455"/>
      <c r="D440" s="435"/>
      <c r="E440" s="419"/>
      <c r="F440" s="463"/>
      <c r="G440" s="463"/>
      <c r="H440" s="448"/>
      <c r="I440" s="376"/>
      <c r="J440" s="458" t="s">
        <v>715</v>
      </c>
      <c r="K440" s="455"/>
      <c r="L440" s="435"/>
      <c r="M440" s="419"/>
      <c r="N440" s="446"/>
      <c r="O440" s="447"/>
      <c r="P440" s="448"/>
      <c r="Q440" s="378"/>
      <c r="R440" s="378"/>
      <c r="S440" s="378"/>
      <c r="T440" s="378"/>
      <c r="U440" s="378"/>
      <c r="V440" s="378"/>
      <c r="W440" s="378"/>
      <c r="X440" s="378"/>
      <c r="Y440" s="378"/>
      <c r="Z440" s="378"/>
      <c r="AA440" s="378"/>
      <c r="AB440" s="378"/>
      <c r="AC440" s="378"/>
      <c r="AD440" s="378"/>
      <c r="AE440" s="378"/>
      <c r="AF440" s="378"/>
      <c r="AG440" s="378"/>
    </row>
    <row r="441">
      <c r="A441" s="378"/>
      <c r="B441" s="459" t="s">
        <v>716</v>
      </c>
      <c r="C441" s="460">
        <v>150.0</v>
      </c>
      <c r="D441" s="440"/>
      <c r="E441" s="419"/>
      <c r="F441" s="463"/>
      <c r="G441" s="463"/>
      <c r="H441" s="448"/>
      <c r="I441" s="376"/>
      <c r="J441" s="462"/>
      <c r="K441" s="460"/>
      <c r="L441" s="440"/>
      <c r="M441" s="419"/>
      <c r="N441" s="446"/>
      <c r="O441" s="447"/>
      <c r="P441" s="448"/>
      <c r="Q441" s="378"/>
      <c r="R441" s="378"/>
      <c r="S441" s="378"/>
      <c r="T441" s="378"/>
      <c r="U441" s="378"/>
      <c r="V441" s="378"/>
      <c r="W441" s="378"/>
      <c r="X441" s="378"/>
      <c r="Y441" s="378"/>
      <c r="Z441" s="378"/>
      <c r="AA441" s="378"/>
      <c r="AB441" s="378"/>
      <c r="AC441" s="378"/>
      <c r="AD441" s="378"/>
      <c r="AE441" s="378"/>
      <c r="AF441" s="378"/>
      <c r="AG441" s="378"/>
    </row>
    <row r="442">
      <c r="A442" s="378"/>
      <c r="B442" s="459" t="s">
        <v>717</v>
      </c>
      <c r="C442" s="460">
        <v>400.0</v>
      </c>
      <c r="D442" s="440"/>
      <c r="E442" s="419"/>
      <c r="F442" s="463"/>
      <c r="G442" s="463"/>
      <c r="H442" s="448"/>
      <c r="I442" s="376"/>
      <c r="J442" s="462"/>
      <c r="K442" s="460"/>
      <c r="L442" s="440"/>
      <c r="M442" s="419"/>
      <c r="N442" s="446"/>
      <c r="O442" s="447"/>
      <c r="P442" s="448"/>
      <c r="Q442" s="378"/>
      <c r="R442" s="378"/>
      <c r="S442" s="378"/>
      <c r="T442" s="378"/>
      <c r="U442" s="378"/>
      <c r="V442" s="378"/>
      <c r="W442" s="378"/>
      <c r="X442" s="378"/>
      <c r="Y442" s="378"/>
      <c r="Z442" s="378"/>
      <c r="AA442" s="378"/>
      <c r="AB442" s="378"/>
      <c r="AC442" s="378"/>
      <c r="AD442" s="378"/>
      <c r="AE442" s="378"/>
      <c r="AF442" s="378"/>
      <c r="AG442" s="378"/>
    </row>
    <row r="443">
      <c r="A443" s="378"/>
      <c r="B443" s="459" t="s">
        <v>718</v>
      </c>
      <c r="C443" s="460">
        <v>200.0</v>
      </c>
      <c r="D443" s="440"/>
      <c r="E443" s="419"/>
      <c r="F443" s="463"/>
      <c r="G443" s="463"/>
      <c r="H443" s="448"/>
      <c r="I443" s="376"/>
      <c r="J443" s="462"/>
      <c r="K443" s="460"/>
      <c r="L443" s="440"/>
      <c r="M443" s="419"/>
      <c r="N443" s="446"/>
      <c r="O443" s="447"/>
      <c r="P443" s="448"/>
      <c r="Q443" s="378"/>
      <c r="R443" s="378"/>
      <c r="S443" s="378"/>
      <c r="T443" s="378"/>
      <c r="U443" s="378"/>
      <c r="V443" s="378"/>
      <c r="W443" s="378"/>
      <c r="X443" s="378"/>
      <c r="Y443" s="378"/>
      <c r="Z443" s="378"/>
      <c r="AA443" s="378"/>
      <c r="AB443" s="378"/>
      <c r="AC443" s="378"/>
      <c r="AD443" s="378"/>
      <c r="AE443" s="378"/>
      <c r="AF443" s="378"/>
      <c r="AG443" s="378"/>
    </row>
    <row r="444">
      <c r="A444" s="378"/>
      <c r="B444" s="459" t="s">
        <v>656</v>
      </c>
      <c r="C444" s="460" t="str">
        <f>IFERROR(__xludf.DUMMYFUNCTION("FILTER(D1045:D1073,C1045:C1073=F425)"),"#N/A")</f>
        <v>#N/A</v>
      </c>
      <c r="D444" s="440"/>
      <c r="E444" s="419"/>
      <c r="F444" s="463"/>
      <c r="G444" s="463"/>
      <c r="H444" s="448"/>
      <c r="I444" s="376"/>
      <c r="J444" s="462"/>
      <c r="K444" s="460"/>
      <c r="L444" s="440"/>
      <c r="M444" s="419"/>
      <c r="N444" s="446"/>
      <c r="O444" s="447"/>
      <c r="P444" s="448"/>
      <c r="Q444" s="378"/>
      <c r="R444" s="378"/>
      <c r="S444" s="378"/>
      <c r="T444" s="378"/>
      <c r="U444" s="378"/>
      <c r="V444" s="378"/>
      <c r="W444" s="378"/>
      <c r="X444" s="378"/>
      <c r="Y444" s="378"/>
      <c r="Z444" s="378"/>
      <c r="AA444" s="378"/>
      <c r="AB444" s="378"/>
      <c r="AC444" s="378"/>
      <c r="AD444" s="378"/>
      <c r="AE444" s="378"/>
      <c r="AF444" s="378"/>
      <c r="AG444" s="378"/>
    </row>
    <row r="445">
      <c r="A445" s="378"/>
      <c r="B445" s="464"/>
      <c r="C445" s="455"/>
      <c r="D445" s="435"/>
      <c r="E445" s="419"/>
      <c r="F445" s="468" t="s">
        <v>842</v>
      </c>
      <c r="G445" s="466" t="str">
        <f>H433+C438-C450</f>
        <v>#N/A</v>
      </c>
      <c r="H445" s="211"/>
      <c r="I445" s="376"/>
      <c r="J445" s="467"/>
      <c r="K445" s="455"/>
      <c r="L445" s="435"/>
      <c r="M445" s="419"/>
      <c r="N445" s="468" t="s">
        <v>842</v>
      </c>
      <c r="O445" s="539">
        <f>P433+K438-K450</f>
        <v>2996.5</v>
      </c>
      <c r="P445" s="211"/>
      <c r="Q445" s="378"/>
      <c r="R445" s="378"/>
      <c r="S445" s="378"/>
      <c r="T445" s="378"/>
      <c r="U445" s="378"/>
      <c r="V445" s="378"/>
      <c r="W445" s="378"/>
      <c r="X445" s="378"/>
      <c r="Y445" s="378"/>
      <c r="Z445" s="378"/>
      <c r="AA445" s="378"/>
      <c r="AB445" s="378"/>
      <c r="AC445" s="378"/>
      <c r="AD445" s="378"/>
      <c r="AE445" s="378"/>
      <c r="AF445" s="378"/>
      <c r="AG445" s="378"/>
    </row>
    <row r="446">
      <c r="A446" s="378"/>
      <c r="B446" s="464"/>
      <c r="C446" s="455"/>
      <c r="D446" s="435"/>
      <c r="E446" s="419"/>
      <c r="F446" s="469" t="s">
        <v>843</v>
      </c>
      <c r="G446" s="278"/>
      <c r="H446" s="56"/>
      <c r="I446" s="376"/>
      <c r="J446" s="467"/>
      <c r="K446" s="455"/>
      <c r="L446" s="435"/>
      <c r="M446" s="419"/>
      <c r="N446" s="469" t="s">
        <v>854</v>
      </c>
      <c r="O446" s="278"/>
      <c r="P446" s="56"/>
      <c r="Q446" s="378"/>
      <c r="R446" s="378"/>
      <c r="S446" s="378"/>
      <c r="T446" s="378"/>
      <c r="U446" s="378"/>
      <c r="V446" s="378"/>
      <c r="W446" s="378"/>
      <c r="X446" s="378"/>
      <c r="Y446" s="378"/>
      <c r="Z446" s="378"/>
      <c r="AA446" s="378"/>
      <c r="AB446" s="378"/>
      <c r="AC446" s="378"/>
      <c r="AD446" s="378"/>
      <c r="AE446" s="378"/>
      <c r="AF446" s="378"/>
      <c r="AG446" s="378"/>
    </row>
    <row r="447">
      <c r="A447" s="378"/>
      <c r="B447" s="464"/>
      <c r="C447" s="455"/>
      <c r="D447" s="435"/>
      <c r="E447" s="419"/>
      <c r="F447" s="470"/>
      <c r="G447" s="215"/>
      <c r="H447" s="64"/>
      <c r="I447" s="376"/>
      <c r="J447" s="467"/>
      <c r="K447" s="455"/>
      <c r="L447" s="435"/>
      <c r="M447" s="419"/>
      <c r="N447" s="470"/>
      <c r="O447" s="215"/>
      <c r="P447" s="64"/>
      <c r="Q447" s="378"/>
      <c r="R447" s="378"/>
      <c r="S447" s="378"/>
      <c r="T447" s="378"/>
      <c r="U447" s="378"/>
      <c r="V447" s="378"/>
      <c r="W447" s="378"/>
      <c r="X447" s="378"/>
      <c r="Y447" s="378"/>
      <c r="Z447" s="378"/>
      <c r="AA447" s="378"/>
      <c r="AB447" s="378"/>
      <c r="AC447" s="378"/>
      <c r="AD447" s="378"/>
      <c r="AE447" s="378"/>
      <c r="AF447" s="378"/>
      <c r="AG447" s="378"/>
    </row>
    <row r="448">
      <c r="A448" s="378"/>
      <c r="B448" s="464"/>
      <c r="C448" s="455"/>
      <c r="D448" s="435"/>
      <c r="E448" s="419"/>
      <c r="F448" s="419"/>
      <c r="G448" s="419"/>
      <c r="H448" s="429"/>
      <c r="I448" s="376"/>
      <c r="J448" s="467"/>
      <c r="K448" s="455"/>
      <c r="L448" s="435"/>
      <c r="M448" s="419"/>
      <c r="N448" s="431"/>
      <c r="O448" s="432"/>
      <c r="P448" s="429"/>
      <c r="Q448" s="378"/>
      <c r="R448" s="378"/>
      <c r="S448" s="378"/>
      <c r="T448" s="378"/>
      <c r="U448" s="378"/>
      <c r="V448" s="378"/>
      <c r="W448" s="378"/>
      <c r="X448" s="378"/>
      <c r="Y448" s="378"/>
      <c r="Z448" s="378"/>
      <c r="AA448" s="378"/>
      <c r="AB448" s="378"/>
      <c r="AC448" s="378"/>
      <c r="AD448" s="378"/>
      <c r="AE448" s="378"/>
      <c r="AF448" s="378"/>
      <c r="AG448" s="378"/>
    </row>
    <row r="449">
      <c r="A449" s="378"/>
      <c r="B449" s="464"/>
      <c r="C449" s="455"/>
      <c r="D449" s="435"/>
      <c r="E449" s="419"/>
      <c r="F449" s="419"/>
      <c r="G449" s="419"/>
      <c r="H449" s="429"/>
      <c r="I449" s="376"/>
      <c r="J449" s="467"/>
      <c r="K449" s="455"/>
      <c r="L449" s="435"/>
      <c r="M449" s="419"/>
      <c r="N449" s="431"/>
      <c r="O449" s="432"/>
      <c r="P449" s="429"/>
      <c r="Q449" s="378"/>
      <c r="R449" s="378"/>
      <c r="S449" s="378"/>
      <c r="T449" s="378"/>
      <c r="U449" s="378"/>
      <c r="V449" s="378"/>
      <c r="W449" s="378"/>
      <c r="X449" s="378"/>
      <c r="Y449" s="378"/>
      <c r="Z449" s="378"/>
      <c r="AA449" s="378"/>
      <c r="AB449" s="378"/>
      <c r="AC449" s="378"/>
      <c r="AD449" s="378"/>
      <c r="AE449" s="378"/>
      <c r="AF449" s="378"/>
      <c r="AG449" s="378"/>
    </row>
    <row r="450">
      <c r="A450" s="378"/>
      <c r="B450" s="454" t="s">
        <v>721</v>
      </c>
      <c r="C450" s="460" t="str">
        <f>SUM(C441:C449)</f>
        <v>#N/A</v>
      </c>
      <c r="D450" s="440"/>
      <c r="E450" s="419"/>
      <c r="F450" s="419"/>
      <c r="G450" s="419"/>
      <c r="H450" s="429"/>
      <c r="I450" s="376"/>
      <c r="J450" s="458" t="s">
        <v>721</v>
      </c>
      <c r="K450" s="460">
        <f>SUM(K441:K449)</f>
        <v>0</v>
      </c>
      <c r="L450" s="440"/>
      <c r="M450" s="419"/>
      <c r="N450" s="431"/>
      <c r="O450" s="432"/>
      <c r="P450" s="429"/>
      <c r="Q450" s="378"/>
      <c r="R450" s="378"/>
      <c r="S450" s="378"/>
      <c r="T450" s="378"/>
      <c r="U450" s="378"/>
      <c r="V450" s="378"/>
      <c r="W450" s="378"/>
      <c r="X450" s="378"/>
      <c r="Y450" s="378"/>
      <c r="Z450" s="378"/>
      <c r="AA450" s="378"/>
      <c r="AB450" s="378"/>
      <c r="AC450" s="378"/>
      <c r="AD450" s="378"/>
      <c r="AE450" s="378"/>
      <c r="AF450" s="378"/>
      <c r="AG450" s="378"/>
    </row>
    <row r="451">
      <c r="A451" s="378"/>
      <c r="B451" s="471"/>
      <c r="C451" s="472"/>
      <c r="D451" s="472"/>
      <c r="E451" s="472"/>
      <c r="F451" s="472"/>
      <c r="G451" s="472"/>
      <c r="H451" s="473"/>
      <c r="I451" s="376"/>
      <c r="J451" s="474"/>
      <c r="K451" s="472"/>
      <c r="L451" s="472"/>
      <c r="M451" s="472"/>
      <c r="N451" s="475"/>
      <c r="O451" s="476"/>
      <c r="P451" s="473"/>
      <c r="Q451" s="378"/>
      <c r="R451" s="378"/>
      <c r="S451" s="378"/>
      <c r="T451" s="378"/>
      <c r="U451" s="378"/>
      <c r="V451" s="378"/>
      <c r="W451" s="378"/>
      <c r="X451" s="378"/>
      <c r="Y451" s="378"/>
      <c r="Z451" s="378"/>
      <c r="AA451" s="378"/>
      <c r="AB451" s="378"/>
      <c r="AC451" s="378"/>
      <c r="AD451" s="378"/>
      <c r="AE451" s="378"/>
      <c r="AF451" s="378"/>
      <c r="AG451" s="378"/>
    </row>
    <row r="452">
      <c r="A452" s="378"/>
      <c r="B452" s="550"/>
      <c r="C452" s="463"/>
      <c r="D452" s="463"/>
      <c r="E452" s="463"/>
      <c r="F452" s="463"/>
      <c r="G452" s="463"/>
      <c r="H452" s="463"/>
      <c r="I452" s="376"/>
      <c r="J452" s="377"/>
      <c r="K452" s="378"/>
      <c r="L452" s="378"/>
      <c r="M452" s="378"/>
      <c r="N452" s="379"/>
      <c r="O452" s="380"/>
      <c r="P452" s="378"/>
      <c r="Q452" s="378"/>
      <c r="R452" s="378"/>
      <c r="S452" s="378"/>
      <c r="T452" s="378"/>
      <c r="U452" s="378"/>
      <c r="V452" s="378"/>
      <c r="W452" s="378"/>
      <c r="X452" s="378"/>
      <c r="Y452" s="378"/>
      <c r="Z452" s="378"/>
      <c r="AA452" s="378"/>
      <c r="AB452" s="378"/>
      <c r="AC452" s="378"/>
      <c r="AD452" s="378"/>
      <c r="AE452" s="378"/>
      <c r="AF452" s="378"/>
      <c r="AG452" s="378"/>
    </row>
    <row r="453">
      <c r="A453" s="378"/>
      <c r="B453" s="477"/>
      <c r="C453" s="378"/>
      <c r="D453" s="378"/>
      <c r="E453" s="378"/>
      <c r="F453" s="378"/>
      <c r="G453" s="378"/>
      <c r="H453" s="378"/>
      <c r="I453" s="376"/>
      <c r="J453" s="377"/>
      <c r="K453" s="378"/>
      <c r="L453" s="378"/>
      <c r="M453" s="378"/>
      <c r="N453" s="379"/>
      <c r="O453" s="380"/>
      <c r="P453" s="378"/>
      <c r="Q453" s="378"/>
      <c r="R453" s="378"/>
      <c r="S453" s="378"/>
      <c r="T453" s="378"/>
      <c r="U453" s="378"/>
      <c r="V453" s="378"/>
      <c r="W453" s="378"/>
      <c r="X453" s="378"/>
      <c r="Y453" s="378"/>
      <c r="Z453" s="378"/>
      <c r="AA453" s="378"/>
      <c r="AB453" s="378"/>
      <c r="AC453" s="378"/>
      <c r="AD453" s="378"/>
      <c r="AE453" s="378"/>
      <c r="AF453" s="378"/>
      <c r="AG453" s="378"/>
    </row>
    <row r="454">
      <c r="A454" s="378"/>
      <c r="B454" s="382"/>
      <c r="C454" s="388"/>
      <c r="D454" s="384"/>
      <c r="E454" s="385" t="s">
        <v>700</v>
      </c>
      <c r="F454" s="385" t="str">
        <f>Board!A2</f>
        <v>11.17.25-11.23.25</v>
      </c>
      <c r="G454" s="213"/>
      <c r="H454" s="211"/>
      <c r="I454" s="386">
        <v>13.0</v>
      </c>
      <c r="J454" s="387"/>
      <c r="K454" s="388"/>
      <c r="L454" s="384"/>
      <c r="M454" s="385" t="s">
        <v>700</v>
      </c>
      <c r="N454" s="385" t="str">
        <f>Board!A2</f>
        <v>11.17.25-11.23.25</v>
      </c>
      <c r="O454" s="213"/>
      <c r="P454" s="211"/>
      <c r="Q454" s="378"/>
      <c r="R454" s="389" t="s">
        <v>831</v>
      </c>
      <c r="S454" s="389" t="s">
        <v>652</v>
      </c>
      <c r="T454" s="390" t="s">
        <v>832</v>
      </c>
      <c r="U454" s="391" t="s">
        <v>833</v>
      </c>
      <c r="V454" s="389" t="s">
        <v>655</v>
      </c>
      <c r="W454" s="389" t="s">
        <v>8</v>
      </c>
      <c r="X454" s="389" t="s">
        <v>656</v>
      </c>
      <c r="Y454" s="390" t="s">
        <v>834</v>
      </c>
      <c r="Z454" s="392" t="s">
        <v>835</v>
      </c>
      <c r="AA454" s="390" t="s">
        <v>836</v>
      </c>
      <c r="AB454" s="390" t="s">
        <v>837</v>
      </c>
      <c r="AC454" s="393" t="s">
        <v>716</v>
      </c>
      <c r="AD454" s="393" t="s">
        <v>717</v>
      </c>
      <c r="AE454" s="393" t="s">
        <v>718</v>
      </c>
      <c r="AF454" s="394" t="s">
        <v>838</v>
      </c>
      <c r="AG454" s="394"/>
    </row>
    <row r="455">
      <c r="A455" s="378"/>
      <c r="B455" s="395"/>
      <c r="C455" s="372"/>
      <c r="D455" s="396"/>
      <c r="E455" s="385" t="s">
        <v>702</v>
      </c>
      <c r="F455" s="385" t="s">
        <v>680</v>
      </c>
      <c r="G455" s="213"/>
      <c r="H455" s="211"/>
      <c r="I455" s="376"/>
      <c r="J455" s="397"/>
      <c r="K455" s="372"/>
      <c r="L455" s="396"/>
      <c r="M455" s="385" t="s">
        <v>351</v>
      </c>
      <c r="N455" s="385" t="str">
        <f t="array" ref="N455">XLOOKUP(N456,Board!K:K,Board!J:J)</f>
        <v>Ben Bellah Beliscar</v>
      </c>
      <c r="O455" s="213"/>
      <c r="P455" s="211"/>
      <c r="Q455" s="378"/>
      <c r="R455" s="398">
        <f>I454</f>
        <v>13</v>
      </c>
      <c r="S455" s="398">
        <f>F456</f>
        <v>2932</v>
      </c>
      <c r="T455" s="399" t="str">
        <f>G476</f>
        <v>#N/A</v>
      </c>
      <c r="U455" s="378" t="str">
        <f>N455</f>
        <v>Ben Bellah Beliscar</v>
      </c>
      <c r="V455" s="380">
        <f>O476</f>
        <v>2839.2</v>
      </c>
      <c r="W455" s="399">
        <f>P464</f>
        <v>2839.2</v>
      </c>
      <c r="X455" s="399" t="str">
        <f>C475</f>
        <v>#N/A</v>
      </c>
      <c r="Y455" s="400">
        <f>N464</f>
        <v>4368</v>
      </c>
      <c r="Z455" s="378" t="str">
        <f>V456-V455</f>
        <v>#N/A</v>
      </c>
      <c r="AA455" s="378"/>
      <c r="AB455" s="378"/>
      <c r="AC455" s="401">
        <f>C472</f>
        <v>150</v>
      </c>
      <c r="AD455" s="401">
        <f>C473</f>
        <v>400</v>
      </c>
      <c r="AE455" s="401">
        <f>C474</f>
        <v>200</v>
      </c>
      <c r="AF455" s="530">
        <f>C476+C477+C478+C479+C480</f>
        <v>1174.09</v>
      </c>
      <c r="AG455" s="398"/>
    </row>
    <row r="456">
      <c r="A456" s="378"/>
      <c r="B456" s="395"/>
      <c r="C456" s="372"/>
      <c r="D456" s="402"/>
      <c r="E456" s="385" t="s">
        <v>703</v>
      </c>
      <c r="F456" s="385">
        <v>2932.0</v>
      </c>
      <c r="G456" s="213"/>
      <c r="H456" s="211"/>
      <c r="I456" s="376"/>
      <c r="J456" s="397"/>
      <c r="K456" s="372"/>
      <c r="L456" s="402"/>
      <c r="M456" s="385" t="s">
        <v>703</v>
      </c>
      <c r="N456" s="385">
        <f>F456</f>
        <v>2932</v>
      </c>
      <c r="O456" s="213"/>
      <c r="P456" s="211"/>
      <c r="Q456" s="378"/>
      <c r="R456" s="378"/>
      <c r="S456" s="378"/>
      <c r="T456" s="378"/>
      <c r="U456" s="378" t="str">
        <f>F455</f>
        <v>EDT Logistics LLC</v>
      </c>
      <c r="V456" s="399" t="str">
        <f>G476</f>
        <v>#N/A</v>
      </c>
      <c r="W456" s="399">
        <f>H464</f>
        <v>8184</v>
      </c>
      <c r="X456" s="378"/>
      <c r="Y456" s="378"/>
      <c r="Z456" s="378"/>
      <c r="AA456" s="378"/>
      <c r="AB456" s="378"/>
      <c r="AC456" s="378"/>
      <c r="AD456" s="378"/>
      <c r="AE456" s="378"/>
      <c r="AF456" s="378"/>
      <c r="AG456" s="378"/>
    </row>
    <row r="457">
      <c r="A457" s="378"/>
      <c r="B457" s="403" t="s">
        <v>704</v>
      </c>
      <c r="C457" s="404" t="s">
        <v>5</v>
      </c>
      <c r="D457" s="405" t="s">
        <v>6</v>
      </c>
      <c r="E457" s="406" t="s">
        <v>7</v>
      </c>
      <c r="F457" s="404" t="s">
        <v>8</v>
      </c>
      <c r="G457" s="404" t="s">
        <v>706</v>
      </c>
      <c r="H457" s="404" t="s">
        <v>707</v>
      </c>
      <c r="I457" s="376"/>
      <c r="J457" s="407" t="s">
        <v>704</v>
      </c>
      <c r="K457" s="404" t="s">
        <v>5</v>
      </c>
      <c r="L457" s="405" t="s">
        <v>6</v>
      </c>
      <c r="M457" s="406" t="s">
        <v>7</v>
      </c>
      <c r="N457" s="404" t="s">
        <v>591</v>
      </c>
      <c r="O457" s="408" t="s">
        <v>839</v>
      </c>
      <c r="P457" s="404" t="s">
        <v>707</v>
      </c>
      <c r="Q457" s="378"/>
      <c r="R457" s="378"/>
      <c r="S457" s="378"/>
      <c r="T457" s="378"/>
      <c r="U457" s="378"/>
      <c r="V457" s="378"/>
      <c r="W457" s="378"/>
      <c r="X457" s="378"/>
      <c r="Y457" s="378"/>
      <c r="Z457" s="378"/>
      <c r="AA457" s="378"/>
      <c r="AB457" s="378"/>
      <c r="AC457" s="378"/>
      <c r="AD457" s="378"/>
      <c r="AE457" s="378"/>
      <c r="AF457" s="378"/>
      <c r="AG457" s="378"/>
    </row>
    <row r="458">
      <c r="A458" s="378"/>
      <c r="B458" s="555">
        <f>IFERROR(__xludf.DUMMYFUNCTION("FILTER(Board!C:G,Board!K:K=F456)"),45978.0)</f>
        <v>45978</v>
      </c>
      <c r="C458" s="404">
        <f>IFERROR(__xludf.DUMMYFUNCTION("""COMPUTED_VALUE"""),13975.0)</f>
        <v>13975</v>
      </c>
      <c r="D458" s="405" t="str">
        <f>IFERROR(__xludf.DUMMYFUNCTION("""COMPUTED_VALUE"""),"Columbus, OH, 43229")</f>
        <v>Columbus, OH, 43229</v>
      </c>
      <c r="E458" s="406" t="str">
        <f>IFERROR(__xludf.DUMMYFUNCTION("""COMPUTED_VALUE"""),"Edwardsville, IL, 62025")</f>
        <v>Edwardsville, IL, 62025</v>
      </c>
      <c r="F458" s="414">
        <f>IFERROR(__xludf.DUMMYFUNCTION("""COMPUTED_VALUE"""),1000.0)</f>
        <v>1000</v>
      </c>
      <c r="G458" s="413">
        <v>0.88</v>
      </c>
      <c r="H458" s="414">
        <f t="shared" ref="H458:H460" si="22">F458*G458</f>
        <v>880</v>
      </c>
      <c r="I458" s="376"/>
      <c r="J458" s="415">
        <f>IFERROR(__xludf.DUMMYFUNCTION("FILTER(Board!C:F,Board!K:K=N456)"),45978.0)</f>
        <v>45978</v>
      </c>
      <c r="K458" s="411">
        <f>IFERROR(__xludf.DUMMYFUNCTION("""COMPUTED_VALUE"""),13975.0)</f>
        <v>13975</v>
      </c>
      <c r="L458" s="411" t="str">
        <f>IFERROR(__xludf.DUMMYFUNCTION("""COMPUTED_VALUE"""),"Columbus, OH, 43229")</f>
        <v>Columbus, OH, 43229</v>
      </c>
      <c r="M458" s="411" t="str">
        <f>IFERROR(__xludf.DUMMYFUNCTION("""COMPUTED_VALUE"""),"Edwardsville, IL, 62025")</f>
        <v>Edwardsville, IL, 62025</v>
      </c>
      <c r="N458" s="416">
        <f>IFERROR(__xludf.DUMMYFUNCTION("FILTER(Board!H:H,Board!K:K=N456)"),441.0)</f>
        <v>441</v>
      </c>
      <c r="O458" s="408">
        <v>0.65</v>
      </c>
      <c r="P458" s="414">
        <f t="shared" ref="P458:P461" si="23">N458*O458</f>
        <v>286.65</v>
      </c>
      <c r="Q458" s="378"/>
      <c r="R458" s="378"/>
      <c r="S458" s="378"/>
      <c r="T458" s="378"/>
      <c r="U458" s="378"/>
      <c r="V458" s="378"/>
      <c r="W458" s="378"/>
      <c r="X458" s="378"/>
      <c r="Y458" s="378"/>
      <c r="Z458" s="378"/>
      <c r="AA458" s="378"/>
      <c r="AB458" s="378"/>
      <c r="AC458" s="378"/>
      <c r="AD458" s="378"/>
      <c r="AE458" s="378"/>
      <c r="AF458" s="378"/>
      <c r="AG458" s="378"/>
    </row>
    <row r="459">
      <c r="A459" s="378"/>
      <c r="B459" s="555">
        <f>IFERROR(__xludf.DUMMYFUNCTION("""COMPUTED_VALUE"""),45979.0)</f>
        <v>45979</v>
      </c>
      <c r="C459" s="404">
        <f>IFERROR(__xludf.DUMMYFUNCTION("""COMPUTED_VALUE"""),5544032.0)</f>
        <v>5544032</v>
      </c>
      <c r="D459" s="405" t="str">
        <f>IFERROR(__xludf.DUMMYFUNCTION("""COMPUTED_VALUE"""),", MO, 63045")</f>
        <v>, MO, 63045</v>
      </c>
      <c r="E459" s="406" t="str">
        <f>IFERROR(__xludf.DUMMYFUNCTION("""COMPUTED_VALUE"""),"Glendale, AZ, 85355")</f>
        <v>Glendale, AZ, 85355</v>
      </c>
      <c r="F459" s="414">
        <f>IFERROR(__xludf.DUMMYFUNCTION("""COMPUTED_VALUE"""),3300.0)</f>
        <v>3300</v>
      </c>
      <c r="G459" s="413">
        <v>0.88</v>
      </c>
      <c r="H459" s="414">
        <f t="shared" si="22"/>
        <v>2904</v>
      </c>
      <c r="I459" s="376"/>
      <c r="J459" s="418">
        <f>IFERROR(__xludf.DUMMYFUNCTION("""COMPUTED_VALUE"""),45979.0)</f>
        <v>45979</v>
      </c>
      <c r="K459" s="411">
        <f>IFERROR(__xludf.DUMMYFUNCTION("""COMPUTED_VALUE"""),5544032.0)</f>
        <v>5544032</v>
      </c>
      <c r="L459" s="411" t="str">
        <f>IFERROR(__xludf.DUMMYFUNCTION("""COMPUTED_VALUE"""),", MO, 63045")</f>
        <v>, MO, 63045</v>
      </c>
      <c r="M459" s="411" t="str">
        <f>IFERROR(__xludf.DUMMYFUNCTION("""COMPUTED_VALUE"""),"Glendale, AZ, 85355")</f>
        <v>Glendale, AZ, 85355</v>
      </c>
      <c r="N459" s="416">
        <f>IFERROR(__xludf.DUMMYFUNCTION("""COMPUTED_VALUE"""),1599.0)</f>
        <v>1599</v>
      </c>
      <c r="O459" s="408">
        <v>0.65</v>
      </c>
      <c r="P459" s="414">
        <f t="shared" si="23"/>
        <v>1039.35</v>
      </c>
      <c r="Q459" s="378"/>
      <c r="R459" s="378"/>
      <c r="S459" s="378"/>
      <c r="T459" s="378"/>
      <c r="U459" s="378"/>
      <c r="V459" s="378"/>
      <c r="W459" s="378"/>
      <c r="X459" s="378"/>
      <c r="Y459" s="378"/>
      <c r="Z459" s="378"/>
      <c r="AA459" s="378"/>
      <c r="AB459" s="378"/>
      <c r="AC459" s="378"/>
      <c r="AD459" s="378"/>
      <c r="AE459" s="378"/>
      <c r="AF459" s="378"/>
      <c r="AG459" s="378"/>
    </row>
    <row r="460">
      <c r="A460" s="378"/>
      <c r="B460" s="499">
        <f>IFERROR(__xludf.DUMMYFUNCTION("""COMPUTED_VALUE"""),45981.0)</f>
        <v>45981</v>
      </c>
      <c r="C460" s="421">
        <f>IFERROR(__xludf.DUMMYFUNCTION("""COMPUTED_VALUE"""),7957014.0)</f>
        <v>7957014</v>
      </c>
      <c r="D460" s="422" t="str">
        <f>IFERROR(__xludf.DUMMYFUNCTION("""COMPUTED_VALUE"""),"Tolleson, AZ, 85353")</f>
        <v>Tolleson, AZ, 85353</v>
      </c>
      <c r="E460" s="423" t="str">
        <f>IFERROR(__xludf.DUMMYFUNCTION("""COMPUTED_VALUE"""),"West Palm Beach, FL, 33407")</f>
        <v>West Palm Beach, FL, 33407</v>
      </c>
      <c r="F460" s="500">
        <f>IFERROR(__xludf.DUMMYFUNCTION("""COMPUTED_VALUE"""),5000.0)</f>
        <v>5000</v>
      </c>
      <c r="G460" s="413">
        <v>0.88</v>
      </c>
      <c r="H460" s="414">
        <f t="shared" si="22"/>
        <v>4400</v>
      </c>
      <c r="I460" s="376"/>
      <c r="J460" s="545">
        <f>IFERROR(__xludf.DUMMYFUNCTION("""COMPUTED_VALUE"""),45981.0)</f>
        <v>45981</v>
      </c>
      <c r="K460" s="421">
        <f>IFERROR(__xludf.DUMMYFUNCTION("""COMPUTED_VALUE"""),7957014.0)</f>
        <v>7957014</v>
      </c>
      <c r="L460" s="422" t="str">
        <f>IFERROR(__xludf.DUMMYFUNCTION("""COMPUTED_VALUE"""),"Tolleson, AZ, 85353")</f>
        <v>Tolleson, AZ, 85353</v>
      </c>
      <c r="M460" s="423" t="str">
        <f>IFERROR(__xludf.DUMMYFUNCTION("""COMPUTED_VALUE"""),"West Palm Beach, FL, 33407")</f>
        <v>West Palm Beach, FL, 33407</v>
      </c>
      <c r="N460" s="546">
        <f>IFERROR(__xludf.DUMMYFUNCTION("""COMPUTED_VALUE"""),2328.0)</f>
        <v>2328</v>
      </c>
      <c r="O460" s="408">
        <v>0.65</v>
      </c>
      <c r="P460" s="414">
        <f t="shared" si="23"/>
        <v>1513.2</v>
      </c>
      <c r="Q460" s="378"/>
      <c r="R460" s="378"/>
      <c r="S460" s="378"/>
      <c r="T460" s="378"/>
      <c r="U460" s="378"/>
      <c r="V460" s="378"/>
      <c r="W460" s="378"/>
      <c r="X460" s="378"/>
      <c r="Y460" s="378"/>
      <c r="Z460" s="378"/>
      <c r="AA460" s="378"/>
      <c r="AB460" s="378"/>
      <c r="AC460" s="378"/>
      <c r="AD460" s="378"/>
      <c r="AE460" s="378"/>
      <c r="AF460" s="378"/>
      <c r="AG460" s="378"/>
    </row>
    <row r="461">
      <c r="A461" s="378"/>
      <c r="B461" s="420"/>
      <c r="C461" s="421"/>
      <c r="D461" s="422"/>
      <c r="E461" s="423"/>
      <c r="F461" s="421"/>
      <c r="G461" s="413"/>
      <c r="H461" s="414"/>
      <c r="I461" s="376"/>
      <c r="J461" s="424"/>
      <c r="K461" s="421"/>
      <c r="L461" s="422"/>
      <c r="M461" s="423"/>
      <c r="N461" s="425"/>
      <c r="O461" s="408">
        <v>0.65</v>
      </c>
      <c r="P461" s="414">
        <f t="shared" si="23"/>
        <v>0</v>
      </c>
      <c r="Q461" s="378"/>
      <c r="R461" s="378"/>
      <c r="S461" s="378"/>
      <c r="T461" s="378"/>
      <c r="U461" s="378"/>
      <c r="V461" s="378"/>
      <c r="W461" s="378"/>
      <c r="X461" s="378"/>
      <c r="Y461" s="378"/>
      <c r="Z461" s="378"/>
      <c r="AA461" s="378"/>
      <c r="AB461" s="378"/>
      <c r="AC461" s="378"/>
      <c r="AD461" s="378"/>
      <c r="AE461" s="378"/>
      <c r="AF461" s="378"/>
      <c r="AG461" s="378"/>
    </row>
    <row r="462">
      <c r="A462" s="378"/>
      <c r="B462" s="420"/>
      <c r="C462" s="421"/>
      <c r="D462" s="422"/>
      <c r="E462" s="423"/>
      <c r="F462" s="421"/>
      <c r="G462" s="413"/>
      <c r="H462" s="414"/>
      <c r="I462" s="376"/>
      <c r="J462" s="424"/>
      <c r="K462" s="421"/>
      <c r="L462" s="422"/>
      <c r="M462" s="423"/>
      <c r="N462" s="425"/>
      <c r="O462" s="408"/>
      <c r="P462" s="414"/>
      <c r="Q462" s="378"/>
      <c r="R462" s="378"/>
      <c r="S462" s="378"/>
      <c r="T462" s="378"/>
      <c r="U462" s="378"/>
      <c r="V462" s="378"/>
      <c r="W462" s="378"/>
      <c r="X462" s="378"/>
      <c r="Y462" s="378"/>
      <c r="Z462" s="378"/>
      <c r="AA462" s="378"/>
      <c r="AB462" s="378"/>
      <c r="AC462" s="378"/>
      <c r="AD462" s="378"/>
      <c r="AE462" s="378"/>
      <c r="AF462" s="378"/>
      <c r="AG462" s="378"/>
    </row>
    <row r="463">
      <c r="A463" s="378"/>
      <c r="B463" s="420"/>
      <c r="C463" s="421"/>
      <c r="D463" s="422"/>
      <c r="E463" s="423"/>
      <c r="F463" s="421"/>
      <c r="G463" s="413"/>
      <c r="H463" s="414"/>
      <c r="I463" s="376"/>
      <c r="J463" s="424"/>
      <c r="K463" s="421"/>
      <c r="L463" s="422"/>
      <c r="M463" s="423"/>
      <c r="N463" s="425"/>
      <c r="O463" s="408"/>
      <c r="P463" s="414"/>
      <c r="Q463" s="378"/>
      <c r="R463" s="378"/>
      <c r="S463" s="378"/>
      <c r="T463" s="378"/>
      <c r="U463" s="378"/>
      <c r="V463" s="378"/>
      <c r="W463" s="378"/>
      <c r="X463" s="378"/>
      <c r="Y463" s="378"/>
      <c r="Z463" s="378"/>
      <c r="AA463" s="378"/>
      <c r="AB463" s="378"/>
      <c r="AC463" s="378"/>
      <c r="AD463" s="378"/>
      <c r="AE463" s="378"/>
      <c r="AF463" s="378"/>
      <c r="AG463" s="378"/>
    </row>
    <row r="464">
      <c r="A464" s="378"/>
      <c r="B464" s="403" t="s">
        <v>711</v>
      </c>
      <c r="C464" s="224"/>
      <c r="D464" s="224"/>
      <c r="E464" s="222"/>
      <c r="F464" s="414">
        <f>SUM(F458:F463)</f>
        <v>9300</v>
      </c>
      <c r="G464" s="421"/>
      <c r="H464" s="414">
        <f>SUM(H458:H463)</f>
        <v>8184</v>
      </c>
      <c r="I464" s="376"/>
      <c r="J464" s="407" t="s">
        <v>711</v>
      </c>
      <c r="K464" s="224"/>
      <c r="L464" s="224"/>
      <c r="M464" s="222"/>
      <c r="N464" s="426">
        <f>SUM(N458:N463)</f>
        <v>4368</v>
      </c>
      <c r="O464" s="427"/>
      <c r="P464" s="414">
        <f>SUM(P458:P463)</f>
        <v>2839.2</v>
      </c>
      <c r="Q464" s="378"/>
      <c r="R464" s="378"/>
      <c r="S464" s="378"/>
      <c r="T464" s="378"/>
      <c r="U464" s="378"/>
      <c r="V464" s="378"/>
      <c r="W464" s="378"/>
      <c r="X464" s="378"/>
      <c r="Y464" s="378"/>
      <c r="Z464" s="378"/>
      <c r="AA464" s="378"/>
      <c r="AB464" s="378"/>
      <c r="AC464" s="378"/>
      <c r="AD464" s="378"/>
      <c r="AE464" s="378"/>
      <c r="AF464" s="378"/>
      <c r="AG464" s="378"/>
    </row>
    <row r="465">
      <c r="A465" s="378"/>
      <c r="B465" s="428"/>
      <c r="C465" s="419"/>
      <c r="D465" s="419"/>
      <c r="E465" s="419"/>
      <c r="F465" s="419"/>
      <c r="G465" s="419"/>
      <c r="H465" s="429"/>
      <c r="I465" s="376"/>
      <c r="J465" s="430"/>
      <c r="K465" s="419"/>
      <c r="L465" s="419"/>
      <c r="M465" s="419"/>
      <c r="N465" s="431"/>
      <c r="O465" s="432"/>
      <c r="P465" s="429"/>
      <c r="Q465" s="378"/>
      <c r="R465" s="378"/>
      <c r="S465" s="378"/>
      <c r="T465" s="378"/>
      <c r="U465" s="378"/>
      <c r="V465" s="378"/>
      <c r="W465" s="378"/>
      <c r="X465" s="378"/>
      <c r="Y465" s="378"/>
      <c r="Z465" s="378"/>
      <c r="AA465" s="378"/>
      <c r="AB465" s="378"/>
      <c r="AC465" s="378"/>
      <c r="AD465" s="378"/>
      <c r="AE465" s="378"/>
      <c r="AF465" s="378"/>
      <c r="AG465" s="378"/>
    </row>
    <row r="466">
      <c r="A466" s="378"/>
      <c r="B466" s="433" t="s">
        <v>712</v>
      </c>
      <c r="C466" s="434"/>
      <c r="D466" s="435"/>
      <c r="E466" s="419"/>
      <c r="F466" s="419"/>
      <c r="G466" s="419"/>
      <c r="H466" s="429"/>
      <c r="I466" s="376"/>
      <c r="J466" s="437" t="s">
        <v>712</v>
      </c>
      <c r="K466" s="434"/>
      <c r="L466" s="435"/>
      <c r="M466" s="419"/>
      <c r="N466" s="431"/>
      <c r="O466" s="432"/>
      <c r="P466" s="429"/>
      <c r="Q466" s="378"/>
      <c r="R466" s="378"/>
      <c r="S466" s="378"/>
      <c r="T466" s="378"/>
      <c r="U466" s="378"/>
      <c r="V466" s="378"/>
      <c r="W466" s="378"/>
      <c r="X466" s="378"/>
      <c r="Y466" s="378"/>
      <c r="Z466" s="378"/>
      <c r="AA466" s="378"/>
      <c r="AB466" s="378"/>
      <c r="AC466" s="378"/>
      <c r="AD466" s="378"/>
      <c r="AE466" s="378"/>
      <c r="AF466" s="378"/>
      <c r="AG466" s="378"/>
    </row>
    <row r="467">
      <c r="A467" s="378"/>
      <c r="B467" s="438" t="s">
        <v>713</v>
      </c>
      <c r="C467" s="439"/>
      <c r="D467" s="440"/>
      <c r="E467" s="419"/>
      <c r="F467" s="419"/>
      <c r="G467" s="419"/>
      <c r="H467" s="429"/>
      <c r="I467" s="376"/>
      <c r="J467" s="443" t="s">
        <v>713</v>
      </c>
      <c r="K467" s="439"/>
      <c r="L467" s="440"/>
      <c r="M467" s="419"/>
      <c r="N467" s="431"/>
      <c r="O467" s="432"/>
      <c r="P467" s="429"/>
      <c r="Q467" s="378"/>
      <c r="R467" s="378"/>
      <c r="S467" s="378"/>
      <c r="T467" s="378"/>
      <c r="U467" s="378"/>
      <c r="V467" s="378"/>
      <c r="W467" s="378"/>
      <c r="X467" s="378"/>
      <c r="Y467" s="378"/>
      <c r="Z467" s="378"/>
      <c r="AA467" s="378"/>
      <c r="AB467" s="378"/>
      <c r="AC467" s="378"/>
      <c r="AD467" s="378"/>
      <c r="AE467" s="378"/>
      <c r="AF467" s="378"/>
      <c r="AG467" s="378"/>
    </row>
    <row r="468">
      <c r="A468" s="378"/>
      <c r="B468" s="444"/>
      <c r="C468" s="434"/>
      <c r="D468" s="435"/>
      <c r="E468" s="419"/>
      <c r="F468" s="463"/>
      <c r="G468" s="463"/>
      <c r="H468" s="448"/>
      <c r="I468" s="376"/>
      <c r="J468" s="445"/>
      <c r="K468" s="434"/>
      <c r="L468" s="435"/>
      <c r="M468" s="419"/>
      <c r="N468" s="446"/>
      <c r="O468" s="447"/>
      <c r="P468" s="448"/>
      <c r="Q468" s="378"/>
      <c r="R468" s="378"/>
      <c r="S468" s="378"/>
      <c r="T468" s="378"/>
      <c r="U468" s="378"/>
      <c r="V468" s="378"/>
      <c r="W468" s="378"/>
      <c r="X468" s="378"/>
      <c r="Y468" s="378"/>
      <c r="Z468" s="378"/>
      <c r="AA468" s="378"/>
      <c r="AB468" s="378"/>
      <c r="AC468" s="378"/>
      <c r="AD468" s="378"/>
      <c r="AE468" s="378"/>
      <c r="AF468" s="378"/>
      <c r="AG468" s="378"/>
    </row>
    <row r="469">
      <c r="A469" s="378"/>
      <c r="B469" s="438" t="s">
        <v>714</v>
      </c>
      <c r="C469" s="439">
        <f>SUM(C467:C468)</f>
        <v>0</v>
      </c>
      <c r="D469" s="440"/>
      <c r="E469" s="419"/>
      <c r="F469" s="463"/>
      <c r="G469" s="463"/>
      <c r="H469" s="448"/>
      <c r="I469" s="376"/>
      <c r="J469" s="443" t="s">
        <v>714</v>
      </c>
      <c r="K469" s="439">
        <f>SUM(K467:K468)</f>
        <v>0</v>
      </c>
      <c r="L469" s="440"/>
      <c r="M469" s="419"/>
      <c r="N469" s="446"/>
      <c r="O469" s="447"/>
      <c r="P469" s="448"/>
      <c r="Q469" s="378"/>
      <c r="R469" s="378"/>
      <c r="S469" s="378"/>
      <c r="T469" s="378"/>
      <c r="U469" s="378"/>
      <c r="V469" s="378"/>
      <c r="W469" s="378"/>
      <c r="X469" s="378"/>
      <c r="Y469" s="378"/>
      <c r="Z469" s="378"/>
      <c r="AA469" s="378"/>
      <c r="AB469" s="378"/>
      <c r="AC469" s="378"/>
      <c r="AD469" s="378"/>
      <c r="AE469" s="378"/>
      <c r="AF469" s="378"/>
      <c r="AG469" s="378"/>
    </row>
    <row r="470">
      <c r="A470" s="378"/>
      <c r="B470" s="450"/>
      <c r="C470" s="451"/>
      <c r="D470" s="419"/>
      <c r="E470" s="419"/>
      <c r="F470" s="463"/>
      <c r="G470" s="463"/>
      <c r="H470" s="448"/>
      <c r="I470" s="376"/>
      <c r="J470" s="535"/>
      <c r="K470" s="451"/>
      <c r="L470" s="419"/>
      <c r="M470" s="419"/>
      <c r="N470" s="446"/>
      <c r="O470" s="447"/>
      <c r="P470" s="448"/>
      <c r="Q470" s="378"/>
      <c r="R470" s="378"/>
      <c r="S470" s="378"/>
      <c r="T470" s="378"/>
      <c r="U470" s="378"/>
      <c r="V470" s="378"/>
      <c r="W470" s="378"/>
      <c r="X470" s="378"/>
      <c r="Y470" s="378"/>
      <c r="Z470" s="378"/>
      <c r="AA470" s="378"/>
      <c r="AB470" s="378"/>
      <c r="AC470" s="378"/>
      <c r="AD470" s="378"/>
      <c r="AE470" s="378"/>
      <c r="AF470" s="378"/>
      <c r="AG470" s="378"/>
    </row>
    <row r="471">
      <c r="A471" s="378"/>
      <c r="B471" s="454" t="s">
        <v>715</v>
      </c>
      <c r="C471" s="455"/>
      <c r="D471" s="435"/>
      <c r="E471" s="419"/>
      <c r="F471" s="463"/>
      <c r="G471" s="463"/>
      <c r="H471" s="448"/>
      <c r="I471" s="376"/>
      <c r="J471" s="458" t="s">
        <v>715</v>
      </c>
      <c r="K471" s="455"/>
      <c r="L471" s="435"/>
      <c r="M471" s="419"/>
      <c r="N471" s="446"/>
      <c r="O471" s="447"/>
      <c r="P471" s="448"/>
      <c r="Q471" s="378"/>
      <c r="R471" s="378"/>
      <c r="S471" s="378"/>
      <c r="T471" s="378"/>
      <c r="U471" s="378"/>
      <c r="V471" s="378"/>
      <c r="W471" s="378"/>
      <c r="X471" s="378"/>
      <c r="Y471" s="378"/>
      <c r="Z471" s="378"/>
      <c r="AA471" s="378"/>
      <c r="AB471" s="378"/>
      <c r="AC471" s="378"/>
      <c r="AD471" s="378"/>
      <c r="AE471" s="378"/>
      <c r="AF471" s="378"/>
      <c r="AG471" s="378"/>
    </row>
    <row r="472">
      <c r="A472" s="378"/>
      <c r="B472" s="459" t="s">
        <v>716</v>
      </c>
      <c r="C472" s="460">
        <v>150.0</v>
      </c>
      <c r="D472" s="440"/>
      <c r="E472" s="419"/>
      <c r="F472" s="463"/>
      <c r="G472" s="463"/>
      <c r="H472" s="448"/>
      <c r="I472" s="376"/>
      <c r="J472" s="462"/>
      <c r="K472" s="460"/>
      <c r="L472" s="440"/>
      <c r="M472" s="419"/>
      <c r="N472" s="446"/>
      <c r="O472" s="447"/>
      <c r="P472" s="448"/>
      <c r="Q472" s="378"/>
      <c r="R472" s="378"/>
      <c r="S472" s="378"/>
      <c r="T472" s="378"/>
      <c r="U472" s="378"/>
      <c r="V472" s="378"/>
      <c r="W472" s="378"/>
      <c r="X472" s="378"/>
      <c r="Y472" s="378"/>
      <c r="Z472" s="378"/>
      <c r="AA472" s="378"/>
      <c r="AB472" s="378"/>
      <c r="AC472" s="378"/>
      <c r="AD472" s="378"/>
      <c r="AE472" s="378"/>
      <c r="AF472" s="378"/>
      <c r="AG472" s="378"/>
    </row>
    <row r="473">
      <c r="A473" s="378"/>
      <c r="B473" s="459" t="s">
        <v>717</v>
      </c>
      <c r="C473" s="460">
        <v>400.0</v>
      </c>
      <c r="D473" s="440"/>
      <c r="E473" s="419"/>
      <c r="F473" s="463"/>
      <c r="G473" s="463"/>
      <c r="H473" s="448"/>
      <c r="I473" s="376"/>
      <c r="J473" s="462"/>
      <c r="K473" s="460"/>
      <c r="L473" s="440"/>
      <c r="M473" s="419"/>
      <c r="N473" s="446"/>
      <c r="O473" s="447"/>
      <c r="P473" s="448"/>
      <c r="Q473" s="378"/>
      <c r="R473" s="378"/>
      <c r="S473" s="378"/>
      <c r="T473" s="378"/>
      <c r="U473" s="378"/>
      <c r="V473" s="378"/>
      <c r="W473" s="378"/>
      <c r="X473" s="378"/>
      <c r="Y473" s="378"/>
      <c r="Z473" s="378"/>
      <c r="AA473" s="378"/>
      <c r="AB473" s="378"/>
      <c r="AC473" s="378"/>
      <c r="AD473" s="378"/>
      <c r="AE473" s="378"/>
      <c r="AF473" s="378"/>
      <c r="AG473" s="378"/>
    </row>
    <row r="474">
      <c r="A474" s="378"/>
      <c r="B474" s="459" t="s">
        <v>718</v>
      </c>
      <c r="C474" s="460">
        <v>200.0</v>
      </c>
      <c r="D474" s="440"/>
      <c r="E474" s="419"/>
      <c r="F474" s="463"/>
      <c r="G474" s="463"/>
      <c r="H474" s="448"/>
      <c r="I474" s="376"/>
      <c r="J474" s="462"/>
      <c r="K474" s="460"/>
      <c r="L474" s="440"/>
      <c r="M474" s="419"/>
      <c r="N474" s="446"/>
      <c r="O474" s="447"/>
      <c r="P474" s="448"/>
      <c r="Q474" s="378"/>
      <c r="R474" s="378"/>
      <c r="S474" s="378"/>
      <c r="T474" s="378"/>
      <c r="U474" s="378"/>
      <c r="V474" s="378"/>
      <c r="W474" s="378"/>
      <c r="X474" s="378"/>
      <c r="Y474" s="378"/>
      <c r="Z474" s="378"/>
      <c r="AA474" s="378"/>
      <c r="AB474" s="378"/>
      <c r="AC474" s="378"/>
      <c r="AD474" s="378"/>
      <c r="AE474" s="378"/>
      <c r="AF474" s="378"/>
      <c r="AG474" s="378"/>
    </row>
    <row r="475">
      <c r="A475" s="378"/>
      <c r="B475" s="459" t="s">
        <v>656</v>
      </c>
      <c r="C475" s="460" t="str">
        <f>IFERROR(__xludf.DUMMYFUNCTION("FILTER(D1045:D1073,C1045:C1073=F456)"),"#N/A")</f>
        <v>#N/A</v>
      </c>
      <c r="D475" s="440"/>
      <c r="E475" s="419"/>
      <c r="F475" s="463"/>
      <c r="G475" s="463"/>
      <c r="H475" s="448"/>
      <c r="I475" s="376"/>
      <c r="J475" s="462"/>
      <c r="K475" s="460"/>
      <c r="L475" s="440"/>
      <c r="M475" s="419"/>
      <c r="N475" s="446"/>
      <c r="O475" s="447"/>
      <c r="P475" s="448"/>
      <c r="Q475" s="378"/>
      <c r="R475" s="378"/>
      <c r="S475" s="378"/>
      <c r="T475" s="378"/>
      <c r="U475" s="378"/>
      <c r="V475" s="378"/>
      <c r="W475" s="378"/>
      <c r="X475" s="378"/>
      <c r="Y475" s="378"/>
      <c r="Z475" s="378"/>
      <c r="AA475" s="378"/>
      <c r="AB475" s="378"/>
      <c r="AC475" s="378"/>
      <c r="AD475" s="378"/>
      <c r="AE475" s="378"/>
      <c r="AF475" s="378"/>
      <c r="AG475" s="378"/>
    </row>
    <row r="476">
      <c r="A476" s="378"/>
      <c r="B476" s="454" t="s">
        <v>877</v>
      </c>
      <c r="C476" s="537">
        <v>737.5</v>
      </c>
      <c r="D476" s="435"/>
      <c r="E476" s="419"/>
      <c r="F476" s="468" t="s">
        <v>842</v>
      </c>
      <c r="G476" s="466" t="str">
        <f>H464+C469-C481</f>
        <v>#N/A</v>
      </c>
      <c r="H476" s="211"/>
      <c r="I476" s="376"/>
      <c r="J476" s="467"/>
      <c r="K476" s="455"/>
      <c r="L476" s="435"/>
      <c r="M476" s="419"/>
      <c r="N476" s="468" t="s">
        <v>842</v>
      </c>
      <c r="O476" s="539">
        <f>P464+K469-K481</f>
        <v>2839.2</v>
      </c>
      <c r="P476" s="211"/>
      <c r="Q476" s="378"/>
      <c r="R476" s="378"/>
      <c r="S476" s="378"/>
      <c r="T476" s="378"/>
      <c r="U476" s="378"/>
      <c r="V476" s="378"/>
      <c r="W476" s="378"/>
      <c r="X476" s="378"/>
      <c r="Y476" s="378"/>
      <c r="Z476" s="378"/>
      <c r="AA476" s="378"/>
      <c r="AB476" s="378"/>
      <c r="AC476" s="378"/>
      <c r="AD476" s="378"/>
      <c r="AE476" s="378"/>
      <c r="AF476" s="378"/>
      <c r="AG476" s="378"/>
    </row>
    <row r="477">
      <c r="A477" s="378"/>
      <c r="B477" s="454" t="s">
        <v>878</v>
      </c>
      <c r="C477" s="537">
        <v>436.59</v>
      </c>
      <c r="D477" s="435"/>
      <c r="E477" s="419"/>
      <c r="F477" s="469" t="s">
        <v>843</v>
      </c>
      <c r="G477" s="278"/>
      <c r="H477" s="56"/>
      <c r="I477" s="376"/>
      <c r="J477" s="467"/>
      <c r="K477" s="455"/>
      <c r="L477" s="435"/>
      <c r="M477" s="419"/>
      <c r="N477" s="469" t="s">
        <v>854</v>
      </c>
      <c r="O477" s="278"/>
      <c r="P477" s="56"/>
      <c r="Q477" s="378"/>
      <c r="R477" s="378"/>
      <c r="S477" s="378"/>
      <c r="T477" s="378"/>
      <c r="U477" s="378"/>
      <c r="V477" s="378"/>
      <c r="W477" s="378"/>
      <c r="X477" s="378"/>
      <c r="Y477" s="378"/>
      <c r="Z477" s="378"/>
      <c r="AA477" s="378"/>
      <c r="AB477" s="378"/>
      <c r="AC477" s="378"/>
      <c r="AD477" s="378"/>
      <c r="AE477" s="378"/>
      <c r="AF477" s="378"/>
      <c r="AG477" s="378"/>
    </row>
    <row r="478">
      <c r="A478" s="378"/>
      <c r="B478" s="464"/>
      <c r="C478" s="455"/>
      <c r="D478" s="435"/>
      <c r="E478" s="419"/>
      <c r="F478" s="470"/>
      <c r="G478" s="215"/>
      <c r="H478" s="64"/>
      <c r="I478" s="376"/>
      <c r="J478" s="467"/>
      <c r="K478" s="455"/>
      <c r="L478" s="435"/>
      <c r="M478" s="419"/>
      <c r="N478" s="470"/>
      <c r="O478" s="215"/>
      <c r="P478" s="64"/>
      <c r="Q478" s="378"/>
      <c r="R478" s="378"/>
      <c r="S478" s="378"/>
      <c r="T478" s="378"/>
      <c r="U478" s="378"/>
      <c r="V478" s="378"/>
      <c r="W478" s="378"/>
      <c r="X478" s="378"/>
      <c r="Y478" s="378"/>
      <c r="Z478" s="378"/>
      <c r="AA478" s="378"/>
      <c r="AB478" s="378"/>
      <c r="AC478" s="378"/>
      <c r="AD478" s="378"/>
      <c r="AE478" s="378"/>
      <c r="AF478" s="378"/>
      <c r="AG478" s="378"/>
    </row>
    <row r="479">
      <c r="A479" s="378"/>
      <c r="B479" s="464"/>
      <c r="C479" s="455"/>
      <c r="D479" s="435"/>
      <c r="E479" s="419"/>
      <c r="F479" s="419"/>
      <c r="G479" s="419"/>
      <c r="H479" s="429"/>
      <c r="I479" s="376"/>
      <c r="J479" s="467"/>
      <c r="K479" s="455"/>
      <c r="L479" s="435"/>
      <c r="M479" s="419"/>
      <c r="N479" s="431"/>
      <c r="O479" s="432"/>
      <c r="P479" s="429"/>
      <c r="Q479" s="378"/>
      <c r="R479" s="378"/>
      <c r="S479" s="378"/>
      <c r="T479" s="378"/>
      <c r="U479" s="378"/>
      <c r="V479" s="378"/>
      <c r="W479" s="378"/>
      <c r="X479" s="378"/>
      <c r="Y479" s="378"/>
      <c r="Z479" s="378"/>
      <c r="AA479" s="378"/>
      <c r="AB479" s="378"/>
      <c r="AC479" s="378"/>
      <c r="AD479" s="378"/>
      <c r="AE479" s="378"/>
      <c r="AF479" s="378"/>
      <c r="AG479" s="378"/>
    </row>
    <row r="480">
      <c r="A480" s="378"/>
      <c r="B480" s="464"/>
      <c r="C480" s="455"/>
      <c r="D480" s="435"/>
      <c r="E480" s="419"/>
      <c r="F480" s="419"/>
      <c r="G480" s="419"/>
      <c r="H480" s="429"/>
      <c r="I480" s="376"/>
      <c r="J480" s="467"/>
      <c r="K480" s="455"/>
      <c r="L480" s="435"/>
      <c r="M480" s="419"/>
      <c r="N480" s="431"/>
      <c r="O480" s="432"/>
      <c r="P480" s="429"/>
      <c r="Q480" s="378"/>
      <c r="R480" s="378"/>
      <c r="S480" s="378"/>
      <c r="T480" s="378"/>
      <c r="U480" s="378"/>
      <c r="V480" s="378"/>
      <c r="W480" s="378"/>
      <c r="X480" s="378"/>
      <c r="Y480" s="378"/>
      <c r="Z480" s="378"/>
      <c r="AA480" s="378"/>
      <c r="AB480" s="378"/>
      <c r="AC480" s="378"/>
      <c r="AD480" s="378"/>
      <c r="AE480" s="378"/>
      <c r="AF480" s="378"/>
      <c r="AG480" s="378"/>
    </row>
    <row r="481">
      <c r="A481" s="378"/>
      <c r="B481" s="454" t="s">
        <v>721</v>
      </c>
      <c r="C481" s="460" t="str">
        <f>SUM(C472:C480)</f>
        <v>#N/A</v>
      </c>
      <c r="D481" s="440"/>
      <c r="E481" s="419"/>
      <c r="F481" s="419"/>
      <c r="G481" s="419"/>
      <c r="H481" s="429"/>
      <c r="I481" s="376"/>
      <c r="J481" s="458" t="s">
        <v>721</v>
      </c>
      <c r="K481" s="460">
        <f>SUM(K472:K480)</f>
        <v>0</v>
      </c>
      <c r="L481" s="440"/>
      <c r="M481" s="419"/>
      <c r="N481" s="431"/>
      <c r="O481" s="432"/>
      <c r="P481" s="429"/>
      <c r="Q481" s="378"/>
      <c r="R481" s="378"/>
      <c r="S481" s="378"/>
      <c r="T481" s="378"/>
      <c r="U481" s="378"/>
      <c r="V481" s="378"/>
      <c r="W481" s="378"/>
      <c r="X481" s="378"/>
      <c r="Y481" s="378"/>
      <c r="Z481" s="378"/>
      <c r="AA481" s="378"/>
      <c r="AB481" s="378"/>
      <c r="AC481" s="378"/>
      <c r="AD481" s="378"/>
      <c r="AE481" s="378"/>
      <c r="AF481" s="378"/>
      <c r="AG481" s="378"/>
    </row>
    <row r="482">
      <c r="A482" s="378"/>
      <c r="B482" s="471"/>
      <c r="C482" s="472"/>
      <c r="D482" s="472"/>
      <c r="E482" s="472"/>
      <c r="F482" s="472"/>
      <c r="G482" s="472"/>
      <c r="H482" s="473"/>
      <c r="I482" s="376"/>
      <c r="J482" s="474"/>
      <c r="K482" s="472"/>
      <c r="L482" s="472"/>
      <c r="M482" s="472"/>
      <c r="N482" s="475"/>
      <c r="O482" s="476"/>
      <c r="P482" s="473"/>
      <c r="Q482" s="378"/>
      <c r="R482" s="378"/>
      <c r="S482" s="378"/>
      <c r="T482" s="378"/>
      <c r="U482" s="378"/>
      <c r="V482" s="378"/>
      <c r="W482" s="378"/>
      <c r="X482" s="378"/>
      <c r="Y482" s="378"/>
      <c r="Z482" s="378"/>
      <c r="AA482" s="378"/>
      <c r="AB482" s="378"/>
      <c r="AC482" s="378"/>
      <c r="AD482" s="378"/>
      <c r="AE482" s="378"/>
      <c r="AF482" s="378"/>
      <c r="AG482" s="378"/>
    </row>
    <row r="483">
      <c r="A483" s="378"/>
      <c r="B483" s="550"/>
      <c r="C483" s="463"/>
      <c r="D483" s="463"/>
      <c r="E483" s="463"/>
      <c r="F483" s="463"/>
      <c r="G483" s="463"/>
      <c r="H483" s="463"/>
      <c r="I483" s="376"/>
      <c r="J483" s="377"/>
      <c r="K483" s="378"/>
      <c r="L483" s="378"/>
      <c r="M483" s="378"/>
      <c r="N483" s="379"/>
      <c r="O483" s="380"/>
      <c r="P483" s="378"/>
      <c r="Q483" s="378"/>
      <c r="R483" s="378"/>
      <c r="S483" s="378"/>
      <c r="T483" s="378"/>
      <c r="U483" s="378"/>
      <c r="V483" s="378"/>
      <c r="W483" s="378"/>
      <c r="X483" s="378"/>
      <c r="Y483" s="378"/>
      <c r="Z483" s="378"/>
      <c r="AA483" s="378"/>
      <c r="AB483" s="378"/>
      <c r="AC483" s="378"/>
      <c r="AD483" s="378"/>
      <c r="AE483" s="378"/>
      <c r="AF483" s="378"/>
      <c r="AG483" s="378"/>
    </row>
    <row r="484">
      <c r="A484" s="378"/>
      <c r="B484" s="477"/>
      <c r="C484" s="378"/>
      <c r="D484" s="378"/>
      <c r="E484" s="378"/>
      <c r="F484" s="378"/>
      <c r="G484" s="378"/>
      <c r="H484" s="378"/>
      <c r="I484" s="376"/>
      <c r="J484" s="377"/>
      <c r="K484" s="378"/>
      <c r="L484" s="378"/>
      <c r="M484" s="378"/>
      <c r="N484" s="379"/>
      <c r="O484" s="380"/>
      <c r="P484" s="378"/>
      <c r="Q484" s="378"/>
      <c r="R484" s="378"/>
      <c r="S484" s="378"/>
      <c r="T484" s="378"/>
      <c r="U484" s="378"/>
      <c r="V484" s="378"/>
      <c r="W484" s="378"/>
      <c r="X484" s="378"/>
      <c r="Y484" s="378"/>
      <c r="Z484" s="378"/>
      <c r="AA484" s="378"/>
      <c r="AB484" s="378"/>
      <c r="AC484" s="378"/>
      <c r="AD484" s="378"/>
      <c r="AE484" s="378"/>
      <c r="AF484" s="378"/>
      <c r="AG484" s="378"/>
    </row>
    <row r="485">
      <c r="A485" s="378"/>
      <c r="B485" s="382"/>
      <c r="C485" s="388"/>
      <c r="D485" s="560" t="s">
        <v>682</v>
      </c>
      <c r="E485" s="385" t="s">
        <v>700</v>
      </c>
      <c r="F485" s="385" t="str">
        <f>Board!A2</f>
        <v>11.17.25-11.23.25</v>
      </c>
      <c r="G485" s="213"/>
      <c r="H485" s="211"/>
      <c r="I485" s="386">
        <v>14.0</v>
      </c>
      <c r="J485" s="387"/>
      <c r="K485" s="388"/>
      <c r="L485" s="384"/>
      <c r="M485" s="385" t="s">
        <v>700</v>
      </c>
      <c r="N485" s="385" t="str">
        <f>Board!A2</f>
        <v>11.17.25-11.23.25</v>
      </c>
      <c r="O485" s="213"/>
      <c r="P485" s="211"/>
      <c r="Q485" s="378"/>
      <c r="R485" s="389" t="s">
        <v>831</v>
      </c>
      <c r="S485" s="389" t="s">
        <v>652</v>
      </c>
      <c r="T485" s="390" t="s">
        <v>832</v>
      </c>
      <c r="U485" s="391" t="s">
        <v>833</v>
      </c>
      <c r="V485" s="389" t="s">
        <v>655</v>
      </c>
      <c r="W485" s="389" t="s">
        <v>8</v>
      </c>
      <c r="X485" s="389" t="s">
        <v>656</v>
      </c>
      <c r="Y485" s="390" t="s">
        <v>834</v>
      </c>
      <c r="Z485" s="392" t="s">
        <v>835</v>
      </c>
      <c r="AA485" s="390" t="s">
        <v>836</v>
      </c>
      <c r="AB485" s="390" t="s">
        <v>837</v>
      </c>
      <c r="AC485" s="393" t="s">
        <v>716</v>
      </c>
      <c r="AD485" s="393" t="s">
        <v>717</v>
      </c>
      <c r="AE485" s="393" t="s">
        <v>718</v>
      </c>
      <c r="AF485" s="394" t="s">
        <v>838</v>
      </c>
      <c r="AG485" s="394"/>
    </row>
    <row r="486">
      <c r="A486" s="378"/>
      <c r="B486" s="395"/>
      <c r="C486" s="372"/>
      <c r="D486" s="396"/>
      <c r="E486" s="385" t="s">
        <v>702</v>
      </c>
      <c r="F486" s="385" t="s">
        <v>682</v>
      </c>
      <c r="G486" s="213"/>
      <c r="H486" s="211"/>
      <c r="I486" s="376"/>
      <c r="J486" s="397"/>
      <c r="K486" s="372"/>
      <c r="L486" s="396"/>
      <c r="M486" s="385" t="s">
        <v>351</v>
      </c>
      <c r="N486" s="385" t="str">
        <f t="array" ref="N486">XLOOKUP(N487,Board!K:K,Board!J:J)</f>
        <v>YVENSO BOSQUET</v>
      </c>
      <c r="O486" s="213"/>
      <c r="P486" s="211"/>
      <c r="Q486" s="378"/>
      <c r="R486" s="398">
        <f>I485</f>
        <v>14</v>
      </c>
      <c r="S486" s="398">
        <f>F487</f>
        <v>3301</v>
      </c>
      <c r="T486" s="399" t="str">
        <f>G507</f>
        <v>#N/A</v>
      </c>
      <c r="U486" s="378" t="str">
        <f>N486</f>
        <v>YVENSO BOSQUET</v>
      </c>
      <c r="V486" s="380">
        <f>O507</f>
        <v>2468.72359</v>
      </c>
      <c r="W486" s="399">
        <f>P495</f>
        <v>3274.7</v>
      </c>
      <c r="X486" s="399" t="str">
        <f>C506</f>
        <v>#N/A</v>
      </c>
      <c r="Y486" s="400">
        <f>N495</f>
        <v>5038</v>
      </c>
      <c r="Z486" s="378" t="str">
        <f>V487-V486</f>
        <v>#N/A</v>
      </c>
      <c r="AA486" s="378"/>
      <c r="AB486" s="378"/>
      <c r="AC486" s="401">
        <f>C503</f>
        <v>150</v>
      </c>
      <c r="AD486" s="401">
        <f>C504</f>
        <v>400</v>
      </c>
      <c r="AE486" s="401">
        <f>C505</f>
        <v>200</v>
      </c>
      <c r="AF486" s="530">
        <f>C507+C508+C509+C510+C511</f>
        <v>411.5</v>
      </c>
      <c r="AG486" s="398"/>
    </row>
    <row r="487">
      <c r="A487" s="378"/>
      <c r="B487" s="395"/>
      <c r="C487" s="372"/>
      <c r="D487" s="402"/>
      <c r="E487" s="385" t="s">
        <v>703</v>
      </c>
      <c r="F487" s="385">
        <v>3301.0</v>
      </c>
      <c r="G487" s="213"/>
      <c r="H487" s="211"/>
      <c r="I487" s="376"/>
      <c r="J487" s="397"/>
      <c r="K487" s="372"/>
      <c r="L487" s="402"/>
      <c r="M487" s="385" t="s">
        <v>703</v>
      </c>
      <c r="N487" s="385">
        <f>F487</f>
        <v>3301</v>
      </c>
      <c r="O487" s="213"/>
      <c r="P487" s="211"/>
      <c r="Q487" s="378"/>
      <c r="R487" s="378"/>
      <c r="S487" s="378"/>
      <c r="T487" s="378"/>
      <c r="U487" s="378" t="str">
        <f>F486</f>
        <v>Beycan LLC</v>
      </c>
      <c r="V487" s="399" t="str">
        <f>G507</f>
        <v>#N/A</v>
      </c>
      <c r="W487" s="399">
        <f>H495</f>
        <v>8793.84</v>
      </c>
      <c r="X487" s="378"/>
      <c r="Y487" s="378"/>
      <c r="Z487" s="378"/>
      <c r="AA487" s="378"/>
      <c r="AB487" s="378"/>
      <c r="AC487" s="378"/>
      <c r="AD487" s="378"/>
      <c r="AE487" s="378"/>
      <c r="AF487" s="378"/>
      <c r="AG487" s="378"/>
    </row>
    <row r="488">
      <c r="A488" s="378"/>
      <c r="B488" s="403" t="s">
        <v>704</v>
      </c>
      <c r="C488" s="404" t="s">
        <v>5</v>
      </c>
      <c r="D488" s="405" t="s">
        <v>6</v>
      </c>
      <c r="E488" s="406" t="s">
        <v>7</v>
      </c>
      <c r="F488" s="404" t="s">
        <v>8</v>
      </c>
      <c r="G488" s="404" t="s">
        <v>706</v>
      </c>
      <c r="H488" s="404" t="s">
        <v>707</v>
      </c>
      <c r="I488" s="376"/>
      <c r="J488" s="407" t="s">
        <v>704</v>
      </c>
      <c r="K488" s="404" t="s">
        <v>5</v>
      </c>
      <c r="L488" s="405" t="s">
        <v>6</v>
      </c>
      <c r="M488" s="406" t="s">
        <v>7</v>
      </c>
      <c r="N488" s="404" t="s">
        <v>591</v>
      </c>
      <c r="O488" s="408" t="s">
        <v>839</v>
      </c>
      <c r="P488" s="404" t="s">
        <v>707</v>
      </c>
      <c r="Q488" s="378"/>
      <c r="R488" s="378"/>
      <c r="S488" s="378"/>
      <c r="T488" s="378"/>
      <c r="U488" s="378"/>
      <c r="V488" s="378"/>
      <c r="W488" s="378"/>
      <c r="X488" s="378"/>
      <c r="Y488" s="378"/>
      <c r="Z488" s="378"/>
      <c r="AA488" s="378"/>
      <c r="AB488" s="378"/>
      <c r="AC488" s="378"/>
      <c r="AD488" s="378"/>
      <c r="AE488" s="378"/>
      <c r="AF488" s="378"/>
      <c r="AG488" s="378"/>
    </row>
    <row r="489">
      <c r="A489" s="378"/>
      <c r="B489" s="555">
        <f>IFERROR(__xludf.DUMMYFUNCTION("FILTER(Board!C:G,Board!K:K=F487)"),45978.0)</f>
        <v>45978</v>
      </c>
      <c r="C489" s="404">
        <f>IFERROR(__xludf.DUMMYFUNCTION("""COMPUTED_VALUE"""),6.0112376461E10)</f>
        <v>60112376461</v>
      </c>
      <c r="D489" s="405" t="str">
        <f>IFERROR(__xludf.DUMMYFUNCTION("""COMPUTED_VALUE"""),"Laramie, WY, 82070")</f>
        <v>Laramie, WY, 82070</v>
      </c>
      <c r="E489" s="406" t="str">
        <f>IFERROR(__xludf.DUMMYFUNCTION("""COMPUTED_VALUE"""),"Portland, OR, 97230")</f>
        <v>Portland, OR, 97230</v>
      </c>
      <c r="F489" s="414">
        <f>IFERROR(__xludf.DUMMYFUNCTION("""COMPUTED_VALUE"""),2200.0)</f>
        <v>2200</v>
      </c>
      <c r="G489" s="413">
        <v>0.88</v>
      </c>
      <c r="H489" s="414">
        <f t="shared" ref="H489:H491" si="24">F489*G489</f>
        <v>1936</v>
      </c>
      <c r="I489" s="376"/>
      <c r="J489" s="415">
        <f>IFERROR(__xludf.DUMMYFUNCTION("FILTER(Board!C:F,Board!K:K=N487)"),45978.0)</f>
        <v>45978</v>
      </c>
      <c r="K489" s="411">
        <f>IFERROR(__xludf.DUMMYFUNCTION("""COMPUTED_VALUE"""),6.0112376461E10)</f>
        <v>60112376461</v>
      </c>
      <c r="L489" s="411" t="str">
        <f>IFERROR(__xludf.DUMMYFUNCTION("""COMPUTED_VALUE"""),"Laramie, WY, 82070")</f>
        <v>Laramie, WY, 82070</v>
      </c>
      <c r="M489" s="411" t="str">
        <f>IFERROR(__xludf.DUMMYFUNCTION("""COMPUTED_VALUE"""),"Portland, OR, 97230")</f>
        <v>Portland, OR, 97230</v>
      </c>
      <c r="N489" s="416">
        <f>IFERROR(__xludf.DUMMYFUNCTION("FILTER(Board!H:H,Board!K:K=N487)"),1150.0)</f>
        <v>1150</v>
      </c>
      <c r="O489" s="408">
        <v>0.65</v>
      </c>
      <c r="P489" s="414">
        <f t="shared" ref="P489:P492" si="25">N489*O489</f>
        <v>747.5</v>
      </c>
      <c r="Q489" s="378"/>
      <c r="R489" s="378"/>
      <c r="S489" s="378"/>
      <c r="T489" s="378"/>
      <c r="U489" s="378"/>
      <c r="V489" s="378"/>
      <c r="W489" s="378"/>
      <c r="X489" s="378"/>
      <c r="Y489" s="378"/>
      <c r="Z489" s="378"/>
      <c r="AA489" s="378"/>
      <c r="AB489" s="378"/>
      <c r="AC489" s="378"/>
      <c r="AD489" s="378"/>
      <c r="AE489" s="378"/>
      <c r="AF489" s="378"/>
      <c r="AG489" s="378"/>
    </row>
    <row r="490">
      <c r="A490" s="378"/>
      <c r="B490" s="555">
        <f>IFERROR(__xludf.DUMMYFUNCTION("""COMPUTED_VALUE"""),45980.0)</f>
        <v>45980</v>
      </c>
      <c r="C490" s="404">
        <f>IFERROR(__xludf.DUMMYFUNCTION("""COMPUTED_VALUE"""),2.0650629E7)</f>
        <v>20650629</v>
      </c>
      <c r="D490" s="405" t="str">
        <f>IFERROR(__xludf.DUMMYFUNCTION("""COMPUTED_VALUE"""),"Boring, OR, 97009")</f>
        <v>Boring, OR, 97009</v>
      </c>
      <c r="E490" s="406" t="str">
        <f>IFERROR(__xludf.DUMMYFUNCTION("""COMPUTED_VALUE"""),"Del Mar, CA, 92014")</f>
        <v>Del Mar, CA, 92014</v>
      </c>
      <c r="F490" s="414">
        <f>IFERROR(__xludf.DUMMYFUNCTION("""COMPUTED_VALUE"""),2000.0)</f>
        <v>2000</v>
      </c>
      <c r="G490" s="413">
        <v>0.88</v>
      </c>
      <c r="H490" s="414">
        <f t="shared" si="24"/>
        <v>1760</v>
      </c>
      <c r="I490" s="376"/>
      <c r="J490" s="418">
        <f>IFERROR(__xludf.DUMMYFUNCTION("""COMPUTED_VALUE"""),45980.0)</f>
        <v>45980</v>
      </c>
      <c r="K490" s="411">
        <f>IFERROR(__xludf.DUMMYFUNCTION("""COMPUTED_VALUE"""),2.0650629E7)</f>
        <v>20650629</v>
      </c>
      <c r="L490" s="411" t="str">
        <f>IFERROR(__xludf.DUMMYFUNCTION("""COMPUTED_VALUE"""),"Boring, OR, 97009")</f>
        <v>Boring, OR, 97009</v>
      </c>
      <c r="M490" s="411" t="str">
        <f>IFERROR(__xludf.DUMMYFUNCTION("""COMPUTED_VALUE"""),"Del Mar, CA, 92014")</f>
        <v>Del Mar, CA, 92014</v>
      </c>
      <c r="N490" s="416">
        <f>IFERROR(__xludf.DUMMYFUNCTION("""COMPUTED_VALUE"""),1081.0)</f>
        <v>1081</v>
      </c>
      <c r="O490" s="408">
        <v>0.65</v>
      </c>
      <c r="P490" s="414">
        <f t="shared" si="25"/>
        <v>702.65</v>
      </c>
      <c r="Q490" s="378"/>
      <c r="R490" s="378"/>
      <c r="S490" s="378"/>
      <c r="T490" s="378"/>
      <c r="U490" s="378"/>
      <c r="V490" s="378"/>
      <c r="W490" s="378"/>
      <c r="X490" s="378"/>
      <c r="Y490" s="378"/>
      <c r="Z490" s="378"/>
      <c r="AA490" s="378"/>
      <c r="AB490" s="378"/>
      <c r="AC490" s="378"/>
      <c r="AD490" s="378"/>
      <c r="AE490" s="378"/>
      <c r="AF490" s="378"/>
      <c r="AG490" s="378"/>
    </row>
    <row r="491">
      <c r="A491" s="378"/>
      <c r="B491" s="499">
        <f>IFERROR(__xludf.DUMMYFUNCTION("""COMPUTED_VALUE"""),45981.0)</f>
        <v>45981</v>
      </c>
      <c r="C491" s="421">
        <f>IFERROR(__xludf.DUMMYFUNCTION("""COMPUTED_VALUE"""),2.0648932E7)</f>
        <v>20648932</v>
      </c>
      <c r="D491" s="422" t="str">
        <f>IFERROR(__xludf.DUMMYFUNCTION("""COMPUTED_VALUE"""),"Verdemont, CA, 92407")</f>
        <v>Verdemont, CA, 92407</v>
      </c>
      <c r="E491" s="423" t="str">
        <f>IFERROR(__xludf.DUMMYFUNCTION("""COMPUTED_VALUE"""),"Mount Holly, NJ, 08060")</f>
        <v>Mount Holly, NJ, 08060</v>
      </c>
      <c r="F491" s="500">
        <f>IFERROR(__xludf.DUMMYFUNCTION("""COMPUTED_VALUE"""),5793.0)</f>
        <v>5793</v>
      </c>
      <c r="G491" s="413">
        <v>0.88</v>
      </c>
      <c r="H491" s="414">
        <f t="shared" si="24"/>
        <v>5097.84</v>
      </c>
      <c r="I491" s="376"/>
      <c r="J491" s="545">
        <f>IFERROR(__xludf.DUMMYFUNCTION("""COMPUTED_VALUE"""),45981.0)</f>
        <v>45981</v>
      </c>
      <c r="K491" s="421">
        <f>IFERROR(__xludf.DUMMYFUNCTION("""COMPUTED_VALUE"""),2.0648932E7)</f>
        <v>20648932</v>
      </c>
      <c r="L491" s="422" t="str">
        <f>IFERROR(__xludf.DUMMYFUNCTION("""COMPUTED_VALUE"""),"Verdemont, CA, 92407")</f>
        <v>Verdemont, CA, 92407</v>
      </c>
      <c r="M491" s="423" t="str">
        <f>IFERROR(__xludf.DUMMYFUNCTION("""COMPUTED_VALUE"""),"Mount Holly, NJ, 08060")</f>
        <v>Mount Holly, NJ, 08060</v>
      </c>
      <c r="N491" s="546">
        <f>IFERROR(__xludf.DUMMYFUNCTION("""COMPUTED_VALUE"""),2807.0)</f>
        <v>2807</v>
      </c>
      <c r="O491" s="408">
        <v>0.65</v>
      </c>
      <c r="P491" s="414">
        <f t="shared" si="25"/>
        <v>1824.55</v>
      </c>
      <c r="Q491" s="378"/>
      <c r="R491" s="378"/>
      <c r="S491" s="378"/>
      <c r="T491" s="378"/>
      <c r="U491" s="378"/>
      <c r="V491" s="378"/>
      <c r="W491" s="378"/>
      <c r="X491" s="378"/>
      <c r="Y491" s="378"/>
      <c r="Z491" s="378"/>
      <c r="AA491" s="378"/>
      <c r="AB491" s="378"/>
      <c r="AC491" s="378"/>
      <c r="AD491" s="378"/>
      <c r="AE491" s="378"/>
      <c r="AF491" s="378"/>
      <c r="AG491" s="378"/>
    </row>
    <row r="492">
      <c r="A492" s="378"/>
      <c r="B492" s="420"/>
      <c r="C492" s="421"/>
      <c r="D492" s="422"/>
      <c r="E492" s="423"/>
      <c r="F492" s="421"/>
      <c r="G492" s="413"/>
      <c r="H492" s="414"/>
      <c r="I492" s="376"/>
      <c r="J492" s="424"/>
      <c r="K492" s="421"/>
      <c r="L492" s="422"/>
      <c r="M492" s="423"/>
      <c r="N492" s="425"/>
      <c r="O492" s="408">
        <v>0.65</v>
      </c>
      <c r="P492" s="414">
        <f t="shared" si="25"/>
        <v>0</v>
      </c>
      <c r="Q492" s="378"/>
      <c r="R492" s="378"/>
      <c r="S492" s="378"/>
      <c r="T492" s="378"/>
      <c r="U492" s="378"/>
      <c r="V492" s="378"/>
      <c r="W492" s="378"/>
      <c r="X492" s="378"/>
      <c r="Y492" s="378"/>
      <c r="Z492" s="378"/>
      <c r="AA492" s="378"/>
      <c r="AB492" s="378"/>
      <c r="AC492" s="378"/>
      <c r="AD492" s="378"/>
      <c r="AE492" s="378"/>
      <c r="AF492" s="378"/>
      <c r="AG492" s="378"/>
    </row>
    <row r="493">
      <c r="A493" s="378"/>
      <c r="B493" s="420"/>
      <c r="C493" s="421"/>
      <c r="D493" s="422"/>
      <c r="E493" s="423"/>
      <c r="F493" s="421"/>
      <c r="G493" s="413"/>
      <c r="H493" s="414"/>
      <c r="I493" s="376"/>
      <c r="J493" s="424"/>
      <c r="K493" s="421"/>
      <c r="L493" s="422"/>
      <c r="M493" s="423"/>
      <c r="N493" s="425"/>
      <c r="O493" s="408"/>
      <c r="P493" s="414"/>
      <c r="Q493" s="378"/>
      <c r="R493" s="378"/>
      <c r="S493" s="378"/>
      <c r="T493" s="378"/>
      <c r="U493" s="378"/>
      <c r="V493" s="378"/>
      <c r="W493" s="378"/>
      <c r="X493" s="378"/>
      <c r="Y493" s="378"/>
      <c r="Z493" s="378"/>
      <c r="AA493" s="378"/>
      <c r="AB493" s="378"/>
      <c r="AC493" s="378"/>
      <c r="AD493" s="378"/>
      <c r="AE493" s="378"/>
      <c r="AF493" s="378"/>
      <c r="AG493" s="378"/>
    </row>
    <row r="494">
      <c r="A494" s="378"/>
      <c r="B494" s="420"/>
      <c r="C494" s="421"/>
      <c r="D494" s="422"/>
      <c r="E494" s="423"/>
      <c r="F494" s="421"/>
      <c r="G494" s="413"/>
      <c r="H494" s="414"/>
      <c r="I494" s="376"/>
      <c r="J494" s="424"/>
      <c r="K494" s="421"/>
      <c r="L494" s="422"/>
      <c r="M494" s="423"/>
      <c r="N494" s="425"/>
      <c r="O494" s="408"/>
      <c r="P494" s="414"/>
      <c r="Q494" s="378"/>
      <c r="R494" s="378"/>
      <c r="S494" s="378"/>
      <c r="T494" s="378"/>
      <c r="U494" s="378"/>
      <c r="V494" s="378"/>
      <c r="W494" s="378"/>
      <c r="X494" s="378"/>
      <c r="Y494" s="378"/>
      <c r="Z494" s="378"/>
      <c r="AA494" s="378"/>
      <c r="AB494" s="378"/>
      <c r="AC494" s="378"/>
      <c r="AD494" s="378"/>
      <c r="AE494" s="378"/>
      <c r="AF494" s="378"/>
      <c r="AG494" s="378"/>
    </row>
    <row r="495">
      <c r="A495" s="378"/>
      <c r="B495" s="403" t="s">
        <v>711</v>
      </c>
      <c r="C495" s="224"/>
      <c r="D495" s="224"/>
      <c r="E495" s="222"/>
      <c r="F495" s="414">
        <f>SUM(F489:F494)</f>
        <v>9993</v>
      </c>
      <c r="G495" s="421"/>
      <c r="H495" s="414">
        <f>SUM(H489:H494)</f>
        <v>8793.84</v>
      </c>
      <c r="I495" s="376"/>
      <c r="J495" s="407" t="s">
        <v>711</v>
      </c>
      <c r="K495" s="224"/>
      <c r="L495" s="224"/>
      <c r="M495" s="222"/>
      <c r="N495" s="426">
        <f>SUM(N489:N494)</f>
        <v>5038</v>
      </c>
      <c r="O495" s="427"/>
      <c r="P495" s="414">
        <f>SUM(P489:P494)</f>
        <v>3274.7</v>
      </c>
      <c r="Q495" s="378"/>
      <c r="R495" s="378"/>
      <c r="S495" s="378"/>
      <c r="T495" s="378"/>
      <c r="U495" s="378"/>
      <c r="V495" s="378"/>
      <c r="W495" s="378"/>
      <c r="X495" s="378"/>
      <c r="Y495" s="378"/>
      <c r="Z495" s="378"/>
      <c r="AA495" s="378"/>
      <c r="AB495" s="378"/>
      <c r="AC495" s="378"/>
      <c r="AD495" s="378"/>
      <c r="AE495" s="378"/>
      <c r="AF495" s="378"/>
      <c r="AG495" s="378"/>
    </row>
    <row r="496">
      <c r="A496" s="378"/>
      <c r="B496" s="428"/>
      <c r="C496" s="419"/>
      <c r="D496" s="419"/>
      <c r="E496" s="419"/>
      <c r="F496" s="419"/>
      <c r="G496" s="419"/>
      <c r="H496" s="429"/>
      <c r="I496" s="376"/>
      <c r="J496" s="430"/>
      <c r="K496" s="419"/>
      <c r="L496" s="419"/>
      <c r="M496" s="419"/>
      <c r="N496" s="431"/>
      <c r="O496" s="432"/>
      <c r="P496" s="429"/>
      <c r="Q496" s="378"/>
      <c r="R496" s="378"/>
      <c r="S496" s="378"/>
      <c r="T496" s="378"/>
      <c r="U496" s="378"/>
      <c r="V496" s="378"/>
      <c r="W496" s="378"/>
      <c r="X496" s="378"/>
      <c r="Y496" s="378"/>
      <c r="Z496" s="378"/>
      <c r="AA496" s="378"/>
      <c r="AB496" s="378"/>
      <c r="AC496" s="378"/>
      <c r="AD496" s="378"/>
      <c r="AE496" s="378"/>
      <c r="AF496" s="378"/>
      <c r="AG496" s="378"/>
    </row>
    <row r="497">
      <c r="A497" s="378"/>
      <c r="B497" s="433" t="s">
        <v>712</v>
      </c>
      <c r="C497" s="434"/>
      <c r="D497" s="435"/>
      <c r="E497" s="419"/>
      <c r="F497" s="419"/>
      <c r="G497" s="419"/>
      <c r="H497" s="429"/>
      <c r="I497" s="376"/>
      <c r="J497" s="437" t="s">
        <v>712</v>
      </c>
      <c r="K497" s="434"/>
      <c r="L497" s="435"/>
      <c r="M497" s="419"/>
      <c r="N497" s="431"/>
      <c r="O497" s="432"/>
      <c r="P497" s="429"/>
      <c r="Q497" s="378"/>
      <c r="R497" s="378"/>
      <c r="S497" s="378"/>
      <c r="T497" s="378"/>
      <c r="U497" s="378"/>
      <c r="V497" s="378"/>
      <c r="W497" s="378"/>
      <c r="X497" s="378"/>
      <c r="Y497" s="378"/>
      <c r="Z497" s="378"/>
      <c r="AA497" s="378"/>
      <c r="AB497" s="378"/>
      <c r="AC497" s="378"/>
      <c r="AD497" s="378"/>
      <c r="AE497" s="378"/>
      <c r="AF497" s="378"/>
      <c r="AG497" s="378"/>
    </row>
    <row r="498">
      <c r="A498" s="378"/>
      <c r="B498" s="438" t="s">
        <v>713</v>
      </c>
      <c r="C498" s="439"/>
      <c r="D498" s="440"/>
      <c r="E498" s="419"/>
      <c r="F498" s="419"/>
      <c r="G498" s="419"/>
      <c r="H498" s="429"/>
      <c r="I498" s="376"/>
      <c r="J498" s="443" t="s">
        <v>713</v>
      </c>
      <c r="K498" s="439"/>
      <c r="L498" s="440"/>
      <c r="M498" s="419"/>
      <c r="N498" s="431"/>
      <c r="O498" s="432"/>
      <c r="P498" s="429"/>
      <c r="Q498" s="378"/>
      <c r="R498" s="378"/>
      <c r="S498" s="378"/>
      <c r="T498" s="378"/>
      <c r="U498" s="378"/>
      <c r="V498" s="378"/>
      <c r="W498" s="378"/>
      <c r="X498" s="378"/>
      <c r="Y498" s="378"/>
      <c r="Z498" s="378"/>
      <c r="AA498" s="378"/>
      <c r="AB498" s="378"/>
      <c r="AC498" s="378"/>
      <c r="AD498" s="378"/>
      <c r="AE498" s="378"/>
      <c r="AF498" s="378"/>
      <c r="AG498" s="378"/>
    </row>
    <row r="499">
      <c r="A499" s="378"/>
      <c r="B499" s="444"/>
      <c r="C499" s="434"/>
      <c r="D499" s="435"/>
      <c r="E499" s="419"/>
      <c r="F499" s="463"/>
      <c r="G499" s="463"/>
      <c r="H499" s="448"/>
      <c r="I499" s="376"/>
      <c r="J499" s="445"/>
      <c r="K499" s="434"/>
      <c r="L499" s="435"/>
      <c r="M499" s="419"/>
      <c r="N499" s="446"/>
      <c r="O499" s="447"/>
      <c r="P499" s="448"/>
      <c r="Q499" s="378"/>
      <c r="R499" s="378"/>
      <c r="S499" s="378"/>
      <c r="T499" s="378"/>
      <c r="U499" s="378"/>
      <c r="V499" s="378"/>
      <c r="W499" s="378"/>
      <c r="X499" s="378"/>
      <c r="Y499" s="378"/>
      <c r="Z499" s="378"/>
      <c r="AA499" s="378"/>
      <c r="AB499" s="378"/>
      <c r="AC499" s="378"/>
      <c r="AD499" s="378"/>
      <c r="AE499" s="378"/>
      <c r="AF499" s="378"/>
      <c r="AG499" s="378"/>
    </row>
    <row r="500">
      <c r="A500" s="378"/>
      <c r="B500" s="438" t="s">
        <v>714</v>
      </c>
      <c r="C500" s="439">
        <f>SUM(C498:C499)</f>
        <v>0</v>
      </c>
      <c r="D500" s="440"/>
      <c r="E500" s="419"/>
      <c r="F500" s="463"/>
      <c r="G500" s="463"/>
      <c r="H500" s="448"/>
      <c r="I500" s="376"/>
      <c r="J500" s="443" t="s">
        <v>714</v>
      </c>
      <c r="K500" s="439">
        <f>SUM(K498:K499)</f>
        <v>0</v>
      </c>
      <c r="L500" s="440"/>
      <c r="M500" s="419"/>
      <c r="N500" s="446"/>
      <c r="O500" s="447"/>
      <c r="P500" s="448"/>
      <c r="Q500" s="378"/>
      <c r="R500" s="378"/>
      <c r="S500" s="378"/>
      <c r="T500" s="378"/>
      <c r="U500" s="378"/>
      <c r="V500" s="378"/>
      <c r="W500" s="378"/>
      <c r="X500" s="378"/>
      <c r="Y500" s="378"/>
      <c r="Z500" s="378"/>
      <c r="AA500" s="378"/>
      <c r="AB500" s="378"/>
      <c r="AC500" s="378"/>
      <c r="AD500" s="378"/>
      <c r="AE500" s="378"/>
      <c r="AF500" s="378"/>
      <c r="AG500" s="378"/>
    </row>
    <row r="501">
      <c r="A501" s="378"/>
      <c r="B501" s="450"/>
      <c r="C501" s="451"/>
      <c r="D501" s="419"/>
      <c r="E501" s="419"/>
      <c r="F501" s="463"/>
      <c r="G501" s="463"/>
      <c r="H501" s="448"/>
      <c r="I501" s="376"/>
      <c r="J501" s="535"/>
      <c r="K501" s="451"/>
      <c r="L501" s="419"/>
      <c r="M501" s="419"/>
      <c r="N501" s="446"/>
      <c r="O501" s="447"/>
      <c r="P501" s="448"/>
      <c r="Q501" s="378"/>
      <c r="R501" s="378"/>
      <c r="S501" s="378"/>
      <c r="T501" s="378"/>
      <c r="U501" s="378"/>
      <c r="V501" s="378"/>
      <c r="W501" s="378"/>
      <c r="X501" s="378"/>
      <c r="Y501" s="378"/>
      <c r="Z501" s="378"/>
      <c r="AA501" s="378"/>
      <c r="AB501" s="378"/>
      <c r="AC501" s="378"/>
      <c r="AD501" s="378"/>
      <c r="AE501" s="378"/>
      <c r="AF501" s="378"/>
      <c r="AG501" s="378"/>
    </row>
    <row r="502">
      <c r="A502" s="378"/>
      <c r="B502" s="454" t="s">
        <v>715</v>
      </c>
      <c r="C502" s="455"/>
      <c r="D502" s="435"/>
      <c r="E502" s="419"/>
      <c r="F502" s="463"/>
      <c r="G502" s="463"/>
      <c r="H502" s="448"/>
      <c r="I502" s="376"/>
      <c r="J502" s="458" t="s">
        <v>715</v>
      </c>
      <c r="K502" s="455"/>
      <c r="L502" s="435"/>
      <c r="M502" s="419"/>
      <c r="N502" s="446"/>
      <c r="O502" s="447"/>
      <c r="P502" s="448"/>
      <c r="Q502" s="378"/>
      <c r="R502" s="378"/>
      <c r="S502" s="378"/>
      <c r="T502" s="378"/>
      <c r="U502" s="378"/>
      <c r="V502" s="378"/>
      <c r="W502" s="378"/>
      <c r="X502" s="378"/>
      <c r="Y502" s="378"/>
      <c r="Z502" s="378"/>
      <c r="AA502" s="378"/>
      <c r="AB502" s="378"/>
      <c r="AC502" s="378"/>
      <c r="AD502" s="378"/>
      <c r="AE502" s="378"/>
      <c r="AF502" s="378"/>
      <c r="AG502" s="378"/>
    </row>
    <row r="503">
      <c r="A503" s="378"/>
      <c r="B503" s="459" t="s">
        <v>716</v>
      </c>
      <c r="C503" s="460">
        <v>150.0</v>
      </c>
      <c r="D503" s="440"/>
      <c r="E503" s="419"/>
      <c r="F503" s="463"/>
      <c r="G503" s="463"/>
      <c r="H503" s="448"/>
      <c r="I503" s="376"/>
      <c r="J503" s="459" t="s">
        <v>879</v>
      </c>
      <c r="K503" s="460">
        <f>3834/13</f>
        <v>294.9230769</v>
      </c>
      <c r="L503" s="440"/>
      <c r="M503" s="419"/>
      <c r="N503" s="446"/>
      <c r="O503" s="447"/>
      <c r="P503" s="448"/>
      <c r="Q503" s="378"/>
      <c r="R503" s="378"/>
      <c r="S503" s="378"/>
      <c r="T503" s="378"/>
      <c r="U503" s="378"/>
      <c r="V503" s="378"/>
      <c r="W503" s="378"/>
      <c r="X503" s="378"/>
      <c r="Y503" s="378"/>
      <c r="Z503" s="378"/>
      <c r="AA503" s="378"/>
      <c r="AB503" s="378"/>
      <c r="AC503" s="378"/>
      <c r="AD503" s="378"/>
      <c r="AE503" s="378"/>
      <c r="AF503" s="378"/>
      <c r="AG503" s="378"/>
    </row>
    <row r="504">
      <c r="A504" s="378"/>
      <c r="B504" s="459" t="s">
        <v>717</v>
      </c>
      <c r="C504" s="460">
        <v>400.0</v>
      </c>
      <c r="D504" s="440"/>
      <c r="E504" s="419"/>
      <c r="F504" s="463"/>
      <c r="G504" s="463"/>
      <c r="H504" s="448"/>
      <c r="I504" s="376"/>
      <c r="J504" s="459" t="s">
        <v>880</v>
      </c>
      <c r="K504" s="460">
        <f>1533.16/3</f>
        <v>511.0533333</v>
      </c>
      <c r="L504" s="440"/>
      <c r="M504" s="419"/>
      <c r="N504" s="446"/>
      <c r="O504" s="447"/>
      <c r="P504" s="448"/>
      <c r="Q504" s="378"/>
      <c r="R504" s="378"/>
      <c r="S504" s="378"/>
      <c r="T504" s="378"/>
      <c r="U504" s="378"/>
      <c r="V504" s="378"/>
      <c r="W504" s="378"/>
      <c r="X504" s="378"/>
      <c r="Y504" s="378"/>
      <c r="Z504" s="378"/>
      <c r="AA504" s="378"/>
      <c r="AB504" s="378"/>
      <c r="AC504" s="378"/>
      <c r="AD504" s="378"/>
      <c r="AE504" s="378"/>
      <c r="AF504" s="378"/>
      <c r="AG504" s="378"/>
    </row>
    <row r="505">
      <c r="A505" s="378"/>
      <c r="B505" s="459" t="s">
        <v>718</v>
      </c>
      <c r="C505" s="460">
        <v>200.0</v>
      </c>
      <c r="D505" s="440"/>
      <c r="E505" s="419"/>
      <c r="F505" s="463"/>
      <c r="G505" s="463"/>
      <c r="H505" s="448"/>
      <c r="I505" s="376"/>
      <c r="J505" s="462"/>
      <c r="K505" s="460"/>
      <c r="L505" s="440"/>
      <c r="M505" s="419"/>
      <c r="N505" s="446"/>
      <c r="O505" s="447"/>
      <c r="P505" s="448"/>
      <c r="Q505" s="378"/>
      <c r="R505" s="378"/>
      <c r="S505" s="378"/>
      <c r="T505" s="378"/>
      <c r="U505" s="378"/>
      <c r="V505" s="378"/>
      <c r="W505" s="378"/>
      <c r="X505" s="378"/>
      <c r="Y505" s="378"/>
      <c r="Z505" s="378"/>
      <c r="AA505" s="378"/>
      <c r="AB505" s="378"/>
      <c r="AC505" s="378"/>
      <c r="AD505" s="378"/>
      <c r="AE505" s="378"/>
      <c r="AF505" s="378"/>
      <c r="AG505" s="378"/>
    </row>
    <row r="506">
      <c r="A506" s="378"/>
      <c r="B506" s="459" t="s">
        <v>656</v>
      </c>
      <c r="C506" s="460" t="str">
        <f>IFERROR(__xludf.DUMMYFUNCTION("FILTER(D1045:D1073,C1045:C1073=F487)"),"#N/A")</f>
        <v>#N/A</v>
      </c>
      <c r="D506" s="440"/>
      <c r="E506" s="419"/>
      <c r="F506" s="463"/>
      <c r="G506" s="463"/>
      <c r="H506" s="448"/>
      <c r="I506" s="376"/>
      <c r="J506" s="462"/>
      <c r="K506" s="460"/>
      <c r="L506" s="440"/>
      <c r="M506" s="419"/>
      <c r="N506" s="446"/>
      <c r="O506" s="447"/>
      <c r="P506" s="448"/>
      <c r="Q506" s="378"/>
      <c r="R506" s="378"/>
      <c r="S506" s="378"/>
      <c r="T506" s="378"/>
      <c r="U506" s="378"/>
      <c r="V506" s="378"/>
      <c r="W506" s="378"/>
      <c r="X506" s="378"/>
      <c r="Y506" s="378"/>
      <c r="Z506" s="378"/>
      <c r="AA506" s="378"/>
      <c r="AB506" s="378"/>
      <c r="AC506" s="378"/>
      <c r="AD506" s="378"/>
      <c r="AE506" s="378"/>
      <c r="AF506" s="378"/>
      <c r="AG506" s="378"/>
    </row>
    <row r="507">
      <c r="A507" s="378"/>
      <c r="B507" s="454" t="s">
        <v>879</v>
      </c>
      <c r="C507" s="537">
        <v>294.92</v>
      </c>
      <c r="D507" s="435"/>
      <c r="E507" s="419"/>
      <c r="F507" s="561" t="s">
        <v>881</v>
      </c>
      <c r="G507" s="466" t="str">
        <f>H495+C500-C512</f>
        <v>#N/A</v>
      </c>
      <c r="H507" s="211"/>
      <c r="I507" s="376"/>
      <c r="J507" s="467"/>
      <c r="K507" s="455"/>
      <c r="L507" s="435"/>
      <c r="M507" s="419"/>
      <c r="N507" s="468" t="s">
        <v>842</v>
      </c>
      <c r="O507" s="539">
        <f>P495+K500-K512</f>
        <v>2468.72359</v>
      </c>
      <c r="P507" s="211"/>
      <c r="Q507" s="378"/>
      <c r="R507" s="378"/>
      <c r="S507" s="378"/>
      <c r="T507" s="378"/>
      <c r="U507" s="378"/>
      <c r="V507" s="378"/>
      <c r="W507" s="378"/>
      <c r="X507" s="378"/>
      <c r="Y507" s="378"/>
      <c r="Z507" s="378"/>
      <c r="AA507" s="378"/>
      <c r="AB507" s="378"/>
      <c r="AC507" s="378"/>
      <c r="AD507" s="378"/>
      <c r="AE507" s="378"/>
      <c r="AF507" s="378"/>
      <c r="AG507" s="378"/>
    </row>
    <row r="508">
      <c r="A508" s="378"/>
      <c r="B508" s="454" t="s">
        <v>882</v>
      </c>
      <c r="C508" s="562">
        <v>116.58</v>
      </c>
      <c r="D508" s="435"/>
      <c r="E508" s="419"/>
      <c r="F508" s="55"/>
      <c r="G508" s="278"/>
      <c r="H508" s="56"/>
      <c r="I508" s="376"/>
      <c r="J508" s="467"/>
      <c r="K508" s="455"/>
      <c r="L508" s="435"/>
      <c r="M508" s="419"/>
      <c r="N508" s="469" t="s">
        <v>854</v>
      </c>
      <c r="O508" s="278"/>
      <c r="P508" s="56"/>
      <c r="Q508" s="378"/>
      <c r="R508" s="378"/>
      <c r="S508" s="378"/>
      <c r="T508" s="378"/>
      <c r="U508" s="378"/>
      <c r="V508" s="378"/>
      <c r="W508" s="378"/>
      <c r="X508" s="378"/>
      <c r="Y508" s="378"/>
      <c r="Z508" s="378"/>
      <c r="AA508" s="378"/>
      <c r="AB508" s="378"/>
      <c r="AC508" s="378"/>
      <c r="AD508" s="378"/>
      <c r="AE508" s="378"/>
      <c r="AF508" s="378"/>
      <c r="AG508" s="378"/>
    </row>
    <row r="509">
      <c r="A509" s="378"/>
      <c r="B509" s="464"/>
      <c r="C509" s="455"/>
      <c r="D509" s="435"/>
      <c r="E509" s="419"/>
      <c r="F509" s="60"/>
      <c r="G509" s="215"/>
      <c r="H509" s="64"/>
      <c r="I509" s="376"/>
      <c r="J509" s="467"/>
      <c r="K509" s="455"/>
      <c r="L509" s="435"/>
      <c r="M509" s="419"/>
      <c r="N509" s="470"/>
      <c r="O509" s="215"/>
      <c r="P509" s="64"/>
      <c r="Q509" s="378"/>
      <c r="R509" s="378"/>
      <c r="S509" s="378"/>
      <c r="T509" s="378"/>
      <c r="U509" s="378"/>
      <c r="V509" s="378"/>
      <c r="W509" s="378"/>
      <c r="X509" s="378"/>
      <c r="Y509" s="378"/>
      <c r="Z509" s="378"/>
      <c r="AA509" s="378"/>
      <c r="AB509" s="378"/>
      <c r="AC509" s="378"/>
      <c r="AD509" s="378"/>
      <c r="AE509" s="378"/>
      <c r="AF509" s="378"/>
      <c r="AG509" s="378"/>
    </row>
    <row r="510">
      <c r="A510" s="378"/>
      <c r="B510" s="464"/>
      <c r="C510" s="455"/>
      <c r="D510" s="435"/>
      <c r="E510" s="419"/>
      <c r="F510" s="419"/>
      <c r="G510" s="419"/>
      <c r="H510" s="429"/>
      <c r="I510" s="376"/>
      <c r="J510" s="467"/>
      <c r="K510" s="455"/>
      <c r="L510" s="435"/>
      <c r="M510" s="419"/>
      <c r="N510" s="431"/>
      <c r="O510" s="432"/>
      <c r="P510" s="429"/>
      <c r="Q510" s="378"/>
      <c r="R510" s="378"/>
      <c r="S510" s="378"/>
      <c r="T510" s="378"/>
      <c r="U510" s="378"/>
      <c r="V510" s="378"/>
      <c r="W510" s="378"/>
      <c r="X510" s="378"/>
      <c r="Y510" s="378"/>
      <c r="Z510" s="378"/>
      <c r="AA510" s="378"/>
      <c r="AB510" s="378"/>
      <c r="AC510" s="378"/>
      <c r="AD510" s="378"/>
      <c r="AE510" s="378"/>
      <c r="AF510" s="378"/>
      <c r="AG510" s="378"/>
    </row>
    <row r="511">
      <c r="A511" s="378"/>
      <c r="B511" s="464"/>
      <c r="C511" s="455"/>
      <c r="D511" s="435"/>
      <c r="E511" s="419"/>
      <c r="F511" s="419"/>
      <c r="G511" s="419"/>
      <c r="H511" s="429"/>
      <c r="I511" s="376"/>
      <c r="J511" s="467"/>
      <c r="K511" s="455"/>
      <c r="L511" s="435"/>
      <c r="M511" s="419"/>
      <c r="N511" s="431"/>
      <c r="O511" s="432"/>
      <c r="P511" s="429"/>
      <c r="Q511" s="378"/>
      <c r="R511" s="378"/>
      <c r="S511" s="378"/>
      <c r="T511" s="378"/>
      <c r="U511" s="378"/>
      <c r="V511" s="378"/>
      <c r="W511" s="378"/>
      <c r="X511" s="378"/>
      <c r="Y511" s="378"/>
      <c r="Z511" s="378"/>
      <c r="AA511" s="378"/>
      <c r="AB511" s="378"/>
      <c r="AC511" s="378"/>
      <c r="AD511" s="378"/>
      <c r="AE511" s="378"/>
      <c r="AF511" s="378"/>
      <c r="AG511" s="378"/>
    </row>
    <row r="512">
      <c r="A512" s="378"/>
      <c r="B512" s="454" t="s">
        <v>721</v>
      </c>
      <c r="C512" s="460" t="str">
        <f>SUM(C503:C511)</f>
        <v>#N/A</v>
      </c>
      <c r="D512" s="440"/>
      <c r="E512" s="419"/>
      <c r="F512" s="419"/>
      <c r="G512" s="419"/>
      <c r="H512" s="429"/>
      <c r="I512" s="376"/>
      <c r="J512" s="458" t="s">
        <v>721</v>
      </c>
      <c r="K512" s="460">
        <f>SUM(K503:K511)</f>
        <v>805.9764103</v>
      </c>
      <c r="L512" s="440"/>
      <c r="M512" s="419"/>
      <c r="N512" s="431"/>
      <c r="O512" s="432"/>
      <c r="P512" s="429"/>
      <c r="Q512" s="378"/>
      <c r="R512" s="378"/>
      <c r="S512" s="378"/>
      <c r="T512" s="378"/>
      <c r="U512" s="378"/>
      <c r="V512" s="378"/>
      <c r="W512" s="378"/>
      <c r="X512" s="378"/>
      <c r="Y512" s="378"/>
      <c r="Z512" s="378"/>
      <c r="AA512" s="378"/>
      <c r="AB512" s="378"/>
      <c r="AC512" s="378"/>
      <c r="AD512" s="378"/>
      <c r="AE512" s="378"/>
      <c r="AF512" s="378"/>
      <c r="AG512" s="378"/>
    </row>
    <row r="513">
      <c r="A513" s="378"/>
      <c r="B513" s="471"/>
      <c r="C513" s="472"/>
      <c r="D513" s="472"/>
      <c r="E513" s="472"/>
      <c r="F513" s="472"/>
      <c r="G513" s="472"/>
      <c r="H513" s="473"/>
      <c r="I513" s="376"/>
      <c r="J513" s="474"/>
      <c r="K513" s="472"/>
      <c r="L513" s="472"/>
      <c r="M513" s="472"/>
      <c r="N513" s="475"/>
      <c r="O513" s="476"/>
      <c r="P513" s="473"/>
      <c r="Q513" s="378"/>
      <c r="R513" s="378"/>
      <c r="S513" s="378"/>
      <c r="T513" s="378"/>
      <c r="U513" s="378"/>
      <c r="V513" s="378"/>
      <c r="W513" s="378"/>
      <c r="X513" s="378"/>
      <c r="Y513" s="378"/>
      <c r="Z513" s="378"/>
      <c r="AA513" s="378"/>
      <c r="AB513" s="378"/>
      <c r="AC513" s="378"/>
      <c r="AD513" s="378"/>
      <c r="AE513" s="378"/>
      <c r="AF513" s="378"/>
      <c r="AG513" s="378"/>
    </row>
    <row r="514">
      <c r="A514" s="378"/>
      <c r="B514" s="550"/>
      <c r="C514" s="463"/>
      <c r="D514" s="463"/>
      <c r="E514" s="463"/>
      <c r="F514" s="463"/>
      <c r="G514" s="463"/>
      <c r="H514" s="463"/>
      <c r="I514" s="376"/>
      <c r="J514" s="377"/>
      <c r="K514" s="378"/>
      <c r="L514" s="378"/>
      <c r="M514" s="378"/>
      <c r="N514" s="379"/>
      <c r="O514" s="380"/>
      <c r="P514" s="378"/>
      <c r="Q514" s="378"/>
      <c r="R514" s="378"/>
      <c r="S514" s="378"/>
      <c r="T514" s="378"/>
      <c r="U514" s="378"/>
      <c r="V514" s="378"/>
      <c r="W514" s="378"/>
      <c r="X514" s="378"/>
      <c r="Y514" s="378"/>
      <c r="Z514" s="378"/>
      <c r="AA514" s="378"/>
      <c r="AB514" s="378"/>
      <c r="AC514" s="378"/>
      <c r="AD514" s="378"/>
      <c r="AE514" s="378"/>
      <c r="AF514" s="378"/>
      <c r="AG514" s="378"/>
    </row>
    <row r="515">
      <c r="A515" s="378"/>
      <c r="B515" s="550"/>
      <c r="C515" s="463"/>
      <c r="D515" s="463"/>
      <c r="E515" s="463"/>
      <c r="F515" s="463"/>
      <c r="G515" s="463"/>
      <c r="H515" s="463"/>
      <c r="I515" s="376"/>
      <c r="J515" s="377"/>
      <c r="K515" s="378"/>
      <c r="L515" s="378"/>
      <c r="M515" s="378"/>
      <c r="N515" s="379"/>
      <c r="O515" s="380"/>
      <c r="P515" s="378"/>
      <c r="Q515" s="378"/>
      <c r="R515" s="378"/>
      <c r="S515" s="378"/>
      <c r="T515" s="378"/>
      <c r="U515" s="378"/>
      <c r="V515" s="378"/>
      <c r="W515" s="378"/>
      <c r="X515" s="378"/>
      <c r="Y515" s="378"/>
      <c r="Z515" s="378"/>
      <c r="AA515" s="378"/>
      <c r="AB515" s="378"/>
      <c r="AC515" s="378"/>
      <c r="AD515" s="378"/>
      <c r="AE515" s="378"/>
      <c r="AF515" s="378"/>
      <c r="AG515" s="378"/>
    </row>
    <row r="516">
      <c r="A516" s="378"/>
      <c r="B516" s="382"/>
      <c r="C516" s="388"/>
      <c r="D516" s="560" t="s">
        <v>872</v>
      </c>
      <c r="E516" s="385" t="s">
        <v>700</v>
      </c>
      <c r="F516" s="385" t="str">
        <f>Board!A2</f>
        <v>11.17.25-11.23.25</v>
      </c>
      <c r="G516" s="213"/>
      <c r="H516" s="211"/>
      <c r="I516" s="386">
        <v>15.0</v>
      </c>
      <c r="J516" s="387"/>
      <c r="K516" s="388"/>
      <c r="L516" s="384"/>
      <c r="M516" s="385" t="s">
        <v>700</v>
      </c>
      <c r="N516" s="385" t="str">
        <f>Board!A2</f>
        <v>11.17.25-11.23.25</v>
      </c>
      <c r="O516" s="213"/>
      <c r="P516" s="211"/>
      <c r="Q516" s="378"/>
      <c r="R516" s="389" t="s">
        <v>831</v>
      </c>
      <c r="S516" s="389" t="s">
        <v>652</v>
      </c>
      <c r="T516" s="390" t="s">
        <v>832</v>
      </c>
      <c r="U516" s="391" t="s">
        <v>833</v>
      </c>
      <c r="V516" s="389" t="s">
        <v>655</v>
      </c>
      <c r="W516" s="389" t="s">
        <v>8</v>
      </c>
      <c r="X516" s="389" t="s">
        <v>656</v>
      </c>
      <c r="Y516" s="390" t="s">
        <v>834</v>
      </c>
      <c r="Z516" s="392" t="s">
        <v>835</v>
      </c>
      <c r="AA516" s="390" t="s">
        <v>836</v>
      </c>
      <c r="AB516" s="390" t="s">
        <v>837</v>
      </c>
      <c r="AC516" s="393" t="s">
        <v>716</v>
      </c>
      <c r="AD516" s="393" t="s">
        <v>717</v>
      </c>
      <c r="AE516" s="393" t="s">
        <v>718</v>
      </c>
      <c r="AF516" s="394" t="s">
        <v>838</v>
      </c>
      <c r="AG516" s="394"/>
    </row>
    <row r="517">
      <c r="A517" s="378"/>
      <c r="B517" s="395"/>
      <c r="C517" s="372"/>
      <c r="D517" s="396"/>
      <c r="E517" s="385" t="s">
        <v>702</v>
      </c>
      <c r="F517" s="385" t="s">
        <v>872</v>
      </c>
      <c r="G517" s="213"/>
      <c r="H517" s="211"/>
      <c r="I517" s="376"/>
      <c r="J517" s="397"/>
      <c r="K517" s="372"/>
      <c r="L517" s="396"/>
      <c r="M517" s="385" t="s">
        <v>351</v>
      </c>
      <c r="N517" s="385" t="str">
        <f t="array" ref="N517">XLOOKUP(N518,Board!K:K,Board!J:J)</f>
        <v>ANTOINE EMMANUEL</v>
      </c>
      <c r="O517" s="213"/>
      <c r="P517" s="211"/>
      <c r="Q517" s="378"/>
      <c r="R517" s="398">
        <f>I516</f>
        <v>15</v>
      </c>
      <c r="S517" s="398">
        <f>F518</f>
        <v>3403</v>
      </c>
      <c r="T517" s="399" t="str">
        <f>G538</f>
        <v>#N/A</v>
      </c>
      <c r="U517" s="378" t="str">
        <f>N517</f>
        <v>ANTOINE EMMANUEL</v>
      </c>
      <c r="V517" s="380">
        <f>O538</f>
        <v>3312</v>
      </c>
      <c r="W517" s="399">
        <f>P526</f>
        <v>3312</v>
      </c>
      <c r="X517" s="399" t="str">
        <f>C537</f>
        <v>#N/A</v>
      </c>
      <c r="Y517" s="400">
        <f>N526</f>
        <v>5520</v>
      </c>
      <c r="Z517" s="378" t="str">
        <f>V518-V517</f>
        <v>#N/A</v>
      </c>
      <c r="AA517" s="378"/>
      <c r="AB517" s="378"/>
      <c r="AC517" s="401">
        <f>C534</f>
        <v>150</v>
      </c>
      <c r="AD517" s="401">
        <f>C535</f>
        <v>400</v>
      </c>
      <c r="AE517" s="401">
        <f>C536</f>
        <v>200</v>
      </c>
      <c r="AF517" s="530">
        <f>C538+C539+C540+C541+C542</f>
        <v>1450.54</v>
      </c>
      <c r="AG517" s="398"/>
    </row>
    <row r="518">
      <c r="A518" s="378"/>
      <c r="B518" s="395"/>
      <c r="C518" s="372"/>
      <c r="D518" s="402"/>
      <c r="E518" s="385" t="s">
        <v>703</v>
      </c>
      <c r="F518" s="385">
        <v>3403.0</v>
      </c>
      <c r="G518" s="213"/>
      <c r="H518" s="211"/>
      <c r="I518" s="376"/>
      <c r="J518" s="397"/>
      <c r="K518" s="372"/>
      <c r="L518" s="402"/>
      <c r="M518" s="385" t="s">
        <v>703</v>
      </c>
      <c r="N518" s="385">
        <f>F518</f>
        <v>3403</v>
      </c>
      <c r="O518" s="213"/>
      <c r="P518" s="211"/>
      <c r="Q518" s="378"/>
      <c r="R518" s="378"/>
      <c r="S518" s="378"/>
      <c r="T518" s="378"/>
      <c r="U518" s="378" t="str">
        <f>F517</f>
        <v>US Ela Logistics LLC</v>
      </c>
      <c r="V518" s="399" t="str">
        <f>G538</f>
        <v>#N/A</v>
      </c>
      <c r="W518" s="399">
        <f>H526</f>
        <v>9438</v>
      </c>
      <c r="X518" s="378"/>
      <c r="Y518" s="378"/>
      <c r="Z518" s="378"/>
      <c r="AA518" s="378"/>
      <c r="AB518" s="378"/>
      <c r="AC518" s="378"/>
      <c r="AD518" s="378"/>
      <c r="AE518" s="378"/>
      <c r="AF518" s="378"/>
      <c r="AG518" s="378"/>
    </row>
    <row r="519">
      <c r="A519" s="378"/>
      <c r="B519" s="403" t="s">
        <v>704</v>
      </c>
      <c r="C519" s="404" t="s">
        <v>5</v>
      </c>
      <c r="D519" s="405" t="s">
        <v>6</v>
      </c>
      <c r="E519" s="406" t="s">
        <v>7</v>
      </c>
      <c r="F519" s="404" t="s">
        <v>8</v>
      </c>
      <c r="G519" s="404" t="s">
        <v>706</v>
      </c>
      <c r="H519" s="404" t="s">
        <v>707</v>
      </c>
      <c r="I519" s="376"/>
      <c r="J519" s="407" t="s">
        <v>704</v>
      </c>
      <c r="K519" s="404" t="s">
        <v>5</v>
      </c>
      <c r="L519" s="405" t="s">
        <v>6</v>
      </c>
      <c r="M519" s="406" t="s">
        <v>7</v>
      </c>
      <c r="N519" s="404" t="s">
        <v>591</v>
      </c>
      <c r="O519" s="408" t="s">
        <v>839</v>
      </c>
      <c r="P519" s="404" t="s">
        <v>707</v>
      </c>
      <c r="Q519" s="378"/>
      <c r="R519" s="378"/>
      <c r="S519" s="378"/>
      <c r="T519" s="378"/>
      <c r="U519" s="378"/>
      <c r="V519" s="378"/>
      <c r="W519" s="378"/>
      <c r="X519" s="378"/>
      <c r="Y519" s="378"/>
      <c r="Z519" s="378"/>
      <c r="AA519" s="378"/>
      <c r="AB519" s="378"/>
      <c r="AC519" s="378"/>
      <c r="AD519" s="378"/>
      <c r="AE519" s="378"/>
      <c r="AF519" s="378"/>
      <c r="AG519" s="378"/>
    </row>
    <row r="520">
      <c r="A520" s="378"/>
      <c r="B520" s="555">
        <f>IFERROR(__xludf.DUMMYFUNCTION("FILTER(Board!C:G,Board!K:K=F518)"),45978.0)</f>
        <v>45978</v>
      </c>
      <c r="C520" s="404">
        <f>IFERROR(__xludf.DUMMYFUNCTION("""COMPUTED_VALUE"""),2872750.0)</f>
        <v>2872750</v>
      </c>
      <c r="D520" s="405" t="str">
        <f>IFERROR(__xludf.DUMMYFUNCTION("""COMPUTED_VALUE"""),"Oelwein, IA, 50662")</f>
        <v>Oelwein, IA, 50662</v>
      </c>
      <c r="E520" s="406" t="str">
        <f>IFERROR(__xludf.DUMMYFUNCTION("""COMPUTED_VALUE"""),"Portland, OR, 97230")</f>
        <v>Portland, OR, 97230</v>
      </c>
      <c r="F520" s="414">
        <f>IFERROR(__xludf.DUMMYFUNCTION("""COMPUTED_VALUE"""),3800.0)</f>
        <v>3800</v>
      </c>
      <c r="G520" s="413">
        <v>0.88</v>
      </c>
      <c r="H520" s="414">
        <f t="shared" ref="H520:H522" si="26">F520*G520</f>
        <v>3344</v>
      </c>
      <c r="I520" s="376"/>
      <c r="J520" s="415">
        <f>IFERROR(__xludf.DUMMYFUNCTION("FILTER(Board!C:F,Board!K:K=N518)"),45978.0)</f>
        <v>45978</v>
      </c>
      <c r="K520" s="411">
        <f>IFERROR(__xludf.DUMMYFUNCTION("""COMPUTED_VALUE"""),2872750.0)</f>
        <v>2872750</v>
      </c>
      <c r="L520" s="411" t="str">
        <f>IFERROR(__xludf.DUMMYFUNCTION("""COMPUTED_VALUE"""),"Oelwein, IA, 50662")</f>
        <v>Oelwein, IA, 50662</v>
      </c>
      <c r="M520" s="411" t="str">
        <f>IFERROR(__xludf.DUMMYFUNCTION("""COMPUTED_VALUE"""),"Portland, OR, 97230")</f>
        <v>Portland, OR, 97230</v>
      </c>
      <c r="N520" s="416">
        <f>IFERROR(__xludf.DUMMYFUNCTION("FILTER(Board!H:H,Board!K:K=N518)"),1918.0)</f>
        <v>1918</v>
      </c>
      <c r="O520" s="408">
        <v>0.6</v>
      </c>
      <c r="P520" s="414">
        <f t="shared" ref="P520:P522" si="27">N520*O520</f>
        <v>1150.8</v>
      </c>
      <c r="Q520" s="378"/>
      <c r="R520" s="378"/>
      <c r="S520" s="378"/>
      <c r="T520" s="378"/>
      <c r="U520" s="378"/>
      <c r="V520" s="378"/>
      <c r="W520" s="378"/>
      <c r="X520" s="378"/>
      <c r="Y520" s="378"/>
      <c r="Z520" s="378"/>
      <c r="AA520" s="378"/>
      <c r="AB520" s="378"/>
      <c r="AC520" s="378"/>
      <c r="AD520" s="378"/>
      <c r="AE520" s="378"/>
      <c r="AF520" s="378"/>
      <c r="AG520" s="378"/>
    </row>
    <row r="521">
      <c r="A521" s="378"/>
      <c r="B521" s="555">
        <f>IFERROR(__xludf.DUMMYFUNCTION("""COMPUTED_VALUE"""),45981.0)</f>
        <v>45981</v>
      </c>
      <c r="C521" s="404">
        <f>IFERROR(__xludf.DUMMYFUNCTION("""COMPUTED_VALUE"""),639382.0)</f>
        <v>639382</v>
      </c>
      <c r="D521" s="405" t="str">
        <f>IFERROR(__xludf.DUMMYFUNCTION("""COMPUTED_VALUE"""),"Gold Hill, OR, 97525")</f>
        <v>Gold Hill, OR, 97525</v>
      </c>
      <c r="E521" s="406" t="str">
        <f>IFERROR(__xludf.DUMMYFUNCTION("""COMPUTED_VALUE"""),"Soquel, CA, 95073")</f>
        <v>Soquel, CA, 95073</v>
      </c>
      <c r="F521" s="414">
        <f>IFERROR(__xludf.DUMMYFUNCTION("""COMPUTED_VALUE"""),800.0)</f>
        <v>800</v>
      </c>
      <c r="G521" s="413">
        <v>0.88</v>
      </c>
      <c r="H521" s="414">
        <f t="shared" si="26"/>
        <v>704</v>
      </c>
      <c r="I521" s="376"/>
      <c r="J521" s="418">
        <f>IFERROR(__xludf.DUMMYFUNCTION("""COMPUTED_VALUE"""),45981.0)</f>
        <v>45981</v>
      </c>
      <c r="K521" s="411">
        <f>IFERROR(__xludf.DUMMYFUNCTION("""COMPUTED_VALUE"""),639382.0)</f>
        <v>639382</v>
      </c>
      <c r="L521" s="411" t="str">
        <f>IFERROR(__xludf.DUMMYFUNCTION("""COMPUTED_VALUE"""),"Gold Hill, OR, 97525")</f>
        <v>Gold Hill, OR, 97525</v>
      </c>
      <c r="M521" s="411" t="str">
        <f>IFERROR(__xludf.DUMMYFUNCTION("""COMPUTED_VALUE"""),"Soquel, CA, 95073")</f>
        <v>Soquel, CA, 95073</v>
      </c>
      <c r="N521" s="416">
        <f>IFERROR(__xludf.DUMMYFUNCTION("""COMPUTED_VALUE"""),703.0)</f>
        <v>703</v>
      </c>
      <c r="O521" s="408">
        <v>0.6</v>
      </c>
      <c r="P521" s="414">
        <f t="shared" si="27"/>
        <v>421.8</v>
      </c>
      <c r="Q521" s="378"/>
      <c r="R521" s="378"/>
      <c r="S521" s="378"/>
      <c r="T521" s="378"/>
      <c r="U521" s="378"/>
      <c r="V521" s="378"/>
      <c r="W521" s="378"/>
      <c r="X521" s="378"/>
      <c r="Y521" s="378"/>
      <c r="Z521" s="378"/>
      <c r="AA521" s="378"/>
      <c r="AB521" s="378"/>
      <c r="AC521" s="378"/>
      <c r="AD521" s="378"/>
      <c r="AE521" s="378"/>
      <c r="AF521" s="378"/>
      <c r="AG521" s="378"/>
    </row>
    <row r="522">
      <c r="A522" s="378"/>
      <c r="B522" s="499">
        <f>IFERROR(__xludf.DUMMYFUNCTION("""COMPUTED_VALUE"""),45982.0)</f>
        <v>45982</v>
      </c>
      <c r="C522" s="421">
        <f>IFERROR(__xludf.DUMMYFUNCTION("""COMPUTED_VALUE"""),90215.0)</f>
        <v>90215</v>
      </c>
      <c r="D522" s="422" t="str">
        <f>IFERROR(__xludf.DUMMYFUNCTION("""COMPUTED_VALUE"""),"Stockton, CA, 95206")</f>
        <v>Stockton, CA, 95206</v>
      </c>
      <c r="E522" s="423" t="str">
        <f>IFERROR(__xludf.DUMMYFUNCTION("""COMPUTED_VALUE"""),"Dundee, FL, 33838")</f>
        <v>Dundee, FL, 33838</v>
      </c>
      <c r="F522" s="500">
        <f>IFERROR(__xludf.DUMMYFUNCTION("""COMPUTED_VALUE"""),6125.0)</f>
        <v>6125</v>
      </c>
      <c r="G522" s="413">
        <v>0.88</v>
      </c>
      <c r="H522" s="414">
        <f t="shared" si="26"/>
        <v>5390</v>
      </c>
      <c r="I522" s="376"/>
      <c r="J522" s="545">
        <f>IFERROR(__xludf.DUMMYFUNCTION("""COMPUTED_VALUE"""),45982.0)</f>
        <v>45982</v>
      </c>
      <c r="K522" s="421">
        <f>IFERROR(__xludf.DUMMYFUNCTION("""COMPUTED_VALUE"""),90215.0)</f>
        <v>90215</v>
      </c>
      <c r="L522" s="422" t="str">
        <f>IFERROR(__xludf.DUMMYFUNCTION("""COMPUTED_VALUE"""),"Stockton, CA, 95206")</f>
        <v>Stockton, CA, 95206</v>
      </c>
      <c r="M522" s="423" t="str">
        <f>IFERROR(__xludf.DUMMYFUNCTION("""COMPUTED_VALUE"""),"Dundee, FL, 33838")</f>
        <v>Dundee, FL, 33838</v>
      </c>
      <c r="N522" s="546">
        <f>IFERROR(__xludf.DUMMYFUNCTION("""COMPUTED_VALUE"""),2899.0)</f>
        <v>2899</v>
      </c>
      <c r="O522" s="408">
        <v>0.6</v>
      </c>
      <c r="P522" s="414">
        <f t="shared" si="27"/>
        <v>1739.4</v>
      </c>
      <c r="Q522" s="378"/>
      <c r="R522" s="378"/>
      <c r="S522" s="378"/>
      <c r="T522" s="378"/>
      <c r="U522" s="378"/>
      <c r="V522" s="378"/>
      <c r="W522" s="378"/>
      <c r="X522" s="378"/>
      <c r="Y522" s="378"/>
      <c r="Z522" s="378"/>
      <c r="AA522" s="378"/>
      <c r="AB522" s="378"/>
      <c r="AC522" s="378"/>
      <c r="AD522" s="378"/>
      <c r="AE522" s="378"/>
      <c r="AF522" s="378"/>
      <c r="AG522" s="378"/>
    </row>
    <row r="523">
      <c r="A523" s="378"/>
      <c r="B523" s="420"/>
      <c r="C523" s="421"/>
      <c r="D523" s="422"/>
      <c r="E523" s="423"/>
      <c r="F523" s="421"/>
      <c r="G523" s="413"/>
      <c r="H523" s="414"/>
      <c r="I523" s="376"/>
      <c r="J523" s="424"/>
      <c r="K523" s="421"/>
      <c r="L523" s="422"/>
      <c r="M523" s="423"/>
      <c r="N523" s="425"/>
      <c r="O523" s="408"/>
      <c r="P523" s="414"/>
      <c r="Q523" s="378"/>
      <c r="R523" s="378"/>
      <c r="S523" s="378"/>
      <c r="T523" s="378"/>
      <c r="U523" s="378"/>
      <c r="V523" s="378"/>
      <c r="W523" s="378"/>
      <c r="X523" s="378"/>
      <c r="Y523" s="378"/>
      <c r="Z523" s="378"/>
      <c r="AA523" s="378"/>
      <c r="AB523" s="378"/>
      <c r="AC523" s="378"/>
      <c r="AD523" s="378"/>
      <c r="AE523" s="378"/>
      <c r="AF523" s="378"/>
      <c r="AG523" s="378"/>
    </row>
    <row r="524">
      <c r="A524" s="378"/>
      <c r="B524" s="420"/>
      <c r="C524" s="421"/>
      <c r="D524" s="422"/>
      <c r="E524" s="423"/>
      <c r="F524" s="421"/>
      <c r="G524" s="413"/>
      <c r="H524" s="414"/>
      <c r="I524" s="376"/>
      <c r="J524" s="424"/>
      <c r="K524" s="421"/>
      <c r="L524" s="422"/>
      <c r="M524" s="423"/>
      <c r="N524" s="425"/>
      <c r="O524" s="408"/>
      <c r="P524" s="414"/>
      <c r="Q524" s="378"/>
      <c r="R524" s="378"/>
      <c r="S524" s="378"/>
      <c r="T524" s="378"/>
      <c r="U524" s="378"/>
      <c r="V524" s="378"/>
      <c r="W524" s="378"/>
      <c r="X524" s="378"/>
      <c r="Y524" s="378"/>
      <c r="Z524" s="378"/>
      <c r="AA524" s="378"/>
      <c r="AB524" s="378"/>
      <c r="AC524" s="378"/>
      <c r="AD524" s="378"/>
      <c r="AE524" s="378"/>
      <c r="AF524" s="378"/>
      <c r="AG524" s="378"/>
    </row>
    <row r="525">
      <c r="A525" s="378"/>
      <c r="B525" s="420"/>
      <c r="C525" s="421"/>
      <c r="D525" s="422"/>
      <c r="E525" s="423"/>
      <c r="F525" s="421"/>
      <c r="G525" s="413"/>
      <c r="H525" s="414"/>
      <c r="I525" s="376"/>
      <c r="J525" s="424"/>
      <c r="K525" s="421"/>
      <c r="L525" s="422"/>
      <c r="M525" s="423"/>
      <c r="N525" s="425"/>
      <c r="O525" s="408"/>
      <c r="P525" s="414"/>
      <c r="Q525" s="378"/>
      <c r="R525" s="378"/>
      <c r="S525" s="378"/>
      <c r="T525" s="378"/>
      <c r="U525" s="378"/>
      <c r="V525" s="378"/>
      <c r="W525" s="378"/>
      <c r="X525" s="378"/>
      <c r="Y525" s="378"/>
      <c r="Z525" s="378"/>
      <c r="AA525" s="378"/>
      <c r="AB525" s="378"/>
      <c r="AC525" s="378"/>
      <c r="AD525" s="378"/>
      <c r="AE525" s="378"/>
      <c r="AF525" s="378"/>
      <c r="AG525" s="378"/>
    </row>
    <row r="526">
      <c r="A526" s="378"/>
      <c r="B526" s="403" t="s">
        <v>711</v>
      </c>
      <c r="C526" s="224"/>
      <c r="D526" s="224"/>
      <c r="E526" s="222"/>
      <c r="F526" s="414">
        <f>SUM(F520:F525)</f>
        <v>10725</v>
      </c>
      <c r="G526" s="421"/>
      <c r="H526" s="414">
        <f>SUM(H520:H525)</f>
        <v>9438</v>
      </c>
      <c r="I526" s="376"/>
      <c r="J526" s="407" t="s">
        <v>711</v>
      </c>
      <c r="K526" s="224"/>
      <c r="L526" s="224"/>
      <c r="M526" s="222"/>
      <c r="N526" s="426">
        <f>SUM(N520:N525)</f>
        <v>5520</v>
      </c>
      <c r="O526" s="427"/>
      <c r="P526" s="414">
        <f>SUM(P520:P525)</f>
        <v>3312</v>
      </c>
      <c r="Q526" s="378"/>
      <c r="R526" s="378"/>
      <c r="S526" s="378"/>
      <c r="T526" s="378"/>
      <c r="U526" s="378"/>
      <c r="V526" s="378"/>
      <c r="W526" s="378"/>
      <c r="X526" s="378"/>
      <c r="Y526" s="378"/>
      <c r="Z526" s="378"/>
      <c r="AA526" s="378"/>
      <c r="AB526" s="378"/>
      <c r="AC526" s="378"/>
      <c r="AD526" s="378"/>
      <c r="AE526" s="378"/>
      <c r="AF526" s="378"/>
      <c r="AG526" s="378"/>
    </row>
    <row r="527">
      <c r="A527" s="378"/>
      <c r="B527" s="428"/>
      <c r="C527" s="419"/>
      <c r="D527" s="419"/>
      <c r="E527" s="419"/>
      <c r="F527" s="419"/>
      <c r="G527" s="419"/>
      <c r="H527" s="429"/>
      <c r="I527" s="376"/>
      <c r="J527" s="430"/>
      <c r="K527" s="419"/>
      <c r="L527" s="419"/>
      <c r="M527" s="419"/>
      <c r="N527" s="431"/>
      <c r="O527" s="432"/>
      <c r="P527" s="429"/>
      <c r="Q527" s="378"/>
      <c r="R527" s="378"/>
      <c r="S527" s="378"/>
      <c r="T527" s="378"/>
      <c r="U527" s="378"/>
      <c r="V527" s="378"/>
      <c r="W527" s="378"/>
      <c r="X527" s="378"/>
      <c r="Y527" s="378"/>
      <c r="Z527" s="378"/>
      <c r="AA527" s="378"/>
      <c r="AB527" s="378"/>
      <c r="AC527" s="378"/>
      <c r="AD527" s="378"/>
      <c r="AE527" s="378"/>
      <c r="AF527" s="378"/>
      <c r="AG527" s="378"/>
    </row>
    <row r="528">
      <c r="A528" s="378"/>
      <c r="B528" s="433" t="s">
        <v>712</v>
      </c>
      <c r="C528" s="434"/>
      <c r="D528" s="435"/>
      <c r="E528" s="419"/>
      <c r="F528" s="419"/>
      <c r="G528" s="419"/>
      <c r="H528" s="429"/>
      <c r="I528" s="376"/>
      <c r="J528" s="437" t="s">
        <v>712</v>
      </c>
      <c r="K528" s="434"/>
      <c r="L528" s="435"/>
      <c r="M528" s="419"/>
      <c r="N528" s="431"/>
      <c r="O528" s="432"/>
      <c r="P528" s="429"/>
      <c r="Q528" s="378"/>
      <c r="R528" s="378"/>
      <c r="S528" s="378"/>
      <c r="T528" s="378"/>
      <c r="U528" s="378"/>
      <c r="V528" s="378"/>
      <c r="W528" s="378"/>
      <c r="X528" s="378"/>
      <c r="Y528" s="378"/>
      <c r="Z528" s="378"/>
      <c r="AA528" s="378"/>
      <c r="AB528" s="378"/>
      <c r="AC528" s="378"/>
      <c r="AD528" s="378"/>
      <c r="AE528" s="378"/>
      <c r="AF528" s="378"/>
      <c r="AG528" s="378"/>
    </row>
    <row r="529">
      <c r="A529" s="378"/>
      <c r="B529" s="438" t="s">
        <v>713</v>
      </c>
      <c r="C529" s="439"/>
      <c r="D529" s="440"/>
      <c r="E529" s="419"/>
      <c r="F529" s="419"/>
      <c r="G529" s="419"/>
      <c r="H529" s="429"/>
      <c r="I529" s="376"/>
      <c r="J529" s="443" t="s">
        <v>713</v>
      </c>
      <c r="K529" s="439"/>
      <c r="L529" s="440"/>
      <c r="M529" s="419"/>
      <c r="N529" s="431"/>
      <c r="O529" s="432"/>
      <c r="P529" s="429"/>
      <c r="Q529" s="378"/>
      <c r="R529" s="378"/>
      <c r="S529" s="378"/>
      <c r="T529" s="378"/>
      <c r="U529" s="378"/>
      <c r="V529" s="378"/>
      <c r="W529" s="378"/>
      <c r="X529" s="378"/>
      <c r="Y529" s="378"/>
      <c r="Z529" s="378"/>
      <c r="AA529" s="378"/>
      <c r="AB529" s="378"/>
      <c r="AC529" s="378"/>
      <c r="AD529" s="378"/>
      <c r="AE529" s="378"/>
      <c r="AF529" s="378"/>
      <c r="AG529" s="378"/>
    </row>
    <row r="530">
      <c r="A530" s="378"/>
      <c r="B530" s="444"/>
      <c r="C530" s="434"/>
      <c r="D530" s="435"/>
      <c r="E530" s="419"/>
      <c r="F530" s="463"/>
      <c r="G530" s="463"/>
      <c r="H530" s="448"/>
      <c r="I530" s="376"/>
      <c r="J530" s="445"/>
      <c r="K530" s="434"/>
      <c r="L530" s="435"/>
      <c r="M530" s="419"/>
      <c r="N530" s="446"/>
      <c r="O530" s="447"/>
      <c r="P530" s="448"/>
      <c r="Q530" s="378"/>
      <c r="R530" s="378"/>
      <c r="S530" s="378"/>
      <c r="T530" s="378"/>
      <c r="U530" s="378"/>
      <c r="V530" s="378"/>
      <c r="W530" s="378"/>
      <c r="X530" s="378"/>
      <c r="Y530" s="378"/>
      <c r="Z530" s="378"/>
      <c r="AA530" s="378"/>
      <c r="AB530" s="378"/>
      <c r="AC530" s="378"/>
      <c r="AD530" s="378"/>
      <c r="AE530" s="378"/>
      <c r="AF530" s="378"/>
      <c r="AG530" s="378"/>
    </row>
    <row r="531">
      <c r="A531" s="378"/>
      <c r="B531" s="438" t="s">
        <v>714</v>
      </c>
      <c r="C531" s="439">
        <f>SUM(C529:C530)</f>
        <v>0</v>
      </c>
      <c r="D531" s="440"/>
      <c r="E531" s="419"/>
      <c r="F531" s="463"/>
      <c r="G531" s="463"/>
      <c r="H531" s="448"/>
      <c r="I531" s="376"/>
      <c r="J531" s="443" t="s">
        <v>714</v>
      </c>
      <c r="K531" s="439">
        <f>SUM(K529:K530)</f>
        <v>0</v>
      </c>
      <c r="L531" s="440"/>
      <c r="M531" s="419"/>
      <c r="N531" s="446"/>
      <c r="O531" s="447"/>
      <c r="P531" s="448"/>
      <c r="Q531" s="378"/>
      <c r="R531" s="378"/>
      <c r="S531" s="378"/>
      <c r="T531" s="378"/>
      <c r="U531" s="378"/>
      <c r="V531" s="378"/>
      <c r="W531" s="378"/>
      <c r="X531" s="378"/>
      <c r="Y531" s="378"/>
      <c r="Z531" s="378"/>
      <c r="AA531" s="378"/>
      <c r="AB531" s="378"/>
      <c r="AC531" s="378"/>
      <c r="AD531" s="378"/>
      <c r="AE531" s="378"/>
      <c r="AF531" s="378"/>
      <c r="AG531" s="378"/>
    </row>
    <row r="532">
      <c r="A532" s="378"/>
      <c r="B532" s="450"/>
      <c r="C532" s="451"/>
      <c r="D532" s="419"/>
      <c r="E532" s="419"/>
      <c r="F532" s="463"/>
      <c r="G532" s="463"/>
      <c r="H532" s="448"/>
      <c r="I532" s="376"/>
      <c r="J532" s="535"/>
      <c r="K532" s="451"/>
      <c r="L532" s="419"/>
      <c r="M532" s="419"/>
      <c r="N532" s="446"/>
      <c r="O532" s="447"/>
      <c r="P532" s="448"/>
      <c r="Q532" s="378"/>
      <c r="R532" s="378"/>
      <c r="S532" s="378"/>
      <c r="T532" s="378"/>
      <c r="U532" s="378"/>
      <c r="V532" s="378"/>
      <c r="W532" s="378"/>
      <c r="X532" s="378"/>
      <c r="Y532" s="378"/>
      <c r="Z532" s="378"/>
      <c r="AA532" s="378"/>
      <c r="AB532" s="378"/>
      <c r="AC532" s="378"/>
      <c r="AD532" s="378"/>
      <c r="AE532" s="378"/>
      <c r="AF532" s="378"/>
      <c r="AG532" s="378"/>
    </row>
    <row r="533">
      <c r="A533" s="378"/>
      <c r="B533" s="454" t="s">
        <v>715</v>
      </c>
      <c r="C533" s="455"/>
      <c r="D533" s="435"/>
      <c r="E533" s="419"/>
      <c r="F533" s="463"/>
      <c r="G533" s="463"/>
      <c r="H533" s="448"/>
      <c r="I533" s="376"/>
      <c r="J533" s="458" t="s">
        <v>715</v>
      </c>
      <c r="K533" s="455"/>
      <c r="L533" s="435"/>
      <c r="M533" s="419"/>
      <c r="N533" s="446"/>
      <c r="O533" s="447"/>
      <c r="P533" s="448"/>
      <c r="Q533" s="378"/>
      <c r="R533" s="378"/>
      <c r="S533" s="378"/>
      <c r="T533" s="378"/>
      <c r="U533" s="378"/>
      <c r="V533" s="378"/>
      <c r="W533" s="378"/>
      <c r="X533" s="378"/>
      <c r="Y533" s="378"/>
      <c r="Z533" s="378"/>
      <c r="AA533" s="378"/>
      <c r="AB533" s="378"/>
      <c r="AC533" s="378"/>
      <c r="AD533" s="378"/>
      <c r="AE533" s="378"/>
      <c r="AF533" s="378"/>
      <c r="AG533" s="378"/>
    </row>
    <row r="534">
      <c r="A534" s="378"/>
      <c r="B534" s="459" t="s">
        <v>716</v>
      </c>
      <c r="C534" s="460">
        <v>150.0</v>
      </c>
      <c r="D534" s="440"/>
      <c r="E534" s="419"/>
      <c r="F534" s="463"/>
      <c r="G534" s="463"/>
      <c r="H534" s="448"/>
      <c r="I534" s="376"/>
      <c r="J534" s="462"/>
      <c r="K534" s="460"/>
      <c r="L534" s="440"/>
      <c r="M534" s="419"/>
      <c r="N534" s="446"/>
      <c r="O534" s="447"/>
      <c r="P534" s="448"/>
      <c r="Q534" s="378"/>
      <c r="R534" s="378"/>
      <c r="S534" s="378"/>
      <c r="T534" s="378"/>
      <c r="U534" s="378"/>
      <c r="V534" s="378"/>
      <c r="W534" s="378"/>
      <c r="X534" s="378"/>
      <c r="Y534" s="378"/>
      <c r="Z534" s="378"/>
      <c r="AA534" s="378"/>
      <c r="AB534" s="378"/>
      <c r="AC534" s="378"/>
      <c r="AD534" s="378"/>
      <c r="AE534" s="378"/>
      <c r="AF534" s="378"/>
      <c r="AG534" s="378"/>
    </row>
    <row r="535">
      <c r="A535" s="378"/>
      <c r="B535" s="459" t="s">
        <v>717</v>
      </c>
      <c r="C535" s="460">
        <v>400.0</v>
      </c>
      <c r="D535" s="440"/>
      <c r="E535" s="419"/>
      <c r="F535" s="463"/>
      <c r="G535" s="463"/>
      <c r="H535" s="448"/>
      <c r="I535" s="376"/>
      <c r="J535" s="462"/>
      <c r="K535" s="460"/>
      <c r="L535" s="440"/>
      <c r="M535" s="419"/>
      <c r="N535" s="446"/>
      <c r="O535" s="447"/>
      <c r="P535" s="448"/>
      <c r="Q535" s="378"/>
      <c r="R535" s="378"/>
      <c r="S535" s="378"/>
      <c r="T535" s="378"/>
      <c r="U535" s="378"/>
      <c r="V535" s="378"/>
      <c r="W535" s="378"/>
      <c r="X535" s="378"/>
      <c r="Y535" s="378"/>
      <c r="Z535" s="378"/>
      <c r="AA535" s="378"/>
      <c r="AB535" s="378"/>
      <c r="AC535" s="378"/>
      <c r="AD535" s="378"/>
      <c r="AE535" s="378"/>
      <c r="AF535" s="378"/>
      <c r="AG535" s="378"/>
    </row>
    <row r="536">
      <c r="A536" s="378"/>
      <c r="B536" s="459" t="s">
        <v>718</v>
      </c>
      <c r="C536" s="460">
        <v>200.0</v>
      </c>
      <c r="D536" s="440"/>
      <c r="E536" s="419"/>
      <c r="F536" s="463"/>
      <c r="G536" s="463"/>
      <c r="H536" s="448"/>
      <c r="I536" s="376"/>
      <c r="J536" s="462"/>
      <c r="K536" s="460"/>
      <c r="L536" s="440"/>
      <c r="M536" s="419"/>
      <c r="N536" s="446"/>
      <c r="O536" s="447"/>
      <c r="P536" s="448"/>
      <c r="Q536" s="378"/>
      <c r="R536" s="378"/>
      <c r="S536" s="378"/>
      <c r="T536" s="378"/>
      <c r="U536" s="378"/>
      <c r="V536" s="378"/>
      <c r="W536" s="378"/>
      <c r="X536" s="378"/>
      <c r="Y536" s="378"/>
      <c r="Z536" s="378"/>
      <c r="AA536" s="378"/>
      <c r="AB536" s="378"/>
      <c r="AC536" s="378"/>
      <c r="AD536" s="378"/>
      <c r="AE536" s="378"/>
      <c r="AF536" s="378"/>
      <c r="AG536" s="378"/>
    </row>
    <row r="537">
      <c r="A537" s="378"/>
      <c r="B537" s="459" t="s">
        <v>656</v>
      </c>
      <c r="C537" s="460" t="str">
        <f>IFERROR(__xludf.DUMMYFUNCTION("FILTER(D1045:D1073,C1045:C1073=F518)"),"#N/A")</f>
        <v>#N/A</v>
      </c>
      <c r="D537" s="440"/>
      <c r="E537" s="419"/>
      <c r="F537" s="463"/>
      <c r="G537" s="463"/>
      <c r="H537" s="448"/>
      <c r="I537" s="376"/>
      <c r="J537" s="462"/>
      <c r="K537" s="460"/>
      <c r="L537" s="440"/>
      <c r="M537" s="419"/>
      <c r="N537" s="446"/>
      <c r="O537" s="447"/>
      <c r="P537" s="448"/>
      <c r="Q537" s="378"/>
      <c r="R537" s="378"/>
      <c r="S537" s="378"/>
      <c r="T537" s="378"/>
      <c r="U537" s="378"/>
      <c r="V537" s="378"/>
      <c r="W537" s="378"/>
      <c r="X537" s="378"/>
      <c r="Y537" s="378"/>
      <c r="Z537" s="378"/>
      <c r="AA537" s="378"/>
      <c r="AB537" s="378"/>
      <c r="AC537" s="378"/>
      <c r="AD537" s="378"/>
      <c r="AE537" s="378"/>
      <c r="AF537" s="378"/>
      <c r="AG537" s="378"/>
    </row>
    <row r="538">
      <c r="A538" s="378"/>
      <c r="B538" s="454" t="s">
        <v>883</v>
      </c>
      <c r="C538" s="537">
        <v>75.0</v>
      </c>
      <c r="D538" s="521"/>
      <c r="E538" s="419"/>
      <c r="F538" s="561" t="s">
        <v>881</v>
      </c>
      <c r="G538" s="466" t="str">
        <f>H526+C531-C543</f>
        <v>#N/A</v>
      </c>
      <c r="H538" s="211"/>
      <c r="I538" s="376"/>
      <c r="J538" s="467"/>
      <c r="K538" s="455"/>
      <c r="L538" s="435"/>
      <c r="M538" s="419"/>
      <c r="N538" s="468" t="s">
        <v>842</v>
      </c>
      <c r="O538" s="539">
        <f>P526+K531-K543</f>
        <v>3312</v>
      </c>
      <c r="P538" s="211"/>
      <c r="Q538" s="378"/>
      <c r="R538" s="378"/>
      <c r="S538" s="378"/>
      <c r="T538" s="378"/>
      <c r="U538" s="378"/>
      <c r="V538" s="378"/>
      <c r="W538" s="378"/>
      <c r="X538" s="378"/>
      <c r="Y538" s="378"/>
      <c r="Z538" s="378"/>
      <c r="AA538" s="378"/>
      <c r="AB538" s="378"/>
      <c r="AC538" s="378"/>
      <c r="AD538" s="378"/>
      <c r="AE538" s="378"/>
      <c r="AF538" s="378"/>
      <c r="AG538" s="378"/>
    </row>
    <row r="539">
      <c r="A539" s="378"/>
      <c r="B539" s="454" t="s">
        <v>884</v>
      </c>
      <c r="C539" s="537">
        <v>11.77</v>
      </c>
      <c r="D539" s="435"/>
      <c r="E539" s="419"/>
      <c r="F539" s="55"/>
      <c r="G539" s="278"/>
      <c r="H539" s="56"/>
      <c r="I539" s="376"/>
      <c r="J539" s="467"/>
      <c r="K539" s="455"/>
      <c r="L539" s="435"/>
      <c r="M539" s="419"/>
      <c r="N539" s="469" t="s">
        <v>854</v>
      </c>
      <c r="O539" s="278"/>
      <c r="P539" s="56"/>
      <c r="Q539" s="378"/>
      <c r="R539" s="378"/>
      <c r="S539" s="378"/>
      <c r="T539" s="378"/>
      <c r="U539" s="378"/>
      <c r="V539" s="378"/>
      <c r="W539" s="378"/>
      <c r="X539" s="378"/>
      <c r="Y539" s="378"/>
      <c r="Z539" s="378"/>
      <c r="AA539" s="378"/>
      <c r="AB539" s="378"/>
      <c r="AC539" s="378"/>
      <c r="AD539" s="378"/>
      <c r="AE539" s="378"/>
      <c r="AF539" s="378"/>
      <c r="AG539" s="378"/>
    </row>
    <row r="540">
      <c r="A540" s="378"/>
      <c r="B540" s="454" t="s">
        <v>807</v>
      </c>
      <c r="C540" s="537">
        <v>1363.77</v>
      </c>
      <c r="D540" s="435"/>
      <c r="E540" s="419"/>
      <c r="F540" s="60"/>
      <c r="G540" s="215"/>
      <c r="H540" s="64"/>
      <c r="I540" s="376"/>
      <c r="J540" s="467"/>
      <c r="K540" s="455"/>
      <c r="L540" s="435"/>
      <c r="M540" s="419"/>
      <c r="N540" s="470"/>
      <c r="O540" s="215"/>
      <c r="P540" s="64"/>
      <c r="Q540" s="378"/>
      <c r="R540" s="378"/>
      <c r="S540" s="378"/>
      <c r="T540" s="378"/>
      <c r="U540" s="378"/>
      <c r="V540" s="378"/>
      <c r="W540" s="378"/>
      <c r="X540" s="378"/>
      <c r="Y540" s="378"/>
      <c r="Z540" s="378"/>
      <c r="AA540" s="378"/>
      <c r="AB540" s="378"/>
      <c r="AC540" s="378"/>
      <c r="AD540" s="378"/>
      <c r="AE540" s="378"/>
      <c r="AF540" s="378"/>
      <c r="AG540" s="378"/>
    </row>
    <row r="541">
      <c r="A541" s="378"/>
      <c r="B541" s="464"/>
      <c r="C541" s="455"/>
      <c r="D541" s="435"/>
      <c r="E541" s="419"/>
      <c r="F541" s="419"/>
      <c r="G541" s="419"/>
      <c r="H541" s="429"/>
      <c r="I541" s="376"/>
      <c r="J541" s="467"/>
      <c r="K541" s="455"/>
      <c r="L541" s="435"/>
      <c r="M541" s="419"/>
      <c r="N541" s="431"/>
      <c r="O541" s="432"/>
      <c r="P541" s="429"/>
      <c r="Q541" s="378"/>
      <c r="R541" s="378"/>
      <c r="S541" s="378"/>
      <c r="T541" s="378"/>
      <c r="U541" s="378"/>
      <c r="V541" s="378"/>
      <c r="W541" s="378"/>
      <c r="X541" s="378"/>
      <c r="Y541" s="378"/>
      <c r="Z541" s="378"/>
      <c r="AA541" s="378"/>
      <c r="AB541" s="378"/>
      <c r="AC541" s="378"/>
      <c r="AD541" s="378"/>
      <c r="AE541" s="378"/>
      <c r="AF541" s="378"/>
      <c r="AG541" s="378"/>
    </row>
    <row r="542">
      <c r="A542" s="378"/>
      <c r="B542" s="464"/>
      <c r="C542" s="455"/>
      <c r="D542" s="435"/>
      <c r="E542" s="419"/>
      <c r="F542" s="419"/>
      <c r="G542" s="419"/>
      <c r="H542" s="429"/>
      <c r="I542" s="376"/>
      <c r="J542" s="467"/>
      <c r="K542" s="455"/>
      <c r="L542" s="435"/>
      <c r="M542" s="419"/>
      <c r="N542" s="431"/>
      <c r="O542" s="432"/>
      <c r="P542" s="429"/>
      <c r="Q542" s="378"/>
      <c r="R542" s="378"/>
      <c r="S542" s="378"/>
      <c r="T542" s="378"/>
      <c r="U542" s="378"/>
      <c r="V542" s="378"/>
      <c r="W542" s="378"/>
      <c r="X542" s="378"/>
      <c r="Y542" s="378"/>
      <c r="Z542" s="378"/>
      <c r="AA542" s="378"/>
      <c r="AB542" s="378"/>
      <c r="AC542" s="378"/>
      <c r="AD542" s="378"/>
      <c r="AE542" s="378"/>
      <c r="AF542" s="378"/>
      <c r="AG542" s="378"/>
    </row>
    <row r="543">
      <c r="A543" s="378"/>
      <c r="B543" s="454" t="s">
        <v>721</v>
      </c>
      <c r="C543" s="460" t="str">
        <f>SUM(C534:C542)</f>
        <v>#N/A</v>
      </c>
      <c r="D543" s="440"/>
      <c r="E543" s="419"/>
      <c r="F543" s="419"/>
      <c r="G543" s="419"/>
      <c r="H543" s="429"/>
      <c r="I543" s="376"/>
      <c r="J543" s="458" t="s">
        <v>721</v>
      </c>
      <c r="K543" s="460">
        <f>SUM(K534:K542)</f>
        <v>0</v>
      </c>
      <c r="L543" s="440"/>
      <c r="M543" s="419"/>
      <c r="N543" s="431"/>
      <c r="O543" s="432"/>
      <c r="P543" s="429"/>
      <c r="Q543" s="378"/>
      <c r="R543" s="378"/>
      <c r="S543" s="378"/>
      <c r="T543" s="378"/>
      <c r="U543" s="378"/>
      <c r="V543" s="378"/>
      <c r="W543" s="378"/>
      <c r="X543" s="378"/>
      <c r="Y543" s="378"/>
      <c r="Z543" s="378"/>
      <c r="AA543" s="378"/>
      <c r="AB543" s="378"/>
      <c r="AC543" s="378"/>
      <c r="AD543" s="378"/>
      <c r="AE543" s="378"/>
      <c r="AF543" s="378"/>
      <c r="AG543" s="378"/>
    </row>
    <row r="544">
      <c r="A544" s="378"/>
      <c r="B544" s="471"/>
      <c r="C544" s="472"/>
      <c r="D544" s="472"/>
      <c r="E544" s="472"/>
      <c r="F544" s="472"/>
      <c r="G544" s="472"/>
      <c r="H544" s="473"/>
      <c r="I544" s="376"/>
      <c r="J544" s="474"/>
      <c r="K544" s="472"/>
      <c r="L544" s="472"/>
      <c r="M544" s="472"/>
      <c r="N544" s="475"/>
      <c r="O544" s="476"/>
      <c r="P544" s="473"/>
      <c r="Q544" s="378"/>
      <c r="R544" s="378"/>
      <c r="S544" s="378"/>
      <c r="T544" s="378"/>
      <c r="U544" s="378"/>
      <c r="V544" s="378"/>
      <c r="W544" s="378"/>
      <c r="X544" s="378"/>
      <c r="Y544" s="378"/>
      <c r="Z544" s="378"/>
      <c r="AA544" s="378"/>
      <c r="AB544" s="378"/>
      <c r="AC544" s="378"/>
      <c r="AD544" s="378"/>
      <c r="AE544" s="378"/>
      <c r="AF544" s="378"/>
      <c r="AG544" s="378"/>
    </row>
    <row r="545">
      <c r="A545" s="378"/>
      <c r="B545" s="550"/>
      <c r="C545" s="463"/>
      <c r="D545" s="463"/>
      <c r="E545" s="463"/>
      <c r="F545" s="463"/>
      <c r="G545" s="463"/>
      <c r="H545" s="463"/>
      <c r="I545" s="376"/>
      <c r="J545" s="377"/>
      <c r="K545" s="378"/>
      <c r="L545" s="378"/>
      <c r="M545" s="378"/>
      <c r="N545" s="379"/>
      <c r="O545" s="380"/>
      <c r="P545" s="378"/>
      <c r="Q545" s="378"/>
      <c r="R545" s="378"/>
      <c r="S545" s="378"/>
      <c r="T545" s="378"/>
      <c r="U545" s="378"/>
      <c r="V545" s="378"/>
      <c r="W545" s="378"/>
      <c r="X545" s="378"/>
      <c r="Y545" s="378"/>
      <c r="Z545" s="378"/>
      <c r="AA545" s="378"/>
      <c r="AB545" s="378"/>
      <c r="AC545" s="378"/>
      <c r="AD545" s="378"/>
      <c r="AE545" s="378"/>
      <c r="AF545" s="378"/>
      <c r="AG545" s="378"/>
    </row>
    <row r="546">
      <c r="A546" s="378"/>
      <c r="B546" s="550"/>
      <c r="C546" s="463"/>
      <c r="D546" s="463"/>
      <c r="E546" s="463"/>
      <c r="F546" s="463"/>
      <c r="G546" s="463"/>
      <c r="H546" s="463"/>
      <c r="I546" s="376"/>
      <c r="J546" s="377"/>
      <c r="K546" s="378"/>
      <c r="L546" s="378"/>
      <c r="M546" s="378"/>
      <c r="N546" s="379"/>
      <c r="O546" s="380"/>
      <c r="P546" s="378"/>
      <c r="Q546" s="378"/>
      <c r="R546" s="378"/>
      <c r="S546" s="378"/>
      <c r="T546" s="378"/>
      <c r="U546" s="378"/>
      <c r="V546" s="378"/>
      <c r="W546" s="378"/>
      <c r="X546" s="378"/>
      <c r="Y546" s="378"/>
      <c r="Z546" s="378"/>
      <c r="AA546" s="378"/>
      <c r="AB546" s="378"/>
      <c r="AC546" s="378"/>
      <c r="AD546" s="378"/>
      <c r="AE546" s="378"/>
      <c r="AF546" s="378"/>
      <c r="AG546" s="378"/>
    </row>
    <row r="547">
      <c r="A547" s="378"/>
      <c r="B547" s="382"/>
      <c r="C547" s="388"/>
      <c r="D547" s="560" t="s">
        <v>664</v>
      </c>
      <c r="E547" s="385" t="s">
        <v>700</v>
      </c>
      <c r="F547" s="385" t="str">
        <f>Board!A2</f>
        <v>11.17.25-11.23.25</v>
      </c>
      <c r="G547" s="213"/>
      <c r="H547" s="211"/>
      <c r="I547" s="386">
        <v>16.0</v>
      </c>
      <c r="J547" s="387"/>
      <c r="K547" s="388"/>
      <c r="L547" s="384"/>
      <c r="M547" s="385" t="s">
        <v>700</v>
      </c>
      <c r="N547" s="385" t="str">
        <f>Board!A2</f>
        <v>11.17.25-11.23.25</v>
      </c>
      <c r="O547" s="213"/>
      <c r="P547" s="211"/>
      <c r="Q547" s="378"/>
      <c r="R547" s="389" t="s">
        <v>831</v>
      </c>
      <c r="S547" s="389" t="s">
        <v>652</v>
      </c>
      <c r="T547" s="390" t="s">
        <v>832</v>
      </c>
      <c r="U547" s="391" t="s">
        <v>833</v>
      </c>
      <c r="V547" s="389" t="s">
        <v>655</v>
      </c>
      <c r="W547" s="389" t="s">
        <v>8</v>
      </c>
      <c r="X547" s="389" t="s">
        <v>656</v>
      </c>
      <c r="Y547" s="390" t="s">
        <v>834</v>
      </c>
      <c r="Z547" s="392" t="s">
        <v>835</v>
      </c>
      <c r="AA547" s="390" t="s">
        <v>836</v>
      </c>
      <c r="AB547" s="390" t="s">
        <v>837</v>
      </c>
      <c r="AC547" s="393" t="s">
        <v>716</v>
      </c>
      <c r="AD547" s="393" t="s">
        <v>717</v>
      </c>
      <c r="AE547" s="393" t="s">
        <v>718</v>
      </c>
      <c r="AF547" s="394" t="s">
        <v>838</v>
      </c>
      <c r="AG547" s="394"/>
    </row>
    <row r="548">
      <c r="A548" s="378"/>
      <c r="B548" s="395"/>
      <c r="C548" s="372"/>
      <c r="D548" s="396"/>
      <c r="E548" s="385" t="s">
        <v>702</v>
      </c>
      <c r="F548" s="385" t="s">
        <v>664</v>
      </c>
      <c r="G548" s="213"/>
      <c r="H548" s="211"/>
      <c r="I548" s="376"/>
      <c r="J548" s="397"/>
      <c r="K548" s="372"/>
      <c r="L548" s="396"/>
      <c r="M548" s="385" t="s">
        <v>351</v>
      </c>
      <c r="N548" s="385" t="str">
        <f t="array" ref="N548">XLOOKUP(N549,Board!K:K,Board!J:J)</f>
        <v>MICHEL PATRICK</v>
      </c>
      <c r="O548" s="213"/>
      <c r="P548" s="211"/>
      <c r="Q548" s="378"/>
      <c r="R548" s="398">
        <f>I547</f>
        <v>16</v>
      </c>
      <c r="S548" s="398">
        <f>F549</f>
        <v>3819</v>
      </c>
      <c r="T548" s="399" t="str">
        <f>G569</f>
        <v>#N/A</v>
      </c>
      <c r="U548" s="378" t="str">
        <f>N548</f>
        <v>MICHEL PATRICK</v>
      </c>
      <c r="V548" s="380">
        <f>O569</f>
        <v>2189.85</v>
      </c>
      <c r="W548" s="399">
        <f>P557</f>
        <v>2189.85</v>
      </c>
      <c r="X548" s="399" t="str">
        <f>C568</f>
        <v>#N/A</v>
      </c>
      <c r="Y548" s="400">
        <f>N557</f>
        <v>3369</v>
      </c>
      <c r="Z548" s="378" t="str">
        <f>V549-V548</f>
        <v>#N/A</v>
      </c>
      <c r="AA548" s="378"/>
      <c r="AB548" s="378"/>
      <c r="AC548" s="401">
        <f>C565</f>
        <v>150</v>
      </c>
      <c r="AD548" s="401">
        <f>C566</f>
        <v>400</v>
      </c>
      <c r="AE548" s="401">
        <f>C567</f>
        <v>200</v>
      </c>
      <c r="AF548" s="398">
        <f>C569+C570+C571+C572+C573</f>
        <v>0</v>
      </c>
      <c r="AG548" s="398"/>
    </row>
    <row r="549">
      <c r="A549" s="378"/>
      <c r="B549" s="395"/>
      <c r="C549" s="372"/>
      <c r="D549" s="402"/>
      <c r="E549" s="385" t="s">
        <v>703</v>
      </c>
      <c r="F549" s="385">
        <v>3819.0</v>
      </c>
      <c r="G549" s="213"/>
      <c r="H549" s="211"/>
      <c r="I549" s="376"/>
      <c r="J549" s="397"/>
      <c r="K549" s="372"/>
      <c r="L549" s="402"/>
      <c r="M549" s="385" t="s">
        <v>703</v>
      </c>
      <c r="N549" s="385">
        <f>F549</f>
        <v>3819</v>
      </c>
      <c r="O549" s="213"/>
      <c r="P549" s="211"/>
      <c r="Q549" s="378"/>
      <c r="R549" s="378"/>
      <c r="S549" s="378"/>
      <c r="T549" s="378"/>
      <c r="U549" s="378" t="str">
        <f>F548</f>
        <v>Ada Fleet LLC</v>
      </c>
      <c r="V549" s="399" t="str">
        <f>G569</f>
        <v>#N/A</v>
      </c>
      <c r="W549" s="399">
        <f>H557</f>
        <v>8404</v>
      </c>
      <c r="X549" s="378"/>
      <c r="Y549" s="378"/>
      <c r="Z549" s="378"/>
      <c r="AA549" s="378"/>
      <c r="AB549" s="378"/>
      <c r="AC549" s="378"/>
      <c r="AD549" s="378"/>
      <c r="AE549" s="378"/>
      <c r="AF549" s="378"/>
      <c r="AG549" s="378"/>
    </row>
    <row r="550">
      <c r="A550" s="378"/>
      <c r="B550" s="403" t="s">
        <v>704</v>
      </c>
      <c r="C550" s="404" t="s">
        <v>5</v>
      </c>
      <c r="D550" s="405" t="s">
        <v>6</v>
      </c>
      <c r="E550" s="406" t="s">
        <v>7</v>
      </c>
      <c r="F550" s="404" t="s">
        <v>8</v>
      </c>
      <c r="G550" s="404" t="s">
        <v>706</v>
      </c>
      <c r="H550" s="404" t="s">
        <v>707</v>
      </c>
      <c r="I550" s="376"/>
      <c r="J550" s="407" t="s">
        <v>704</v>
      </c>
      <c r="K550" s="404" t="s">
        <v>5</v>
      </c>
      <c r="L550" s="405" t="s">
        <v>6</v>
      </c>
      <c r="M550" s="406" t="s">
        <v>7</v>
      </c>
      <c r="N550" s="404" t="s">
        <v>591</v>
      </c>
      <c r="O550" s="408" t="s">
        <v>839</v>
      </c>
      <c r="P550" s="404" t="s">
        <v>707</v>
      </c>
      <c r="Q550" s="378"/>
      <c r="R550" s="378"/>
      <c r="S550" s="378"/>
      <c r="T550" s="378"/>
      <c r="U550" s="378"/>
      <c r="V550" s="378"/>
      <c r="W550" s="378"/>
      <c r="X550" s="378"/>
      <c r="Y550" s="378"/>
      <c r="Z550" s="378"/>
      <c r="AA550" s="378"/>
      <c r="AB550" s="378"/>
      <c r="AC550" s="378"/>
      <c r="AD550" s="378"/>
      <c r="AE550" s="378"/>
      <c r="AF550" s="378"/>
      <c r="AG550" s="378"/>
    </row>
    <row r="551">
      <c r="A551" s="378"/>
      <c r="B551" s="555">
        <f>IFERROR(__xludf.DUMMYFUNCTION("FILTER(Board!C:G,Board!K:K=F549)"),45980.0)</f>
        <v>45980</v>
      </c>
      <c r="C551" s="404">
        <f>IFERROR(__xludf.DUMMYFUNCTION("""COMPUTED_VALUE"""),2238280.0)</f>
        <v>2238280</v>
      </c>
      <c r="D551" s="405" t="str">
        <f>IFERROR(__xludf.DUMMYFUNCTION("""COMPUTED_VALUE"""),"Puyallup, WA, 98375")</f>
        <v>Puyallup, WA, 98375</v>
      </c>
      <c r="E551" s="406" t="str">
        <f>IFERROR(__xludf.DUMMYFUNCTION("""COMPUTED_VALUE"""),"Bend, OR, 97701")</f>
        <v>Bend, OR, 97701</v>
      </c>
      <c r="F551" s="414">
        <f>IFERROR(__xludf.DUMMYFUNCTION("""COMPUTED_VALUE"""),1000.0)</f>
        <v>1000</v>
      </c>
      <c r="G551" s="413">
        <v>0.88</v>
      </c>
      <c r="H551" s="414">
        <f t="shared" ref="H551:H553" si="28">F551*G551</f>
        <v>880</v>
      </c>
      <c r="I551" s="376"/>
      <c r="J551" s="415">
        <f>IFERROR(__xludf.DUMMYFUNCTION("FILTER(Board!C:F,Board!K:K=N549)"),45980.0)</f>
        <v>45980</v>
      </c>
      <c r="K551" s="411">
        <f>IFERROR(__xludf.DUMMYFUNCTION("""COMPUTED_VALUE"""),2238280.0)</f>
        <v>2238280</v>
      </c>
      <c r="L551" s="411" t="str">
        <f>IFERROR(__xludf.DUMMYFUNCTION("""COMPUTED_VALUE"""),"Puyallup, WA, 98375")</f>
        <v>Puyallup, WA, 98375</v>
      </c>
      <c r="M551" s="411" t="str">
        <f>IFERROR(__xludf.DUMMYFUNCTION("""COMPUTED_VALUE"""),"Bend, OR, 97701")</f>
        <v>Bend, OR, 97701</v>
      </c>
      <c r="N551" s="416">
        <f>IFERROR(__xludf.DUMMYFUNCTION("FILTER(Board!H:H,Board!K:K=N549)"),387.0)</f>
        <v>387</v>
      </c>
      <c r="O551" s="408">
        <v>0.65</v>
      </c>
      <c r="P551" s="414">
        <f t="shared" ref="P551:P554" si="29">N551*O551</f>
        <v>251.55</v>
      </c>
      <c r="Q551" s="378"/>
      <c r="R551" s="378"/>
      <c r="S551" s="378"/>
      <c r="T551" s="378"/>
      <c r="U551" s="378"/>
      <c r="V551" s="378"/>
      <c r="W551" s="378"/>
      <c r="X551" s="378"/>
      <c r="Y551" s="378"/>
      <c r="Z551" s="378"/>
      <c r="AA551" s="378"/>
      <c r="AB551" s="378"/>
      <c r="AC551" s="378"/>
      <c r="AD551" s="378"/>
      <c r="AE551" s="378"/>
      <c r="AF551" s="378"/>
      <c r="AG551" s="378"/>
    </row>
    <row r="552">
      <c r="A552" s="378"/>
      <c r="B552" s="555">
        <f>IFERROR(__xludf.DUMMYFUNCTION("""COMPUTED_VALUE"""),45981.0)</f>
        <v>45981</v>
      </c>
      <c r="C552" s="404">
        <f>IFERROR(__xludf.DUMMYFUNCTION("""COMPUTED_VALUE"""),1876428.0)</f>
        <v>1876428</v>
      </c>
      <c r="D552" s="405" t="str">
        <f>IFERROR(__xludf.DUMMYFUNCTION("""COMPUTED_VALUE"""),", OR, 97015")</f>
        <v>, OR, 97015</v>
      </c>
      <c r="E552" s="406" t="str">
        <f>IFERROR(__xludf.DUMMYFUNCTION("""COMPUTED_VALUE"""),"Hanover Township, PA, 18706")</f>
        <v>Hanover Township, PA, 18706</v>
      </c>
      <c r="F552" s="414">
        <f>IFERROR(__xludf.DUMMYFUNCTION("""COMPUTED_VALUE"""),150.0)</f>
        <v>150</v>
      </c>
      <c r="G552" s="413">
        <v>0.88</v>
      </c>
      <c r="H552" s="414">
        <f t="shared" si="28"/>
        <v>132</v>
      </c>
      <c r="I552" s="376"/>
      <c r="J552" s="418">
        <f>IFERROR(__xludf.DUMMYFUNCTION("""COMPUTED_VALUE"""),45981.0)</f>
        <v>45981</v>
      </c>
      <c r="K552" s="411">
        <f>IFERROR(__xludf.DUMMYFUNCTION("""COMPUTED_VALUE"""),1876428.0)</f>
        <v>1876428</v>
      </c>
      <c r="L552" s="411" t="str">
        <f>IFERROR(__xludf.DUMMYFUNCTION("""COMPUTED_VALUE"""),", OR, 97015")</f>
        <v>, OR, 97015</v>
      </c>
      <c r="M552" s="411" t="str">
        <f>IFERROR(__xludf.DUMMYFUNCTION("""COMPUTED_VALUE"""),"Hanover Township, PA, 18706")</f>
        <v>Hanover Township, PA, 18706</v>
      </c>
      <c r="N552" s="416">
        <f>IFERROR(__xludf.DUMMYFUNCTION("""COMPUTED_VALUE"""),109.0)</f>
        <v>109</v>
      </c>
      <c r="O552" s="408">
        <v>0.65</v>
      </c>
      <c r="P552" s="414">
        <f t="shared" si="29"/>
        <v>70.85</v>
      </c>
      <c r="Q552" s="378"/>
      <c r="R552" s="378"/>
      <c r="S552" s="378"/>
      <c r="T552" s="378"/>
      <c r="U552" s="378"/>
      <c r="V552" s="378"/>
      <c r="W552" s="378"/>
      <c r="X552" s="378"/>
      <c r="Y552" s="378"/>
      <c r="Z552" s="378"/>
      <c r="AA552" s="378"/>
      <c r="AB552" s="378"/>
      <c r="AC552" s="378"/>
      <c r="AD552" s="378"/>
      <c r="AE552" s="378"/>
      <c r="AF552" s="378"/>
      <c r="AG552" s="378"/>
    </row>
    <row r="553">
      <c r="A553" s="378"/>
      <c r="B553" s="499">
        <f>IFERROR(__xludf.DUMMYFUNCTION("""COMPUTED_VALUE"""),45981.0)</f>
        <v>45981</v>
      </c>
      <c r="C553" s="421">
        <f>IFERROR(__xludf.DUMMYFUNCTION("""COMPUTED_VALUE"""),1876453.0)</f>
        <v>1876453</v>
      </c>
      <c r="D553" s="422" t="str">
        <f>IFERROR(__xludf.DUMMYFUNCTION("""COMPUTED_VALUE"""),", OR, 97015")</f>
        <v>, OR, 97015</v>
      </c>
      <c r="E553" s="423" t="str">
        <f>IFERROR(__xludf.DUMMYFUNCTION("""COMPUTED_VALUE"""),"Carlisle, PA, 17013")</f>
        <v>Carlisle, PA, 17013</v>
      </c>
      <c r="F553" s="500">
        <f>IFERROR(__xludf.DUMMYFUNCTION("""COMPUTED_VALUE"""),8400.0)</f>
        <v>8400</v>
      </c>
      <c r="G553" s="413">
        <v>0.88</v>
      </c>
      <c r="H553" s="414">
        <f t="shared" si="28"/>
        <v>7392</v>
      </c>
      <c r="I553" s="376"/>
      <c r="J553" s="545">
        <f>IFERROR(__xludf.DUMMYFUNCTION("""COMPUTED_VALUE"""),45981.0)</f>
        <v>45981</v>
      </c>
      <c r="K553" s="421">
        <f>IFERROR(__xludf.DUMMYFUNCTION("""COMPUTED_VALUE"""),1876453.0)</f>
        <v>1876453</v>
      </c>
      <c r="L553" s="422" t="str">
        <f>IFERROR(__xludf.DUMMYFUNCTION("""COMPUTED_VALUE"""),", OR, 97015")</f>
        <v>, OR, 97015</v>
      </c>
      <c r="M553" s="423" t="str">
        <f>IFERROR(__xludf.DUMMYFUNCTION("""COMPUTED_VALUE"""),"Carlisle, PA, 17013")</f>
        <v>Carlisle, PA, 17013</v>
      </c>
      <c r="N553" s="546">
        <f>IFERROR(__xludf.DUMMYFUNCTION("""COMPUTED_VALUE"""),2873.0)</f>
        <v>2873</v>
      </c>
      <c r="O553" s="408">
        <v>0.65</v>
      </c>
      <c r="P553" s="414">
        <f t="shared" si="29"/>
        <v>1867.45</v>
      </c>
      <c r="Q553" s="378"/>
      <c r="R553" s="378"/>
      <c r="S553" s="378"/>
      <c r="T553" s="378"/>
      <c r="U553" s="378"/>
      <c r="V553" s="378"/>
      <c r="W553" s="378"/>
      <c r="X553" s="378"/>
      <c r="Y553" s="378"/>
      <c r="Z553" s="378"/>
      <c r="AA553" s="378"/>
      <c r="AB553" s="378"/>
      <c r="AC553" s="378"/>
      <c r="AD553" s="378"/>
      <c r="AE553" s="378"/>
      <c r="AF553" s="378"/>
      <c r="AG553" s="378"/>
    </row>
    <row r="554">
      <c r="A554" s="378"/>
      <c r="B554" s="420"/>
      <c r="C554" s="421"/>
      <c r="D554" s="422"/>
      <c r="E554" s="423"/>
      <c r="F554" s="421"/>
      <c r="G554" s="413"/>
      <c r="H554" s="414"/>
      <c r="I554" s="376"/>
      <c r="J554" s="424"/>
      <c r="K554" s="421"/>
      <c r="L554" s="422"/>
      <c r="M554" s="423"/>
      <c r="N554" s="425"/>
      <c r="O554" s="408">
        <v>0.65</v>
      </c>
      <c r="P554" s="414">
        <f t="shared" si="29"/>
        <v>0</v>
      </c>
      <c r="Q554" s="378"/>
      <c r="R554" s="378"/>
      <c r="S554" s="378"/>
      <c r="T554" s="378"/>
      <c r="U554" s="378"/>
      <c r="V554" s="378"/>
      <c r="W554" s="378"/>
      <c r="X554" s="378"/>
      <c r="Y554" s="378"/>
      <c r="Z554" s="378"/>
      <c r="AA554" s="378"/>
      <c r="AB554" s="378"/>
      <c r="AC554" s="378"/>
      <c r="AD554" s="378"/>
      <c r="AE554" s="378"/>
      <c r="AF554" s="378"/>
      <c r="AG554" s="378"/>
    </row>
    <row r="555">
      <c r="A555" s="378"/>
      <c r="B555" s="420"/>
      <c r="C555" s="421"/>
      <c r="D555" s="422"/>
      <c r="E555" s="423"/>
      <c r="F555" s="421"/>
      <c r="G555" s="413"/>
      <c r="H555" s="414"/>
      <c r="I555" s="376"/>
      <c r="J555" s="424"/>
      <c r="K555" s="421"/>
      <c r="L555" s="422"/>
      <c r="M555" s="423"/>
      <c r="N555" s="425"/>
      <c r="O555" s="408"/>
      <c r="P555" s="414"/>
      <c r="Q555" s="378"/>
      <c r="R555" s="378"/>
      <c r="S555" s="378"/>
      <c r="T555" s="378"/>
      <c r="U555" s="378"/>
      <c r="V555" s="378"/>
      <c r="W555" s="378"/>
      <c r="X555" s="378"/>
      <c r="Y555" s="378"/>
      <c r="Z555" s="378"/>
      <c r="AA555" s="378"/>
      <c r="AB555" s="378"/>
      <c r="AC555" s="378"/>
      <c r="AD555" s="378"/>
      <c r="AE555" s="378"/>
      <c r="AF555" s="378"/>
      <c r="AG555" s="378"/>
    </row>
    <row r="556">
      <c r="A556" s="378"/>
      <c r="B556" s="420"/>
      <c r="C556" s="421"/>
      <c r="D556" s="422"/>
      <c r="E556" s="423"/>
      <c r="F556" s="421"/>
      <c r="G556" s="413"/>
      <c r="H556" s="414"/>
      <c r="I556" s="376"/>
      <c r="J556" s="424"/>
      <c r="K556" s="421"/>
      <c r="L556" s="422"/>
      <c r="M556" s="423"/>
      <c r="N556" s="425"/>
      <c r="O556" s="408"/>
      <c r="P556" s="414"/>
      <c r="Q556" s="378"/>
      <c r="R556" s="378"/>
      <c r="S556" s="378"/>
      <c r="T556" s="378"/>
      <c r="U556" s="378"/>
      <c r="V556" s="378"/>
      <c r="W556" s="378"/>
      <c r="X556" s="378"/>
      <c r="Y556" s="378"/>
      <c r="Z556" s="378"/>
      <c r="AA556" s="378"/>
      <c r="AB556" s="378"/>
      <c r="AC556" s="378"/>
      <c r="AD556" s="378"/>
      <c r="AE556" s="378"/>
      <c r="AF556" s="378"/>
      <c r="AG556" s="378"/>
    </row>
    <row r="557">
      <c r="A557" s="378"/>
      <c r="B557" s="403" t="s">
        <v>711</v>
      </c>
      <c r="C557" s="224"/>
      <c r="D557" s="224"/>
      <c r="E557" s="222"/>
      <c r="F557" s="414">
        <f>SUM(F551:F556)</f>
        <v>9550</v>
      </c>
      <c r="G557" s="421"/>
      <c r="H557" s="414">
        <f>SUM(H551:H556)</f>
        <v>8404</v>
      </c>
      <c r="I557" s="376"/>
      <c r="J557" s="407" t="s">
        <v>711</v>
      </c>
      <c r="K557" s="224"/>
      <c r="L557" s="224"/>
      <c r="M557" s="222"/>
      <c r="N557" s="426">
        <f>SUM(N551:N556)</f>
        <v>3369</v>
      </c>
      <c r="O557" s="427"/>
      <c r="P557" s="414">
        <f>SUM(P551:P556)</f>
        <v>2189.85</v>
      </c>
      <c r="Q557" s="378"/>
      <c r="R557" s="378"/>
      <c r="S557" s="378"/>
      <c r="T557" s="378"/>
      <c r="U557" s="378"/>
      <c r="V557" s="378"/>
      <c r="W557" s="378"/>
      <c r="X557" s="378"/>
      <c r="Y557" s="378"/>
      <c r="Z557" s="378"/>
      <c r="AA557" s="378"/>
      <c r="AB557" s="378"/>
      <c r="AC557" s="378"/>
      <c r="AD557" s="378"/>
      <c r="AE557" s="378"/>
      <c r="AF557" s="378"/>
      <c r="AG557" s="378"/>
    </row>
    <row r="558">
      <c r="A558" s="378"/>
      <c r="B558" s="428"/>
      <c r="C558" s="419"/>
      <c r="D558" s="419"/>
      <c r="E558" s="419"/>
      <c r="F558" s="419"/>
      <c r="G558" s="419"/>
      <c r="H558" s="429"/>
      <c r="I558" s="376"/>
      <c r="J558" s="430"/>
      <c r="K558" s="419"/>
      <c r="L558" s="419"/>
      <c r="M558" s="419"/>
      <c r="N558" s="431"/>
      <c r="O558" s="432"/>
      <c r="P558" s="429"/>
      <c r="Q558" s="378"/>
      <c r="R558" s="378"/>
      <c r="S558" s="378"/>
      <c r="T558" s="378"/>
      <c r="U558" s="378"/>
      <c r="V558" s="378"/>
      <c r="W558" s="378"/>
      <c r="X558" s="378"/>
      <c r="Y558" s="378"/>
      <c r="Z558" s="378"/>
      <c r="AA558" s="378"/>
      <c r="AB558" s="378"/>
      <c r="AC558" s="378"/>
      <c r="AD558" s="378"/>
      <c r="AE558" s="378"/>
      <c r="AF558" s="378"/>
      <c r="AG558" s="378"/>
    </row>
    <row r="559">
      <c r="A559" s="378"/>
      <c r="B559" s="433" t="s">
        <v>712</v>
      </c>
      <c r="C559" s="434"/>
      <c r="D559" s="435"/>
      <c r="E559" s="419"/>
      <c r="F559" s="419"/>
      <c r="G559" s="419"/>
      <c r="H559" s="429"/>
      <c r="I559" s="376"/>
      <c r="J559" s="437" t="s">
        <v>712</v>
      </c>
      <c r="K559" s="434"/>
      <c r="L559" s="435"/>
      <c r="M559" s="419"/>
      <c r="N559" s="431"/>
      <c r="O559" s="432"/>
      <c r="P559" s="429"/>
      <c r="Q559" s="378"/>
      <c r="R559" s="378"/>
      <c r="S559" s="378"/>
      <c r="T559" s="378"/>
      <c r="U559" s="378"/>
      <c r="V559" s="378"/>
      <c r="W559" s="378"/>
      <c r="X559" s="378"/>
      <c r="Y559" s="378"/>
      <c r="Z559" s="378"/>
      <c r="AA559" s="378"/>
      <c r="AB559" s="378"/>
      <c r="AC559" s="378"/>
      <c r="AD559" s="378"/>
      <c r="AE559" s="378"/>
      <c r="AF559" s="378"/>
      <c r="AG559" s="378"/>
    </row>
    <row r="560">
      <c r="A560" s="378"/>
      <c r="B560" s="438"/>
      <c r="C560" s="439"/>
      <c r="D560" s="440"/>
      <c r="E560" s="419"/>
      <c r="F560" s="419"/>
      <c r="G560" s="419"/>
      <c r="H560" s="429"/>
      <c r="I560" s="376"/>
      <c r="J560" s="443"/>
      <c r="K560" s="439"/>
      <c r="L560" s="440"/>
      <c r="M560" s="419"/>
      <c r="N560" s="431"/>
      <c r="O560" s="432"/>
      <c r="P560" s="429"/>
      <c r="Q560" s="378"/>
      <c r="R560" s="378"/>
      <c r="S560" s="378"/>
      <c r="T560" s="378"/>
      <c r="U560" s="378"/>
      <c r="V560" s="378"/>
      <c r="W560" s="378"/>
      <c r="X560" s="378"/>
      <c r="Y560" s="378"/>
      <c r="Z560" s="378"/>
      <c r="AA560" s="378"/>
      <c r="AB560" s="378"/>
      <c r="AC560" s="378"/>
      <c r="AD560" s="378"/>
      <c r="AE560" s="378"/>
      <c r="AF560" s="378"/>
      <c r="AG560" s="378"/>
    </row>
    <row r="561">
      <c r="A561" s="378"/>
      <c r="B561" s="444"/>
      <c r="C561" s="434"/>
      <c r="D561" s="435"/>
      <c r="E561" s="419"/>
      <c r="F561" s="463"/>
      <c r="G561" s="463"/>
      <c r="H561" s="448"/>
      <c r="I561" s="376"/>
      <c r="J561" s="445"/>
      <c r="K561" s="434"/>
      <c r="L561" s="435"/>
      <c r="M561" s="419"/>
      <c r="N561" s="446"/>
      <c r="O561" s="447"/>
      <c r="P561" s="448"/>
      <c r="Q561" s="378"/>
      <c r="R561" s="378"/>
      <c r="S561" s="378"/>
      <c r="T561" s="378"/>
      <c r="U561" s="378"/>
      <c r="V561" s="378"/>
      <c r="W561" s="378"/>
      <c r="X561" s="378"/>
      <c r="Y561" s="378"/>
      <c r="Z561" s="378"/>
      <c r="AA561" s="378"/>
      <c r="AB561" s="378"/>
      <c r="AC561" s="378"/>
      <c r="AD561" s="378"/>
      <c r="AE561" s="378"/>
      <c r="AF561" s="378"/>
      <c r="AG561" s="378"/>
    </row>
    <row r="562">
      <c r="A562" s="378"/>
      <c r="B562" s="438" t="s">
        <v>714</v>
      </c>
      <c r="C562" s="439">
        <f>SUM(C560:C561)</f>
        <v>0</v>
      </c>
      <c r="D562" s="440"/>
      <c r="E562" s="419"/>
      <c r="F562" s="463"/>
      <c r="G562" s="463"/>
      <c r="H562" s="448"/>
      <c r="I562" s="376"/>
      <c r="J562" s="443" t="s">
        <v>714</v>
      </c>
      <c r="K562" s="439">
        <f>SUM(K560:K561)</f>
        <v>0</v>
      </c>
      <c r="L562" s="440"/>
      <c r="M562" s="419"/>
      <c r="N562" s="446"/>
      <c r="O562" s="447"/>
      <c r="P562" s="448"/>
      <c r="Q562" s="378"/>
      <c r="R562" s="378"/>
      <c r="S562" s="378"/>
      <c r="T562" s="378"/>
      <c r="U562" s="378"/>
      <c r="V562" s="378"/>
      <c r="W562" s="378"/>
      <c r="X562" s="378"/>
      <c r="Y562" s="378"/>
      <c r="Z562" s="378"/>
      <c r="AA562" s="378"/>
      <c r="AB562" s="378"/>
      <c r="AC562" s="378"/>
      <c r="AD562" s="378"/>
      <c r="AE562" s="378"/>
      <c r="AF562" s="378"/>
      <c r="AG562" s="378"/>
    </row>
    <row r="563">
      <c r="A563" s="378"/>
      <c r="B563" s="450"/>
      <c r="C563" s="451"/>
      <c r="D563" s="419"/>
      <c r="E563" s="419"/>
      <c r="F563" s="463"/>
      <c r="G563" s="463"/>
      <c r="H563" s="448"/>
      <c r="I563" s="376"/>
      <c r="J563" s="535"/>
      <c r="K563" s="451"/>
      <c r="L563" s="419"/>
      <c r="M563" s="419"/>
      <c r="N563" s="446"/>
      <c r="O563" s="447"/>
      <c r="P563" s="448"/>
      <c r="Q563" s="378"/>
      <c r="R563" s="378"/>
      <c r="S563" s="378"/>
      <c r="T563" s="378"/>
      <c r="U563" s="378"/>
      <c r="V563" s="378"/>
      <c r="W563" s="378"/>
      <c r="X563" s="378"/>
      <c r="Y563" s="378"/>
      <c r="Z563" s="378"/>
      <c r="AA563" s="378"/>
      <c r="AB563" s="378"/>
      <c r="AC563" s="378"/>
      <c r="AD563" s="378"/>
      <c r="AE563" s="378"/>
      <c r="AF563" s="378"/>
      <c r="AG563" s="378"/>
    </row>
    <row r="564">
      <c r="A564" s="378"/>
      <c r="B564" s="454" t="s">
        <v>715</v>
      </c>
      <c r="C564" s="455"/>
      <c r="D564" s="435"/>
      <c r="E564" s="419"/>
      <c r="F564" s="463"/>
      <c r="G564" s="463"/>
      <c r="H564" s="448"/>
      <c r="I564" s="376"/>
      <c r="J564" s="458" t="s">
        <v>715</v>
      </c>
      <c r="K564" s="455"/>
      <c r="L564" s="435"/>
      <c r="M564" s="419"/>
      <c r="N564" s="446"/>
      <c r="O564" s="447"/>
      <c r="P564" s="448"/>
      <c r="Q564" s="378"/>
      <c r="R564" s="378"/>
      <c r="S564" s="378"/>
      <c r="T564" s="378"/>
      <c r="U564" s="378"/>
      <c r="V564" s="378"/>
      <c r="W564" s="378"/>
      <c r="X564" s="378"/>
      <c r="Y564" s="378"/>
      <c r="Z564" s="378"/>
      <c r="AA564" s="378"/>
      <c r="AB564" s="378"/>
      <c r="AC564" s="378"/>
      <c r="AD564" s="378"/>
      <c r="AE564" s="378"/>
      <c r="AF564" s="378"/>
      <c r="AG564" s="378"/>
    </row>
    <row r="565">
      <c r="A565" s="378"/>
      <c r="B565" s="459" t="s">
        <v>716</v>
      </c>
      <c r="C565" s="460">
        <v>150.0</v>
      </c>
      <c r="D565" s="440"/>
      <c r="E565" s="419"/>
      <c r="F565" s="463"/>
      <c r="G565" s="463"/>
      <c r="H565" s="448"/>
      <c r="I565" s="376"/>
      <c r="J565" s="462"/>
      <c r="K565" s="460"/>
      <c r="L565" s="440"/>
      <c r="M565" s="419"/>
      <c r="N565" s="446"/>
      <c r="O565" s="447"/>
      <c r="P565" s="448"/>
      <c r="Q565" s="378"/>
      <c r="R565" s="378"/>
      <c r="S565" s="378"/>
      <c r="T565" s="378"/>
      <c r="U565" s="378"/>
      <c r="V565" s="378"/>
      <c r="W565" s="378"/>
      <c r="X565" s="378"/>
      <c r="Y565" s="378"/>
      <c r="Z565" s="378"/>
      <c r="AA565" s="378"/>
      <c r="AB565" s="378"/>
      <c r="AC565" s="378"/>
      <c r="AD565" s="378"/>
      <c r="AE565" s="378"/>
      <c r="AF565" s="378"/>
      <c r="AG565" s="378"/>
    </row>
    <row r="566">
      <c r="A566" s="378"/>
      <c r="B566" s="459" t="s">
        <v>717</v>
      </c>
      <c r="C566" s="460">
        <v>400.0</v>
      </c>
      <c r="D566" s="440"/>
      <c r="E566" s="419"/>
      <c r="F566" s="463"/>
      <c r="G566" s="463"/>
      <c r="H566" s="448"/>
      <c r="I566" s="376"/>
      <c r="J566" s="462"/>
      <c r="K566" s="460"/>
      <c r="L566" s="440"/>
      <c r="M566" s="419"/>
      <c r="N566" s="446"/>
      <c r="O566" s="447"/>
      <c r="P566" s="448"/>
      <c r="Q566" s="378"/>
      <c r="R566" s="378"/>
      <c r="S566" s="378"/>
      <c r="T566" s="378"/>
      <c r="U566" s="378"/>
      <c r="V566" s="378"/>
      <c r="W566" s="378"/>
      <c r="X566" s="378"/>
      <c r="Y566" s="378"/>
      <c r="Z566" s="378"/>
      <c r="AA566" s="378"/>
      <c r="AB566" s="378"/>
      <c r="AC566" s="378"/>
      <c r="AD566" s="378"/>
      <c r="AE566" s="378"/>
      <c r="AF566" s="378"/>
      <c r="AG566" s="378"/>
    </row>
    <row r="567">
      <c r="A567" s="378"/>
      <c r="B567" s="459" t="s">
        <v>718</v>
      </c>
      <c r="C567" s="460">
        <v>200.0</v>
      </c>
      <c r="D567" s="440"/>
      <c r="E567" s="419"/>
      <c r="F567" s="463"/>
      <c r="G567" s="463"/>
      <c r="H567" s="448"/>
      <c r="I567" s="376"/>
      <c r="J567" s="462"/>
      <c r="K567" s="460"/>
      <c r="L567" s="440"/>
      <c r="M567" s="419"/>
      <c r="N567" s="446"/>
      <c r="O567" s="447"/>
      <c r="P567" s="448"/>
      <c r="Q567" s="378"/>
      <c r="R567" s="378"/>
      <c r="S567" s="378"/>
      <c r="T567" s="378"/>
      <c r="U567" s="378"/>
      <c r="V567" s="378"/>
      <c r="W567" s="378"/>
      <c r="X567" s="378"/>
      <c r="Y567" s="378"/>
      <c r="Z567" s="378"/>
      <c r="AA567" s="378"/>
      <c r="AB567" s="378"/>
      <c r="AC567" s="378"/>
      <c r="AD567" s="378"/>
      <c r="AE567" s="378"/>
      <c r="AF567" s="378"/>
      <c r="AG567" s="378"/>
    </row>
    <row r="568">
      <c r="A568" s="378"/>
      <c r="B568" s="459" t="s">
        <v>656</v>
      </c>
      <c r="C568" s="460" t="str">
        <f>IFERROR(__xludf.DUMMYFUNCTION("FILTER(D1045:D1073,C1045:C1073=F549)"),"#N/A")</f>
        <v>#N/A</v>
      </c>
      <c r="D568" s="440"/>
      <c r="E568" s="419"/>
      <c r="F568" s="463"/>
      <c r="G568" s="463"/>
      <c r="H568" s="448"/>
      <c r="I568" s="376"/>
      <c r="J568" s="462"/>
      <c r="K568" s="460"/>
      <c r="L568" s="440"/>
      <c r="M568" s="419"/>
      <c r="N568" s="446"/>
      <c r="O568" s="447"/>
      <c r="P568" s="448"/>
      <c r="Q568" s="378"/>
      <c r="R568" s="378"/>
      <c r="S568" s="378"/>
      <c r="T568" s="378"/>
      <c r="U568" s="378"/>
      <c r="V568" s="378"/>
      <c r="W568" s="378"/>
      <c r="X568" s="378"/>
      <c r="Y568" s="378"/>
      <c r="Z568" s="378"/>
      <c r="AA568" s="378"/>
      <c r="AB568" s="378"/>
      <c r="AC568" s="378"/>
      <c r="AD568" s="378"/>
      <c r="AE568" s="378"/>
      <c r="AF568" s="378"/>
      <c r="AG568" s="378"/>
    </row>
    <row r="569">
      <c r="A569" s="378"/>
      <c r="B569" s="464"/>
      <c r="C569" s="455"/>
      <c r="D569" s="435"/>
      <c r="E569" s="419"/>
      <c r="F569" s="561" t="s">
        <v>881</v>
      </c>
      <c r="G569" s="466" t="str">
        <f>H557+C562-C574</f>
        <v>#N/A</v>
      </c>
      <c r="H569" s="211"/>
      <c r="I569" s="376"/>
      <c r="J569" s="467"/>
      <c r="K569" s="455"/>
      <c r="L569" s="435"/>
      <c r="M569" s="419"/>
      <c r="N569" s="468" t="s">
        <v>842</v>
      </c>
      <c r="O569" s="539">
        <f>P557+K562-K574</f>
        <v>2189.85</v>
      </c>
      <c r="P569" s="211"/>
      <c r="Q569" s="378"/>
      <c r="R569" s="378"/>
      <c r="S569" s="378"/>
      <c r="T569" s="378"/>
      <c r="U569" s="378"/>
      <c r="V569" s="378"/>
      <c r="W569" s="378"/>
      <c r="X569" s="378"/>
      <c r="Y569" s="378"/>
      <c r="Z569" s="378"/>
      <c r="AA569" s="378"/>
      <c r="AB569" s="378"/>
      <c r="AC569" s="378"/>
      <c r="AD569" s="378"/>
      <c r="AE569" s="378"/>
      <c r="AF569" s="378"/>
      <c r="AG569" s="378"/>
    </row>
    <row r="570">
      <c r="A570" s="378"/>
      <c r="B570" s="464"/>
      <c r="C570" s="455"/>
      <c r="D570" s="435"/>
      <c r="E570" s="419"/>
      <c r="F570" s="55"/>
      <c r="G570" s="278"/>
      <c r="H570" s="56"/>
      <c r="I570" s="376"/>
      <c r="J570" s="467"/>
      <c r="K570" s="455"/>
      <c r="L570" s="435"/>
      <c r="M570" s="419"/>
      <c r="N570" s="469" t="s">
        <v>854</v>
      </c>
      <c r="O570" s="278"/>
      <c r="P570" s="56"/>
      <c r="Q570" s="378"/>
      <c r="R570" s="378"/>
      <c r="S570" s="378"/>
      <c r="T570" s="378"/>
      <c r="U570" s="378"/>
      <c r="V570" s="378"/>
      <c r="W570" s="378"/>
      <c r="X570" s="378"/>
      <c r="Y570" s="378"/>
      <c r="Z570" s="378"/>
      <c r="AA570" s="378"/>
      <c r="AB570" s="378"/>
      <c r="AC570" s="378"/>
      <c r="AD570" s="378"/>
      <c r="AE570" s="378"/>
      <c r="AF570" s="378"/>
      <c r="AG570" s="378"/>
    </row>
    <row r="571">
      <c r="A571" s="378"/>
      <c r="B571" s="464"/>
      <c r="C571" s="455"/>
      <c r="D571" s="435"/>
      <c r="E571" s="419"/>
      <c r="F571" s="60"/>
      <c r="G571" s="215"/>
      <c r="H571" s="64"/>
      <c r="I571" s="376"/>
      <c r="J571" s="467"/>
      <c r="K571" s="455"/>
      <c r="L571" s="435"/>
      <c r="M571" s="419"/>
      <c r="N571" s="470"/>
      <c r="O571" s="215"/>
      <c r="P571" s="64"/>
      <c r="Q571" s="378"/>
      <c r="R571" s="378"/>
      <c r="S571" s="378"/>
      <c r="T571" s="378"/>
      <c r="U571" s="378"/>
      <c r="V571" s="378"/>
      <c r="W571" s="378"/>
      <c r="X571" s="378"/>
      <c r="Y571" s="378"/>
      <c r="Z571" s="378"/>
      <c r="AA571" s="378"/>
      <c r="AB571" s="378"/>
      <c r="AC571" s="378"/>
      <c r="AD571" s="378"/>
      <c r="AE571" s="378"/>
      <c r="AF571" s="378"/>
      <c r="AG571" s="378"/>
    </row>
    <row r="572">
      <c r="A572" s="378"/>
      <c r="B572" s="464"/>
      <c r="C572" s="455"/>
      <c r="D572" s="435"/>
      <c r="E572" s="419"/>
      <c r="F572" s="419"/>
      <c r="G572" s="419"/>
      <c r="H572" s="429"/>
      <c r="I572" s="376"/>
      <c r="J572" s="467"/>
      <c r="K572" s="455"/>
      <c r="L572" s="435"/>
      <c r="M572" s="419"/>
      <c r="N572" s="431"/>
      <c r="O572" s="432"/>
      <c r="P572" s="429"/>
      <c r="Q572" s="378"/>
      <c r="R572" s="378"/>
      <c r="S572" s="378"/>
      <c r="T572" s="378"/>
      <c r="U572" s="378"/>
      <c r="V572" s="378"/>
      <c r="W572" s="378"/>
      <c r="X572" s="378"/>
      <c r="Y572" s="378"/>
      <c r="Z572" s="378"/>
      <c r="AA572" s="378"/>
      <c r="AB572" s="378"/>
      <c r="AC572" s="378"/>
      <c r="AD572" s="378"/>
      <c r="AE572" s="378"/>
      <c r="AF572" s="378"/>
      <c r="AG572" s="378"/>
    </row>
    <row r="573">
      <c r="A573" s="378"/>
      <c r="B573" s="464"/>
      <c r="C573" s="455"/>
      <c r="D573" s="435"/>
      <c r="E573" s="419"/>
      <c r="F573" s="419"/>
      <c r="G573" s="419"/>
      <c r="H573" s="429"/>
      <c r="I573" s="376"/>
      <c r="J573" s="467"/>
      <c r="K573" s="455"/>
      <c r="L573" s="435"/>
      <c r="M573" s="419"/>
      <c r="N573" s="431"/>
      <c r="O573" s="432"/>
      <c r="P573" s="429"/>
      <c r="Q573" s="378"/>
      <c r="R573" s="378"/>
      <c r="S573" s="378"/>
      <c r="T573" s="378"/>
      <c r="U573" s="378"/>
      <c r="V573" s="378"/>
      <c r="W573" s="378"/>
      <c r="X573" s="378"/>
      <c r="Y573" s="378"/>
      <c r="Z573" s="378"/>
      <c r="AA573" s="378"/>
      <c r="AB573" s="378"/>
      <c r="AC573" s="378"/>
      <c r="AD573" s="378"/>
      <c r="AE573" s="378"/>
      <c r="AF573" s="378"/>
      <c r="AG573" s="378"/>
    </row>
    <row r="574">
      <c r="A574" s="378"/>
      <c r="B574" s="454" t="s">
        <v>721</v>
      </c>
      <c r="C574" s="460" t="str">
        <f>SUM(C565:C573)</f>
        <v>#N/A</v>
      </c>
      <c r="D574" s="440"/>
      <c r="E574" s="419"/>
      <c r="F574" s="419"/>
      <c r="G574" s="419"/>
      <c r="H574" s="429"/>
      <c r="I574" s="376"/>
      <c r="J574" s="458" t="s">
        <v>721</v>
      </c>
      <c r="K574" s="460">
        <f>SUM(K565:K573)</f>
        <v>0</v>
      </c>
      <c r="L574" s="440"/>
      <c r="M574" s="419"/>
      <c r="N574" s="431"/>
      <c r="O574" s="432"/>
      <c r="P574" s="429"/>
      <c r="Q574" s="378"/>
      <c r="R574" s="378"/>
      <c r="S574" s="378"/>
      <c r="T574" s="378"/>
      <c r="U574" s="378"/>
      <c r="V574" s="378"/>
      <c r="W574" s="378"/>
      <c r="X574" s="378"/>
      <c r="Y574" s="378"/>
      <c r="Z574" s="378"/>
      <c r="AA574" s="378"/>
      <c r="AB574" s="378"/>
      <c r="AC574" s="378"/>
      <c r="AD574" s="378"/>
      <c r="AE574" s="378"/>
      <c r="AF574" s="378"/>
      <c r="AG574" s="378"/>
    </row>
    <row r="575">
      <c r="A575" s="378"/>
      <c r="B575" s="471"/>
      <c r="C575" s="472"/>
      <c r="D575" s="472"/>
      <c r="E575" s="472"/>
      <c r="F575" s="472"/>
      <c r="G575" s="472"/>
      <c r="H575" s="473"/>
      <c r="I575" s="376"/>
      <c r="J575" s="474"/>
      <c r="K575" s="472"/>
      <c r="L575" s="472"/>
      <c r="M575" s="472"/>
      <c r="N575" s="475"/>
      <c r="O575" s="476"/>
      <c r="P575" s="473"/>
      <c r="Q575" s="378"/>
      <c r="R575" s="378"/>
      <c r="S575" s="378"/>
      <c r="T575" s="378"/>
      <c r="U575" s="378"/>
      <c r="V575" s="378"/>
      <c r="W575" s="378"/>
      <c r="X575" s="378"/>
      <c r="Y575" s="378"/>
      <c r="Z575" s="378"/>
      <c r="AA575" s="378"/>
      <c r="AB575" s="378"/>
      <c r="AC575" s="378"/>
      <c r="AD575" s="378"/>
      <c r="AE575" s="378"/>
      <c r="AF575" s="378"/>
      <c r="AG575" s="378"/>
    </row>
    <row r="576">
      <c r="A576" s="378"/>
      <c r="B576" s="550"/>
      <c r="C576" s="463"/>
      <c r="D576" s="463"/>
      <c r="E576" s="463"/>
      <c r="F576" s="463"/>
      <c r="G576" s="463"/>
      <c r="H576" s="463"/>
      <c r="I576" s="376"/>
      <c r="J576" s="377"/>
      <c r="K576" s="378"/>
      <c r="L576" s="378"/>
      <c r="M576" s="378"/>
      <c r="N576" s="379"/>
      <c r="O576" s="380"/>
      <c r="P576" s="378"/>
      <c r="Q576" s="378"/>
      <c r="R576" s="378"/>
      <c r="S576" s="378"/>
      <c r="T576" s="378"/>
      <c r="U576" s="378"/>
      <c r="V576" s="378"/>
      <c r="W576" s="378"/>
      <c r="X576" s="378"/>
      <c r="Y576" s="378"/>
      <c r="Z576" s="378"/>
      <c r="AA576" s="378"/>
      <c r="AB576" s="378"/>
      <c r="AC576" s="378"/>
      <c r="AD576" s="378"/>
      <c r="AE576" s="378"/>
      <c r="AF576" s="378"/>
      <c r="AG576" s="378"/>
    </row>
    <row r="577">
      <c r="A577" s="378"/>
      <c r="B577" s="550"/>
      <c r="C577" s="463"/>
      <c r="D577" s="463"/>
      <c r="E577" s="463"/>
      <c r="F577" s="463"/>
      <c r="G577" s="463"/>
      <c r="H577" s="463"/>
      <c r="I577" s="376"/>
      <c r="J577" s="377"/>
      <c r="K577" s="378"/>
      <c r="L577" s="378"/>
      <c r="M577" s="378"/>
      <c r="N577" s="379"/>
      <c r="O577" s="380"/>
      <c r="P577" s="378"/>
      <c r="Q577" s="378"/>
      <c r="R577" s="378"/>
      <c r="S577" s="378"/>
      <c r="T577" s="378"/>
      <c r="U577" s="378"/>
      <c r="V577" s="378"/>
      <c r="W577" s="378"/>
      <c r="X577" s="378"/>
      <c r="Y577" s="378"/>
      <c r="Z577" s="378"/>
      <c r="AA577" s="378"/>
      <c r="AB577" s="378"/>
      <c r="AC577" s="378"/>
      <c r="AD577" s="378"/>
      <c r="AE577" s="378"/>
      <c r="AF577" s="378"/>
      <c r="AG577" s="378"/>
    </row>
    <row r="578">
      <c r="A578" s="378"/>
      <c r="B578" s="382"/>
      <c r="C578" s="388"/>
      <c r="D578" s="384"/>
      <c r="E578" s="385" t="s">
        <v>700</v>
      </c>
      <c r="F578" s="385" t="str">
        <f>Board!A2</f>
        <v>11.17.25-11.23.25</v>
      </c>
      <c r="G578" s="213"/>
      <c r="H578" s="211"/>
      <c r="I578" s="563">
        <v>17.0</v>
      </c>
      <c r="J578" s="387"/>
      <c r="K578" s="388"/>
      <c r="L578" s="384"/>
      <c r="M578" s="385" t="s">
        <v>700</v>
      </c>
      <c r="N578" s="385" t="str">
        <f>Board!A2</f>
        <v>11.17.25-11.23.25</v>
      </c>
      <c r="O578" s="213"/>
      <c r="P578" s="211"/>
      <c r="Q578" s="378"/>
      <c r="R578" s="389" t="s">
        <v>831</v>
      </c>
      <c r="S578" s="389" t="s">
        <v>652</v>
      </c>
      <c r="T578" s="390" t="s">
        <v>832</v>
      </c>
      <c r="U578" s="391" t="s">
        <v>833</v>
      </c>
      <c r="V578" s="389" t="s">
        <v>655</v>
      </c>
      <c r="W578" s="389" t="s">
        <v>8</v>
      </c>
      <c r="X578" s="389" t="s">
        <v>656</v>
      </c>
      <c r="Y578" s="390" t="s">
        <v>834</v>
      </c>
      <c r="Z578" s="392" t="s">
        <v>835</v>
      </c>
      <c r="AA578" s="390" t="s">
        <v>836</v>
      </c>
      <c r="AB578" s="390" t="s">
        <v>837</v>
      </c>
      <c r="AC578" s="393" t="s">
        <v>716</v>
      </c>
      <c r="AD578" s="393" t="s">
        <v>717</v>
      </c>
      <c r="AE578" s="393" t="s">
        <v>718</v>
      </c>
      <c r="AF578" s="394" t="s">
        <v>838</v>
      </c>
      <c r="AG578" s="394"/>
    </row>
    <row r="579">
      <c r="A579" s="378"/>
      <c r="B579" s="395"/>
      <c r="C579" s="372"/>
      <c r="D579" s="396"/>
      <c r="E579" s="385" t="s">
        <v>702</v>
      </c>
      <c r="F579" s="385" t="s">
        <v>819</v>
      </c>
      <c r="G579" s="213"/>
      <c r="H579" s="211"/>
      <c r="I579" s="376"/>
      <c r="J579" s="397"/>
      <c r="K579" s="372"/>
      <c r="L579" s="396"/>
      <c r="M579" s="385" t="s">
        <v>351</v>
      </c>
      <c r="N579" s="385" t="str">
        <f t="array" ref="N579">XLOOKUP(N580,Board!K:K,Board!J:J)</f>
        <v>FENEL EDME</v>
      </c>
      <c r="O579" s="213"/>
      <c r="P579" s="211"/>
      <c r="Q579" s="378"/>
      <c r="R579" s="398">
        <f>I578</f>
        <v>17</v>
      </c>
      <c r="S579" s="398">
        <f>F580</f>
        <v>5490</v>
      </c>
      <c r="T579" s="399" t="str">
        <f>G600</f>
        <v>#N/A</v>
      </c>
      <c r="U579" s="378" t="str">
        <f>N579</f>
        <v>FENEL EDME</v>
      </c>
      <c r="V579" s="380">
        <f>O600</f>
        <v>1467.7</v>
      </c>
      <c r="W579" s="399">
        <f>P588</f>
        <v>1467.7</v>
      </c>
      <c r="X579" s="399" t="str">
        <f>C599</f>
        <v>#N/A</v>
      </c>
      <c r="Y579" s="400">
        <f>N588</f>
        <v>2258</v>
      </c>
      <c r="Z579" s="378" t="str">
        <f>V580-V579</f>
        <v>#N/A</v>
      </c>
      <c r="AA579" s="378"/>
      <c r="AB579" s="378"/>
      <c r="AC579" s="401">
        <f>C596</f>
        <v>0</v>
      </c>
      <c r="AD579" s="401">
        <f>C597</f>
        <v>0</v>
      </c>
      <c r="AE579" s="401">
        <f>C598</f>
        <v>0</v>
      </c>
      <c r="AF579" s="530">
        <f>C600+C601+C602+C603+C604</f>
        <v>150</v>
      </c>
      <c r="AG579" s="398"/>
    </row>
    <row r="580">
      <c r="A580" s="378"/>
      <c r="B580" s="395"/>
      <c r="C580" s="372"/>
      <c r="D580" s="402"/>
      <c r="E580" s="385" t="s">
        <v>703</v>
      </c>
      <c r="F580" s="385">
        <v>5490.0</v>
      </c>
      <c r="G580" s="532">
        <v>3881.0</v>
      </c>
      <c r="H580" s="533"/>
      <c r="I580" s="376"/>
      <c r="J580" s="397"/>
      <c r="K580" s="372"/>
      <c r="L580" s="402"/>
      <c r="M580" s="385" t="s">
        <v>703</v>
      </c>
      <c r="N580" s="385">
        <f>F580</f>
        <v>5490</v>
      </c>
      <c r="O580" s="532">
        <v>3881.0</v>
      </c>
      <c r="P580" s="533"/>
      <c r="Q580" s="378"/>
      <c r="R580" s="378"/>
      <c r="S580" s="378"/>
      <c r="T580" s="378"/>
      <c r="U580" s="378" t="str">
        <f>F579</f>
        <v>Cey&amp;Cey LLC</v>
      </c>
      <c r="V580" s="399" t="str">
        <f>G600</f>
        <v>#N/A</v>
      </c>
      <c r="W580" s="399">
        <f>H588</f>
        <v>4488</v>
      </c>
      <c r="X580" s="378"/>
      <c r="Y580" s="378"/>
      <c r="Z580" s="378"/>
      <c r="AA580" s="378"/>
      <c r="AB580" s="378"/>
      <c r="AC580" s="378"/>
      <c r="AD580" s="378"/>
      <c r="AE580" s="378"/>
      <c r="AF580" s="378"/>
      <c r="AG580" s="378"/>
    </row>
    <row r="581">
      <c r="A581" s="378"/>
      <c r="B581" s="403" t="s">
        <v>704</v>
      </c>
      <c r="C581" s="404" t="s">
        <v>5</v>
      </c>
      <c r="D581" s="405" t="s">
        <v>6</v>
      </c>
      <c r="E581" s="406" t="s">
        <v>7</v>
      </c>
      <c r="F581" s="404" t="s">
        <v>8</v>
      </c>
      <c r="G581" s="404" t="s">
        <v>706</v>
      </c>
      <c r="H581" s="404" t="s">
        <v>707</v>
      </c>
      <c r="I581" s="376"/>
      <c r="J581" s="407" t="s">
        <v>704</v>
      </c>
      <c r="K581" s="404" t="s">
        <v>5</v>
      </c>
      <c r="L581" s="405" t="s">
        <v>6</v>
      </c>
      <c r="M581" s="406" t="s">
        <v>7</v>
      </c>
      <c r="N581" s="404" t="s">
        <v>591</v>
      </c>
      <c r="O581" s="408" t="s">
        <v>839</v>
      </c>
      <c r="P581" s="404" t="s">
        <v>707</v>
      </c>
      <c r="Q581" s="378"/>
      <c r="R581" s="378"/>
      <c r="S581" s="378"/>
      <c r="T581" s="378"/>
      <c r="U581" s="378"/>
      <c r="V581" s="378"/>
      <c r="W581" s="378"/>
      <c r="X581" s="378"/>
      <c r="Y581" s="378"/>
      <c r="Z581" s="378"/>
      <c r="AA581" s="378"/>
      <c r="AB581" s="378"/>
      <c r="AC581" s="378"/>
      <c r="AD581" s="378"/>
      <c r="AE581" s="378"/>
      <c r="AF581" s="378"/>
      <c r="AG581" s="378"/>
    </row>
    <row r="582">
      <c r="A582" s="378"/>
      <c r="B582" s="555">
        <f>IFERROR(__xludf.DUMMYFUNCTION("FILTER(Board!C:G,Board!K:K=F580)"),45980.0)</f>
        <v>45980</v>
      </c>
      <c r="C582" s="404">
        <f>IFERROR(__xludf.DUMMYFUNCTION("""COMPUTED_VALUE"""),1529641.0)</f>
        <v>1529641</v>
      </c>
      <c r="D582" s="405" t="str">
        <f>IFERROR(__xludf.DUMMYFUNCTION("""COMPUTED_VALUE"""),"Portland, ME, 04103")</f>
        <v>Portland, ME, 04103</v>
      </c>
      <c r="E582" s="406" t="str">
        <f>IFERROR(__xludf.DUMMYFUNCTION("""COMPUTED_VALUE"""),"Mechanicsburg, PA, 17050")</f>
        <v>Mechanicsburg, PA, 17050</v>
      </c>
      <c r="F582" s="414">
        <f>IFERROR(__xludf.DUMMYFUNCTION("""COMPUTED_VALUE"""),1200.0)</f>
        <v>1200</v>
      </c>
      <c r="G582" s="413">
        <v>0.88</v>
      </c>
      <c r="H582" s="414">
        <f t="shared" ref="H582:H584" si="30">F582*G582</f>
        <v>1056</v>
      </c>
      <c r="I582" s="376"/>
      <c r="J582" s="415">
        <f>IFERROR(__xludf.DUMMYFUNCTION("FILTER(Board!C:F,Board!K:K=N580)"),45980.0)</f>
        <v>45980</v>
      </c>
      <c r="K582" s="411">
        <f>IFERROR(__xludf.DUMMYFUNCTION("""COMPUTED_VALUE"""),1529641.0)</f>
        <v>1529641</v>
      </c>
      <c r="L582" s="411" t="str">
        <f>IFERROR(__xludf.DUMMYFUNCTION("""COMPUTED_VALUE"""),"Portland, ME, 04103")</f>
        <v>Portland, ME, 04103</v>
      </c>
      <c r="M582" s="411" t="str">
        <f>IFERROR(__xludf.DUMMYFUNCTION("""COMPUTED_VALUE"""),"Mechanicsburg, PA, 17050")</f>
        <v>Mechanicsburg, PA, 17050</v>
      </c>
      <c r="N582" s="416">
        <f>IFERROR(__xludf.DUMMYFUNCTION("FILTER(Board!H:H,Board!K:K=N580)"),644.0)</f>
        <v>644</v>
      </c>
      <c r="O582" s="408">
        <v>0.65</v>
      </c>
      <c r="P582" s="414">
        <f t="shared" ref="P582:P584" si="31">N582*O582</f>
        <v>418.6</v>
      </c>
      <c r="Q582" s="378"/>
      <c r="R582" s="378"/>
      <c r="S582" s="378"/>
      <c r="T582" s="378"/>
      <c r="U582" s="378"/>
      <c r="V582" s="378"/>
      <c r="W582" s="378"/>
      <c r="X582" s="378"/>
      <c r="Y582" s="378"/>
      <c r="Z582" s="378"/>
      <c r="AA582" s="378"/>
      <c r="AB582" s="378"/>
      <c r="AC582" s="378"/>
      <c r="AD582" s="378"/>
      <c r="AE582" s="378"/>
      <c r="AF582" s="378"/>
      <c r="AG582" s="378"/>
    </row>
    <row r="583">
      <c r="A583" s="378"/>
      <c r="B583" s="555">
        <f>IFERROR(__xludf.DUMMYFUNCTION("""COMPUTED_VALUE"""),45981.0)</f>
        <v>45981</v>
      </c>
      <c r="C583" s="404">
        <f>IFERROR(__xludf.DUMMYFUNCTION("""COMPUTED_VALUE"""),5.33722804E8)</f>
        <v>533722804</v>
      </c>
      <c r="D583" s="405" t="str">
        <f>IFERROR(__xludf.DUMMYFUNCTION("""COMPUTED_VALUE"""),"Howard, PA, 16841")</f>
        <v>Howard, PA, 16841</v>
      </c>
      <c r="E583" s="406" t="str">
        <f>IFERROR(__xludf.DUMMYFUNCTION("""COMPUTED_VALUE"""),"Providence, RI, 02908")</f>
        <v>Providence, RI, 02908</v>
      </c>
      <c r="F583" s="414">
        <f>IFERROR(__xludf.DUMMYFUNCTION("""COMPUTED_VALUE"""),1400.0)</f>
        <v>1400</v>
      </c>
      <c r="G583" s="413">
        <v>0.88</v>
      </c>
      <c r="H583" s="414">
        <f t="shared" si="30"/>
        <v>1232</v>
      </c>
      <c r="I583" s="376"/>
      <c r="J583" s="418">
        <f>IFERROR(__xludf.DUMMYFUNCTION("""COMPUTED_VALUE"""),45981.0)</f>
        <v>45981</v>
      </c>
      <c r="K583" s="411">
        <f>IFERROR(__xludf.DUMMYFUNCTION("""COMPUTED_VALUE"""),5.33722804E8)</f>
        <v>533722804</v>
      </c>
      <c r="L583" s="411" t="str">
        <f>IFERROR(__xludf.DUMMYFUNCTION("""COMPUTED_VALUE"""),"Howard, PA, 16841")</f>
        <v>Howard, PA, 16841</v>
      </c>
      <c r="M583" s="411" t="str">
        <f>IFERROR(__xludf.DUMMYFUNCTION("""COMPUTED_VALUE"""),"Providence, RI, 02908")</f>
        <v>Providence, RI, 02908</v>
      </c>
      <c r="N583" s="416">
        <f>IFERROR(__xludf.DUMMYFUNCTION("""COMPUTED_VALUE"""),507.0)</f>
        <v>507</v>
      </c>
      <c r="O583" s="408">
        <v>0.65</v>
      </c>
      <c r="P583" s="414">
        <f t="shared" si="31"/>
        <v>329.55</v>
      </c>
      <c r="Q583" s="378"/>
      <c r="R583" s="378"/>
      <c r="S583" s="378"/>
      <c r="T583" s="378"/>
      <c r="U583" s="378"/>
      <c r="V583" s="378"/>
      <c r="W583" s="378"/>
      <c r="X583" s="378"/>
      <c r="Y583" s="378"/>
      <c r="Z583" s="378"/>
      <c r="AA583" s="378"/>
      <c r="AB583" s="378"/>
      <c r="AC583" s="378"/>
      <c r="AD583" s="378"/>
      <c r="AE583" s="378"/>
      <c r="AF583" s="378"/>
      <c r="AG583" s="378"/>
    </row>
    <row r="584">
      <c r="A584" s="378"/>
      <c r="B584" s="499">
        <f>IFERROR(__xludf.DUMMYFUNCTION("""COMPUTED_VALUE"""),45982.0)</f>
        <v>45982</v>
      </c>
      <c r="C584" s="421">
        <f>IFERROR(__xludf.DUMMYFUNCTION("""COMPUTED_VALUE"""),5.35069323E8)</f>
        <v>535069323</v>
      </c>
      <c r="D584" s="422" t="str">
        <f>IFERROR(__xludf.DUMMYFUNCTION("""COMPUTED_VALUE"""),"Taunton, MA, 02780")</f>
        <v>Taunton, MA, 02780</v>
      </c>
      <c r="E584" s="423" t="str">
        <f>IFERROR(__xludf.DUMMYFUNCTION("""COMPUTED_VALUE"""),"South Fulton, GA, 30349")</f>
        <v>South Fulton, GA, 30349</v>
      </c>
      <c r="F584" s="500">
        <f>IFERROR(__xludf.DUMMYFUNCTION("""COMPUTED_VALUE"""),2500.0)</f>
        <v>2500</v>
      </c>
      <c r="G584" s="413">
        <v>0.88</v>
      </c>
      <c r="H584" s="414">
        <f t="shared" si="30"/>
        <v>2200</v>
      </c>
      <c r="I584" s="376"/>
      <c r="J584" s="545">
        <f>IFERROR(__xludf.DUMMYFUNCTION("""COMPUTED_VALUE"""),45982.0)</f>
        <v>45982</v>
      </c>
      <c r="K584" s="421">
        <f>IFERROR(__xludf.DUMMYFUNCTION("""COMPUTED_VALUE"""),5.35069323E8)</f>
        <v>535069323</v>
      </c>
      <c r="L584" s="422" t="str">
        <f>IFERROR(__xludf.DUMMYFUNCTION("""COMPUTED_VALUE"""),"Taunton, MA, 02780")</f>
        <v>Taunton, MA, 02780</v>
      </c>
      <c r="M584" s="423" t="str">
        <f>IFERROR(__xludf.DUMMYFUNCTION("""COMPUTED_VALUE"""),"South Fulton, GA, 30349")</f>
        <v>South Fulton, GA, 30349</v>
      </c>
      <c r="N584" s="546">
        <f>IFERROR(__xludf.DUMMYFUNCTION("""COMPUTED_VALUE"""),1107.0)</f>
        <v>1107</v>
      </c>
      <c r="O584" s="408">
        <v>0.65</v>
      </c>
      <c r="P584" s="414">
        <f t="shared" si="31"/>
        <v>719.55</v>
      </c>
      <c r="Q584" s="378"/>
      <c r="R584" s="378"/>
      <c r="S584" s="378"/>
      <c r="T584" s="378"/>
      <c r="U584" s="378"/>
      <c r="V584" s="378"/>
      <c r="W584" s="378"/>
      <c r="X584" s="378"/>
      <c r="Y584" s="378"/>
      <c r="Z584" s="378"/>
      <c r="AA584" s="378"/>
      <c r="AB584" s="378"/>
      <c r="AC584" s="378"/>
      <c r="AD584" s="378"/>
      <c r="AE584" s="378"/>
      <c r="AF584" s="378"/>
      <c r="AG584" s="378"/>
    </row>
    <row r="585">
      <c r="A585" s="378"/>
      <c r="B585" s="420"/>
      <c r="C585" s="421"/>
      <c r="D585" s="422"/>
      <c r="E585" s="423"/>
      <c r="F585" s="421"/>
      <c r="G585" s="413"/>
      <c r="H585" s="414"/>
      <c r="I585" s="376"/>
      <c r="J585" s="424"/>
      <c r="K585" s="421"/>
      <c r="L585" s="422"/>
      <c r="M585" s="423"/>
      <c r="N585" s="425"/>
      <c r="O585" s="408"/>
      <c r="P585" s="414"/>
      <c r="Q585" s="378"/>
      <c r="R585" s="378"/>
      <c r="S585" s="378"/>
      <c r="T585" s="378"/>
      <c r="U585" s="378"/>
      <c r="V585" s="378"/>
      <c r="W585" s="378"/>
      <c r="X585" s="378"/>
      <c r="Y585" s="378"/>
      <c r="Z585" s="378"/>
      <c r="AA585" s="378"/>
      <c r="AB585" s="378"/>
      <c r="AC585" s="378"/>
      <c r="AD585" s="378"/>
      <c r="AE585" s="378"/>
      <c r="AF585" s="378"/>
      <c r="AG585" s="378"/>
    </row>
    <row r="586">
      <c r="A586" s="378"/>
      <c r="B586" s="420"/>
      <c r="C586" s="421"/>
      <c r="D586" s="422"/>
      <c r="E586" s="423"/>
      <c r="F586" s="421"/>
      <c r="G586" s="413"/>
      <c r="H586" s="414"/>
      <c r="I586" s="376"/>
      <c r="J586" s="424"/>
      <c r="K586" s="421"/>
      <c r="L586" s="422"/>
      <c r="M586" s="423"/>
      <c r="N586" s="425"/>
      <c r="O586" s="408"/>
      <c r="P586" s="414"/>
      <c r="Q586" s="378"/>
      <c r="R586" s="378"/>
      <c r="S586" s="378"/>
      <c r="T586" s="378"/>
      <c r="U586" s="378"/>
      <c r="V586" s="378"/>
      <c r="W586" s="378"/>
      <c r="X586" s="378"/>
      <c r="Y586" s="378"/>
      <c r="Z586" s="378"/>
      <c r="AA586" s="378"/>
      <c r="AB586" s="378"/>
      <c r="AC586" s="378"/>
      <c r="AD586" s="378"/>
      <c r="AE586" s="378"/>
      <c r="AF586" s="378"/>
      <c r="AG586" s="378"/>
    </row>
    <row r="587">
      <c r="A587" s="378"/>
      <c r="B587" s="420"/>
      <c r="C587" s="421"/>
      <c r="D587" s="422"/>
      <c r="E587" s="423"/>
      <c r="F587" s="421"/>
      <c r="G587" s="413"/>
      <c r="H587" s="414"/>
      <c r="I587" s="376"/>
      <c r="J587" s="424"/>
      <c r="K587" s="421"/>
      <c r="L587" s="422"/>
      <c r="M587" s="423"/>
      <c r="N587" s="425"/>
      <c r="O587" s="408"/>
      <c r="P587" s="414"/>
      <c r="Q587" s="378"/>
      <c r="R587" s="378"/>
      <c r="S587" s="378"/>
      <c r="T587" s="378"/>
      <c r="U587" s="378"/>
      <c r="V587" s="378"/>
      <c r="W587" s="378"/>
      <c r="X587" s="378"/>
      <c r="Y587" s="378"/>
      <c r="Z587" s="378"/>
      <c r="AA587" s="378"/>
      <c r="AB587" s="378"/>
      <c r="AC587" s="378"/>
      <c r="AD587" s="378"/>
      <c r="AE587" s="378"/>
      <c r="AF587" s="378"/>
      <c r="AG587" s="378"/>
    </row>
    <row r="588">
      <c r="A588" s="378"/>
      <c r="B588" s="403" t="s">
        <v>711</v>
      </c>
      <c r="C588" s="224"/>
      <c r="D588" s="224"/>
      <c r="E588" s="222"/>
      <c r="F588" s="414">
        <f>SUM(F582:F587)</f>
        <v>5100</v>
      </c>
      <c r="G588" s="421"/>
      <c r="H588" s="414">
        <f>SUM(H582:H587)</f>
        <v>4488</v>
      </c>
      <c r="I588" s="376"/>
      <c r="J588" s="407" t="s">
        <v>711</v>
      </c>
      <c r="K588" s="224"/>
      <c r="L588" s="224"/>
      <c r="M588" s="222"/>
      <c r="N588" s="426">
        <f>SUM(N582:N587)</f>
        <v>2258</v>
      </c>
      <c r="O588" s="427"/>
      <c r="P588" s="414">
        <f>SUM(P582:P587)</f>
        <v>1467.7</v>
      </c>
      <c r="Q588" s="378"/>
      <c r="R588" s="378"/>
      <c r="S588" s="378"/>
      <c r="T588" s="378"/>
      <c r="U588" s="378"/>
      <c r="V588" s="378"/>
      <c r="W588" s="378"/>
      <c r="X588" s="378"/>
      <c r="Y588" s="378"/>
      <c r="Z588" s="378"/>
      <c r="AA588" s="378"/>
      <c r="AB588" s="378"/>
      <c r="AC588" s="378"/>
      <c r="AD588" s="378"/>
      <c r="AE588" s="378"/>
      <c r="AF588" s="378"/>
      <c r="AG588" s="378"/>
    </row>
    <row r="589">
      <c r="A589" s="378"/>
      <c r="B589" s="428"/>
      <c r="C589" s="419"/>
      <c r="D589" s="419"/>
      <c r="E589" s="419"/>
      <c r="F589" s="419"/>
      <c r="G589" s="419"/>
      <c r="H589" s="429"/>
      <c r="I589" s="376"/>
      <c r="J589" s="430"/>
      <c r="K589" s="419"/>
      <c r="L589" s="419"/>
      <c r="M589" s="419"/>
      <c r="N589" s="431"/>
      <c r="O589" s="432"/>
      <c r="P589" s="429"/>
      <c r="Q589" s="378"/>
      <c r="R589" s="378"/>
      <c r="S589" s="378"/>
      <c r="T589" s="378"/>
      <c r="U589" s="378"/>
      <c r="V589" s="378"/>
      <c r="W589" s="378"/>
      <c r="X589" s="378"/>
      <c r="Y589" s="378"/>
      <c r="Z589" s="378"/>
      <c r="AA589" s="378"/>
      <c r="AB589" s="378"/>
      <c r="AC589" s="378"/>
      <c r="AD589" s="378"/>
      <c r="AE589" s="378"/>
      <c r="AF589" s="378"/>
      <c r="AG589" s="378"/>
    </row>
    <row r="590">
      <c r="A590" s="378"/>
      <c r="B590" s="433" t="s">
        <v>712</v>
      </c>
      <c r="C590" s="434"/>
      <c r="D590" s="435"/>
      <c r="E590" s="419"/>
      <c r="F590" s="419"/>
      <c r="G590" s="419"/>
      <c r="H590" s="429"/>
      <c r="I590" s="376"/>
      <c r="J590" s="437" t="s">
        <v>712</v>
      </c>
      <c r="K590" s="434"/>
      <c r="L590" s="435"/>
      <c r="M590" s="419"/>
      <c r="N590" s="431"/>
      <c r="O590" s="432"/>
      <c r="P590" s="429"/>
      <c r="Q590" s="378"/>
      <c r="R590" s="378"/>
      <c r="S590" s="378"/>
      <c r="T590" s="378"/>
      <c r="U590" s="378"/>
      <c r="V590" s="378"/>
      <c r="W590" s="378"/>
      <c r="X590" s="378"/>
      <c r="Y590" s="378"/>
      <c r="Z590" s="378"/>
      <c r="AA590" s="378"/>
      <c r="AB590" s="378"/>
      <c r="AC590" s="378"/>
      <c r="AD590" s="378"/>
      <c r="AE590" s="378"/>
      <c r="AF590" s="378"/>
      <c r="AG590" s="378"/>
    </row>
    <row r="591">
      <c r="A591" s="378"/>
      <c r="B591" s="438" t="s">
        <v>885</v>
      </c>
      <c r="C591" s="439">
        <v>250.0</v>
      </c>
      <c r="D591" s="440"/>
      <c r="E591" s="419"/>
      <c r="F591" s="419"/>
      <c r="G591" s="419"/>
      <c r="H591" s="429"/>
      <c r="I591" s="376"/>
      <c r="J591" s="443" t="s">
        <v>713</v>
      </c>
      <c r="K591" s="439"/>
      <c r="L591" s="440"/>
      <c r="M591" s="419"/>
      <c r="N591" s="431"/>
      <c r="O591" s="432"/>
      <c r="P591" s="429"/>
      <c r="Q591" s="378"/>
      <c r="R591" s="378"/>
      <c r="S591" s="378"/>
      <c r="T591" s="378"/>
      <c r="U591" s="378"/>
      <c r="V591" s="378"/>
      <c r="W591" s="378"/>
      <c r="X591" s="378"/>
      <c r="Y591" s="378"/>
      <c r="Z591" s="378"/>
      <c r="AA591" s="378"/>
      <c r="AB591" s="378"/>
      <c r="AC591" s="378"/>
      <c r="AD591" s="378"/>
      <c r="AE591" s="378"/>
      <c r="AF591" s="378"/>
      <c r="AG591" s="378"/>
    </row>
    <row r="592">
      <c r="A592" s="378"/>
      <c r="B592" s="444"/>
      <c r="C592" s="434"/>
      <c r="D592" s="435"/>
      <c r="E592" s="419"/>
      <c r="F592" s="463"/>
      <c r="G592" s="463"/>
      <c r="H592" s="448"/>
      <c r="I592" s="376"/>
      <c r="J592" s="445"/>
      <c r="K592" s="434"/>
      <c r="L592" s="435"/>
      <c r="M592" s="419"/>
      <c r="N592" s="446"/>
      <c r="O592" s="447"/>
      <c r="P592" s="448"/>
      <c r="Q592" s="378"/>
      <c r="R592" s="378"/>
      <c r="S592" s="378"/>
      <c r="T592" s="378"/>
      <c r="U592" s="378"/>
      <c r="V592" s="378"/>
      <c r="W592" s="378"/>
      <c r="X592" s="378"/>
      <c r="Y592" s="378"/>
      <c r="Z592" s="378"/>
      <c r="AA592" s="378"/>
      <c r="AB592" s="378"/>
      <c r="AC592" s="378"/>
      <c r="AD592" s="378"/>
      <c r="AE592" s="378"/>
      <c r="AF592" s="378"/>
      <c r="AG592" s="378"/>
    </row>
    <row r="593">
      <c r="A593" s="378"/>
      <c r="B593" s="438" t="s">
        <v>714</v>
      </c>
      <c r="C593" s="439">
        <f>SUM(C591:C592)</f>
        <v>250</v>
      </c>
      <c r="D593" s="440"/>
      <c r="E593" s="419"/>
      <c r="F593" s="463"/>
      <c r="G593" s="463"/>
      <c r="H593" s="448"/>
      <c r="I593" s="376"/>
      <c r="J593" s="443" t="s">
        <v>714</v>
      </c>
      <c r="K593" s="439">
        <f>SUM(K591:K592)</f>
        <v>0</v>
      </c>
      <c r="L593" s="440"/>
      <c r="M593" s="419"/>
      <c r="N593" s="446"/>
      <c r="O593" s="447"/>
      <c r="P593" s="448"/>
      <c r="Q593" s="378"/>
      <c r="R593" s="378"/>
      <c r="S593" s="378"/>
      <c r="T593" s="378"/>
      <c r="U593" s="378"/>
      <c r="V593" s="378"/>
      <c r="W593" s="378"/>
      <c r="X593" s="378"/>
      <c r="Y593" s="378"/>
      <c r="Z593" s="378"/>
      <c r="AA593" s="378"/>
      <c r="AB593" s="378"/>
      <c r="AC593" s="378"/>
      <c r="AD593" s="378"/>
      <c r="AE593" s="378"/>
      <c r="AF593" s="378"/>
      <c r="AG593" s="378"/>
    </row>
    <row r="594">
      <c r="A594" s="378"/>
      <c r="B594" s="450"/>
      <c r="C594" s="451"/>
      <c r="D594" s="419"/>
      <c r="E594" s="419"/>
      <c r="F594" s="463"/>
      <c r="G594" s="463"/>
      <c r="H594" s="448"/>
      <c r="I594" s="376"/>
      <c r="J594" s="535"/>
      <c r="K594" s="451"/>
      <c r="L594" s="419"/>
      <c r="M594" s="419"/>
      <c r="N594" s="446"/>
      <c r="O594" s="447"/>
      <c r="P594" s="448"/>
      <c r="Q594" s="378"/>
      <c r="R594" s="378"/>
      <c r="S594" s="378"/>
      <c r="T594" s="378"/>
      <c r="U594" s="378"/>
      <c r="V594" s="378"/>
      <c r="W594" s="378"/>
      <c r="X594" s="378"/>
      <c r="Y594" s="378"/>
      <c r="Z594" s="378"/>
      <c r="AA594" s="378"/>
      <c r="AB594" s="378"/>
      <c r="AC594" s="378"/>
      <c r="AD594" s="378"/>
      <c r="AE594" s="378"/>
      <c r="AF594" s="378"/>
      <c r="AG594" s="378"/>
    </row>
    <row r="595">
      <c r="A595" s="378"/>
      <c r="B595" s="454" t="s">
        <v>715</v>
      </c>
      <c r="C595" s="455"/>
      <c r="D595" s="435"/>
      <c r="E595" s="419"/>
      <c r="F595" s="463"/>
      <c r="G595" s="463"/>
      <c r="H595" s="448"/>
      <c r="I595" s="376"/>
      <c r="J595" s="458" t="s">
        <v>715</v>
      </c>
      <c r="K595" s="455"/>
      <c r="L595" s="435"/>
      <c r="M595" s="419"/>
      <c r="N595" s="446"/>
      <c r="O595" s="447"/>
      <c r="P595" s="448"/>
      <c r="Q595" s="378"/>
      <c r="R595" s="378"/>
      <c r="S595" s="378"/>
      <c r="T595" s="378"/>
      <c r="U595" s="378"/>
      <c r="V595" s="378"/>
      <c r="W595" s="378"/>
      <c r="X595" s="378"/>
      <c r="Y595" s="378"/>
      <c r="Z595" s="378"/>
      <c r="AA595" s="378"/>
      <c r="AB595" s="378"/>
      <c r="AC595" s="378"/>
      <c r="AD595" s="378"/>
      <c r="AE595" s="378"/>
      <c r="AF595" s="378"/>
      <c r="AG595" s="378"/>
    </row>
    <row r="596">
      <c r="A596" s="378"/>
      <c r="B596" s="459" t="s">
        <v>716</v>
      </c>
      <c r="C596" s="460">
        <v>0.0</v>
      </c>
      <c r="D596" s="440" t="s">
        <v>886</v>
      </c>
      <c r="E596" s="419"/>
      <c r="F596" s="463"/>
      <c r="G596" s="463"/>
      <c r="H596" s="448"/>
      <c r="I596" s="376"/>
      <c r="J596" s="462"/>
      <c r="K596" s="460"/>
      <c r="L596" s="440"/>
      <c r="M596" s="419"/>
      <c r="N596" s="446"/>
      <c r="O596" s="447"/>
      <c r="P596" s="448"/>
      <c r="Q596" s="378"/>
      <c r="R596" s="378"/>
      <c r="S596" s="378"/>
      <c r="T596" s="378"/>
      <c r="U596" s="378"/>
      <c r="V596" s="378"/>
      <c r="W596" s="378"/>
      <c r="X596" s="378"/>
      <c r="Y596" s="378"/>
      <c r="Z596" s="378"/>
      <c r="AA596" s="378"/>
      <c r="AB596" s="378"/>
      <c r="AC596" s="378"/>
      <c r="AD596" s="378"/>
      <c r="AE596" s="378"/>
      <c r="AF596" s="378"/>
      <c r="AG596" s="378"/>
    </row>
    <row r="597">
      <c r="A597" s="378"/>
      <c r="B597" s="459" t="s">
        <v>717</v>
      </c>
      <c r="C597" s="460">
        <v>0.0</v>
      </c>
      <c r="D597" s="440"/>
      <c r="E597" s="419"/>
      <c r="F597" s="463"/>
      <c r="G597" s="463"/>
      <c r="H597" s="448"/>
      <c r="I597" s="376"/>
      <c r="J597" s="462"/>
      <c r="K597" s="460"/>
      <c r="L597" s="440"/>
      <c r="M597" s="419"/>
      <c r="N597" s="446"/>
      <c r="O597" s="447"/>
      <c r="P597" s="448"/>
      <c r="Q597" s="378"/>
      <c r="R597" s="378"/>
      <c r="S597" s="378"/>
      <c r="T597" s="378"/>
      <c r="U597" s="378"/>
      <c r="V597" s="378"/>
      <c r="W597" s="378"/>
      <c r="X597" s="378"/>
      <c r="Y597" s="378"/>
      <c r="Z597" s="378"/>
      <c r="AA597" s="378"/>
      <c r="AB597" s="378"/>
      <c r="AC597" s="378"/>
      <c r="AD597" s="378"/>
      <c r="AE597" s="378"/>
      <c r="AF597" s="378"/>
      <c r="AG597" s="378"/>
    </row>
    <row r="598">
      <c r="A598" s="378"/>
      <c r="B598" s="459" t="s">
        <v>718</v>
      </c>
      <c r="C598" s="460">
        <v>0.0</v>
      </c>
      <c r="D598" s="440"/>
      <c r="E598" s="419"/>
      <c r="F598" s="463"/>
      <c r="G598" s="463"/>
      <c r="H598" s="448"/>
      <c r="I598" s="376"/>
      <c r="J598" s="462"/>
      <c r="K598" s="460"/>
      <c r="L598" s="440"/>
      <c r="M598" s="419"/>
      <c r="N598" s="446"/>
      <c r="O598" s="447"/>
      <c r="P598" s="448"/>
      <c r="Q598" s="378"/>
      <c r="R598" s="378"/>
      <c r="S598" s="378"/>
      <c r="T598" s="378"/>
      <c r="U598" s="378"/>
      <c r="V598" s="378"/>
      <c r="W598" s="378"/>
      <c r="X598" s="378"/>
      <c r="Y598" s="378"/>
      <c r="Z598" s="378"/>
      <c r="AA598" s="378"/>
      <c r="AB598" s="378"/>
      <c r="AC598" s="378"/>
      <c r="AD598" s="378"/>
      <c r="AE598" s="378"/>
      <c r="AF598" s="378"/>
      <c r="AG598" s="378"/>
    </row>
    <row r="599">
      <c r="A599" s="378"/>
      <c r="B599" s="459" t="s">
        <v>656</v>
      </c>
      <c r="C599" s="460" t="str">
        <f>IFERROR(__xludf.DUMMYFUNCTION("FILTER(D1046:D1074,C1046:C1074=G580)"),"#N/A")</f>
        <v>#N/A</v>
      </c>
      <c r="D599" s="440"/>
      <c r="E599" s="419"/>
      <c r="F599" s="463"/>
      <c r="G599" s="463"/>
      <c r="H599" s="448"/>
      <c r="I599" s="376"/>
      <c r="J599" s="462"/>
      <c r="K599" s="460"/>
      <c r="L599" s="440"/>
      <c r="M599" s="419"/>
      <c r="N599" s="446"/>
      <c r="O599" s="447"/>
      <c r="P599" s="448"/>
      <c r="Q599" s="378"/>
      <c r="R599" s="378"/>
      <c r="S599" s="378"/>
      <c r="T599" s="378"/>
      <c r="U599" s="378"/>
      <c r="V599" s="378"/>
      <c r="W599" s="378"/>
      <c r="X599" s="378"/>
      <c r="Y599" s="378"/>
      <c r="Z599" s="378"/>
      <c r="AA599" s="378"/>
      <c r="AB599" s="378"/>
      <c r="AC599" s="378"/>
      <c r="AD599" s="378"/>
      <c r="AE599" s="378"/>
      <c r="AF599" s="378"/>
      <c r="AG599" s="378"/>
    </row>
    <row r="600">
      <c r="A600" s="378"/>
      <c r="B600" s="454" t="s">
        <v>887</v>
      </c>
      <c r="C600" s="537">
        <v>150.0</v>
      </c>
      <c r="D600" s="435"/>
      <c r="E600" s="419"/>
      <c r="F600" s="468" t="s">
        <v>842</v>
      </c>
      <c r="G600" s="564" t="str">
        <f>H588+C593-C605</f>
        <v>#N/A</v>
      </c>
      <c r="H600" s="211"/>
      <c r="I600" s="376"/>
      <c r="J600" s="467"/>
      <c r="K600" s="455"/>
      <c r="L600" s="435"/>
      <c r="M600" s="419"/>
      <c r="N600" s="468" t="s">
        <v>842</v>
      </c>
      <c r="O600" s="539">
        <f>P588+K593-K605</f>
        <v>1467.7</v>
      </c>
      <c r="P600" s="211"/>
      <c r="Q600" s="378"/>
      <c r="R600" s="378"/>
      <c r="S600" s="378"/>
      <c r="T600" s="378"/>
      <c r="U600" s="378"/>
      <c r="V600" s="378"/>
      <c r="W600" s="378"/>
      <c r="X600" s="378"/>
      <c r="Y600" s="378"/>
      <c r="Z600" s="378"/>
      <c r="AA600" s="378"/>
      <c r="AB600" s="378"/>
      <c r="AC600" s="378"/>
      <c r="AD600" s="378"/>
      <c r="AE600" s="378"/>
      <c r="AF600" s="378"/>
      <c r="AG600" s="378"/>
    </row>
    <row r="601">
      <c r="A601" s="378"/>
      <c r="B601" s="464"/>
      <c r="C601" s="455"/>
      <c r="D601" s="435"/>
      <c r="E601" s="419"/>
      <c r="F601" s="469" t="s">
        <v>843</v>
      </c>
      <c r="G601" s="278"/>
      <c r="H601" s="56"/>
      <c r="I601" s="376"/>
      <c r="J601" s="467"/>
      <c r="K601" s="455"/>
      <c r="L601" s="435"/>
      <c r="M601" s="419"/>
      <c r="N601" s="469" t="s">
        <v>854</v>
      </c>
      <c r="O601" s="278"/>
      <c r="P601" s="56"/>
      <c r="Q601" s="378"/>
      <c r="R601" s="378"/>
      <c r="S601" s="378"/>
      <c r="T601" s="378"/>
      <c r="U601" s="378"/>
      <c r="V601" s="378"/>
      <c r="W601" s="378"/>
      <c r="X601" s="378"/>
      <c r="Y601" s="378"/>
      <c r="Z601" s="378"/>
      <c r="AA601" s="378"/>
      <c r="AB601" s="378"/>
      <c r="AC601" s="378"/>
      <c r="AD601" s="378"/>
      <c r="AE601" s="378"/>
      <c r="AF601" s="378"/>
      <c r="AG601" s="378"/>
    </row>
    <row r="602">
      <c r="A602" s="378"/>
      <c r="B602" s="464"/>
      <c r="C602" s="455"/>
      <c r="D602" s="435"/>
      <c r="E602" s="419"/>
      <c r="F602" s="470"/>
      <c r="G602" s="215"/>
      <c r="H602" s="64"/>
      <c r="I602" s="376"/>
      <c r="J602" s="467"/>
      <c r="K602" s="455"/>
      <c r="L602" s="435"/>
      <c r="M602" s="419"/>
      <c r="N602" s="470"/>
      <c r="O602" s="215"/>
      <c r="P602" s="64"/>
      <c r="Q602" s="378"/>
      <c r="R602" s="378"/>
      <c r="S602" s="378"/>
      <c r="T602" s="378"/>
      <c r="U602" s="378"/>
      <c r="V602" s="378"/>
      <c r="W602" s="378"/>
      <c r="X602" s="378"/>
      <c r="Y602" s="378"/>
      <c r="Z602" s="378"/>
      <c r="AA602" s="378"/>
      <c r="AB602" s="378"/>
      <c r="AC602" s="378"/>
      <c r="AD602" s="378"/>
      <c r="AE602" s="378"/>
      <c r="AF602" s="378"/>
      <c r="AG602" s="378"/>
    </row>
    <row r="603">
      <c r="A603" s="378"/>
      <c r="B603" s="464"/>
      <c r="C603" s="455"/>
      <c r="D603" s="435"/>
      <c r="E603" s="419"/>
      <c r="F603" s="419"/>
      <c r="G603" s="419"/>
      <c r="H603" s="429"/>
      <c r="I603" s="376"/>
      <c r="J603" s="467"/>
      <c r="K603" s="455"/>
      <c r="L603" s="435"/>
      <c r="M603" s="419"/>
      <c r="N603" s="431"/>
      <c r="O603" s="432"/>
      <c r="P603" s="429"/>
      <c r="Q603" s="378"/>
      <c r="R603" s="378"/>
      <c r="S603" s="378"/>
      <c r="T603" s="378"/>
      <c r="U603" s="378"/>
      <c r="V603" s="378"/>
      <c r="W603" s="378"/>
      <c r="X603" s="378"/>
      <c r="Y603" s="378"/>
      <c r="Z603" s="378"/>
      <c r="AA603" s="378"/>
      <c r="AB603" s="378"/>
      <c r="AC603" s="378"/>
      <c r="AD603" s="378"/>
      <c r="AE603" s="378"/>
      <c r="AF603" s="378"/>
      <c r="AG603" s="378"/>
    </row>
    <row r="604">
      <c r="A604" s="378"/>
      <c r="B604" s="464"/>
      <c r="C604" s="455"/>
      <c r="D604" s="435"/>
      <c r="E604" s="419"/>
      <c r="F604" s="419"/>
      <c r="G604" s="419"/>
      <c r="H604" s="429"/>
      <c r="I604" s="376"/>
      <c r="J604" s="467"/>
      <c r="K604" s="455"/>
      <c r="L604" s="435"/>
      <c r="M604" s="419"/>
      <c r="N604" s="431"/>
      <c r="O604" s="432"/>
      <c r="P604" s="429"/>
      <c r="Q604" s="378"/>
      <c r="R604" s="378"/>
      <c r="S604" s="378"/>
      <c r="T604" s="378"/>
      <c r="U604" s="378"/>
      <c r="V604" s="378"/>
      <c r="W604" s="378"/>
      <c r="X604" s="378"/>
      <c r="Y604" s="378"/>
      <c r="Z604" s="378"/>
      <c r="AA604" s="378"/>
      <c r="AB604" s="378"/>
      <c r="AC604" s="378"/>
      <c r="AD604" s="378"/>
      <c r="AE604" s="378"/>
      <c r="AF604" s="378"/>
      <c r="AG604" s="378"/>
    </row>
    <row r="605">
      <c r="A605" s="378"/>
      <c r="B605" s="454" t="s">
        <v>721</v>
      </c>
      <c r="C605" s="460" t="str">
        <f>SUM(C596:C604)</f>
        <v>#N/A</v>
      </c>
      <c r="D605" s="440"/>
      <c r="E605" s="419"/>
      <c r="F605" s="419"/>
      <c r="G605" s="419"/>
      <c r="H605" s="429"/>
      <c r="I605" s="376"/>
      <c r="J605" s="458" t="s">
        <v>721</v>
      </c>
      <c r="K605" s="460">
        <f>SUM(K596:K604)</f>
        <v>0</v>
      </c>
      <c r="L605" s="440"/>
      <c r="M605" s="419"/>
      <c r="N605" s="431"/>
      <c r="O605" s="432"/>
      <c r="P605" s="429"/>
      <c r="Q605" s="378"/>
      <c r="R605" s="378"/>
      <c r="S605" s="378"/>
      <c r="T605" s="378"/>
      <c r="U605" s="378"/>
      <c r="V605" s="378"/>
      <c r="W605" s="378"/>
      <c r="X605" s="378"/>
      <c r="Y605" s="378"/>
      <c r="Z605" s="378"/>
      <c r="AA605" s="378"/>
      <c r="AB605" s="378"/>
      <c r="AC605" s="378"/>
      <c r="AD605" s="378"/>
      <c r="AE605" s="378"/>
      <c r="AF605" s="378"/>
      <c r="AG605" s="378"/>
    </row>
    <row r="606">
      <c r="A606" s="378"/>
      <c r="B606" s="471"/>
      <c r="C606" s="472"/>
      <c r="D606" s="472"/>
      <c r="E606" s="472"/>
      <c r="F606" s="472"/>
      <c r="G606" s="472"/>
      <c r="H606" s="473"/>
      <c r="I606" s="376"/>
      <c r="J606" s="474"/>
      <c r="K606" s="472"/>
      <c r="L606" s="472"/>
      <c r="M606" s="472"/>
      <c r="N606" s="475"/>
      <c r="O606" s="476"/>
      <c r="P606" s="473"/>
      <c r="Q606" s="378"/>
      <c r="R606" s="378"/>
      <c r="S606" s="378"/>
      <c r="T606" s="378"/>
      <c r="U606" s="378"/>
      <c r="V606" s="378"/>
      <c r="W606" s="378"/>
      <c r="X606" s="378"/>
      <c r="Y606" s="378"/>
      <c r="Z606" s="378"/>
      <c r="AA606" s="378"/>
      <c r="AB606" s="378"/>
      <c r="AC606" s="378"/>
      <c r="AD606" s="378"/>
      <c r="AE606" s="378"/>
      <c r="AF606" s="378"/>
      <c r="AG606" s="378"/>
    </row>
    <row r="607">
      <c r="A607" s="378"/>
      <c r="B607" s="550"/>
      <c r="C607" s="463"/>
      <c r="D607" s="463"/>
      <c r="E607" s="463"/>
      <c r="F607" s="463"/>
      <c r="G607" s="463"/>
      <c r="H607" s="463"/>
      <c r="I607" s="376"/>
      <c r="J607" s="377"/>
      <c r="K607" s="378"/>
      <c r="L607" s="378"/>
      <c r="M607" s="378"/>
      <c r="N607" s="379"/>
      <c r="O607" s="380"/>
      <c r="P607" s="378"/>
      <c r="Q607" s="378"/>
      <c r="R607" s="378"/>
      <c r="S607" s="378"/>
      <c r="T607" s="378"/>
      <c r="U607" s="378"/>
      <c r="V607" s="378"/>
      <c r="W607" s="378"/>
      <c r="X607" s="378"/>
      <c r="Y607" s="378"/>
      <c r="Z607" s="378"/>
      <c r="AA607" s="378"/>
      <c r="AB607" s="378"/>
      <c r="AC607" s="378"/>
      <c r="AD607" s="378"/>
      <c r="AE607" s="378"/>
      <c r="AF607" s="378"/>
      <c r="AG607" s="378"/>
    </row>
    <row r="608">
      <c r="A608" s="378"/>
      <c r="B608" s="550"/>
      <c r="C608" s="463"/>
      <c r="D608" s="463"/>
      <c r="E608" s="463"/>
      <c r="F608" s="463"/>
      <c r="G608" s="463"/>
      <c r="H608" s="463"/>
      <c r="I608" s="376"/>
      <c r="J608" s="377"/>
      <c r="K608" s="378"/>
      <c r="L608" s="378"/>
      <c r="M608" s="378"/>
      <c r="N608" s="379"/>
      <c r="O608" s="380"/>
      <c r="P608" s="378"/>
      <c r="Q608" s="378"/>
      <c r="R608" s="378"/>
      <c r="S608" s="378"/>
      <c r="T608" s="378"/>
      <c r="U608" s="378"/>
      <c r="V608" s="378"/>
      <c r="W608" s="378"/>
      <c r="X608" s="378"/>
      <c r="Y608" s="378"/>
      <c r="Z608" s="378"/>
      <c r="AA608" s="378"/>
      <c r="AB608" s="378"/>
      <c r="AC608" s="378"/>
      <c r="AD608" s="378"/>
      <c r="AE608" s="378"/>
      <c r="AF608" s="378"/>
      <c r="AG608" s="378"/>
    </row>
    <row r="609">
      <c r="A609" s="378"/>
      <c r="B609" s="382"/>
      <c r="C609" s="388"/>
      <c r="D609" s="384"/>
      <c r="E609" s="385" t="s">
        <v>700</v>
      </c>
      <c r="F609" s="385" t="str">
        <f>Board!A2</f>
        <v>11.17.25-11.23.25</v>
      </c>
      <c r="G609" s="213"/>
      <c r="H609" s="211"/>
      <c r="I609" s="563">
        <v>18.0</v>
      </c>
      <c r="J609" s="387"/>
      <c r="K609" s="388"/>
      <c r="L609" s="384"/>
      <c r="M609" s="385" t="s">
        <v>700</v>
      </c>
      <c r="N609" s="385" t="str">
        <f>Board!A2</f>
        <v>11.17.25-11.23.25</v>
      </c>
      <c r="O609" s="213"/>
      <c r="P609" s="211"/>
      <c r="Q609" s="378"/>
      <c r="R609" s="389" t="s">
        <v>831</v>
      </c>
      <c r="S609" s="389" t="s">
        <v>652</v>
      </c>
      <c r="T609" s="390" t="s">
        <v>832</v>
      </c>
      <c r="U609" s="391" t="s">
        <v>833</v>
      </c>
      <c r="V609" s="389" t="s">
        <v>655</v>
      </c>
      <c r="W609" s="389" t="s">
        <v>8</v>
      </c>
      <c r="X609" s="389" t="s">
        <v>656</v>
      </c>
      <c r="Y609" s="390" t="s">
        <v>834</v>
      </c>
      <c r="Z609" s="392" t="s">
        <v>835</v>
      </c>
      <c r="AA609" s="390" t="s">
        <v>836</v>
      </c>
      <c r="AB609" s="390" t="s">
        <v>837</v>
      </c>
      <c r="AC609" s="393" t="s">
        <v>716</v>
      </c>
      <c r="AD609" s="393" t="s">
        <v>717</v>
      </c>
      <c r="AE609" s="393" t="s">
        <v>718</v>
      </c>
      <c r="AF609" s="394" t="s">
        <v>838</v>
      </c>
      <c r="AG609" s="394"/>
    </row>
    <row r="610">
      <c r="A610" s="378"/>
      <c r="B610" s="395"/>
      <c r="C610" s="372"/>
      <c r="D610" s="396"/>
      <c r="E610" s="385" t="s">
        <v>702</v>
      </c>
      <c r="F610" s="385" t="s">
        <v>888</v>
      </c>
      <c r="G610" s="213"/>
      <c r="H610" s="211"/>
      <c r="I610" s="376"/>
      <c r="J610" s="397"/>
      <c r="K610" s="372"/>
      <c r="L610" s="396"/>
      <c r="M610" s="385" t="s">
        <v>351</v>
      </c>
      <c r="N610" s="385" t="s">
        <v>519</v>
      </c>
      <c r="O610" s="213"/>
      <c r="P610" s="211"/>
      <c r="Q610" s="378"/>
      <c r="R610" s="398">
        <f>I609</f>
        <v>18</v>
      </c>
      <c r="S610" s="398">
        <f>F611</f>
        <v>6813</v>
      </c>
      <c r="T610" s="399" t="str">
        <f>G631</f>
        <v>#N/A</v>
      </c>
      <c r="U610" s="378" t="str">
        <f>N610</f>
        <v>Lawrence Daniel Martin</v>
      </c>
      <c r="V610" s="380">
        <f>O631</f>
        <v>1663.35</v>
      </c>
      <c r="W610" s="399">
        <f>P619</f>
        <v>1663.35</v>
      </c>
      <c r="X610" s="399" t="str">
        <f>C630</f>
        <v>#N/A</v>
      </c>
      <c r="Y610" s="400">
        <f>N619</f>
        <v>2559</v>
      </c>
      <c r="Z610" s="378" t="str">
        <f>V611-V610</f>
        <v>#N/A</v>
      </c>
      <c r="AA610" s="378"/>
      <c r="AB610" s="378"/>
      <c r="AC610" s="401">
        <f>C627</f>
        <v>0</v>
      </c>
      <c r="AD610" s="401">
        <f>C628</f>
        <v>0</v>
      </c>
      <c r="AE610" s="401">
        <f>C629</f>
        <v>0</v>
      </c>
      <c r="AF610" s="398">
        <f>C631+C632+C633+C634+C635</f>
        <v>0</v>
      </c>
      <c r="AG610" s="398"/>
    </row>
    <row r="611">
      <c r="A611" s="378"/>
      <c r="B611" s="395"/>
      <c r="C611" s="372"/>
      <c r="D611" s="402"/>
      <c r="E611" s="385" t="s">
        <v>703</v>
      </c>
      <c r="F611" s="385">
        <v>6813.0</v>
      </c>
      <c r="G611" s="213"/>
      <c r="H611" s="211"/>
      <c r="I611" s="376"/>
      <c r="J611" s="397"/>
      <c r="K611" s="372"/>
      <c r="L611" s="402"/>
      <c r="M611" s="385" t="s">
        <v>703</v>
      </c>
      <c r="N611" s="385">
        <v>6813.0</v>
      </c>
      <c r="O611" s="213"/>
      <c r="P611" s="211"/>
      <c r="Q611" s="378"/>
      <c r="R611" s="378"/>
      <c r="S611" s="378"/>
      <c r="T611" s="378"/>
      <c r="U611" s="378" t="str">
        <f>F610</f>
        <v>Cey &amp; Cey LLC</v>
      </c>
      <c r="V611" s="399" t="str">
        <f>G631</f>
        <v>#N/A</v>
      </c>
      <c r="W611" s="399">
        <f>H619</f>
        <v>5368</v>
      </c>
      <c r="X611" s="378"/>
      <c r="Y611" s="378"/>
      <c r="Z611" s="378"/>
      <c r="AA611" s="378"/>
      <c r="AB611" s="378"/>
      <c r="AC611" s="378"/>
      <c r="AD611" s="378"/>
      <c r="AE611" s="378"/>
      <c r="AF611" s="378"/>
      <c r="AG611" s="378"/>
    </row>
    <row r="612">
      <c r="A612" s="378"/>
      <c r="B612" s="403" t="s">
        <v>704</v>
      </c>
      <c r="C612" s="404" t="s">
        <v>5</v>
      </c>
      <c r="D612" s="405" t="s">
        <v>6</v>
      </c>
      <c r="E612" s="406" t="s">
        <v>7</v>
      </c>
      <c r="F612" s="404" t="s">
        <v>8</v>
      </c>
      <c r="G612" s="404" t="s">
        <v>706</v>
      </c>
      <c r="H612" s="404" t="s">
        <v>707</v>
      </c>
      <c r="I612" s="376"/>
      <c r="J612" s="407" t="s">
        <v>704</v>
      </c>
      <c r="K612" s="404" t="s">
        <v>5</v>
      </c>
      <c r="L612" s="405" t="s">
        <v>6</v>
      </c>
      <c r="M612" s="406" t="s">
        <v>7</v>
      </c>
      <c r="N612" s="404" t="s">
        <v>591</v>
      </c>
      <c r="O612" s="408" t="s">
        <v>839</v>
      </c>
      <c r="P612" s="404" t="s">
        <v>707</v>
      </c>
      <c r="Q612" s="378"/>
      <c r="R612" s="378"/>
      <c r="S612" s="378"/>
      <c r="T612" s="378"/>
      <c r="U612" s="378"/>
      <c r="V612" s="378"/>
      <c r="W612" s="378"/>
      <c r="X612" s="378"/>
      <c r="Y612" s="378"/>
      <c r="Z612" s="378"/>
      <c r="AA612" s="378"/>
      <c r="AB612" s="378"/>
      <c r="AC612" s="378"/>
      <c r="AD612" s="378"/>
      <c r="AE612" s="378"/>
      <c r="AF612" s="378"/>
      <c r="AG612" s="378"/>
    </row>
    <row r="613">
      <c r="A613" s="378"/>
      <c r="B613" s="555">
        <f>IFERROR(__xludf.DUMMYFUNCTION("FILTER(Board!C:G,Board!K:K=F611)"),45984.0)</f>
        <v>45984</v>
      </c>
      <c r="C613" s="404">
        <f>IFERROR(__xludf.DUMMYFUNCTION("""COMPUTED_VALUE"""),865399.0)</f>
        <v>865399</v>
      </c>
      <c r="D613" s="405" t="str">
        <f>IFERROR(__xludf.DUMMYFUNCTION("""COMPUTED_VALUE"""),"King William, VA, 23086")</f>
        <v>King William, VA, 23086</v>
      </c>
      <c r="E613" s="406" t="str">
        <f>IFERROR(__xludf.DUMMYFUNCTION("""COMPUTED_VALUE"""),"Brattleboro, VT, 05301")</f>
        <v>Brattleboro, VT, 05301</v>
      </c>
      <c r="F613" s="414">
        <f>IFERROR(__xludf.DUMMYFUNCTION("""COMPUTED_VALUE"""),1600.0)</f>
        <v>1600</v>
      </c>
      <c r="G613" s="413">
        <v>0.88</v>
      </c>
      <c r="H613" s="414">
        <f t="shared" ref="H613:H616" si="32">F613*G613</f>
        <v>1408</v>
      </c>
      <c r="I613" s="376"/>
      <c r="J613" s="415">
        <f>IFERROR(__xludf.DUMMYFUNCTION("FILTER(Board!C:F,Board!K:K=N611)"),45984.0)</f>
        <v>45984</v>
      </c>
      <c r="K613" s="411">
        <f>IFERROR(__xludf.DUMMYFUNCTION("""COMPUTED_VALUE"""),865399.0)</f>
        <v>865399</v>
      </c>
      <c r="L613" s="411" t="str">
        <f>IFERROR(__xludf.DUMMYFUNCTION("""COMPUTED_VALUE"""),"King William, VA, 23086")</f>
        <v>King William, VA, 23086</v>
      </c>
      <c r="M613" s="411" t="str">
        <f>IFERROR(__xludf.DUMMYFUNCTION("""COMPUTED_VALUE"""),"Brattleboro, VT, 05301")</f>
        <v>Brattleboro, VT, 05301</v>
      </c>
      <c r="N613" s="416">
        <f>IFERROR(__xludf.DUMMYFUNCTION("FILTER(Board!H:H,Board!K:K=N611)"),581.0)</f>
        <v>581</v>
      </c>
      <c r="O613" s="408">
        <v>0.65</v>
      </c>
      <c r="P613" s="414">
        <f t="shared" ref="P613:P616" si="33">N613*O613</f>
        <v>377.65</v>
      </c>
      <c r="Q613" s="378"/>
      <c r="R613" s="378"/>
      <c r="S613" s="378"/>
      <c r="T613" s="378"/>
      <c r="U613" s="378"/>
      <c r="V613" s="378"/>
      <c r="W613" s="378"/>
      <c r="X613" s="378"/>
      <c r="Y613" s="378"/>
      <c r="Z613" s="378"/>
      <c r="AA613" s="378"/>
      <c r="AB613" s="378"/>
      <c r="AC613" s="378"/>
      <c r="AD613" s="378"/>
      <c r="AE613" s="378"/>
      <c r="AF613" s="378"/>
      <c r="AG613" s="378"/>
    </row>
    <row r="614">
      <c r="A614" s="378"/>
      <c r="B614" s="555">
        <f>IFERROR(__xludf.DUMMYFUNCTION("""COMPUTED_VALUE"""),45979.0)</f>
        <v>45979</v>
      </c>
      <c r="C614" s="404">
        <f>IFERROR(__xludf.DUMMYFUNCTION("""COMPUTED_VALUE"""),8945946.0)</f>
        <v>8945946</v>
      </c>
      <c r="D614" s="405" t="str">
        <f>IFERROR(__xludf.DUMMYFUNCTION("""COMPUTED_VALUE"""),"Tomball, TX, 77377")</f>
        <v>Tomball, TX, 77377</v>
      </c>
      <c r="E614" s="565" t="str">
        <f>IFERROR(__xludf.DUMMYFUNCTION("""COMPUTED_VALUE"""),"Monroe Township, NJ, 08831")</f>
        <v>Monroe Township, NJ, 08831</v>
      </c>
      <c r="F614" s="414">
        <f>IFERROR(__xludf.DUMMYFUNCTION("""COMPUTED_VALUE"""),3250.0)</f>
        <v>3250</v>
      </c>
      <c r="G614" s="413">
        <v>0.88</v>
      </c>
      <c r="H614" s="414">
        <f t="shared" si="32"/>
        <v>2860</v>
      </c>
      <c r="I614" s="376"/>
      <c r="J614" s="418">
        <f>IFERROR(__xludf.DUMMYFUNCTION("""COMPUTED_VALUE"""),45979.0)</f>
        <v>45979</v>
      </c>
      <c r="K614" s="411">
        <f>IFERROR(__xludf.DUMMYFUNCTION("""COMPUTED_VALUE"""),8945946.0)</f>
        <v>8945946</v>
      </c>
      <c r="L614" s="411" t="str">
        <f>IFERROR(__xludf.DUMMYFUNCTION("""COMPUTED_VALUE"""),"Tomball, TX, 77377")</f>
        <v>Tomball, TX, 77377</v>
      </c>
      <c r="M614" s="566" t="str">
        <f>IFERROR(__xludf.DUMMYFUNCTION("""COMPUTED_VALUE"""),"Monroe Township, NJ, 08831")</f>
        <v>Monroe Township, NJ, 08831</v>
      </c>
      <c r="N614" s="416">
        <f>IFERROR(__xludf.DUMMYFUNCTION("""COMPUTED_VALUE"""),1620.0)</f>
        <v>1620</v>
      </c>
      <c r="O614" s="408">
        <v>0.65</v>
      </c>
      <c r="P614" s="414">
        <f t="shared" si="33"/>
        <v>1053</v>
      </c>
      <c r="Q614" s="378"/>
      <c r="R614" s="378"/>
      <c r="S614" s="378"/>
      <c r="T614" s="378"/>
      <c r="U614" s="378"/>
      <c r="V614" s="378"/>
      <c r="W614" s="378"/>
      <c r="X614" s="378"/>
      <c r="Y614" s="378"/>
      <c r="Z614" s="378"/>
      <c r="AA614" s="378"/>
      <c r="AB614" s="378"/>
      <c r="AC614" s="378"/>
      <c r="AD614" s="378"/>
      <c r="AE614" s="378"/>
      <c r="AF614" s="378"/>
      <c r="AG614" s="378"/>
    </row>
    <row r="615">
      <c r="A615" s="378"/>
      <c r="B615" s="499">
        <f>IFERROR(__xludf.DUMMYFUNCTION("""COMPUTED_VALUE"""),45978.0)</f>
        <v>45978</v>
      </c>
      <c r="C615" s="421">
        <f>IFERROR(__xludf.DUMMYFUNCTION("""COMPUTED_VALUE"""),37564.0)</f>
        <v>37564</v>
      </c>
      <c r="D615" s="422" t="str">
        <f>IFERROR(__xludf.DUMMYFUNCTION("""COMPUTED_VALUE"""),"Brookshire, TX, 77423")</f>
        <v>Brookshire, TX, 77423</v>
      </c>
      <c r="E615" s="423" t="str">
        <f>IFERROR(__xludf.DUMMYFUNCTION("""COMPUTED_VALUE"""),"Pooler, GA, 31322")</f>
        <v>Pooler, GA, 31322</v>
      </c>
      <c r="F615" s="500">
        <f>IFERROR(__xludf.DUMMYFUNCTION("""COMPUTED_VALUE"""),250.0)</f>
        <v>250</v>
      </c>
      <c r="G615" s="413">
        <v>0.88</v>
      </c>
      <c r="H615" s="414">
        <f t="shared" si="32"/>
        <v>220</v>
      </c>
      <c r="I615" s="376"/>
      <c r="J615" s="545">
        <f>IFERROR(__xludf.DUMMYFUNCTION("""COMPUTED_VALUE"""),45978.0)</f>
        <v>45978</v>
      </c>
      <c r="K615" s="421">
        <f>IFERROR(__xludf.DUMMYFUNCTION("""COMPUTED_VALUE"""),37564.0)</f>
        <v>37564</v>
      </c>
      <c r="L615" s="422" t="str">
        <f>IFERROR(__xludf.DUMMYFUNCTION("""COMPUTED_VALUE"""),"Brookshire, TX, 77423")</f>
        <v>Brookshire, TX, 77423</v>
      </c>
      <c r="M615" s="423" t="str">
        <f>IFERROR(__xludf.DUMMYFUNCTION("""COMPUTED_VALUE"""),"Pooler, GA, 31322")</f>
        <v>Pooler, GA, 31322</v>
      </c>
      <c r="N615" s="546">
        <f>IFERROR(__xludf.DUMMYFUNCTION("""COMPUTED_VALUE"""),7.0)</f>
        <v>7</v>
      </c>
      <c r="O615" s="408">
        <v>0.65</v>
      </c>
      <c r="P615" s="414">
        <f t="shared" si="33"/>
        <v>4.55</v>
      </c>
      <c r="Q615" s="378"/>
      <c r="R615" s="378"/>
      <c r="S615" s="378"/>
      <c r="T615" s="378"/>
      <c r="U615" s="378"/>
      <c r="V615" s="378"/>
      <c r="W615" s="378"/>
      <c r="X615" s="378"/>
      <c r="Y615" s="378"/>
      <c r="Z615" s="378"/>
      <c r="AA615" s="378"/>
      <c r="AB615" s="378"/>
      <c r="AC615" s="378"/>
      <c r="AD615" s="378"/>
      <c r="AE615" s="378"/>
      <c r="AF615" s="378"/>
      <c r="AG615" s="378"/>
    </row>
    <row r="616">
      <c r="A616" s="378"/>
      <c r="B616" s="499">
        <f>IFERROR(__xludf.DUMMYFUNCTION("""COMPUTED_VALUE"""),45981.0)</f>
        <v>45981</v>
      </c>
      <c r="C616" s="421">
        <f>IFERROR(__xludf.DUMMYFUNCTION("""COMPUTED_VALUE"""),2882310.0)</f>
        <v>2882310</v>
      </c>
      <c r="D616" s="422" t="str">
        <f>IFERROR(__xludf.DUMMYFUNCTION("""COMPUTED_VALUE"""),"Piscataway, NJ, 08854")</f>
        <v>Piscataway, NJ, 08854</v>
      </c>
      <c r="E616" s="423" t="str">
        <f>IFERROR(__xludf.DUMMYFUNCTION("""COMPUTED_VALUE"""),"Richmond, VA, 23234")</f>
        <v>Richmond, VA, 23234</v>
      </c>
      <c r="F616" s="500">
        <f>IFERROR(__xludf.DUMMYFUNCTION("""COMPUTED_VALUE"""),1000.0)</f>
        <v>1000</v>
      </c>
      <c r="G616" s="413">
        <v>0.88</v>
      </c>
      <c r="H616" s="414">
        <f t="shared" si="32"/>
        <v>880</v>
      </c>
      <c r="I616" s="376"/>
      <c r="J616" s="545">
        <f>IFERROR(__xludf.DUMMYFUNCTION("""COMPUTED_VALUE"""),45981.0)</f>
        <v>45981</v>
      </c>
      <c r="K616" s="421">
        <f>IFERROR(__xludf.DUMMYFUNCTION("""COMPUTED_VALUE"""),2882310.0)</f>
        <v>2882310</v>
      </c>
      <c r="L616" s="422" t="str">
        <f>IFERROR(__xludf.DUMMYFUNCTION("""COMPUTED_VALUE"""),"Piscataway, NJ, 08854")</f>
        <v>Piscataway, NJ, 08854</v>
      </c>
      <c r="M616" s="423" t="str">
        <f>IFERROR(__xludf.DUMMYFUNCTION("""COMPUTED_VALUE"""),"Richmond, VA, 23234")</f>
        <v>Richmond, VA, 23234</v>
      </c>
      <c r="N616" s="546">
        <f>IFERROR(__xludf.DUMMYFUNCTION("""COMPUTED_VALUE"""),351.0)</f>
        <v>351</v>
      </c>
      <c r="O616" s="408">
        <v>0.65</v>
      </c>
      <c r="P616" s="414">
        <f t="shared" si="33"/>
        <v>228.15</v>
      </c>
      <c r="Q616" s="378"/>
      <c r="R616" s="378"/>
      <c r="S616" s="378"/>
      <c r="T616" s="378"/>
      <c r="U616" s="378"/>
      <c r="V616" s="378"/>
      <c r="W616" s="378"/>
      <c r="X616" s="378"/>
      <c r="Y616" s="378"/>
      <c r="Z616" s="378"/>
      <c r="AA616" s="378"/>
      <c r="AB616" s="378"/>
      <c r="AC616" s="378"/>
      <c r="AD616" s="378"/>
      <c r="AE616" s="378"/>
      <c r="AF616" s="378"/>
      <c r="AG616" s="378"/>
    </row>
    <row r="617">
      <c r="A617" s="378"/>
      <c r="B617" s="420"/>
      <c r="C617" s="421"/>
      <c r="D617" s="422"/>
      <c r="E617" s="423"/>
      <c r="F617" s="421"/>
      <c r="G617" s="413"/>
      <c r="H617" s="414"/>
      <c r="I617" s="376"/>
      <c r="J617" s="424"/>
      <c r="K617" s="421"/>
      <c r="L617" s="422"/>
      <c r="M617" s="423"/>
      <c r="N617" s="425"/>
      <c r="O617" s="408"/>
      <c r="P617" s="414"/>
      <c r="Q617" s="378"/>
      <c r="R617" s="378"/>
      <c r="S617" s="378"/>
      <c r="T617" s="378"/>
      <c r="U617" s="378"/>
      <c r="V617" s="378"/>
      <c r="W617" s="378"/>
      <c r="X617" s="378"/>
      <c r="Y617" s="378"/>
      <c r="Z617" s="378"/>
      <c r="AA617" s="378"/>
      <c r="AB617" s="378"/>
      <c r="AC617" s="378"/>
      <c r="AD617" s="378"/>
      <c r="AE617" s="378"/>
      <c r="AF617" s="378"/>
      <c r="AG617" s="378"/>
    </row>
    <row r="618">
      <c r="A618" s="378"/>
      <c r="B618" s="420"/>
      <c r="C618" s="421"/>
      <c r="D618" s="422"/>
      <c r="E618" s="423"/>
      <c r="F618" s="421"/>
      <c r="G618" s="413"/>
      <c r="H618" s="414"/>
      <c r="I618" s="376"/>
      <c r="J618" s="424"/>
      <c r="K618" s="421"/>
      <c r="L618" s="422"/>
      <c r="M618" s="423"/>
      <c r="N618" s="425"/>
      <c r="O618" s="408"/>
      <c r="P618" s="414"/>
      <c r="Q618" s="378"/>
      <c r="R618" s="378"/>
      <c r="S618" s="378"/>
      <c r="T618" s="378"/>
      <c r="U618" s="378"/>
      <c r="V618" s="378"/>
      <c r="W618" s="378"/>
      <c r="X618" s="378"/>
      <c r="Y618" s="378"/>
      <c r="Z618" s="378"/>
      <c r="AA618" s="378"/>
      <c r="AB618" s="378"/>
      <c r="AC618" s="378"/>
      <c r="AD618" s="378"/>
      <c r="AE618" s="378"/>
      <c r="AF618" s="378"/>
      <c r="AG618" s="378"/>
    </row>
    <row r="619">
      <c r="A619" s="378"/>
      <c r="B619" s="403" t="s">
        <v>711</v>
      </c>
      <c r="C619" s="224"/>
      <c r="D619" s="224"/>
      <c r="E619" s="222"/>
      <c r="F619" s="414">
        <f>SUM(F613:F618)</f>
        <v>6100</v>
      </c>
      <c r="G619" s="421"/>
      <c r="H619" s="414">
        <f>SUM(H613:H618)</f>
        <v>5368</v>
      </c>
      <c r="I619" s="376"/>
      <c r="J619" s="407" t="s">
        <v>711</v>
      </c>
      <c r="K619" s="224"/>
      <c r="L619" s="224"/>
      <c r="M619" s="222"/>
      <c r="N619" s="426">
        <f>SUM(N613:N618)</f>
        <v>2559</v>
      </c>
      <c r="O619" s="427"/>
      <c r="P619" s="414">
        <f>SUM(P613:P618)</f>
        <v>1663.35</v>
      </c>
      <c r="Q619" s="378"/>
      <c r="R619" s="378"/>
      <c r="S619" s="378"/>
      <c r="T619" s="378"/>
      <c r="U619" s="378"/>
      <c r="V619" s="378"/>
      <c r="W619" s="378"/>
      <c r="X619" s="378"/>
      <c r="Y619" s="378"/>
      <c r="Z619" s="378"/>
      <c r="AA619" s="378"/>
      <c r="AB619" s="378"/>
      <c r="AC619" s="378"/>
      <c r="AD619" s="378"/>
      <c r="AE619" s="378"/>
      <c r="AF619" s="378"/>
      <c r="AG619" s="378"/>
    </row>
    <row r="620">
      <c r="A620" s="378"/>
      <c r="B620" s="428"/>
      <c r="C620" s="419"/>
      <c r="D620" s="419"/>
      <c r="E620" s="419"/>
      <c r="F620" s="419"/>
      <c r="G620" s="419"/>
      <c r="H620" s="429"/>
      <c r="I620" s="376"/>
      <c r="J620" s="430"/>
      <c r="K620" s="419"/>
      <c r="L620" s="419"/>
      <c r="M620" s="419"/>
      <c r="N620" s="431"/>
      <c r="O620" s="432"/>
      <c r="P620" s="429"/>
      <c r="Q620" s="378"/>
      <c r="R620" s="378"/>
      <c r="S620" s="378"/>
      <c r="T620" s="378"/>
      <c r="U620" s="378"/>
      <c r="V620" s="378"/>
      <c r="W620" s="378"/>
      <c r="X620" s="378"/>
      <c r="Y620" s="378"/>
      <c r="Z620" s="378"/>
      <c r="AA620" s="378"/>
      <c r="AB620" s="378"/>
      <c r="AC620" s="378"/>
      <c r="AD620" s="378"/>
      <c r="AE620" s="378"/>
      <c r="AF620" s="378"/>
      <c r="AG620" s="378"/>
    </row>
    <row r="621">
      <c r="A621" s="378"/>
      <c r="B621" s="433" t="s">
        <v>712</v>
      </c>
      <c r="C621" s="434"/>
      <c r="D621" s="435"/>
      <c r="E621" s="419"/>
      <c r="F621" s="419"/>
      <c r="G621" s="419"/>
      <c r="H621" s="429"/>
      <c r="I621" s="376"/>
      <c r="J621" s="437" t="s">
        <v>712</v>
      </c>
      <c r="K621" s="434"/>
      <c r="L621" s="435"/>
      <c r="M621" s="419"/>
      <c r="N621" s="431"/>
      <c r="O621" s="432"/>
      <c r="P621" s="429"/>
      <c r="Q621" s="378"/>
      <c r="R621" s="378"/>
      <c r="S621" s="378"/>
      <c r="T621" s="378"/>
      <c r="U621" s="378"/>
      <c r="V621" s="378"/>
      <c r="W621" s="378"/>
      <c r="X621" s="378"/>
      <c r="Y621" s="378"/>
      <c r="Z621" s="378"/>
      <c r="AA621" s="378"/>
      <c r="AB621" s="378"/>
      <c r="AC621" s="378"/>
      <c r="AD621" s="378"/>
      <c r="AE621" s="378"/>
      <c r="AF621" s="378"/>
      <c r="AG621" s="378"/>
    </row>
    <row r="622">
      <c r="A622" s="378"/>
      <c r="B622" s="438" t="s">
        <v>885</v>
      </c>
      <c r="C622" s="439">
        <v>250.0</v>
      </c>
      <c r="D622" s="440"/>
      <c r="E622" s="419"/>
      <c r="F622" s="419"/>
      <c r="G622" s="419"/>
      <c r="H622" s="429"/>
      <c r="I622" s="376"/>
      <c r="J622" s="443"/>
      <c r="K622" s="439"/>
      <c r="L622" s="440"/>
      <c r="M622" s="419"/>
      <c r="N622" s="431"/>
      <c r="O622" s="432"/>
      <c r="P622" s="429"/>
      <c r="Q622" s="378"/>
      <c r="R622" s="378"/>
      <c r="S622" s="378"/>
      <c r="T622" s="378"/>
      <c r="U622" s="378"/>
      <c r="V622" s="378"/>
      <c r="W622" s="378"/>
      <c r="X622" s="378"/>
      <c r="Y622" s="378"/>
      <c r="Z622" s="378"/>
      <c r="AA622" s="378"/>
      <c r="AB622" s="378"/>
      <c r="AC622" s="378"/>
      <c r="AD622" s="378"/>
      <c r="AE622" s="378"/>
      <c r="AF622" s="378"/>
      <c r="AG622" s="378"/>
    </row>
    <row r="623">
      <c r="A623" s="378"/>
      <c r="B623" s="444"/>
      <c r="C623" s="434"/>
      <c r="D623" s="435"/>
      <c r="E623" s="419"/>
      <c r="F623" s="463"/>
      <c r="G623" s="463"/>
      <c r="H623" s="448"/>
      <c r="I623" s="376"/>
      <c r="J623" s="445"/>
      <c r="K623" s="434"/>
      <c r="L623" s="435"/>
      <c r="M623" s="419"/>
      <c r="N623" s="446"/>
      <c r="O623" s="447"/>
      <c r="P623" s="448"/>
      <c r="Q623" s="378"/>
      <c r="R623" s="378"/>
      <c r="S623" s="378"/>
      <c r="T623" s="378"/>
      <c r="U623" s="378"/>
      <c r="V623" s="378"/>
      <c r="W623" s="378"/>
      <c r="X623" s="378"/>
      <c r="Y623" s="378"/>
      <c r="Z623" s="378"/>
      <c r="AA623" s="378"/>
      <c r="AB623" s="378"/>
      <c r="AC623" s="378"/>
      <c r="AD623" s="378"/>
      <c r="AE623" s="378"/>
      <c r="AF623" s="378"/>
      <c r="AG623" s="378"/>
    </row>
    <row r="624">
      <c r="A624" s="378"/>
      <c r="B624" s="438" t="s">
        <v>714</v>
      </c>
      <c r="C624" s="439">
        <f>SUM(C622:C623)</f>
        <v>250</v>
      </c>
      <c r="D624" s="440"/>
      <c r="E624" s="419"/>
      <c r="F624" s="463"/>
      <c r="G624" s="463"/>
      <c r="H624" s="448"/>
      <c r="I624" s="376"/>
      <c r="J624" s="443" t="s">
        <v>714</v>
      </c>
      <c r="K624" s="439">
        <f>SUM(K622:K623)</f>
        <v>0</v>
      </c>
      <c r="L624" s="440"/>
      <c r="M624" s="419"/>
      <c r="N624" s="446"/>
      <c r="O624" s="447"/>
      <c r="P624" s="448"/>
      <c r="Q624" s="378"/>
      <c r="R624" s="378"/>
      <c r="S624" s="378"/>
      <c r="T624" s="378"/>
      <c r="U624" s="378"/>
      <c r="V624" s="378"/>
      <c r="W624" s="378"/>
      <c r="X624" s="378"/>
      <c r="Y624" s="378"/>
      <c r="Z624" s="378"/>
      <c r="AA624" s="378"/>
      <c r="AB624" s="378"/>
      <c r="AC624" s="378"/>
      <c r="AD624" s="378"/>
      <c r="AE624" s="378"/>
      <c r="AF624" s="378"/>
      <c r="AG624" s="378"/>
    </row>
    <row r="625">
      <c r="A625" s="378"/>
      <c r="B625" s="450"/>
      <c r="C625" s="451"/>
      <c r="D625" s="419"/>
      <c r="E625" s="419"/>
      <c r="F625" s="463"/>
      <c r="G625" s="463"/>
      <c r="H625" s="448"/>
      <c r="I625" s="376"/>
      <c r="J625" s="535"/>
      <c r="K625" s="451"/>
      <c r="L625" s="419"/>
      <c r="M625" s="419"/>
      <c r="N625" s="446"/>
      <c r="O625" s="447"/>
      <c r="P625" s="448"/>
      <c r="Q625" s="378"/>
      <c r="R625" s="378"/>
      <c r="S625" s="378"/>
      <c r="T625" s="378"/>
      <c r="U625" s="378"/>
      <c r="V625" s="378"/>
      <c r="W625" s="378"/>
      <c r="X625" s="378"/>
      <c r="Y625" s="378"/>
      <c r="Z625" s="378"/>
      <c r="AA625" s="378"/>
      <c r="AB625" s="378"/>
      <c r="AC625" s="378"/>
      <c r="AD625" s="378"/>
      <c r="AE625" s="378"/>
      <c r="AF625" s="378"/>
      <c r="AG625" s="378"/>
    </row>
    <row r="626">
      <c r="A626" s="378"/>
      <c r="B626" s="454" t="s">
        <v>715</v>
      </c>
      <c r="C626" s="455"/>
      <c r="D626" s="435"/>
      <c r="E626" s="419"/>
      <c r="F626" s="463"/>
      <c r="G626" s="463"/>
      <c r="H626" s="448"/>
      <c r="I626" s="376"/>
      <c r="J626" s="458" t="s">
        <v>715</v>
      </c>
      <c r="K626" s="455"/>
      <c r="L626" s="435"/>
      <c r="M626" s="419"/>
      <c r="N626" s="446"/>
      <c r="O626" s="447"/>
      <c r="P626" s="448"/>
      <c r="Q626" s="378"/>
      <c r="R626" s="378"/>
      <c r="S626" s="378"/>
      <c r="T626" s="378"/>
      <c r="U626" s="378"/>
      <c r="V626" s="378"/>
      <c r="W626" s="378"/>
      <c r="X626" s="378"/>
      <c r="Y626" s="378"/>
      <c r="Z626" s="378"/>
      <c r="AA626" s="378"/>
      <c r="AB626" s="378"/>
      <c r="AC626" s="378"/>
      <c r="AD626" s="378"/>
      <c r="AE626" s="378"/>
      <c r="AF626" s="378"/>
      <c r="AG626" s="378"/>
    </row>
    <row r="627">
      <c r="A627" s="378"/>
      <c r="B627" s="459" t="s">
        <v>716</v>
      </c>
      <c r="C627" s="460">
        <v>0.0</v>
      </c>
      <c r="D627" s="440"/>
      <c r="E627" s="419"/>
      <c r="F627" s="463"/>
      <c r="G627" s="463"/>
      <c r="H627" s="448"/>
      <c r="I627" s="376"/>
      <c r="J627" s="462"/>
      <c r="K627" s="460"/>
      <c r="L627" s="440"/>
      <c r="M627" s="419"/>
      <c r="N627" s="446"/>
      <c r="O627" s="447"/>
      <c r="P627" s="448"/>
      <c r="Q627" s="378"/>
      <c r="R627" s="378"/>
      <c r="S627" s="378"/>
      <c r="T627" s="378"/>
      <c r="U627" s="378"/>
      <c r="V627" s="378"/>
      <c r="W627" s="378"/>
      <c r="X627" s="378"/>
      <c r="Y627" s="378"/>
      <c r="Z627" s="378"/>
      <c r="AA627" s="378"/>
      <c r="AB627" s="378"/>
      <c r="AC627" s="378"/>
      <c r="AD627" s="378"/>
      <c r="AE627" s="378"/>
      <c r="AF627" s="378"/>
      <c r="AG627" s="378"/>
    </row>
    <row r="628">
      <c r="A628" s="378"/>
      <c r="B628" s="459" t="s">
        <v>717</v>
      </c>
      <c r="C628" s="460">
        <v>0.0</v>
      </c>
      <c r="D628" s="567" t="s">
        <v>889</v>
      </c>
      <c r="E628" s="419"/>
      <c r="F628" s="463"/>
      <c r="G628" s="463"/>
      <c r="H628" s="448"/>
      <c r="I628" s="376"/>
      <c r="J628" s="462"/>
      <c r="K628" s="460"/>
      <c r="L628" s="440"/>
      <c r="M628" s="419"/>
      <c r="N628" s="446"/>
      <c r="O628" s="447"/>
      <c r="P628" s="448"/>
      <c r="Q628" s="378"/>
      <c r="R628" s="378"/>
      <c r="S628" s="378"/>
      <c r="T628" s="378"/>
      <c r="U628" s="378"/>
      <c r="V628" s="378"/>
      <c r="W628" s="378"/>
      <c r="X628" s="378"/>
      <c r="Y628" s="378"/>
      <c r="Z628" s="378"/>
      <c r="AA628" s="378"/>
      <c r="AB628" s="378"/>
      <c r="AC628" s="378"/>
      <c r="AD628" s="378"/>
      <c r="AE628" s="378"/>
      <c r="AF628" s="378"/>
      <c r="AG628" s="378"/>
    </row>
    <row r="629">
      <c r="A629" s="378"/>
      <c r="B629" s="459" t="s">
        <v>718</v>
      </c>
      <c r="C629" s="460">
        <v>0.0</v>
      </c>
      <c r="D629" s="440"/>
      <c r="E629" s="419"/>
      <c r="F629" s="463"/>
      <c r="G629" s="463"/>
      <c r="H629" s="448"/>
      <c r="I629" s="376"/>
      <c r="J629" s="462"/>
      <c r="K629" s="460"/>
      <c r="L629" s="440"/>
      <c r="M629" s="419"/>
      <c r="N629" s="446"/>
      <c r="O629" s="447"/>
      <c r="P629" s="448"/>
      <c r="Q629" s="378"/>
      <c r="R629" s="378"/>
      <c r="S629" s="378"/>
      <c r="T629" s="378"/>
      <c r="U629" s="378"/>
      <c r="V629" s="378"/>
      <c r="W629" s="378"/>
      <c r="X629" s="378"/>
      <c r="Y629" s="378"/>
      <c r="Z629" s="378"/>
      <c r="AA629" s="378"/>
      <c r="AB629" s="378"/>
      <c r="AC629" s="378"/>
      <c r="AD629" s="378"/>
      <c r="AE629" s="378"/>
      <c r="AF629" s="378"/>
      <c r="AG629" s="378"/>
    </row>
    <row r="630">
      <c r="A630" s="378"/>
      <c r="B630" s="459" t="s">
        <v>656</v>
      </c>
      <c r="C630" s="460" t="str">
        <f>IFERROR(__xludf.DUMMYFUNCTION("FILTER(D1045:D1073,C1045:C1073=F611)"),"#N/A")</f>
        <v>#N/A</v>
      </c>
      <c r="D630" s="440"/>
      <c r="E630" s="419"/>
      <c r="F630" s="463"/>
      <c r="G630" s="463"/>
      <c r="H630" s="448"/>
      <c r="I630" s="376"/>
      <c r="J630" s="462"/>
      <c r="K630" s="460"/>
      <c r="L630" s="440"/>
      <c r="M630" s="419"/>
      <c r="N630" s="446"/>
      <c r="O630" s="447"/>
      <c r="P630" s="448"/>
      <c r="Q630" s="378"/>
      <c r="R630" s="378"/>
      <c r="S630" s="378"/>
      <c r="T630" s="378"/>
      <c r="U630" s="378"/>
      <c r="V630" s="378"/>
      <c r="W630" s="378"/>
      <c r="X630" s="378"/>
      <c r="Y630" s="378"/>
      <c r="Z630" s="378"/>
      <c r="AA630" s="378"/>
      <c r="AB630" s="378"/>
      <c r="AC630" s="378"/>
      <c r="AD630" s="378"/>
      <c r="AE630" s="378"/>
      <c r="AF630" s="378"/>
      <c r="AG630" s="378"/>
    </row>
    <row r="631">
      <c r="A631" s="378"/>
      <c r="B631" s="464"/>
      <c r="C631" s="455"/>
      <c r="D631" s="435"/>
      <c r="E631" s="419"/>
      <c r="F631" s="568" t="s">
        <v>881</v>
      </c>
      <c r="G631" s="466" t="str">
        <f>H619+C624-C636</f>
        <v>#N/A</v>
      </c>
      <c r="H631" s="211"/>
      <c r="I631" s="376"/>
      <c r="J631" s="467"/>
      <c r="K631" s="455"/>
      <c r="L631" s="435"/>
      <c r="M631" s="419"/>
      <c r="N631" s="468" t="s">
        <v>842</v>
      </c>
      <c r="O631" s="539">
        <f>P619+K624-K636</f>
        <v>1663.35</v>
      </c>
      <c r="P631" s="211"/>
      <c r="Q631" s="378"/>
      <c r="R631" s="378"/>
      <c r="S631" s="378"/>
      <c r="T631" s="378"/>
      <c r="U631" s="378"/>
      <c r="V631" s="378"/>
      <c r="W631" s="378"/>
      <c r="X631" s="378"/>
      <c r="Y631" s="378"/>
      <c r="Z631" s="378"/>
      <c r="AA631" s="378"/>
      <c r="AB631" s="378"/>
      <c r="AC631" s="378"/>
      <c r="AD631" s="378"/>
      <c r="AE631" s="378"/>
      <c r="AF631" s="378"/>
      <c r="AG631" s="378"/>
    </row>
    <row r="632">
      <c r="A632" s="378"/>
      <c r="B632" s="464"/>
      <c r="C632" s="455"/>
      <c r="D632" s="435"/>
      <c r="E632" s="419"/>
      <c r="F632" s="55"/>
      <c r="G632" s="278"/>
      <c r="H632" s="56"/>
      <c r="I632" s="376"/>
      <c r="J632" s="467"/>
      <c r="K632" s="455"/>
      <c r="L632" s="435"/>
      <c r="M632" s="419"/>
      <c r="N632" s="469" t="s">
        <v>854</v>
      </c>
      <c r="O632" s="278"/>
      <c r="P632" s="56"/>
      <c r="Q632" s="378"/>
      <c r="R632" s="378"/>
      <c r="S632" s="378"/>
      <c r="T632" s="378"/>
      <c r="U632" s="378"/>
      <c r="V632" s="378"/>
      <c r="W632" s="378"/>
      <c r="X632" s="378"/>
      <c r="Y632" s="378"/>
      <c r="Z632" s="378"/>
      <c r="AA632" s="378"/>
      <c r="AB632" s="378"/>
      <c r="AC632" s="378"/>
      <c r="AD632" s="378"/>
      <c r="AE632" s="378"/>
      <c r="AF632" s="378"/>
      <c r="AG632" s="378"/>
    </row>
    <row r="633">
      <c r="A633" s="378"/>
      <c r="B633" s="464"/>
      <c r="C633" s="455"/>
      <c r="D633" s="435"/>
      <c r="E633" s="419"/>
      <c r="F633" s="60"/>
      <c r="G633" s="215"/>
      <c r="H633" s="64"/>
      <c r="I633" s="376"/>
      <c r="J633" s="467"/>
      <c r="K633" s="455"/>
      <c r="L633" s="435"/>
      <c r="M633" s="419"/>
      <c r="N633" s="470"/>
      <c r="O633" s="215"/>
      <c r="P633" s="64"/>
      <c r="Q633" s="378"/>
      <c r="R633" s="378"/>
      <c r="S633" s="378"/>
      <c r="T633" s="378"/>
      <c r="U633" s="378"/>
      <c r="V633" s="378"/>
      <c r="W633" s="378"/>
      <c r="X633" s="378"/>
      <c r="Y633" s="378"/>
      <c r="Z633" s="378"/>
      <c r="AA633" s="378"/>
      <c r="AB633" s="378"/>
      <c r="AC633" s="378"/>
      <c r="AD633" s="378"/>
      <c r="AE633" s="378"/>
      <c r="AF633" s="378"/>
      <c r="AG633" s="378"/>
    </row>
    <row r="634">
      <c r="A634" s="378"/>
      <c r="B634" s="464"/>
      <c r="C634" s="455"/>
      <c r="D634" s="435"/>
      <c r="E634" s="419"/>
      <c r="F634" s="419"/>
      <c r="G634" s="419"/>
      <c r="H634" s="429"/>
      <c r="I634" s="376"/>
      <c r="J634" s="467"/>
      <c r="K634" s="455"/>
      <c r="L634" s="435"/>
      <c r="M634" s="419"/>
      <c r="N634" s="431"/>
      <c r="O634" s="432"/>
      <c r="P634" s="429"/>
      <c r="Q634" s="378"/>
      <c r="R634" s="378"/>
      <c r="S634" s="378"/>
      <c r="T634" s="378"/>
      <c r="U634" s="378"/>
      <c r="V634" s="378"/>
      <c r="W634" s="378"/>
      <c r="X634" s="378"/>
      <c r="Y634" s="378"/>
      <c r="Z634" s="378"/>
      <c r="AA634" s="378"/>
      <c r="AB634" s="378"/>
      <c r="AC634" s="378"/>
      <c r="AD634" s="378"/>
      <c r="AE634" s="378"/>
      <c r="AF634" s="378"/>
      <c r="AG634" s="378"/>
    </row>
    <row r="635">
      <c r="A635" s="378"/>
      <c r="B635" s="464"/>
      <c r="C635" s="455"/>
      <c r="D635" s="435"/>
      <c r="E635" s="419"/>
      <c r="F635" s="419"/>
      <c r="G635" s="419"/>
      <c r="H635" s="429"/>
      <c r="I635" s="376"/>
      <c r="J635" s="467"/>
      <c r="K635" s="455"/>
      <c r="L635" s="435"/>
      <c r="M635" s="419"/>
      <c r="N635" s="431"/>
      <c r="O635" s="432"/>
      <c r="P635" s="429"/>
      <c r="Q635" s="378"/>
      <c r="R635" s="378"/>
      <c r="S635" s="378"/>
      <c r="T635" s="378"/>
      <c r="U635" s="378"/>
      <c r="V635" s="378"/>
      <c r="W635" s="378"/>
      <c r="X635" s="378"/>
      <c r="Y635" s="378"/>
      <c r="Z635" s="378"/>
      <c r="AA635" s="378"/>
      <c r="AB635" s="378"/>
      <c r="AC635" s="378"/>
      <c r="AD635" s="378"/>
      <c r="AE635" s="378"/>
      <c r="AF635" s="378"/>
      <c r="AG635" s="378"/>
    </row>
    <row r="636">
      <c r="A636" s="378"/>
      <c r="B636" s="454" t="s">
        <v>721</v>
      </c>
      <c r="C636" s="460" t="str">
        <f>SUM(C627:C635)</f>
        <v>#N/A</v>
      </c>
      <c r="D636" s="440"/>
      <c r="E636" s="419"/>
      <c r="F636" s="419"/>
      <c r="G636" s="419"/>
      <c r="H636" s="429"/>
      <c r="I636" s="376"/>
      <c r="J636" s="458" t="s">
        <v>721</v>
      </c>
      <c r="K636" s="460">
        <f>SUM(K627:K635)</f>
        <v>0</v>
      </c>
      <c r="L636" s="440"/>
      <c r="M636" s="419"/>
      <c r="N636" s="431"/>
      <c r="O636" s="432"/>
      <c r="P636" s="429"/>
      <c r="Q636" s="378"/>
      <c r="R636" s="378"/>
      <c r="S636" s="378"/>
      <c r="T636" s="378"/>
      <c r="U636" s="378"/>
      <c r="V636" s="378"/>
      <c r="W636" s="378"/>
      <c r="X636" s="378"/>
      <c r="Y636" s="378"/>
      <c r="Z636" s="378"/>
      <c r="AA636" s="378"/>
      <c r="AB636" s="378"/>
      <c r="AC636" s="378"/>
      <c r="AD636" s="378"/>
      <c r="AE636" s="378"/>
      <c r="AF636" s="378"/>
      <c r="AG636" s="378"/>
    </row>
    <row r="637">
      <c r="A637" s="378"/>
      <c r="B637" s="471"/>
      <c r="C637" s="472"/>
      <c r="D637" s="472"/>
      <c r="E637" s="472"/>
      <c r="F637" s="472"/>
      <c r="G637" s="472"/>
      <c r="H637" s="473"/>
      <c r="I637" s="376"/>
      <c r="J637" s="474"/>
      <c r="K637" s="472"/>
      <c r="L637" s="472"/>
      <c r="M637" s="472"/>
      <c r="N637" s="475"/>
      <c r="O637" s="476"/>
      <c r="P637" s="473"/>
      <c r="Q637" s="378"/>
      <c r="R637" s="378"/>
      <c r="S637" s="378"/>
      <c r="T637" s="378"/>
      <c r="U637" s="378"/>
      <c r="V637" s="378"/>
      <c r="W637" s="378"/>
      <c r="X637" s="378"/>
      <c r="Y637" s="378"/>
      <c r="Z637" s="378"/>
      <c r="AA637" s="378"/>
      <c r="AB637" s="378"/>
      <c r="AC637" s="378"/>
      <c r="AD637" s="378"/>
      <c r="AE637" s="378"/>
      <c r="AF637" s="378"/>
      <c r="AG637" s="378"/>
    </row>
    <row r="638">
      <c r="A638" s="378"/>
      <c r="B638" s="550"/>
      <c r="C638" s="463"/>
      <c r="D638" s="463"/>
      <c r="E638" s="463"/>
      <c r="F638" s="463"/>
      <c r="G638" s="463"/>
      <c r="H638" s="463"/>
      <c r="I638" s="376"/>
      <c r="J638" s="377"/>
      <c r="K638" s="378"/>
      <c r="L638" s="378"/>
      <c r="M638" s="378"/>
      <c r="N638" s="379"/>
      <c r="O638" s="380"/>
      <c r="P638" s="378"/>
      <c r="Q638" s="378"/>
      <c r="R638" s="378"/>
      <c r="S638" s="378"/>
      <c r="T638" s="378"/>
      <c r="U638" s="378"/>
      <c r="V638" s="378"/>
      <c r="W638" s="378"/>
      <c r="X638" s="378"/>
      <c r="Y638" s="378"/>
      <c r="Z638" s="378"/>
      <c r="AA638" s="378"/>
      <c r="AB638" s="378"/>
      <c r="AC638" s="378"/>
      <c r="AD638" s="378"/>
      <c r="AE638" s="378"/>
      <c r="AF638" s="378"/>
      <c r="AG638" s="378"/>
    </row>
    <row r="639">
      <c r="A639" s="378"/>
      <c r="B639" s="550"/>
      <c r="C639" s="463"/>
      <c r="D639" s="463"/>
      <c r="E639" s="463"/>
      <c r="F639" s="463"/>
      <c r="G639" s="463"/>
      <c r="H639" s="463"/>
      <c r="I639" s="376"/>
      <c r="J639" s="377"/>
      <c r="K639" s="378"/>
      <c r="L639" s="378"/>
      <c r="M639" s="378"/>
      <c r="N639" s="379"/>
      <c r="O639" s="380"/>
      <c r="P639" s="378"/>
      <c r="Q639" s="378"/>
      <c r="R639" s="378"/>
      <c r="S639" s="378"/>
      <c r="T639" s="378"/>
      <c r="U639" s="378"/>
      <c r="V639" s="378"/>
      <c r="W639" s="378"/>
      <c r="X639" s="378"/>
      <c r="Y639" s="378"/>
      <c r="Z639" s="378"/>
      <c r="AA639" s="378"/>
      <c r="AB639" s="378"/>
      <c r="AC639" s="378"/>
      <c r="AD639" s="378"/>
      <c r="AE639" s="378"/>
      <c r="AF639" s="378"/>
      <c r="AG639" s="378"/>
    </row>
    <row r="640">
      <c r="A640" s="378"/>
      <c r="B640" s="382"/>
      <c r="C640" s="388"/>
      <c r="D640" s="560" t="s">
        <v>660</v>
      </c>
      <c r="E640" s="385" t="s">
        <v>700</v>
      </c>
      <c r="F640" s="385" t="str">
        <f>Board!A2</f>
        <v>11.17.25-11.23.25</v>
      </c>
      <c r="G640" s="213"/>
      <c r="H640" s="211"/>
      <c r="I640" s="386">
        <v>19.0</v>
      </c>
      <c r="J640" s="387"/>
      <c r="K640" s="388"/>
      <c r="L640" s="384"/>
      <c r="M640" s="385" t="s">
        <v>700</v>
      </c>
      <c r="N640" s="385" t="str">
        <f>Board!A2</f>
        <v>11.17.25-11.23.25</v>
      </c>
      <c r="O640" s="213"/>
      <c r="P640" s="211"/>
      <c r="Q640" s="378"/>
      <c r="R640" s="389" t="s">
        <v>831</v>
      </c>
      <c r="S640" s="389" t="s">
        <v>652</v>
      </c>
      <c r="T640" s="390" t="s">
        <v>832</v>
      </c>
      <c r="U640" s="391" t="s">
        <v>833</v>
      </c>
      <c r="V640" s="389" t="s">
        <v>655</v>
      </c>
      <c r="W640" s="389" t="s">
        <v>8</v>
      </c>
      <c r="X640" s="389" t="s">
        <v>656</v>
      </c>
      <c r="Y640" s="390" t="s">
        <v>834</v>
      </c>
      <c r="Z640" s="392" t="s">
        <v>835</v>
      </c>
      <c r="AA640" s="390" t="s">
        <v>836</v>
      </c>
      <c r="AB640" s="390" t="s">
        <v>837</v>
      </c>
      <c r="AC640" s="393" t="s">
        <v>716</v>
      </c>
      <c r="AD640" s="393" t="s">
        <v>717</v>
      </c>
      <c r="AE640" s="393" t="s">
        <v>718</v>
      </c>
      <c r="AF640" s="394" t="s">
        <v>838</v>
      </c>
      <c r="AG640" s="394"/>
    </row>
    <row r="641">
      <c r="A641" s="378"/>
      <c r="B641" s="395"/>
      <c r="C641" s="372"/>
      <c r="D641" s="396"/>
      <c r="E641" s="385" t="s">
        <v>702</v>
      </c>
      <c r="F641" s="385" t="s">
        <v>660</v>
      </c>
      <c r="G641" s="213"/>
      <c r="H641" s="211"/>
      <c r="I641" s="376"/>
      <c r="J641" s="397"/>
      <c r="K641" s="372"/>
      <c r="L641" s="396"/>
      <c r="M641" s="385" t="s">
        <v>351</v>
      </c>
      <c r="N641" s="385" t="str">
        <f t="array" ref="N641">XLOOKUP(N642,Board!K:K,Board!J:J)</f>
        <v>DAGBOLEN ISA</v>
      </c>
      <c r="O641" s="213"/>
      <c r="P641" s="211"/>
      <c r="Q641" s="378"/>
      <c r="R641" s="398">
        <f>I640</f>
        <v>19</v>
      </c>
      <c r="S641" s="398">
        <f>F642</f>
        <v>7048</v>
      </c>
      <c r="T641" s="399" t="str">
        <f>G662</f>
        <v>#N/A</v>
      </c>
      <c r="U641" s="378" t="str">
        <f>N641</f>
        <v>DAGBOLEN ISA</v>
      </c>
      <c r="V641" s="380">
        <f>O662</f>
        <v>3003.8</v>
      </c>
      <c r="W641" s="399">
        <f>P650</f>
        <v>2928.8</v>
      </c>
      <c r="X641" s="399" t="str">
        <f>C661</f>
        <v>#N/A</v>
      </c>
      <c r="Y641" s="400">
        <f>N650</f>
        <v>4184</v>
      </c>
      <c r="Z641" s="378" t="str">
        <f>V642-V641</f>
        <v>#N/A</v>
      </c>
      <c r="AA641" s="378"/>
      <c r="AB641" s="378"/>
      <c r="AC641" s="401">
        <f>C658</f>
        <v>150</v>
      </c>
      <c r="AD641" s="401">
        <f>C659</f>
        <v>400</v>
      </c>
      <c r="AE641" s="401">
        <f>C660</f>
        <v>200</v>
      </c>
      <c r="AF641" s="530">
        <f>C662+C663+C664+C665+C666</f>
        <v>3720.72</v>
      </c>
      <c r="AG641" s="398"/>
    </row>
    <row r="642">
      <c r="A642" s="378"/>
      <c r="B642" s="395"/>
      <c r="C642" s="372"/>
      <c r="D642" s="402"/>
      <c r="E642" s="385" t="s">
        <v>703</v>
      </c>
      <c r="F642" s="385">
        <v>7048.0</v>
      </c>
      <c r="G642" s="213"/>
      <c r="H642" s="211"/>
      <c r="I642" s="376"/>
      <c r="J642" s="397"/>
      <c r="K642" s="372"/>
      <c r="L642" s="402"/>
      <c r="M642" s="385" t="s">
        <v>703</v>
      </c>
      <c r="N642" s="385">
        <f>F642</f>
        <v>7048</v>
      </c>
      <c r="O642" s="213"/>
      <c r="P642" s="211"/>
      <c r="Q642" s="378"/>
      <c r="R642" s="378"/>
      <c r="S642" s="378"/>
      <c r="T642" s="378"/>
      <c r="U642" s="378" t="str">
        <f>F641</f>
        <v>Arba Express LLC</v>
      </c>
      <c r="V642" s="399" t="str">
        <f>G662</f>
        <v>#N/A</v>
      </c>
      <c r="W642" s="399">
        <f>H650</f>
        <v>8950</v>
      </c>
      <c r="X642" s="378"/>
      <c r="Y642" s="378"/>
      <c r="Z642" s="378"/>
      <c r="AA642" s="378"/>
      <c r="AB642" s="378"/>
      <c r="AC642" s="378"/>
      <c r="AD642" s="378"/>
      <c r="AE642" s="378"/>
      <c r="AF642" s="378"/>
      <c r="AG642" s="378"/>
    </row>
    <row r="643">
      <c r="A643" s="378"/>
      <c r="B643" s="403" t="s">
        <v>704</v>
      </c>
      <c r="C643" s="404" t="s">
        <v>5</v>
      </c>
      <c r="D643" s="405" t="s">
        <v>6</v>
      </c>
      <c r="E643" s="406" t="s">
        <v>7</v>
      </c>
      <c r="F643" s="404" t="s">
        <v>8</v>
      </c>
      <c r="G643" s="404" t="s">
        <v>706</v>
      </c>
      <c r="H643" s="404" t="s">
        <v>707</v>
      </c>
      <c r="I643" s="376"/>
      <c r="J643" s="407" t="s">
        <v>704</v>
      </c>
      <c r="K643" s="404" t="s">
        <v>5</v>
      </c>
      <c r="L643" s="405" t="s">
        <v>6</v>
      </c>
      <c r="M643" s="406" t="s">
        <v>7</v>
      </c>
      <c r="N643" s="404" t="s">
        <v>591</v>
      </c>
      <c r="O643" s="408" t="s">
        <v>839</v>
      </c>
      <c r="P643" s="404" t="s">
        <v>707</v>
      </c>
      <c r="Q643" s="378"/>
      <c r="R643" s="378"/>
      <c r="S643" s="378"/>
      <c r="T643" s="378"/>
      <c r="U643" s="378"/>
      <c r="V643" s="378"/>
      <c r="W643" s="378"/>
      <c r="X643" s="378"/>
      <c r="Y643" s="378"/>
      <c r="Z643" s="378"/>
      <c r="AA643" s="378"/>
      <c r="AB643" s="378"/>
      <c r="AC643" s="378"/>
      <c r="AD643" s="378"/>
      <c r="AE643" s="378"/>
      <c r="AF643" s="378"/>
      <c r="AG643" s="378"/>
    </row>
    <row r="644">
      <c r="A644" s="378"/>
      <c r="B644" s="555">
        <f>IFERROR(__xludf.DUMMYFUNCTION("FILTER(Board!C:G,Board!K:K=F642)"),45978.0)</f>
        <v>45978</v>
      </c>
      <c r="C644" s="404">
        <f>IFERROR(__xludf.DUMMYFUNCTION("""COMPUTED_VALUE"""),30662.0)</f>
        <v>30662</v>
      </c>
      <c r="D644" s="405" t="str">
        <f>IFERROR(__xludf.DUMMYFUNCTION("""COMPUTED_VALUE"""),"Commerce City, CO, 80022")</f>
        <v>Commerce City, CO, 80022</v>
      </c>
      <c r="E644" s="406" t="str">
        <f>IFERROR(__xludf.DUMMYFUNCTION("""COMPUTED_VALUE"""),"Spokane, WA, 99202")</f>
        <v>Spokane, WA, 99202</v>
      </c>
      <c r="F644" s="414">
        <f>IFERROR(__xludf.DUMMYFUNCTION("""COMPUTED_VALUE"""),2300.0)</f>
        <v>2300</v>
      </c>
      <c r="G644" s="413">
        <v>1.0</v>
      </c>
      <c r="H644" s="414">
        <f t="shared" ref="H644:H647" si="34">F644*G644</f>
        <v>2300</v>
      </c>
      <c r="I644" s="376"/>
      <c r="J644" s="569"/>
      <c r="K644" s="570"/>
      <c r="L644" s="570"/>
      <c r="M644" s="570"/>
      <c r="N644" s="570"/>
      <c r="O644" s="408"/>
      <c r="P644" s="414"/>
      <c r="Q644" s="378"/>
      <c r="R644" s="378"/>
      <c r="S644" s="378"/>
      <c r="T644" s="378"/>
      <c r="U644" s="378"/>
      <c r="V644" s="378"/>
      <c r="W644" s="378"/>
      <c r="X644" s="378"/>
      <c r="Y644" s="378"/>
      <c r="Z644" s="378"/>
      <c r="AA644" s="378"/>
      <c r="AB644" s="378"/>
      <c r="AC644" s="378"/>
      <c r="AD644" s="378"/>
      <c r="AE644" s="378"/>
      <c r="AF644" s="378"/>
      <c r="AG644" s="378"/>
    </row>
    <row r="645">
      <c r="A645" s="378"/>
      <c r="B645" s="555">
        <f>IFERROR(__xludf.DUMMYFUNCTION("""COMPUTED_VALUE"""),45981.0)</f>
        <v>45981</v>
      </c>
      <c r="C645" s="404">
        <f>IFERROR(__xludf.DUMMYFUNCTION("""COMPUTED_VALUE"""),2.0647309E7)</f>
        <v>20647309</v>
      </c>
      <c r="D645" s="405" t="str">
        <f>IFERROR(__xludf.DUMMYFUNCTION("""COMPUTED_VALUE"""),"Richmond, UT, 84333")</f>
        <v>Richmond, UT, 84333</v>
      </c>
      <c r="E645" s="406" t="str">
        <f>IFERROR(__xludf.DUMMYFUNCTION("""COMPUTED_VALUE"""),"Chesterfield, NH, 03443")</f>
        <v>Chesterfield, NH, 03443</v>
      </c>
      <c r="F645" s="414">
        <f>IFERROR(__xludf.DUMMYFUNCTION("""COMPUTED_VALUE"""),5200.0)</f>
        <v>5200</v>
      </c>
      <c r="G645" s="413">
        <v>1.0</v>
      </c>
      <c r="H645" s="414">
        <f t="shared" si="34"/>
        <v>5200</v>
      </c>
      <c r="I645" s="376"/>
      <c r="J645" s="415">
        <f>IFERROR(__xludf.DUMMYFUNCTION("FILTER(Board!C:F,Board!K:K=N642)"),45978.0)</f>
        <v>45978</v>
      </c>
      <c r="K645" s="411">
        <f>IFERROR(__xludf.DUMMYFUNCTION("""COMPUTED_VALUE"""),30662.0)</f>
        <v>30662</v>
      </c>
      <c r="L645" s="411" t="str">
        <f>IFERROR(__xludf.DUMMYFUNCTION("""COMPUTED_VALUE"""),"Commerce City, CO, 80022")</f>
        <v>Commerce City, CO, 80022</v>
      </c>
      <c r="M645" s="411" t="str">
        <f>IFERROR(__xludf.DUMMYFUNCTION("""COMPUTED_VALUE"""),"Spokane, WA, 99202")</f>
        <v>Spokane, WA, 99202</v>
      </c>
      <c r="N645" s="416">
        <f>IFERROR(__xludf.DUMMYFUNCTION("FILTER(Board!H:H,Board!K:K=N642)"),1141.0)</f>
        <v>1141</v>
      </c>
      <c r="O645" s="408">
        <v>0.7</v>
      </c>
      <c r="P645" s="414">
        <f t="shared" ref="P645:P647" si="35">N645*O645</f>
        <v>798.7</v>
      </c>
      <c r="Q645" s="378"/>
      <c r="R645" s="378"/>
      <c r="S645" s="378"/>
      <c r="T645" s="378"/>
      <c r="U645" s="378"/>
      <c r="V645" s="378"/>
      <c r="W645" s="378"/>
      <c r="X645" s="378"/>
      <c r="Y645" s="378"/>
      <c r="Z645" s="378"/>
      <c r="AA645" s="378"/>
      <c r="AB645" s="378"/>
      <c r="AC645" s="378"/>
      <c r="AD645" s="378"/>
      <c r="AE645" s="378"/>
      <c r="AF645" s="378"/>
      <c r="AG645" s="378"/>
    </row>
    <row r="646">
      <c r="A646" s="378"/>
      <c r="B646" s="499">
        <f>IFERROR(__xludf.DUMMYFUNCTION("""COMPUTED_VALUE"""),45980.0)</f>
        <v>45980</v>
      </c>
      <c r="C646" s="421">
        <f>IFERROR(__xludf.DUMMYFUNCTION("""COMPUTED_VALUE"""),2383253.0)</f>
        <v>2383253</v>
      </c>
      <c r="D646" s="422" t="str">
        <f>IFERROR(__xludf.DUMMYFUNCTION("""COMPUTED_VALUE"""),"Othello, WA, 99344")</f>
        <v>Othello, WA, 99344</v>
      </c>
      <c r="E646" s="423" t="str">
        <f>IFERROR(__xludf.DUMMYFUNCTION("""COMPUTED_VALUE"""),"Pocatello, ID, 83202")</f>
        <v>Pocatello, ID, 83202</v>
      </c>
      <c r="F646" s="500">
        <f>IFERROR(__xludf.DUMMYFUNCTION("""COMPUTED_VALUE"""),1300.0)</f>
        <v>1300</v>
      </c>
      <c r="G646" s="413">
        <v>1.0</v>
      </c>
      <c r="H646" s="414">
        <f t="shared" si="34"/>
        <v>1300</v>
      </c>
      <c r="I646" s="376"/>
      <c r="J646" s="545">
        <f>IFERROR(__xludf.DUMMYFUNCTION("""COMPUTED_VALUE"""),45981.0)</f>
        <v>45981</v>
      </c>
      <c r="K646" s="421">
        <f>IFERROR(__xludf.DUMMYFUNCTION("""COMPUTED_VALUE"""),2.0647309E7)</f>
        <v>20647309</v>
      </c>
      <c r="L646" s="422" t="str">
        <f>IFERROR(__xludf.DUMMYFUNCTION("""COMPUTED_VALUE"""),"Richmond, UT, 84333")</f>
        <v>Richmond, UT, 84333</v>
      </c>
      <c r="M646" s="423" t="str">
        <f>IFERROR(__xludf.DUMMYFUNCTION("""COMPUTED_VALUE"""),"Chesterfield, NH, 03443")</f>
        <v>Chesterfield, NH, 03443</v>
      </c>
      <c r="N646" s="546">
        <f>IFERROR(__xludf.DUMMYFUNCTION("""COMPUTED_VALUE"""),2370.0)</f>
        <v>2370</v>
      </c>
      <c r="O646" s="408">
        <v>0.7</v>
      </c>
      <c r="P646" s="414">
        <f t="shared" si="35"/>
        <v>1659</v>
      </c>
      <c r="Q646" s="378"/>
      <c r="R646" s="378"/>
      <c r="S646" s="378"/>
      <c r="T646" s="378"/>
      <c r="U646" s="378"/>
      <c r="V646" s="378"/>
      <c r="W646" s="378"/>
      <c r="X646" s="378"/>
      <c r="Y646" s="378"/>
      <c r="Z646" s="378"/>
      <c r="AA646" s="378"/>
      <c r="AB646" s="378"/>
      <c r="AC646" s="378"/>
      <c r="AD646" s="378"/>
      <c r="AE646" s="378"/>
      <c r="AF646" s="378"/>
      <c r="AG646" s="378"/>
    </row>
    <row r="647">
      <c r="A647" s="378"/>
      <c r="B647" s="499">
        <f>IFERROR(__xludf.DUMMYFUNCTION("""COMPUTED_VALUE"""),45978.0)</f>
        <v>45978</v>
      </c>
      <c r="C647" s="421">
        <f>IFERROR(__xludf.DUMMYFUNCTION("""COMPUTED_VALUE"""),6.5043253E7)</f>
        <v>65043253</v>
      </c>
      <c r="D647" s="422" t="str">
        <f>IFERROR(__xludf.DUMMYFUNCTION("""COMPUTED_VALUE"""),"TONU")</f>
        <v>TONU</v>
      </c>
      <c r="E647" s="423"/>
      <c r="F647" s="427">
        <f>IFERROR(__xludf.DUMMYFUNCTION("""COMPUTED_VALUE"""),150.0)</f>
        <v>150</v>
      </c>
      <c r="G647" s="413">
        <v>1.0</v>
      </c>
      <c r="H647" s="414">
        <f t="shared" si="34"/>
        <v>150</v>
      </c>
      <c r="I647" s="376"/>
      <c r="J647" s="545">
        <f>IFERROR(__xludf.DUMMYFUNCTION("""COMPUTED_VALUE"""),45980.0)</f>
        <v>45980</v>
      </c>
      <c r="K647" s="421">
        <f>IFERROR(__xludf.DUMMYFUNCTION("""COMPUTED_VALUE"""),2383253.0)</f>
        <v>2383253</v>
      </c>
      <c r="L647" s="422" t="str">
        <f>IFERROR(__xludf.DUMMYFUNCTION("""COMPUTED_VALUE"""),"Othello, WA, 99344")</f>
        <v>Othello, WA, 99344</v>
      </c>
      <c r="M647" s="423" t="str">
        <f>IFERROR(__xludf.DUMMYFUNCTION("""COMPUTED_VALUE"""),"Pocatello, ID, 83202")</f>
        <v>Pocatello, ID, 83202</v>
      </c>
      <c r="N647" s="546">
        <f>IFERROR(__xludf.DUMMYFUNCTION("""COMPUTED_VALUE"""),673.0)</f>
        <v>673</v>
      </c>
      <c r="O647" s="408">
        <v>0.7</v>
      </c>
      <c r="P647" s="414">
        <f t="shared" si="35"/>
        <v>471.1</v>
      </c>
      <c r="Q647" s="378"/>
      <c r="R647" s="378"/>
      <c r="S647" s="378"/>
      <c r="T647" s="378"/>
      <c r="U647" s="378"/>
      <c r="V647" s="378"/>
      <c r="W647" s="378"/>
      <c r="X647" s="378"/>
      <c r="Y647" s="378"/>
      <c r="Z647" s="378"/>
      <c r="AA647" s="378"/>
      <c r="AB647" s="378"/>
      <c r="AC647" s="378"/>
      <c r="AD647" s="378"/>
      <c r="AE647" s="378"/>
      <c r="AF647" s="378"/>
      <c r="AG647" s="378"/>
    </row>
    <row r="648">
      <c r="A648" s="378"/>
      <c r="B648" s="420"/>
      <c r="C648" s="421"/>
      <c r="D648" s="422"/>
      <c r="E648" s="423"/>
      <c r="F648" s="421"/>
      <c r="G648" s="413"/>
      <c r="H648" s="414"/>
      <c r="I648" s="376"/>
      <c r="J648" s="545">
        <f>IFERROR(__xludf.DUMMYFUNCTION("""COMPUTED_VALUE"""),45978.0)</f>
        <v>45978</v>
      </c>
      <c r="K648" s="421">
        <f>IFERROR(__xludf.DUMMYFUNCTION("""COMPUTED_VALUE"""),6.5043253E7)</f>
        <v>65043253</v>
      </c>
      <c r="L648" s="422" t="str">
        <f>IFERROR(__xludf.DUMMYFUNCTION("""COMPUTED_VALUE"""),"TONU")</f>
        <v>TONU</v>
      </c>
      <c r="M648" s="423"/>
      <c r="N648" s="546">
        <f>IFERROR(__xludf.DUMMYFUNCTION("""COMPUTED_VALUE"""),0.0)</f>
        <v>0</v>
      </c>
      <c r="O648" s="408"/>
      <c r="P648" s="414"/>
      <c r="Q648" s="378"/>
      <c r="R648" s="378"/>
      <c r="S648" s="378"/>
      <c r="T648" s="378"/>
      <c r="U648" s="378"/>
      <c r="V648" s="378"/>
      <c r="W648" s="378"/>
      <c r="X648" s="378"/>
      <c r="Y648" s="378"/>
      <c r="Z648" s="378"/>
      <c r="AA648" s="378"/>
      <c r="AB648" s="378"/>
      <c r="AC648" s="378"/>
      <c r="AD648" s="378"/>
      <c r="AE648" s="378"/>
      <c r="AF648" s="378"/>
      <c r="AG648" s="378"/>
    </row>
    <row r="649">
      <c r="A649" s="378"/>
      <c r="B649" s="420"/>
      <c r="C649" s="421"/>
      <c r="D649" s="422"/>
      <c r="E649" s="423"/>
      <c r="F649" s="421"/>
      <c r="G649" s="413"/>
      <c r="H649" s="414"/>
      <c r="I649" s="376"/>
      <c r="J649" s="424"/>
      <c r="K649" s="421"/>
      <c r="L649" s="422"/>
      <c r="M649" s="423"/>
      <c r="N649" s="425"/>
      <c r="O649" s="408"/>
      <c r="P649" s="414"/>
      <c r="Q649" s="378"/>
      <c r="R649" s="378"/>
      <c r="S649" s="378"/>
      <c r="T649" s="378"/>
      <c r="U649" s="378"/>
      <c r="V649" s="378"/>
      <c r="W649" s="378"/>
      <c r="X649" s="378"/>
      <c r="Y649" s="378"/>
      <c r="Z649" s="378"/>
      <c r="AA649" s="378"/>
      <c r="AB649" s="378"/>
      <c r="AC649" s="378"/>
      <c r="AD649" s="378"/>
      <c r="AE649" s="378"/>
      <c r="AF649" s="378"/>
      <c r="AG649" s="378"/>
    </row>
    <row r="650">
      <c r="A650" s="378"/>
      <c r="B650" s="403" t="s">
        <v>711</v>
      </c>
      <c r="C650" s="224"/>
      <c r="D650" s="224"/>
      <c r="E650" s="222"/>
      <c r="F650" s="414">
        <f>SUM(F644:F649)</f>
        <v>8950</v>
      </c>
      <c r="G650" s="421"/>
      <c r="H650" s="414">
        <f>SUM(H644:H649)</f>
        <v>8950</v>
      </c>
      <c r="I650" s="376"/>
      <c r="J650" s="407" t="s">
        <v>711</v>
      </c>
      <c r="K650" s="224"/>
      <c r="L650" s="224"/>
      <c r="M650" s="222"/>
      <c r="N650" s="426">
        <f>SUM(N645:N649)</f>
        <v>4184</v>
      </c>
      <c r="O650" s="427"/>
      <c r="P650" s="414">
        <f>SUM(P645:P649)</f>
        <v>2928.8</v>
      </c>
      <c r="Q650" s="378"/>
      <c r="R650" s="378"/>
      <c r="S650" s="378"/>
      <c r="T650" s="378"/>
      <c r="U650" s="378"/>
      <c r="V650" s="378"/>
      <c r="W650" s="378"/>
      <c r="X650" s="378"/>
      <c r="Y650" s="378"/>
      <c r="Z650" s="378"/>
      <c r="AA650" s="378"/>
      <c r="AB650" s="378"/>
      <c r="AC650" s="378"/>
      <c r="AD650" s="378"/>
      <c r="AE650" s="378"/>
      <c r="AF650" s="378"/>
      <c r="AG650" s="378"/>
    </row>
    <row r="651">
      <c r="A651" s="378"/>
      <c r="B651" s="428"/>
      <c r="C651" s="419"/>
      <c r="D651" s="419"/>
      <c r="E651" s="419"/>
      <c r="F651" s="419"/>
      <c r="G651" s="419"/>
      <c r="H651" s="429"/>
      <c r="I651" s="376"/>
      <c r="J651" s="430"/>
      <c r="K651" s="419"/>
      <c r="L651" s="419"/>
      <c r="M651" s="419"/>
      <c r="N651" s="431"/>
      <c r="O651" s="432"/>
      <c r="P651" s="429"/>
      <c r="Q651" s="378"/>
      <c r="R651" s="378"/>
      <c r="S651" s="378"/>
      <c r="T651" s="378"/>
      <c r="U651" s="378"/>
      <c r="V651" s="378"/>
      <c r="W651" s="378"/>
      <c r="X651" s="378"/>
      <c r="Y651" s="378"/>
      <c r="Z651" s="378"/>
      <c r="AA651" s="378"/>
      <c r="AB651" s="378"/>
      <c r="AC651" s="378"/>
      <c r="AD651" s="378"/>
      <c r="AE651" s="378"/>
      <c r="AF651" s="378"/>
      <c r="AG651" s="378"/>
    </row>
    <row r="652">
      <c r="A652" s="378"/>
      <c r="B652" s="433" t="s">
        <v>712</v>
      </c>
      <c r="C652" s="434"/>
      <c r="D652" s="435"/>
      <c r="E652" s="419"/>
      <c r="F652" s="419"/>
      <c r="G652" s="419"/>
      <c r="H652" s="429"/>
      <c r="I652" s="376"/>
      <c r="J652" s="437" t="s">
        <v>712</v>
      </c>
      <c r="K652" s="434"/>
      <c r="L652" s="435"/>
      <c r="M652" s="419"/>
      <c r="N652" s="431"/>
      <c r="O652" s="432"/>
      <c r="P652" s="429"/>
      <c r="Q652" s="378"/>
      <c r="R652" s="378"/>
      <c r="S652" s="378"/>
      <c r="T652" s="378"/>
      <c r="U652" s="378"/>
      <c r="V652" s="378"/>
      <c r="W652" s="378"/>
      <c r="X652" s="378"/>
      <c r="Y652" s="378"/>
      <c r="Z652" s="378"/>
      <c r="AA652" s="378"/>
      <c r="AB652" s="378"/>
      <c r="AC652" s="378"/>
      <c r="AD652" s="378"/>
      <c r="AE652" s="378"/>
      <c r="AF652" s="378"/>
      <c r="AG652" s="378"/>
    </row>
    <row r="653">
      <c r="A653" s="378"/>
      <c r="B653" s="438" t="s">
        <v>713</v>
      </c>
      <c r="C653" s="439"/>
      <c r="D653" s="440"/>
      <c r="E653" s="419"/>
      <c r="F653" s="419"/>
      <c r="G653" s="419"/>
      <c r="H653" s="429"/>
      <c r="I653" s="376"/>
      <c r="J653" s="443" t="s">
        <v>890</v>
      </c>
      <c r="K653" s="439">
        <v>75.0</v>
      </c>
      <c r="L653" s="440"/>
      <c r="M653" s="419"/>
      <c r="N653" s="431"/>
      <c r="O653" s="432"/>
      <c r="P653" s="429"/>
      <c r="Q653" s="378"/>
      <c r="R653" s="378"/>
      <c r="S653" s="378"/>
      <c r="T653" s="378"/>
      <c r="U653" s="378"/>
      <c r="V653" s="378"/>
      <c r="W653" s="378"/>
      <c r="X653" s="378"/>
      <c r="Y653" s="378"/>
      <c r="Z653" s="378"/>
      <c r="AA653" s="378"/>
      <c r="AB653" s="378"/>
      <c r="AC653" s="378"/>
      <c r="AD653" s="378"/>
      <c r="AE653" s="378"/>
      <c r="AF653" s="378"/>
      <c r="AG653" s="378"/>
    </row>
    <row r="654">
      <c r="A654" s="378"/>
      <c r="B654" s="444"/>
      <c r="C654" s="434"/>
      <c r="D654" s="435"/>
      <c r="E654" s="419"/>
      <c r="F654" s="463"/>
      <c r="G654" s="463"/>
      <c r="H654" s="448"/>
      <c r="I654" s="376"/>
      <c r="J654" s="445"/>
      <c r="K654" s="434"/>
      <c r="L654" s="435"/>
      <c r="M654" s="419"/>
      <c r="N654" s="446"/>
      <c r="O654" s="447"/>
      <c r="P654" s="448"/>
      <c r="Q654" s="378"/>
      <c r="R654" s="378"/>
      <c r="S654" s="378"/>
      <c r="T654" s="378"/>
      <c r="U654" s="378"/>
      <c r="V654" s="378"/>
      <c r="W654" s="378"/>
      <c r="X654" s="378"/>
      <c r="Y654" s="378"/>
      <c r="Z654" s="378"/>
      <c r="AA654" s="378"/>
      <c r="AB654" s="378"/>
      <c r="AC654" s="378"/>
      <c r="AD654" s="378"/>
      <c r="AE654" s="378"/>
      <c r="AF654" s="378"/>
      <c r="AG654" s="378"/>
    </row>
    <row r="655">
      <c r="A655" s="378"/>
      <c r="B655" s="438" t="s">
        <v>714</v>
      </c>
      <c r="C655" s="439">
        <f>SUM(C653:C654)</f>
        <v>0</v>
      </c>
      <c r="D655" s="440"/>
      <c r="E655" s="419"/>
      <c r="F655" s="463"/>
      <c r="G655" s="463"/>
      <c r="H655" s="448"/>
      <c r="I655" s="376"/>
      <c r="J655" s="443" t="s">
        <v>714</v>
      </c>
      <c r="K655" s="439">
        <f>SUM(K653:K654)</f>
        <v>75</v>
      </c>
      <c r="L655" s="440"/>
      <c r="M655" s="419"/>
      <c r="N655" s="446"/>
      <c r="O655" s="447"/>
      <c r="P655" s="448"/>
      <c r="Q655" s="378"/>
      <c r="R655" s="378"/>
      <c r="S655" s="378"/>
      <c r="T655" s="378"/>
      <c r="U655" s="378"/>
      <c r="V655" s="378"/>
      <c r="W655" s="378"/>
      <c r="X655" s="378"/>
      <c r="Y655" s="378"/>
      <c r="Z655" s="378"/>
      <c r="AA655" s="378"/>
      <c r="AB655" s="378"/>
      <c r="AC655" s="378"/>
      <c r="AD655" s="378"/>
      <c r="AE655" s="378"/>
      <c r="AF655" s="378"/>
      <c r="AG655" s="378"/>
    </row>
    <row r="656">
      <c r="A656" s="378"/>
      <c r="B656" s="450"/>
      <c r="C656" s="451"/>
      <c r="D656" s="419"/>
      <c r="E656" s="419"/>
      <c r="F656" s="463"/>
      <c r="G656" s="463"/>
      <c r="H656" s="448"/>
      <c r="I656" s="376"/>
      <c r="J656" s="535"/>
      <c r="K656" s="451"/>
      <c r="L656" s="419"/>
      <c r="M656" s="419"/>
      <c r="N656" s="446"/>
      <c r="O656" s="447"/>
      <c r="P656" s="448"/>
      <c r="Q656" s="378"/>
      <c r="R656" s="378"/>
      <c r="S656" s="378"/>
      <c r="T656" s="378"/>
      <c r="U656" s="378"/>
      <c r="V656" s="378"/>
      <c r="W656" s="378"/>
      <c r="X656" s="378"/>
      <c r="Y656" s="378"/>
      <c r="Z656" s="378"/>
      <c r="AA656" s="378"/>
      <c r="AB656" s="378"/>
      <c r="AC656" s="378"/>
      <c r="AD656" s="378"/>
      <c r="AE656" s="378"/>
      <c r="AF656" s="378"/>
      <c r="AG656" s="378"/>
    </row>
    <row r="657">
      <c r="A657" s="378"/>
      <c r="B657" s="454" t="s">
        <v>715</v>
      </c>
      <c r="C657" s="455"/>
      <c r="D657" s="435"/>
      <c r="E657" s="419"/>
      <c r="F657" s="463"/>
      <c r="G657" s="463"/>
      <c r="H657" s="448"/>
      <c r="I657" s="376"/>
      <c r="J657" s="458" t="s">
        <v>715</v>
      </c>
      <c r="K657" s="455"/>
      <c r="L657" s="435"/>
      <c r="M657" s="419"/>
      <c r="N657" s="446"/>
      <c r="O657" s="447"/>
      <c r="P657" s="448"/>
      <c r="Q657" s="378"/>
      <c r="R657" s="378"/>
      <c r="S657" s="378"/>
      <c r="T657" s="378"/>
      <c r="U657" s="378"/>
      <c r="V657" s="378"/>
      <c r="W657" s="378"/>
      <c r="X657" s="378"/>
      <c r="Y657" s="378"/>
      <c r="Z657" s="378"/>
      <c r="AA657" s="378"/>
      <c r="AB657" s="378"/>
      <c r="AC657" s="378"/>
      <c r="AD657" s="378"/>
      <c r="AE657" s="378"/>
      <c r="AF657" s="378"/>
      <c r="AG657" s="378"/>
    </row>
    <row r="658">
      <c r="A658" s="378"/>
      <c r="B658" s="459" t="s">
        <v>716</v>
      </c>
      <c r="C658" s="460">
        <v>150.0</v>
      </c>
      <c r="D658" s="440"/>
      <c r="E658" s="419"/>
      <c r="F658" s="463"/>
      <c r="G658" s="463"/>
      <c r="H658" s="448"/>
      <c r="I658" s="376"/>
      <c r="J658" s="462"/>
      <c r="K658" s="460"/>
      <c r="L658" s="440"/>
      <c r="M658" s="419"/>
      <c r="N658" s="446"/>
      <c r="O658" s="447"/>
      <c r="P658" s="448"/>
      <c r="Q658" s="378"/>
      <c r="R658" s="378"/>
      <c r="S658" s="378"/>
      <c r="T658" s="378"/>
      <c r="U658" s="378"/>
      <c r="V658" s="378"/>
      <c r="W658" s="378"/>
      <c r="X658" s="378"/>
      <c r="Y658" s="378"/>
      <c r="Z658" s="378"/>
      <c r="AA658" s="378"/>
      <c r="AB658" s="378"/>
      <c r="AC658" s="378"/>
      <c r="AD658" s="378"/>
      <c r="AE658" s="378"/>
      <c r="AF658" s="378"/>
      <c r="AG658" s="378"/>
    </row>
    <row r="659">
      <c r="A659" s="378"/>
      <c r="B659" s="459" t="s">
        <v>717</v>
      </c>
      <c r="C659" s="460">
        <v>400.0</v>
      </c>
      <c r="D659" s="440"/>
      <c r="E659" s="419"/>
      <c r="F659" s="463"/>
      <c r="G659" s="463"/>
      <c r="H659" s="448"/>
      <c r="I659" s="376"/>
      <c r="J659" s="462"/>
      <c r="K659" s="460"/>
      <c r="L659" s="440"/>
      <c r="M659" s="419"/>
      <c r="N659" s="446"/>
      <c r="O659" s="447"/>
      <c r="P659" s="448"/>
      <c r="Q659" s="378"/>
      <c r="R659" s="378"/>
      <c r="S659" s="378"/>
      <c r="T659" s="378"/>
      <c r="U659" s="378"/>
      <c r="V659" s="378"/>
      <c r="W659" s="378"/>
      <c r="X659" s="378"/>
      <c r="Y659" s="378"/>
      <c r="Z659" s="378"/>
      <c r="AA659" s="378"/>
      <c r="AB659" s="378"/>
      <c r="AC659" s="378"/>
      <c r="AD659" s="378"/>
      <c r="AE659" s="378"/>
      <c r="AF659" s="378"/>
      <c r="AG659" s="378"/>
    </row>
    <row r="660">
      <c r="A660" s="378"/>
      <c r="B660" s="459" t="s">
        <v>718</v>
      </c>
      <c r="C660" s="460">
        <v>200.0</v>
      </c>
      <c r="D660" s="440"/>
      <c r="E660" s="419"/>
      <c r="F660" s="463"/>
      <c r="G660" s="463"/>
      <c r="H660" s="448"/>
      <c r="I660" s="376"/>
      <c r="J660" s="462"/>
      <c r="K660" s="460"/>
      <c r="L660" s="440"/>
      <c r="M660" s="419"/>
      <c r="N660" s="446"/>
      <c r="O660" s="447"/>
      <c r="P660" s="448"/>
      <c r="Q660" s="378"/>
      <c r="R660" s="378"/>
      <c r="S660" s="378"/>
      <c r="T660" s="378"/>
      <c r="U660" s="378"/>
      <c r="V660" s="378"/>
      <c r="W660" s="378"/>
      <c r="X660" s="378"/>
      <c r="Y660" s="378"/>
      <c r="Z660" s="378"/>
      <c r="AA660" s="378"/>
      <c r="AB660" s="378"/>
      <c r="AC660" s="378"/>
      <c r="AD660" s="378"/>
      <c r="AE660" s="378"/>
      <c r="AF660" s="378"/>
      <c r="AG660" s="378"/>
    </row>
    <row r="661">
      <c r="A661" s="378"/>
      <c r="B661" s="459" t="s">
        <v>656</v>
      </c>
      <c r="C661" s="460" t="str">
        <f>IFERROR(__xludf.DUMMYFUNCTION("FILTER(D1045:D1073,C1045:C1073=F642)"),"#N/A")</f>
        <v>#N/A</v>
      </c>
      <c r="D661" s="440"/>
      <c r="E661" s="419"/>
      <c r="F661" s="463"/>
      <c r="G661" s="463"/>
      <c r="H661" s="448"/>
      <c r="I661" s="376"/>
      <c r="J661" s="462"/>
      <c r="K661" s="460"/>
      <c r="L661" s="440"/>
      <c r="M661" s="419"/>
      <c r="N661" s="446"/>
      <c r="O661" s="447"/>
      <c r="P661" s="448"/>
      <c r="Q661" s="378"/>
      <c r="R661" s="378"/>
      <c r="S661" s="378"/>
      <c r="T661" s="378"/>
      <c r="U661" s="378"/>
      <c r="V661" s="378"/>
      <c r="W661" s="378"/>
      <c r="X661" s="378"/>
      <c r="Y661" s="378"/>
      <c r="Z661" s="378"/>
      <c r="AA661" s="378"/>
      <c r="AB661" s="378"/>
      <c r="AC661" s="378"/>
      <c r="AD661" s="378"/>
      <c r="AE661" s="378"/>
      <c r="AF661" s="378"/>
      <c r="AG661" s="378"/>
    </row>
    <row r="662">
      <c r="A662" s="378"/>
      <c r="B662" s="454" t="s">
        <v>891</v>
      </c>
      <c r="C662" s="537">
        <v>3720.72</v>
      </c>
      <c r="D662" s="435"/>
      <c r="E662" s="419"/>
      <c r="F662" s="561" t="s">
        <v>881</v>
      </c>
      <c r="G662" s="466" t="str">
        <f>H650+C655-C667</f>
        <v>#N/A</v>
      </c>
      <c r="H662" s="211"/>
      <c r="I662" s="376"/>
      <c r="J662" s="467"/>
      <c r="K662" s="455"/>
      <c r="L662" s="435"/>
      <c r="M662" s="419"/>
      <c r="N662" s="468" t="s">
        <v>842</v>
      </c>
      <c r="O662" s="539">
        <f>P650+K655-K667</f>
        <v>3003.8</v>
      </c>
      <c r="P662" s="211"/>
      <c r="Q662" s="378"/>
      <c r="R662" s="378"/>
      <c r="S662" s="378"/>
      <c r="T662" s="378"/>
      <c r="U662" s="378"/>
      <c r="V662" s="378"/>
      <c r="W662" s="378"/>
      <c r="X662" s="378"/>
      <c r="Y662" s="378"/>
      <c r="Z662" s="378"/>
      <c r="AA662" s="378"/>
      <c r="AB662" s="378"/>
      <c r="AC662" s="378"/>
      <c r="AD662" s="378"/>
      <c r="AE662" s="378"/>
      <c r="AF662" s="378"/>
      <c r="AG662" s="378"/>
    </row>
    <row r="663">
      <c r="A663" s="378"/>
      <c r="B663" s="464"/>
      <c r="C663" s="455"/>
      <c r="D663" s="435"/>
      <c r="E663" s="419"/>
      <c r="F663" s="55"/>
      <c r="G663" s="278"/>
      <c r="H663" s="56"/>
      <c r="I663" s="376"/>
      <c r="J663" s="467"/>
      <c r="K663" s="455"/>
      <c r="L663" s="435"/>
      <c r="M663" s="419"/>
      <c r="N663" s="469" t="s">
        <v>854</v>
      </c>
      <c r="O663" s="278"/>
      <c r="P663" s="56"/>
      <c r="Q663" s="378"/>
      <c r="R663" s="378"/>
      <c r="S663" s="378"/>
      <c r="T663" s="378"/>
      <c r="U663" s="378"/>
      <c r="V663" s="378"/>
      <c r="W663" s="378"/>
      <c r="X663" s="378"/>
      <c r="Y663" s="378"/>
      <c r="Z663" s="378"/>
      <c r="AA663" s="378"/>
      <c r="AB663" s="378"/>
      <c r="AC663" s="378"/>
      <c r="AD663" s="378"/>
      <c r="AE663" s="378"/>
      <c r="AF663" s="378"/>
      <c r="AG663" s="378"/>
    </row>
    <row r="664">
      <c r="A664" s="378"/>
      <c r="B664" s="464"/>
      <c r="C664" s="455"/>
      <c r="D664" s="435"/>
      <c r="E664" s="419"/>
      <c r="F664" s="60"/>
      <c r="G664" s="215"/>
      <c r="H664" s="64"/>
      <c r="I664" s="376"/>
      <c r="J664" s="467"/>
      <c r="K664" s="455"/>
      <c r="L664" s="435"/>
      <c r="M664" s="419"/>
      <c r="N664" s="470"/>
      <c r="O664" s="215"/>
      <c r="P664" s="64"/>
      <c r="Q664" s="378"/>
      <c r="R664" s="378"/>
      <c r="S664" s="378"/>
      <c r="T664" s="378"/>
      <c r="U664" s="378"/>
      <c r="V664" s="378"/>
      <c r="W664" s="378"/>
      <c r="X664" s="378"/>
      <c r="Y664" s="378"/>
      <c r="Z664" s="378"/>
      <c r="AA664" s="378"/>
      <c r="AB664" s="378"/>
      <c r="AC664" s="378"/>
      <c r="AD664" s="378"/>
      <c r="AE664" s="378"/>
      <c r="AF664" s="378"/>
      <c r="AG664" s="378"/>
    </row>
    <row r="665">
      <c r="A665" s="378"/>
      <c r="B665" s="464"/>
      <c r="C665" s="455"/>
      <c r="D665" s="435"/>
      <c r="E665" s="419"/>
      <c r="F665" s="419"/>
      <c r="G665" s="419"/>
      <c r="H665" s="429"/>
      <c r="I665" s="376"/>
      <c r="J665" s="467"/>
      <c r="K665" s="455"/>
      <c r="L665" s="435"/>
      <c r="M665" s="419"/>
      <c r="N665" s="431"/>
      <c r="O665" s="432"/>
      <c r="P665" s="429"/>
      <c r="Q665" s="378"/>
      <c r="R665" s="378"/>
      <c r="S665" s="378"/>
      <c r="T665" s="378"/>
      <c r="U665" s="378"/>
      <c r="V665" s="378"/>
      <c r="W665" s="378"/>
      <c r="X665" s="378"/>
      <c r="Y665" s="378"/>
      <c r="Z665" s="378"/>
      <c r="AA665" s="378"/>
      <c r="AB665" s="378"/>
      <c r="AC665" s="378"/>
      <c r="AD665" s="378"/>
      <c r="AE665" s="378"/>
      <c r="AF665" s="378"/>
      <c r="AG665" s="378"/>
    </row>
    <row r="666">
      <c r="A666" s="378"/>
      <c r="B666" s="464"/>
      <c r="C666" s="455"/>
      <c r="D666" s="435"/>
      <c r="E666" s="419"/>
      <c r="F666" s="419"/>
      <c r="G666" s="419"/>
      <c r="H666" s="429"/>
      <c r="I666" s="376"/>
      <c r="J666" s="467"/>
      <c r="K666" s="455"/>
      <c r="L666" s="435"/>
      <c r="M666" s="419"/>
      <c r="N666" s="431"/>
      <c r="O666" s="432"/>
      <c r="P666" s="429"/>
      <c r="Q666" s="378"/>
      <c r="R666" s="378"/>
      <c r="S666" s="378"/>
      <c r="T666" s="378"/>
      <c r="U666" s="378"/>
      <c r="V666" s="378"/>
      <c r="W666" s="378"/>
      <c r="X666" s="378"/>
      <c r="Y666" s="378"/>
      <c r="Z666" s="378"/>
      <c r="AA666" s="378"/>
      <c r="AB666" s="378"/>
      <c r="AC666" s="378"/>
      <c r="AD666" s="378"/>
      <c r="AE666" s="378"/>
      <c r="AF666" s="378"/>
      <c r="AG666" s="378"/>
    </row>
    <row r="667">
      <c r="A667" s="378"/>
      <c r="B667" s="454" t="s">
        <v>721</v>
      </c>
      <c r="C667" s="460" t="str">
        <f>SUM(C658:C666)</f>
        <v>#N/A</v>
      </c>
      <c r="D667" s="440"/>
      <c r="E667" s="419"/>
      <c r="F667" s="419"/>
      <c r="G667" s="419"/>
      <c r="H667" s="429"/>
      <c r="I667" s="376"/>
      <c r="J667" s="458" t="s">
        <v>721</v>
      </c>
      <c r="K667" s="460">
        <f>SUM(K658:K666)</f>
        <v>0</v>
      </c>
      <c r="L667" s="440"/>
      <c r="M667" s="419"/>
      <c r="N667" s="431"/>
      <c r="O667" s="432"/>
      <c r="P667" s="429"/>
      <c r="Q667" s="378"/>
      <c r="R667" s="378"/>
      <c r="S667" s="378"/>
      <c r="T667" s="378"/>
      <c r="U667" s="378"/>
      <c r="V667" s="378"/>
      <c r="W667" s="378"/>
      <c r="X667" s="378"/>
      <c r="Y667" s="378"/>
      <c r="Z667" s="378"/>
      <c r="AA667" s="378"/>
      <c r="AB667" s="378"/>
      <c r="AC667" s="378"/>
      <c r="AD667" s="378"/>
      <c r="AE667" s="378"/>
      <c r="AF667" s="378"/>
      <c r="AG667" s="378"/>
    </row>
    <row r="668">
      <c r="A668" s="378"/>
      <c r="B668" s="471"/>
      <c r="C668" s="472"/>
      <c r="D668" s="472"/>
      <c r="E668" s="472"/>
      <c r="F668" s="472"/>
      <c r="G668" s="472"/>
      <c r="H668" s="473"/>
      <c r="I668" s="376"/>
      <c r="J668" s="474"/>
      <c r="K668" s="472"/>
      <c r="L668" s="472"/>
      <c r="M668" s="472"/>
      <c r="N668" s="475"/>
      <c r="O668" s="476"/>
      <c r="P668" s="473"/>
      <c r="Q668" s="378"/>
      <c r="R668" s="378"/>
      <c r="S668" s="378"/>
      <c r="T668" s="378"/>
      <c r="U668" s="378"/>
      <c r="V668" s="378"/>
      <c r="W668" s="378"/>
      <c r="X668" s="378"/>
      <c r="Y668" s="378"/>
      <c r="Z668" s="378"/>
      <c r="AA668" s="378"/>
      <c r="AB668" s="378"/>
      <c r="AC668" s="378"/>
      <c r="AD668" s="378"/>
      <c r="AE668" s="378"/>
      <c r="AF668" s="378"/>
      <c r="AG668" s="378"/>
    </row>
    <row r="669">
      <c r="A669" s="378"/>
      <c r="B669" s="550"/>
      <c r="C669" s="463"/>
      <c r="D669" s="463"/>
      <c r="E669" s="463"/>
      <c r="F669" s="463"/>
      <c r="G669" s="463"/>
      <c r="H669" s="463"/>
      <c r="I669" s="376"/>
      <c r="J669" s="377"/>
      <c r="K669" s="378"/>
      <c r="L669" s="378"/>
      <c r="M669" s="378"/>
      <c r="N669" s="379"/>
      <c r="O669" s="380"/>
      <c r="P669" s="378"/>
      <c r="Q669" s="378"/>
      <c r="R669" s="378"/>
      <c r="S669" s="378"/>
      <c r="T669" s="378"/>
      <c r="U669" s="378"/>
      <c r="V669" s="378"/>
      <c r="W669" s="378"/>
      <c r="X669" s="378"/>
      <c r="Y669" s="378"/>
      <c r="Z669" s="378"/>
      <c r="AA669" s="378"/>
      <c r="AB669" s="378"/>
      <c r="AC669" s="378"/>
      <c r="AD669" s="378"/>
      <c r="AE669" s="378"/>
      <c r="AF669" s="378"/>
      <c r="AG669" s="378"/>
    </row>
    <row r="670">
      <c r="A670" s="378"/>
      <c r="B670" s="477"/>
      <c r="C670" s="378"/>
      <c r="D670" s="378"/>
      <c r="E670" s="378"/>
      <c r="F670" s="378"/>
      <c r="G670" s="378"/>
      <c r="H670" s="378"/>
      <c r="I670" s="376"/>
      <c r="J670" s="377"/>
      <c r="K670" s="378"/>
      <c r="L670" s="378"/>
      <c r="M670" s="378"/>
      <c r="N670" s="379"/>
      <c r="O670" s="380"/>
      <c r="P670" s="378"/>
      <c r="Q670" s="378"/>
      <c r="R670" s="378"/>
      <c r="S670" s="378"/>
      <c r="T670" s="378"/>
      <c r="U670" s="378"/>
      <c r="V670" s="378"/>
      <c r="W670" s="378"/>
      <c r="X670" s="378"/>
      <c r="Y670" s="378"/>
      <c r="Z670" s="378"/>
      <c r="AA670" s="378"/>
      <c r="AB670" s="378"/>
      <c r="AC670" s="378"/>
      <c r="AD670" s="378"/>
      <c r="AE670" s="378"/>
      <c r="AF670" s="378"/>
      <c r="AG670" s="378"/>
    </row>
    <row r="671">
      <c r="A671" s="378"/>
      <c r="B671" s="382"/>
      <c r="C671" s="383"/>
      <c r="D671" s="560" t="s">
        <v>664</v>
      </c>
      <c r="E671" s="385" t="s">
        <v>700</v>
      </c>
      <c r="F671" s="385" t="str">
        <f>Board!A2</f>
        <v>11.17.25-11.23.25</v>
      </c>
      <c r="G671" s="213"/>
      <c r="H671" s="211"/>
      <c r="I671" s="386">
        <v>20.0</v>
      </c>
      <c r="J671" s="387"/>
      <c r="K671" s="388"/>
      <c r="L671" s="384"/>
      <c r="M671" s="385" t="s">
        <v>700</v>
      </c>
      <c r="N671" s="385" t="str">
        <f>Board!A2</f>
        <v>11.17.25-11.23.25</v>
      </c>
      <c r="O671" s="213"/>
      <c r="P671" s="211"/>
      <c r="Q671" s="378"/>
      <c r="R671" s="389" t="s">
        <v>831</v>
      </c>
      <c r="S671" s="389" t="s">
        <v>652</v>
      </c>
      <c r="T671" s="390" t="s">
        <v>832</v>
      </c>
      <c r="U671" s="391" t="s">
        <v>833</v>
      </c>
      <c r="V671" s="389" t="s">
        <v>655</v>
      </c>
      <c r="W671" s="389" t="s">
        <v>8</v>
      </c>
      <c r="X671" s="389" t="s">
        <v>656</v>
      </c>
      <c r="Y671" s="390" t="s">
        <v>834</v>
      </c>
      <c r="Z671" s="392" t="s">
        <v>835</v>
      </c>
      <c r="AA671" s="390" t="s">
        <v>836</v>
      </c>
      <c r="AB671" s="390" t="s">
        <v>837</v>
      </c>
      <c r="AC671" s="393" t="s">
        <v>716</v>
      </c>
      <c r="AD671" s="393" t="s">
        <v>717</v>
      </c>
      <c r="AE671" s="393" t="s">
        <v>718</v>
      </c>
      <c r="AF671" s="394" t="s">
        <v>838</v>
      </c>
      <c r="AG671" s="394"/>
    </row>
    <row r="672">
      <c r="A672" s="378"/>
      <c r="B672" s="395"/>
      <c r="C672" s="372"/>
      <c r="D672" s="396"/>
      <c r="E672" s="385" t="s">
        <v>702</v>
      </c>
      <c r="F672" s="385" t="s">
        <v>664</v>
      </c>
      <c r="G672" s="213"/>
      <c r="H672" s="211"/>
      <c r="I672" s="376"/>
      <c r="J672" s="397"/>
      <c r="K672" s="372"/>
      <c r="L672" s="396"/>
      <c r="M672" s="385" t="s">
        <v>351</v>
      </c>
      <c r="N672" s="385" t="str">
        <f t="array" ref="N672">XLOOKUP(N673,Board!K:K,Board!J:J)</f>
        <v>BENCHIKA DOLL</v>
      </c>
      <c r="O672" s="213"/>
      <c r="P672" s="211"/>
      <c r="Q672" s="378"/>
      <c r="R672" s="398">
        <f>I671</f>
        <v>20</v>
      </c>
      <c r="S672" s="398">
        <f>F673</f>
        <v>7265</v>
      </c>
      <c r="T672" s="399" t="str">
        <f>G693</f>
        <v>#N/A</v>
      </c>
      <c r="U672" s="378" t="str">
        <f>N672</f>
        <v>BENCHIKA DOLL</v>
      </c>
      <c r="V672" s="380">
        <f>O693</f>
        <v>2609.1</v>
      </c>
      <c r="W672" s="399">
        <f>P681</f>
        <v>2609.1</v>
      </c>
      <c r="X672" s="399" t="str">
        <f>C692</f>
        <v>#N/A</v>
      </c>
      <c r="Y672" s="400">
        <f>N681</f>
        <v>4014</v>
      </c>
      <c r="Z672" s="378" t="str">
        <f>V673-V672</f>
        <v>#N/A</v>
      </c>
      <c r="AA672" s="378"/>
      <c r="AB672" s="378"/>
      <c r="AC672" s="401" t="str">
        <f>C689</f>
        <v/>
      </c>
      <c r="AD672" s="401" t="str">
        <f>C690</f>
        <v/>
      </c>
      <c r="AE672" s="401" t="str">
        <f>C691</f>
        <v/>
      </c>
      <c r="AF672" s="398">
        <f>C693+C694+C695+C696+C697</f>
        <v>0</v>
      </c>
      <c r="AG672" s="398"/>
    </row>
    <row r="673">
      <c r="A673" s="378"/>
      <c r="B673" s="395"/>
      <c r="C673" s="372"/>
      <c r="D673" s="402"/>
      <c r="E673" s="385" t="s">
        <v>703</v>
      </c>
      <c r="F673" s="385">
        <v>7265.0</v>
      </c>
      <c r="G673" s="213"/>
      <c r="H673" s="211"/>
      <c r="I673" s="376"/>
      <c r="J673" s="397"/>
      <c r="K673" s="372"/>
      <c r="L673" s="402"/>
      <c r="M673" s="385" t="s">
        <v>703</v>
      </c>
      <c r="N673" s="385">
        <f>F673</f>
        <v>7265</v>
      </c>
      <c r="O673" s="213"/>
      <c r="P673" s="211"/>
      <c r="Q673" s="378"/>
      <c r="R673" s="378"/>
      <c r="S673" s="378"/>
      <c r="T673" s="378"/>
      <c r="U673" s="378" t="str">
        <f>F672</f>
        <v>Ada Fleet LLC</v>
      </c>
      <c r="V673" s="399" t="str">
        <f>G693</f>
        <v>#N/A</v>
      </c>
      <c r="W673" s="399">
        <f>H681</f>
        <v>9100</v>
      </c>
      <c r="X673" s="378"/>
      <c r="Y673" s="378"/>
      <c r="Z673" s="378"/>
      <c r="AA673" s="378"/>
      <c r="AB673" s="378"/>
      <c r="AC673" s="378"/>
      <c r="AD673" s="378"/>
      <c r="AE673" s="378"/>
      <c r="AF673" s="378"/>
      <c r="AG673" s="378"/>
    </row>
    <row r="674">
      <c r="A674" s="378"/>
      <c r="B674" s="403" t="s">
        <v>704</v>
      </c>
      <c r="C674" s="404" t="s">
        <v>5</v>
      </c>
      <c r="D674" s="405" t="s">
        <v>6</v>
      </c>
      <c r="E674" s="406" t="s">
        <v>7</v>
      </c>
      <c r="F674" s="404" t="s">
        <v>8</v>
      </c>
      <c r="G674" s="404" t="s">
        <v>706</v>
      </c>
      <c r="H674" s="404" t="s">
        <v>707</v>
      </c>
      <c r="I674" s="376"/>
      <c r="J674" s="407" t="s">
        <v>704</v>
      </c>
      <c r="K674" s="404" t="s">
        <v>5</v>
      </c>
      <c r="L674" s="405" t="s">
        <v>6</v>
      </c>
      <c r="M674" s="406" t="s">
        <v>7</v>
      </c>
      <c r="N674" s="404" t="s">
        <v>591</v>
      </c>
      <c r="O674" s="408" t="s">
        <v>839</v>
      </c>
      <c r="P674" s="404" t="s">
        <v>707</v>
      </c>
      <c r="Q674" s="378"/>
      <c r="R674" s="378"/>
      <c r="S674" s="378"/>
      <c r="T674" s="378"/>
      <c r="U674" s="378"/>
      <c r="V674" s="378"/>
      <c r="W674" s="378"/>
      <c r="X674" s="378"/>
      <c r="Y674" s="378"/>
      <c r="Z674" s="378"/>
      <c r="AA674" s="378"/>
      <c r="AB674" s="378"/>
      <c r="AC674" s="378"/>
      <c r="AD674" s="378"/>
      <c r="AE674" s="378"/>
      <c r="AF674" s="378"/>
      <c r="AG674" s="378"/>
    </row>
    <row r="675">
      <c r="A675" s="378"/>
      <c r="B675" s="555">
        <f>IFERROR(__xludf.DUMMYFUNCTION("FILTER(Board!C:G,Board!K:K=F673)"),45979.0)</f>
        <v>45979</v>
      </c>
      <c r="C675" s="404">
        <f>IFERROR(__xludf.DUMMYFUNCTION("""COMPUTED_VALUE"""),77409.0)</f>
        <v>77409</v>
      </c>
      <c r="D675" s="405" t="str">
        <f>IFERROR(__xludf.DUMMYFUNCTION("""COMPUTED_VALUE"""),"Selma, CA, 93662")</f>
        <v>Selma, CA, 93662</v>
      </c>
      <c r="E675" s="406" t="str">
        <f>IFERROR(__xludf.DUMMYFUNCTION("""COMPUTED_VALUE"""),"Chanhassen, MN, 55318")</f>
        <v>Chanhassen, MN, 55318</v>
      </c>
      <c r="F675" s="414">
        <f>IFERROR(__xludf.DUMMYFUNCTION("""COMPUTED_VALUE"""),3800.0)</f>
        <v>3800</v>
      </c>
      <c r="G675" s="413">
        <v>1.0</v>
      </c>
      <c r="H675" s="414">
        <f t="shared" ref="H675:H677" si="36">F675*G675</f>
        <v>3800</v>
      </c>
      <c r="I675" s="376"/>
      <c r="J675" s="415">
        <f>IFERROR(__xludf.DUMMYFUNCTION("FILTER(Board!C:F,Board!K:K=N673)"),45979.0)</f>
        <v>45979</v>
      </c>
      <c r="K675" s="411">
        <f>IFERROR(__xludf.DUMMYFUNCTION("""COMPUTED_VALUE"""),77409.0)</f>
        <v>77409</v>
      </c>
      <c r="L675" s="411" t="str">
        <f>IFERROR(__xludf.DUMMYFUNCTION("""COMPUTED_VALUE"""),"Selma, CA, 93662")</f>
        <v>Selma, CA, 93662</v>
      </c>
      <c r="M675" s="411" t="str">
        <f>IFERROR(__xludf.DUMMYFUNCTION("""COMPUTED_VALUE"""),"Chanhassen, MN, 55318")</f>
        <v>Chanhassen, MN, 55318</v>
      </c>
      <c r="N675" s="416">
        <f>IFERROR(__xludf.DUMMYFUNCTION("FILTER(Board!H:H,Board!K:K=N673)"),2064.0)</f>
        <v>2064</v>
      </c>
      <c r="O675" s="408">
        <v>0.65</v>
      </c>
      <c r="P675" s="417">
        <f t="shared" ref="P675:P678" si="37">N675*O675</f>
        <v>1341.6</v>
      </c>
      <c r="Q675" s="378"/>
      <c r="R675" s="378"/>
      <c r="S675" s="378"/>
      <c r="T675" s="378"/>
      <c r="U675" s="378"/>
      <c r="V675" s="378"/>
      <c r="W675" s="378"/>
      <c r="X675" s="378"/>
      <c r="Y675" s="378"/>
      <c r="Z675" s="378"/>
      <c r="AA675" s="378"/>
      <c r="AB675" s="378"/>
      <c r="AC675" s="378"/>
      <c r="AD675" s="378"/>
      <c r="AE675" s="378"/>
      <c r="AF675" s="378"/>
      <c r="AG675" s="378"/>
    </row>
    <row r="676">
      <c r="A676" s="378"/>
      <c r="B676" s="555">
        <f>IFERROR(__xludf.DUMMYFUNCTION("""COMPUTED_VALUE"""),45982.0)</f>
        <v>45982</v>
      </c>
      <c r="C676" s="404">
        <f>IFERROR(__xludf.DUMMYFUNCTION("""COMPUTED_VALUE"""),5.35683408E8)</f>
        <v>535683408</v>
      </c>
      <c r="D676" s="405" t="str">
        <f>IFERROR(__xludf.DUMMYFUNCTION("""COMPUTED_VALUE"""),"Luck, WI, 54853")</f>
        <v>Luck, WI, 54853</v>
      </c>
      <c r="E676" s="406" t="str">
        <f>IFERROR(__xludf.DUMMYFUNCTION("""COMPUTED_VALUE"""),"Methuen, MA, 01844")</f>
        <v>Methuen, MA, 01844</v>
      </c>
      <c r="F676" s="414">
        <f>IFERROR(__xludf.DUMMYFUNCTION("""COMPUTED_VALUE"""),4500.0)</f>
        <v>4500</v>
      </c>
      <c r="G676" s="413">
        <v>1.0</v>
      </c>
      <c r="H676" s="414">
        <f t="shared" si="36"/>
        <v>4500</v>
      </c>
      <c r="I676" s="376"/>
      <c r="J676" s="418">
        <f>IFERROR(__xludf.DUMMYFUNCTION("""COMPUTED_VALUE"""),45982.0)</f>
        <v>45982</v>
      </c>
      <c r="K676" s="411">
        <f>IFERROR(__xludf.DUMMYFUNCTION("""COMPUTED_VALUE"""),5.35683408E8)</f>
        <v>535683408</v>
      </c>
      <c r="L676" s="411" t="str">
        <f>IFERROR(__xludf.DUMMYFUNCTION("""COMPUTED_VALUE"""),"Luck, WI, 54853")</f>
        <v>Luck, WI, 54853</v>
      </c>
      <c r="M676" s="411" t="str">
        <f>IFERROR(__xludf.DUMMYFUNCTION("""COMPUTED_VALUE"""),"Methuen, MA, 01844")</f>
        <v>Methuen, MA, 01844</v>
      </c>
      <c r="N676" s="416">
        <f>IFERROR(__xludf.DUMMYFUNCTION("""COMPUTED_VALUE"""),1497.0)</f>
        <v>1497</v>
      </c>
      <c r="O676" s="408">
        <v>0.65</v>
      </c>
      <c r="P676" s="417">
        <f t="shared" si="37"/>
        <v>973.05</v>
      </c>
      <c r="Q676" s="378"/>
      <c r="R676" s="378"/>
      <c r="S676" s="378"/>
      <c r="T676" s="378"/>
      <c r="U676" s="378"/>
      <c r="V676" s="378"/>
      <c r="W676" s="378"/>
      <c r="X676" s="378"/>
      <c r="Y676" s="378"/>
      <c r="Z676" s="378"/>
      <c r="AA676" s="378"/>
      <c r="AB676" s="378"/>
      <c r="AC676" s="378"/>
      <c r="AD676" s="378"/>
      <c r="AE676" s="378"/>
      <c r="AF676" s="378"/>
      <c r="AG676" s="378"/>
    </row>
    <row r="677">
      <c r="A677" s="378"/>
      <c r="B677" s="499">
        <f>IFERROR(__xludf.DUMMYFUNCTION("""COMPUTED_VALUE"""),45978.0)</f>
        <v>45978</v>
      </c>
      <c r="C677" s="421" t="str">
        <f>IFERROR(__xludf.DUMMYFUNCTION("""COMPUTED_VALUE"""),"AA130024")</f>
        <v>AA130024</v>
      </c>
      <c r="D677" s="422" t="str">
        <f>IFERROR(__xludf.DUMMYFUNCTION("""COMPUTED_VALUE"""),"Reno, NV, 89523")</f>
        <v>Reno, NV, 89523</v>
      </c>
      <c r="E677" s="557" t="str">
        <f>IFERROR(__xludf.DUMMYFUNCTION("""COMPUTED_VALUE"""),"Salinas, CA, 93901")</f>
        <v>Salinas, CA, 93901</v>
      </c>
      <c r="F677" s="500">
        <f>IFERROR(__xludf.DUMMYFUNCTION("""COMPUTED_VALUE"""),800.0)</f>
        <v>800</v>
      </c>
      <c r="G677" s="413">
        <v>1.0</v>
      </c>
      <c r="H677" s="414">
        <f t="shared" si="36"/>
        <v>800</v>
      </c>
      <c r="I677" s="376"/>
      <c r="J677" s="545">
        <f>IFERROR(__xludf.DUMMYFUNCTION("""COMPUTED_VALUE"""),45978.0)</f>
        <v>45978</v>
      </c>
      <c r="K677" s="421" t="str">
        <f>IFERROR(__xludf.DUMMYFUNCTION("""COMPUTED_VALUE"""),"AA130024")</f>
        <v>AA130024</v>
      </c>
      <c r="L677" s="422" t="str">
        <f>IFERROR(__xludf.DUMMYFUNCTION("""COMPUTED_VALUE"""),"Reno, NV, 89523")</f>
        <v>Reno, NV, 89523</v>
      </c>
      <c r="M677" s="557" t="str">
        <f>IFERROR(__xludf.DUMMYFUNCTION("""COMPUTED_VALUE"""),"Salinas, CA, 93901")</f>
        <v>Salinas, CA, 93901</v>
      </c>
      <c r="N677" s="546">
        <f>IFERROR(__xludf.DUMMYFUNCTION("""COMPUTED_VALUE"""),453.0)</f>
        <v>453</v>
      </c>
      <c r="O677" s="408">
        <v>0.65</v>
      </c>
      <c r="P677" s="417">
        <f t="shared" si="37"/>
        <v>294.45</v>
      </c>
      <c r="Q677" s="378"/>
      <c r="R677" s="378"/>
      <c r="S677" s="378"/>
      <c r="T677" s="378"/>
      <c r="U677" s="378"/>
      <c r="V677" s="378"/>
      <c r="W677" s="378"/>
      <c r="X677" s="378"/>
      <c r="Y677" s="378"/>
      <c r="Z677" s="378"/>
      <c r="AA677" s="378"/>
      <c r="AB677" s="378"/>
      <c r="AC677" s="378"/>
      <c r="AD677" s="378"/>
      <c r="AE677" s="378"/>
      <c r="AF677" s="378"/>
      <c r="AG677" s="378"/>
    </row>
    <row r="678">
      <c r="A678" s="378"/>
      <c r="B678" s="420"/>
      <c r="C678" s="421"/>
      <c r="D678" s="422"/>
      <c r="E678" s="423"/>
      <c r="F678" s="421"/>
      <c r="G678" s="413"/>
      <c r="H678" s="414"/>
      <c r="I678" s="376"/>
      <c r="J678" s="424"/>
      <c r="K678" s="421"/>
      <c r="L678" s="422"/>
      <c r="M678" s="423"/>
      <c r="N678" s="425"/>
      <c r="O678" s="408">
        <v>0.65</v>
      </c>
      <c r="P678" s="417">
        <f t="shared" si="37"/>
        <v>0</v>
      </c>
      <c r="Q678" s="378"/>
      <c r="R678" s="378"/>
      <c r="S678" s="378"/>
      <c r="T678" s="378"/>
      <c r="U678" s="378"/>
      <c r="V678" s="378"/>
      <c r="W678" s="378"/>
      <c r="X678" s="378"/>
      <c r="Y678" s="378"/>
      <c r="Z678" s="378"/>
      <c r="AA678" s="378"/>
      <c r="AB678" s="378"/>
      <c r="AC678" s="378"/>
      <c r="AD678" s="378"/>
      <c r="AE678" s="378"/>
      <c r="AF678" s="378"/>
      <c r="AG678" s="378"/>
    </row>
    <row r="679">
      <c r="A679" s="378"/>
      <c r="B679" s="420"/>
      <c r="C679" s="421"/>
      <c r="D679" s="422"/>
      <c r="E679" s="423"/>
      <c r="F679" s="421"/>
      <c r="G679" s="413"/>
      <c r="H679" s="414"/>
      <c r="I679" s="376"/>
      <c r="J679" s="424"/>
      <c r="K679" s="421"/>
      <c r="L679" s="422"/>
      <c r="M679" s="423"/>
      <c r="N679" s="425"/>
      <c r="O679" s="408"/>
      <c r="P679" s="417"/>
      <c r="Q679" s="378"/>
      <c r="R679" s="378"/>
      <c r="S679" s="378"/>
      <c r="T679" s="378"/>
      <c r="U679" s="378"/>
      <c r="V679" s="378"/>
      <c r="W679" s="378"/>
      <c r="X679" s="378"/>
      <c r="Y679" s="378"/>
      <c r="Z679" s="378"/>
      <c r="AA679" s="378"/>
      <c r="AB679" s="378"/>
      <c r="AC679" s="378"/>
      <c r="AD679" s="378"/>
      <c r="AE679" s="378"/>
      <c r="AF679" s="378"/>
      <c r="AG679" s="378"/>
    </row>
    <row r="680">
      <c r="A680" s="378"/>
      <c r="B680" s="420"/>
      <c r="C680" s="421"/>
      <c r="D680" s="422"/>
      <c r="E680" s="423"/>
      <c r="F680" s="421"/>
      <c r="G680" s="413"/>
      <c r="H680" s="414"/>
      <c r="I680" s="376"/>
      <c r="J680" s="424"/>
      <c r="K680" s="421"/>
      <c r="L680" s="422"/>
      <c r="M680" s="423"/>
      <c r="N680" s="425"/>
      <c r="O680" s="408"/>
      <c r="P680" s="417"/>
      <c r="Q680" s="378"/>
      <c r="R680" s="378"/>
      <c r="S680" s="378"/>
      <c r="T680" s="378"/>
      <c r="U680" s="378"/>
      <c r="V680" s="378"/>
      <c r="W680" s="378"/>
      <c r="X680" s="378"/>
      <c r="Y680" s="378"/>
      <c r="Z680" s="378"/>
      <c r="AA680" s="378"/>
      <c r="AB680" s="378"/>
      <c r="AC680" s="378"/>
      <c r="AD680" s="378"/>
      <c r="AE680" s="378"/>
      <c r="AF680" s="378"/>
      <c r="AG680" s="378"/>
    </row>
    <row r="681">
      <c r="A681" s="378"/>
      <c r="B681" s="403" t="s">
        <v>711</v>
      </c>
      <c r="C681" s="224"/>
      <c r="D681" s="224"/>
      <c r="E681" s="222"/>
      <c r="F681" s="414">
        <f>SUM(F675:F680)</f>
        <v>9100</v>
      </c>
      <c r="G681" s="421"/>
      <c r="H681" s="414">
        <f>SUM(H675:H680)</f>
        <v>9100</v>
      </c>
      <c r="I681" s="376"/>
      <c r="J681" s="407" t="s">
        <v>711</v>
      </c>
      <c r="K681" s="224"/>
      <c r="L681" s="224"/>
      <c r="M681" s="222"/>
      <c r="N681" s="426">
        <f>SUM(N675:N680)</f>
        <v>4014</v>
      </c>
      <c r="O681" s="427"/>
      <c r="P681" s="417">
        <f>SUM(P675:P680)</f>
        <v>2609.1</v>
      </c>
      <c r="Q681" s="378"/>
      <c r="R681" s="378"/>
      <c r="S681" s="378"/>
      <c r="T681" s="378"/>
      <c r="U681" s="378"/>
      <c r="V681" s="378"/>
      <c r="W681" s="378"/>
      <c r="X681" s="378"/>
      <c r="Y681" s="378"/>
      <c r="Z681" s="378"/>
      <c r="AA681" s="378"/>
      <c r="AB681" s="378"/>
      <c r="AC681" s="378"/>
      <c r="AD681" s="378"/>
      <c r="AE681" s="378"/>
      <c r="AF681" s="378"/>
      <c r="AG681" s="378"/>
    </row>
    <row r="682">
      <c r="A682" s="378"/>
      <c r="B682" s="428"/>
      <c r="C682" s="419"/>
      <c r="D682" s="419"/>
      <c r="E682" s="419"/>
      <c r="F682" s="419"/>
      <c r="G682" s="419"/>
      <c r="H682" s="429"/>
      <c r="I682" s="376"/>
      <c r="J682" s="430"/>
      <c r="K682" s="419"/>
      <c r="L682" s="419"/>
      <c r="M682" s="419"/>
      <c r="N682" s="431"/>
      <c r="O682" s="432"/>
      <c r="P682" s="429"/>
      <c r="Q682" s="378"/>
      <c r="R682" s="378"/>
      <c r="S682" s="378"/>
      <c r="T682" s="378"/>
      <c r="U682" s="378"/>
      <c r="V682" s="378"/>
      <c r="W682" s="378"/>
      <c r="X682" s="378"/>
      <c r="Y682" s="378"/>
      <c r="Z682" s="378"/>
      <c r="AA682" s="378"/>
      <c r="AB682" s="378"/>
      <c r="AC682" s="378"/>
      <c r="AD682" s="378"/>
      <c r="AE682" s="378"/>
      <c r="AF682" s="378"/>
      <c r="AG682" s="378"/>
    </row>
    <row r="683">
      <c r="A683" s="378"/>
      <c r="B683" s="433" t="s">
        <v>712</v>
      </c>
      <c r="C683" s="434"/>
      <c r="D683" s="435"/>
      <c r="E683" s="419"/>
      <c r="F683" s="441">
        <v>294.45</v>
      </c>
      <c r="G683" s="442">
        <v>1.0</v>
      </c>
      <c r="H683" s="441">
        <v>294.45</v>
      </c>
      <c r="I683" s="376"/>
      <c r="J683" s="437" t="s">
        <v>712</v>
      </c>
      <c r="K683" s="434"/>
      <c r="L683" s="435"/>
      <c r="M683" s="419"/>
      <c r="N683" s="431"/>
      <c r="O683" s="432"/>
      <c r="P683" s="429"/>
      <c r="Q683" s="378"/>
      <c r="R683" s="378"/>
      <c r="S683" s="378"/>
      <c r="T683" s="378"/>
      <c r="U683" s="378"/>
      <c r="V683" s="378"/>
      <c r="W683" s="378"/>
      <c r="X683" s="378"/>
      <c r="Y683" s="378"/>
      <c r="Z683" s="378"/>
      <c r="AA683" s="378"/>
      <c r="AB683" s="378"/>
      <c r="AC683" s="378"/>
      <c r="AD683" s="378"/>
      <c r="AE683" s="378"/>
      <c r="AF683" s="378"/>
      <c r="AG683" s="378"/>
    </row>
    <row r="684">
      <c r="A684" s="378"/>
      <c r="B684" s="438" t="s">
        <v>657</v>
      </c>
      <c r="C684" s="573" t="str">
        <f>G693-O693</f>
        <v>#N/A</v>
      </c>
      <c r="D684" s="572">
        <v>555.55</v>
      </c>
      <c r="E684" s="419"/>
      <c r="F684" s="441">
        <v>1341.6</v>
      </c>
      <c r="G684" s="442">
        <v>1.0</v>
      </c>
      <c r="H684" s="441">
        <v>1341.6</v>
      </c>
      <c r="I684" s="376"/>
      <c r="J684" s="443" t="s">
        <v>713</v>
      </c>
      <c r="K684" s="439"/>
      <c r="L684" s="440"/>
      <c r="M684" s="419"/>
      <c r="N684" s="431"/>
      <c r="O684" s="432"/>
      <c r="P684" s="429"/>
      <c r="Q684" s="378"/>
      <c r="R684" s="378"/>
      <c r="S684" s="378"/>
      <c r="T684" s="378"/>
      <c r="U684" s="378"/>
      <c r="V684" s="378"/>
      <c r="W684" s="378"/>
      <c r="X684" s="378"/>
      <c r="Y684" s="378"/>
      <c r="Z684" s="378"/>
      <c r="AA684" s="378"/>
      <c r="AB684" s="378"/>
      <c r="AC684" s="378"/>
      <c r="AD684" s="378"/>
      <c r="AE684" s="378"/>
      <c r="AF684" s="378"/>
      <c r="AG684" s="378"/>
    </row>
    <row r="685">
      <c r="A685" s="378"/>
      <c r="B685" s="438" t="s">
        <v>818</v>
      </c>
      <c r="C685" s="573"/>
      <c r="D685" s="435"/>
      <c r="E685" s="419"/>
      <c r="F685" s="441">
        <v>973.05</v>
      </c>
      <c r="G685" s="442">
        <v>1.0</v>
      </c>
      <c r="H685" s="441">
        <v>973.05</v>
      </c>
      <c r="I685" s="376"/>
      <c r="J685" s="445"/>
      <c r="K685" s="434"/>
      <c r="L685" s="435"/>
      <c r="M685" s="419"/>
      <c r="N685" s="446"/>
      <c r="O685" s="447"/>
      <c r="P685" s="448"/>
      <c r="Q685" s="378"/>
      <c r="R685" s="378"/>
      <c r="S685" s="378"/>
      <c r="T685" s="378"/>
      <c r="U685" s="378"/>
      <c r="V685" s="378"/>
      <c r="W685" s="378"/>
      <c r="X685" s="378"/>
      <c r="Y685" s="378"/>
      <c r="Z685" s="378"/>
      <c r="AA685" s="378"/>
      <c r="AB685" s="378"/>
      <c r="AC685" s="378"/>
      <c r="AD685" s="378"/>
      <c r="AE685" s="378"/>
      <c r="AF685" s="378"/>
      <c r="AG685" s="378"/>
    </row>
    <row r="686">
      <c r="A686" s="378"/>
      <c r="B686" s="438" t="s">
        <v>714</v>
      </c>
      <c r="C686" s="573">
        <f>SUM(C685)</f>
        <v>0</v>
      </c>
      <c r="D686" s="440"/>
      <c r="E686" s="419"/>
      <c r="F686" s="449"/>
      <c r="G686" s="442">
        <v>1.0</v>
      </c>
      <c r="H686" s="441">
        <v>0.0</v>
      </c>
      <c r="I686" s="376"/>
      <c r="J686" s="443" t="s">
        <v>714</v>
      </c>
      <c r="K686" s="439">
        <f>SUM(K684:K685)</f>
        <v>0</v>
      </c>
      <c r="L686" s="440"/>
      <c r="M686" s="419"/>
      <c r="N686" s="446"/>
      <c r="O686" s="447"/>
      <c r="P686" s="448"/>
      <c r="Q686" s="378"/>
      <c r="R686" s="378"/>
      <c r="S686" s="378"/>
      <c r="T686" s="378"/>
      <c r="U686" s="378"/>
      <c r="V686" s="378"/>
      <c r="W686" s="378"/>
      <c r="X686" s="378"/>
      <c r="Y686" s="378"/>
      <c r="Z686" s="378"/>
      <c r="AA686" s="378"/>
      <c r="AB686" s="378"/>
      <c r="AC686" s="378"/>
      <c r="AD686" s="378"/>
      <c r="AE686" s="378"/>
      <c r="AF686" s="378"/>
      <c r="AG686" s="378"/>
    </row>
    <row r="687">
      <c r="A687" s="378"/>
      <c r="B687" s="450"/>
      <c r="C687" s="451"/>
      <c r="D687" s="419"/>
      <c r="E687" s="419"/>
      <c r="F687" s="449"/>
      <c r="G687" s="449"/>
      <c r="H687" s="449"/>
      <c r="I687" s="376"/>
      <c r="J687" s="535"/>
      <c r="K687" s="451"/>
      <c r="L687" s="419"/>
      <c r="M687" s="419"/>
      <c r="N687" s="446"/>
      <c r="O687" s="447"/>
      <c r="P687" s="448"/>
      <c r="Q687" s="378"/>
      <c r="R687" s="378"/>
      <c r="S687" s="378"/>
      <c r="T687" s="378"/>
      <c r="U687" s="378"/>
      <c r="V687" s="378"/>
      <c r="W687" s="378"/>
      <c r="X687" s="378"/>
      <c r="Y687" s="378"/>
      <c r="Z687" s="378"/>
      <c r="AA687" s="378"/>
      <c r="AB687" s="378"/>
      <c r="AC687" s="378"/>
      <c r="AD687" s="378"/>
      <c r="AE687" s="378"/>
      <c r="AF687" s="378"/>
      <c r="AG687" s="378"/>
    </row>
    <row r="688">
      <c r="A688" s="378"/>
      <c r="B688" s="454" t="s">
        <v>715</v>
      </c>
      <c r="C688" s="455"/>
      <c r="D688" s="435"/>
      <c r="E688" s="419"/>
      <c r="F688" s="441">
        <v>2609.1</v>
      </c>
      <c r="G688" s="449"/>
      <c r="H688" s="441">
        <v>2609.1</v>
      </c>
      <c r="I688" s="376"/>
      <c r="J688" s="458" t="s">
        <v>715</v>
      </c>
      <c r="K688" s="455"/>
      <c r="L688" s="435"/>
      <c r="M688" s="419"/>
      <c r="N688" s="446"/>
      <c r="O688" s="447"/>
      <c r="P688" s="448"/>
      <c r="Q688" s="378"/>
      <c r="R688" s="378"/>
      <c r="S688" s="378"/>
      <c r="T688" s="378"/>
      <c r="U688" s="378"/>
      <c r="V688" s="378"/>
      <c r="W688" s="378"/>
      <c r="X688" s="378"/>
      <c r="Y688" s="378"/>
      <c r="Z688" s="378"/>
      <c r="AA688" s="378"/>
      <c r="AB688" s="378"/>
      <c r="AC688" s="378"/>
      <c r="AD688" s="378"/>
      <c r="AE688" s="378"/>
      <c r="AF688" s="378"/>
      <c r="AG688" s="378"/>
    </row>
    <row r="689">
      <c r="A689" s="378"/>
      <c r="B689" s="459" t="s">
        <v>716</v>
      </c>
      <c r="C689" s="460"/>
      <c r="D689" s="574" t="s">
        <v>865</v>
      </c>
      <c r="E689" s="419"/>
      <c r="F689" s="463"/>
      <c r="G689" s="463"/>
      <c r="H689" s="448"/>
      <c r="I689" s="376"/>
      <c r="J689" s="462"/>
      <c r="K689" s="460"/>
      <c r="L689" s="440"/>
      <c r="M689" s="419"/>
      <c r="N689" s="446"/>
      <c r="O689" s="447"/>
      <c r="P689" s="448"/>
      <c r="Q689" s="378"/>
      <c r="R689" s="378"/>
      <c r="S689" s="378"/>
      <c r="T689" s="378"/>
      <c r="U689" s="378"/>
      <c r="V689" s="378"/>
      <c r="W689" s="378"/>
      <c r="X689" s="378"/>
      <c r="Y689" s="378"/>
      <c r="Z689" s="378"/>
      <c r="AA689" s="378"/>
      <c r="AB689" s="378"/>
      <c r="AC689" s="378"/>
      <c r="AD689" s="378"/>
      <c r="AE689" s="378"/>
      <c r="AF689" s="378"/>
      <c r="AG689" s="378"/>
    </row>
    <row r="690">
      <c r="A690" s="378"/>
      <c r="B690" s="459" t="s">
        <v>717</v>
      </c>
      <c r="C690" s="460"/>
      <c r="D690" s="440"/>
      <c r="E690" s="419"/>
      <c r="F690" s="463"/>
      <c r="G690" s="463"/>
      <c r="H690" s="448"/>
      <c r="I690" s="376"/>
      <c r="J690" s="462"/>
      <c r="K690" s="460"/>
      <c r="L690" s="440"/>
      <c r="M690" s="419"/>
      <c r="N690" s="446"/>
      <c r="O690" s="447"/>
      <c r="P690" s="448"/>
      <c r="Q690" s="378"/>
      <c r="R690" s="378"/>
      <c r="S690" s="378"/>
      <c r="T690" s="378"/>
      <c r="U690" s="378"/>
      <c r="V690" s="378"/>
      <c r="W690" s="378"/>
      <c r="X690" s="378"/>
      <c r="Y690" s="378"/>
      <c r="Z690" s="378"/>
      <c r="AA690" s="378"/>
      <c r="AB690" s="378"/>
      <c r="AC690" s="378"/>
      <c r="AD690" s="378"/>
      <c r="AE690" s="378"/>
      <c r="AF690" s="378"/>
      <c r="AG690" s="378"/>
    </row>
    <row r="691">
      <c r="A691" s="378"/>
      <c r="B691" s="459" t="s">
        <v>718</v>
      </c>
      <c r="C691" s="460"/>
      <c r="D691" s="440"/>
      <c r="E691" s="419"/>
      <c r="F691" s="463"/>
      <c r="G691" s="463"/>
      <c r="H691" s="448"/>
      <c r="I691" s="376"/>
      <c r="J691" s="462"/>
      <c r="K691" s="460"/>
      <c r="L691" s="440"/>
      <c r="M691" s="419"/>
      <c r="N691" s="446"/>
      <c r="O691" s="447"/>
      <c r="P691" s="448"/>
      <c r="Q691" s="378"/>
      <c r="R691" s="378"/>
      <c r="S691" s="378"/>
      <c r="T691" s="378"/>
      <c r="U691" s="378"/>
      <c r="V691" s="378"/>
      <c r="W691" s="378"/>
      <c r="X691" s="378"/>
      <c r="Y691" s="378"/>
      <c r="Z691" s="378"/>
      <c r="AA691" s="378"/>
      <c r="AB691" s="378"/>
      <c r="AC691" s="378"/>
      <c r="AD691" s="378"/>
      <c r="AE691" s="378"/>
      <c r="AF691" s="378"/>
      <c r="AG691" s="378"/>
    </row>
    <row r="692">
      <c r="A692" s="378"/>
      <c r="B692" s="459" t="s">
        <v>656</v>
      </c>
      <c r="C692" s="460" t="str">
        <f>IFERROR(__xludf.DUMMYFUNCTION("FILTER(D1045:D1073,C1045:C1073=F673)"),"#N/A")</f>
        <v>#N/A</v>
      </c>
      <c r="D692" s="440"/>
      <c r="E692" s="419"/>
      <c r="F692" s="463"/>
      <c r="G692" s="463"/>
      <c r="H692" s="448"/>
      <c r="I692" s="376"/>
      <c r="J692" s="462"/>
      <c r="K692" s="460"/>
      <c r="L692" s="440"/>
      <c r="M692" s="419"/>
      <c r="N692" s="446"/>
      <c r="O692" s="447"/>
      <c r="P692" s="448"/>
      <c r="Q692" s="378"/>
      <c r="R692" s="378"/>
      <c r="S692" s="378"/>
      <c r="T692" s="378"/>
      <c r="U692" s="378"/>
      <c r="V692" s="378"/>
      <c r="W692" s="378"/>
      <c r="X692" s="378"/>
      <c r="Y692" s="378"/>
      <c r="Z692" s="378"/>
      <c r="AA692" s="378"/>
      <c r="AB692" s="378"/>
      <c r="AC692" s="378"/>
      <c r="AD692" s="378"/>
      <c r="AE692" s="378"/>
      <c r="AF692" s="378"/>
      <c r="AG692" s="378"/>
    </row>
    <row r="693">
      <c r="A693" s="378"/>
      <c r="B693" s="464"/>
      <c r="C693" s="455"/>
      <c r="D693" s="435"/>
      <c r="E693" s="419"/>
      <c r="F693" s="568" t="s">
        <v>881</v>
      </c>
      <c r="G693" s="466" t="str">
        <f>H681+C686-C698</f>
        <v>#N/A</v>
      </c>
      <c r="H693" s="211"/>
      <c r="I693" s="376"/>
      <c r="J693" s="467"/>
      <c r="K693" s="455"/>
      <c r="L693" s="435"/>
      <c r="M693" s="419"/>
      <c r="N693" s="468" t="s">
        <v>842</v>
      </c>
      <c r="O693" s="539">
        <f>P681+K686-K698</f>
        <v>2609.1</v>
      </c>
      <c r="P693" s="211"/>
      <c r="Q693" s="378"/>
      <c r="R693" s="378"/>
      <c r="S693" s="378"/>
      <c r="T693" s="378"/>
      <c r="U693" s="378"/>
      <c r="V693" s="378"/>
      <c r="W693" s="378"/>
      <c r="X693" s="378"/>
      <c r="Y693" s="378"/>
      <c r="Z693" s="378"/>
      <c r="AA693" s="378"/>
      <c r="AB693" s="378"/>
      <c r="AC693" s="378"/>
      <c r="AD693" s="378"/>
      <c r="AE693" s="378"/>
      <c r="AF693" s="378"/>
      <c r="AG693" s="378"/>
    </row>
    <row r="694">
      <c r="A694" s="378"/>
      <c r="B694" s="464"/>
      <c r="C694" s="455"/>
      <c r="D694" s="435"/>
      <c r="E694" s="419"/>
      <c r="F694" s="55"/>
      <c r="G694" s="278"/>
      <c r="H694" s="56"/>
      <c r="I694" s="376"/>
      <c r="J694" s="467"/>
      <c r="K694" s="455"/>
      <c r="L694" s="435"/>
      <c r="M694" s="419"/>
      <c r="N694" s="469" t="s">
        <v>854</v>
      </c>
      <c r="O694" s="278"/>
      <c r="P694" s="56"/>
      <c r="Q694" s="378"/>
      <c r="R694" s="378"/>
      <c r="S694" s="378"/>
      <c r="T694" s="378"/>
      <c r="U694" s="378"/>
      <c r="V694" s="378"/>
      <c r="W694" s="378"/>
      <c r="X694" s="378"/>
      <c r="Y694" s="378"/>
      <c r="Z694" s="378"/>
      <c r="AA694" s="378"/>
      <c r="AB694" s="378"/>
      <c r="AC694" s="378"/>
      <c r="AD694" s="378"/>
      <c r="AE694" s="378"/>
      <c r="AF694" s="378"/>
      <c r="AG694" s="378"/>
    </row>
    <row r="695">
      <c r="A695" s="378"/>
      <c r="B695" s="464"/>
      <c r="C695" s="455"/>
      <c r="D695" s="435"/>
      <c r="E695" s="419"/>
      <c r="F695" s="60"/>
      <c r="G695" s="215"/>
      <c r="H695" s="64"/>
      <c r="I695" s="376"/>
      <c r="J695" s="467"/>
      <c r="K695" s="455"/>
      <c r="L695" s="435"/>
      <c r="M695" s="419"/>
      <c r="N695" s="470"/>
      <c r="O695" s="215"/>
      <c r="P695" s="64"/>
      <c r="Q695" s="378"/>
      <c r="R695" s="378"/>
      <c r="S695" s="378"/>
      <c r="T695" s="378"/>
      <c r="U695" s="378"/>
      <c r="V695" s="378"/>
      <c r="W695" s="378"/>
      <c r="X695" s="378"/>
      <c r="Y695" s="378"/>
      <c r="Z695" s="378"/>
      <c r="AA695" s="378"/>
      <c r="AB695" s="378"/>
      <c r="AC695" s="378"/>
      <c r="AD695" s="378"/>
      <c r="AE695" s="378"/>
      <c r="AF695" s="378"/>
      <c r="AG695" s="378"/>
    </row>
    <row r="696">
      <c r="A696" s="378"/>
      <c r="B696" s="464"/>
      <c r="C696" s="455"/>
      <c r="D696" s="435"/>
      <c r="E696" s="419"/>
      <c r="F696" s="419"/>
      <c r="G696" s="419"/>
      <c r="H696" s="429"/>
      <c r="I696" s="376"/>
      <c r="J696" s="467"/>
      <c r="K696" s="455"/>
      <c r="L696" s="435"/>
      <c r="M696" s="419"/>
      <c r="N696" s="431"/>
      <c r="O696" s="432"/>
      <c r="P696" s="429"/>
      <c r="Q696" s="378"/>
      <c r="R696" s="378"/>
      <c r="S696" s="378"/>
      <c r="T696" s="378"/>
      <c r="U696" s="378"/>
      <c r="V696" s="378"/>
      <c r="W696" s="378"/>
      <c r="X696" s="378"/>
      <c r="Y696" s="378"/>
      <c r="Z696" s="378"/>
      <c r="AA696" s="378"/>
      <c r="AB696" s="378"/>
      <c r="AC696" s="378"/>
      <c r="AD696" s="378"/>
      <c r="AE696" s="378"/>
      <c r="AF696" s="378"/>
      <c r="AG696" s="378"/>
    </row>
    <row r="697">
      <c r="A697" s="378"/>
      <c r="B697" s="464"/>
      <c r="C697" s="455"/>
      <c r="D697" s="435"/>
      <c r="E697" s="419"/>
      <c r="F697" s="419"/>
      <c r="G697" s="419"/>
      <c r="H697" s="429"/>
      <c r="I697" s="376"/>
      <c r="J697" s="467"/>
      <c r="K697" s="455"/>
      <c r="L697" s="435"/>
      <c r="M697" s="419"/>
      <c r="N697" s="431"/>
      <c r="O697" s="432"/>
      <c r="P697" s="429"/>
      <c r="Q697" s="378"/>
      <c r="R697" s="378"/>
      <c r="S697" s="378"/>
      <c r="T697" s="378"/>
      <c r="U697" s="378"/>
      <c r="V697" s="378"/>
      <c r="W697" s="378"/>
      <c r="X697" s="378"/>
      <c r="Y697" s="378"/>
      <c r="Z697" s="378"/>
      <c r="AA697" s="378"/>
      <c r="AB697" s="378"/>
      <c r="AC697" s="378"/>
      <c r="AD697" s="378"/>
      <c r="AE697" s="378"/>
      <c r="AF697" s="378"/>
      <c r="AG697" s="378"/>
    </row>
    <row r="698">
      <c r="A698" s="378"/>
      <c r="B698" s="454" t="s">
        <v>721</v>
      </c>
      <c r="C698" s="460" t="str">
        <f>SUM(C689:C697)</f>
        <v>#N/A</v>
      </c>
      <c r="D698" s="440"/>
      <c r="E698" s="419"/>
      <c r="F698" s="419"/>
      <c r="G698" s="419"/>
      <c r="H698" s="429"/>
      <c r="I698" s="376"/>
      <c r="J698" s="458" t="s">
        <v>721</v>
      </c>
      <c r="K698" s="460">
        <f>SUM(K689:K697)</f>
        <v>0</v>
      </c>
      <c r="L698" s="440"/>
      <c r="M698" s="419"/>
      <c r="N698" s="431"/>
      <c r="O698" s="432"/>
      <c r="P698" s="429"/>
      <c r="Q698" s="378"/>
      <c r="R698" s="378"/>
      <c r="S698" s="378"/>
      <c r="T698" s="378"/>
      <c r="U698" s="378"/>
      <c r="V698" s="378"/>
      <c r="W698" s="378"/>
      <c r="X698" s="378"/>
      <c r="Y698" s="378"/>
      <c r="Z698" s="378"/>
      <c r="AA698" s="378"/>
      <c r="AB698" s="378"/>
      <c r="AC698" s="378"/>
      <c r="AD698" s="378"/>
      <c r="AE698" s="378"/>
      <c r="AF698" s="378"/>
      <c r="AG698" s="378"/>
    </row>
    <row r="699">
      <c r="A699" s="378"/>
      <c r="B699" s="471"/>
      <c r="C699" s="472"/>
      <c r="D699" s="472"/>
      <c r="E699" s="472"/>
      <c r="F699" s="472"/>
      <c r="G699" s="472"/>
      <c r="H699" s="473"/>
      <c r="I699" s="376"/>
      <c r="J699" s="474"/>
      <c r="K699" s="472"/>
      <c r="L699" s="472"/>
      <c r="M699" s="472"/>
      <c r="N699" s="475"/>
      <c r="O699" s="476"/>
      <c r="P699" s="473"/>
      <c r="Q699" s="378"/>
      <c r="R699" s="378"/>
      <c r="S699" s="378"/>
      <c r="T699" s="378"/>
      <c r="U699" s="378"/>
      <c r="V699" s="378"/>
      <c r="W699" s="378"/>
      <c r="X699" s="378"/>
      <c r="Y699" s="378"/>
      <c r="Z699" s="378"/>
      <c r="AA699" s="378"/>
      <c r="AB699" s="378"/>
      <c r="AC699" s="378"/>
      <c r="AD699" s="378"/>
      <c r="AE699" s="378"/>
      <c r="AF699" s="378"/>
      <c r="AG699" s="378"/>
    </row>
    <row r="700">
      <c r="A700" s="378"/>
      <c r="B700" s="550"/>
      <c r="C700" s="463"/>
      <c r="D700" s="463"/>
      <c r="E700" s="463"/>
      <c r="F700" s="463"/>
      <c r="G700" s="463"/>
      <c r="H700" s="463"/>
      <c r="I700" s="376"/>
      <c r="J700" s="377"/>
      <c r="K700" s="378"/>
      <c r="L700" s="378"/>
      <c r="M700" s="378"/>
      <c r="N700" s="379"/>
      <c r="O700" s="380"/>
      <c r="P700" s="378"/>
      <c r="Q700" s="378"/>
      <c r="R700" s="378"/>
      <c r="S700" s="378"/>
      <c r="T700" s="378"/>
      <c r="U700" s="378"/>
      <c r="V700" s="378"/>
      <c r="W700" s="378"/>
      <c r="X700" s="378"/>
      <c r="Y700" s="378"/>
      <c r="Z700" s="378"/>
      <c r="AA700" s="378"/>
      <c r="AB700" s="378"/>
      <c r="AC700" s="378"/>
      <c r="AD700" s="378"/>
      <c r="AE700" s="378"/>
      <c r="AF700" s="378"/>
      <c r="AG700" s="378"/>
    </row>
    <row r="701">
      <c r="A701" s="378"/>
      <c r="B701" s="550"/>
      <c r="C701" s="463"/>
      <c r="D701" s="463"/>
      <c r="E701" s="463"/>
      <c r="F701" s="463"/>
      <c r="G701" s="463"/>
      <c r="H701" s="463"/>
      <c r="I701" s="376"/>
      <c r="J701" s="377"/>
      <c r="K701" s="378"/>
      <c r="L701" s="378"/>
      <c r="M701" s="378"/>
      <c r="N701" s="379"/>
      <c r="O701" s="380"/>
      <c r="P701" s="378"/>
      <c r="Q701" s="378"/>
      <c r="R701" s="378"/>
      <c r="S701" s="378"/>
      <c r="T701" s="378"/>
      <c r="U701" s="378"/>
      <c r="V701" s="378"/>
      <c r="W701" s="378"/>
      <c r="X701" s="378"/>
      <c r="Y701" s="378"/>
      <c r="Z701" s="378"/>
      <c r="AA701" s="378"/>
      <c r="AB701" s="378"/>
      <c r="AC701" s="378"/>
      <c r="AD701" s="378"/>
      <c r="AE701" s="378"/>
      <c r="AF701" s="378"/>
      <c r="AG701" s="378"/>
    </row>
    <row r="702">
      <c r="A702" s="378"/>
      <c r="B702" s="382"/>
      <c r="C702" s="388"/>
      <c r="D702" s="560" t="s">
        <v>861</v>
      </c>
      <c r="E702" s="385" t="s">
        <v>700</v>
      </c>
      <c r="F702" s="385" t="str">
        <f>Board!A2</f>
        <v>11.17.25-11.23.25</v>
      </c>
      <c r="G702" s="213"/>
      <c r="H702" s="211"/>
      <c r="I702" s="386">
        <v>21.0</v>
      </c>
      <c r="J702" s="387"/>
      <c r="K702" s="388"/>
      <c r="L702" s="384"/>
      <c r="M702" s="385" t="s">
        <v>700</v>
      </c>
      <c r="N702" s="385" t="str">
        <f>Board!A2</f>
        <v>11.17.25-11.23.25</v>
      </c>
      <c r="O702" s="213"/>
      <c r="P702" s="211"/>
      <c r="Q702" s="378"/>
      <c r="R702" s="389" t="s">
        <v>831</v>
      </c>
      <c r="S702" s="389" t="s">
        <v>652</v>
      </c>
      <c r="T702" s="390" t="s">
        <v>832</v>
      </c>
      <c r="U702" s="391" t="s">
        <v>833</v>
      </c>
      <c r="V702" s="389" t="s">
        <v>655</v>
      </c>
      <c r="W702" s="389" t="s">
        <v>8</v>
      </c>
      <c r="X702" s="389" t="s">
        <v>656</v>
      </c>
      <c r="Y702" s="390" t="s">
        <v>834</v>
      </c>
      <c r="Z702" s="392" t="s">
        <v>835</v>
      </c>
      <c r="AA702" s="390" t="s">
        <v>836</v>
      </c>
      <c r="AB702" s="390" t="s">
        <v>837</v>
      </c>
      <c r="AC702" s="393" t="s">
        <v>716</v>
      </c>
      <c r="AD702" s="393" t="s">
        <v>717</v>
      </c>
      <c r="AE702" s="393" t="s">
        <v>718</v>
      </c>
      <c r="AF702" s="394" t="s">
        <v>838</v>
      </c>
      <c r="AG702" s="394"/>
    </row>
    <row r="703">
      <c r="A703" s="378"/>
      <c r="B703" s="395"/>
      <c r="C703" s="372"/>
      <c r="D703" s="396"/>
      <c r="E703" s="385" t="s">
        <v>702</v>
      </c>
      <c r="F703" s="385" t="s">
        <v>861</v>
      </c>
      <c r="G703" s="213"/>
      <c r="H703" s="211"/>
      <c r="I703" s="376"/>
      <c r="J703" s="397"/>
      <c r="K703" s="372"/>
      <c r="L703" s="396"/>
      <c r="M703" s="385" t="s">
        <v>351</v>
      </c>
      <c r="N703" s="385" t="str">
        <f t="array" ref="N703">XLOOKUP(N704,Board!K:K,Board!J:J)</f>
        <v>JEAN SONNY</v>
      </c>
      <c r="O703" s="213"/>
      <c r="P703" s="211"/>
      <c r="Q703" s="378"/>
      <c r="R703" s="398">
        <f>I702</f>
        <v>21</v>
      </c>
      <c r="S703" s="398">
        <f>F704</f>
        <v>7352</v>
      </c>
      <c r="T703" s="399" t="str">
        <f>G724</f>
        <v>#N/A</v>
      </c>
      <c r="U703" s="378" t="str">
        <f>N703</f>
        <v>JEAN SONNY</v>
      </c>
      <c r="V703" s="380">
        <f>O724</f>
        <v>933.4</v>
      </c>
      <c r="W703" s="399">
        <f>P712</f>
        <v>933.4</v>
      </c>
      <c r="X703" s="399" t="str">
        <f>C723</f>
        <v>#N/A</v>
      </c>
      <c r="Y703" s="400">
        <f>N712</f>
        <v>1436</v>
      </c>
      <c r="Z703" s="378" t="str">
        <f>V704-V703</f>
        <v>#N/A</v>
      </c>
      <c r="AA703" s="378"/>
      <c r="AB703" s="378"/>
      <c r="AC703" s="401">
        <f>C720</f>
        <v>150</v>
      </c>
      <c r="AD703" s="401">
        <f>C721</f>
        <v>400</v>
      </c>
      <c r="AE703" s="401">
        <f>C722</f>
        <v>200</v>
      </c>
      <c r="AF703" s="530">
        <f>C724+C725+C726+C727+C728</f>
        <v>1407.14</v>
      </c>
      <c r="AG703" s="398"/>
    </row>
    <row r="704">
      <c r="A704" s="378"/>
      <c r="B704" s="395"/>
      <c r="C704" s="372"/>
      <c r="D704" s="402"/>
      <c r="E704" s="385" t="s">
        <v>703</v>
      </c>
      <c r="F704" s="385">
        <v>7352.0</v>
      </c>
      <c r="G704" s="213"/>
      <c r="H704" s="211"/>
      <c r="I704" s="376"/>
      <c r="J704" s="397"/>
      <c r="K704" s="372"/>
      <c r="L704" s="402"/>
      <c r="M704" s="385" t="s">
        <v>703</v>
      </c>
      <c r="N704" s="385">
        <f>F704</f>
        <v>7352</v>
      </c>
      <c r="O704" s="213"/>
      <c r="P704" s="211"/>
      <c r="Q704" s="378"/>
      <c r="R704" s="378"/>
      <c r="S704" s="378"/>
      <c r="T704" s="378"/>
      <c r="U704" s="378" t="str">
        <f>F703</f>
        <v>Careway Logistics LLC</v>
      </c>
      <c r="V704" s="399" t="str">
        <f>G724</f>
        <v>#N/A</v>
      </c>
      <c r="W704" s="399">
        <f>H712</f>
        <v>1716</v>
      </c>
      <c r="X704" s="378"/>
      <c r="Y704" s="378"/>
      <c r="Z704" s="378"/>
      <c r="AA704" s="378"/>
      <c r="AB704" s="378"/>
      <c r="AC704" s="378"/>
      <c r="AD704" s="378"/>
      <c r="AE704" s="378"/>
      <c r="AF704" s="378"/>
      <c r="AG704" s="378"/>
    </row>
    <row r="705">
      <c r="A705" s="378"/>
      <c r="B705" s="403" t="s">
        <v>704</v>
      </c>
      <c r="C705" s="404" t="s">
        <v>5</v>
      </c>
      <c r="D705" s="405" t="s">
        <v>6</v>
      </c>
      <c r="E705" s="406" t="s">
        <v>7</v>
      </c>
      <c r="F705" s="404" t="s">
        <v>8</v>
      </c>
      <c r="G705" s="404" t="s">
        <v>706</v>
      </c>
      <c r="H705" s="404" t="s">
        <v>707</v>
      </c>
      <c r="I705" s="376"/>
      <c r="J705" s="407" t="s">
        <v>704</v>
      </c>
      <c r="K705" s="404" t="s">
        <v>5</v>
      </c>
      <c r="L705" s="405" t="s">
        <v>6</v>
      </c>
      <c r="M705" s="406" t="s">
        <v>7</v>
      </c>
      <c r="N705" s="404" t="s">
        <v>591</v>
      </c>
      <c r="O705" s="408" t="s">
        <v>839</v>
      </c>
      <c r="P705" s="404" t="s">
        <v>707</v>
      </c>
      <c r="Q705" s="378"/>
      <c r="R705" s="378"/>
      <c r="S705" s="378"/>
      <c r="T705" s="378"/>
      <c r="U705" s="378"/>
      <c r="V705" s="378"/>
      <c r="W705" s="378"/>
      <c r="X705" s="378"/>
      <c r="Y705" s="378"/>
      <c r="Z705" s="378"/>
      <c r="AA705" s="378"/>
      <c r="AB705" s="378"/>
      <c r="AC705" s="378"/>
      <c r="AD705" s="378"/>
      <c r="AE705" s="378"/>
      <c r="AF705" s="378"/>
      <c r="AG705" s="378"/>
    </row>
    <row r="706">
      <c r="A706" s="378"/>
      <c r="B706" s="555">
        <f>IFERROR(__xludf.DUMMYFUNCTION("FILTER(Board!C:G,Board!K:K=F704)"),45980.0)</f>
        <v>45980</v>
      </c>
      <c r="C706" s="404">
        <f>IFERROR(__xludf.DUMMYFUNCTION("""COMPUTED_VALUE"""),2.0617388E7)</f>
        <v>20617388</v>
      </c>
      <c r="D706" s="405" t="str">
        <f>IFERROR(__xludf.DUMMYFUNCTION("""COMPUTED_VALUE"""),"Amanda Park, WA, 98526")</f>
        <v>Amanda Park, WA, 98526</v>
      </c>
      <c r="E706" s="406" t="str">
        <f>IFERROR(__xludf.DUMMYFUNCTION("""COMPUTED_VALUE"""),"Lamont, CA, 93241")</f>
        <v>Lamont, CA, 93241</v>
      </c>
      <c r="F706" s="414">
        <f>IFERROR(__xludf.DUMMYFUNCTION("""COMPUTED_VALUE"""),1800.0)</f>
        <v>1800</v>
      </c>
      <c r="G706" s="413">
        <v>0.88</v>
      </c>
      <c r="H706" s="414">
        <f t="shared" ref="H706:H707" si="38">F706*G706</f>
        <v>1584</v>
      </c>
      <c r="I706" s="376"/>
      <c r="J706" s="415">
        <f>IFERROR(__xludf.DUMMYFUNCTION("FILTER(Board!C:F,Board!K:K=F704)"),45980.0)</f>
        <v>45980</v>
      </c>
      <c r="K706" s="411">
        <f>IFERROR(__xludf.DUMMYFUNCTION("""COMPUTED_VALUE"""),2.0617388E7)</f>
        <v>20617388</v>
      </c>
      <c r="L706" s="411" t="str">
        <f>IFERROR(__xludf.DUMMYFUNCTION("""COMPUTED_VALUE"""),"Amanda Park, WA, 98526")</f>
        <v>Amanda Park, WA, 98526</v>
      </c>
      <c r="M706" s="411" t="str">
        <f>IFERROR(__xludf.DUMMYFUNCTION("""COMPUTED_VALUE"""),"Lamont, CA, 93241")</f>
        <v>Lamont, CA, 93241</v>
      </c>
      <c r="N706" s="416">
        <f>IFERROR(__xludf.DUMMYFUNCTION("FILTER(Board!H:H,Board!K:K=N704)"),1176.0)</f>
        <v>1176</v>
      </c>
      <c r="O706" s="408">
        <v>0.65</v>
      </c>
      <c r="P706" s="414">
        <f t="shared" ref="P706:P709" si="39">N706*O706</f>
        <v>764.4</v>
      </c>
      <c r="Q706" s="378"/>
      <c r="R706" s="378"/>
      <c r="S706" s="378"/>
      <c r="T706" s="378"/>
      <c r="U706" s="378"/>
      <c r="V706" s="378"/>
      <c r="W706" s="378"/>
      <c r="X706" s="378"/>
      <c r="Y706" s="378"/>
      <c r="Z706" s="378"/>
      <c r="AA706" s="378"/>
      <c r="AB706" s="378"/>
      <c r="AC706" s="378"/>
      <c r="AD706" s="378"/>
      <c r="AE706" s="378"/>
      <c r="AF706" s="378"/>
      <c r="AG706" s="378"/>
    </row>
    <row r="707">
      <c r="A707" s="378"/>
      <c r="B707" s="555">
        <f>IFERROR(__xludf.DUMMYFUNCTION("""COMPUTED_VALUE"""),45983.0)</f>
        <v>45983</v>
      </c>
      <c r="C707" s="404">
        <f>IFERROR(__xludf.DUMMYFUNCTION("""COMPUTED_VALUE"""),5674879.0)</f>
        <v>5674879</v>
      </c>
      <c r="D707" s="405" t="str">
        <f>IFERROR(__xludf.DUMMYFUNCTION("""COMPUTED_VALUE"""),"TONU")</f>
        <v>TONU</v>
      </c>
      <c r="E707" s="406"/>
      <c r="F707" s="414">
        <f>IFERROR(__xludf.DUMMYFUNCTION("""COMPUTED_VALUE"""),150.0)</f>
        <v>150</v>
      </c>
      <c r="G707" s="413">
        <v>0.88</v>
      </c>
      <c r="H707" s="414">
        <f t="shared" si="38"/>
        <v>132</v>
      </c>
      <c r="I707" s="376"/>
      <c r="J707" s="418">
        <f>IFERROR(__xludf.DUMMYFUNCTION("""COMPUTED_VALUE"""),45983.0)</f>
        <v>45983</v>
      </c>
      <c r="K707" s="411">
        <f>IFERROR(__xludf.DUMMYFUNCTION("""COMPUTED_VALUE"""),5674879.0)</f>
        <v>5674879</v>
      </c>
      <c r="L707" s="411" t="str">
        <f>IFERROR(__xludf.DUMMYFUNCTION("""COMPUTED_VALUE"""),"TONU")</f>
        <v>TONU</v>
      </c>
      <c r="M707" s="411"/>
      <c r="N707" s="416">
        <f>IFERROR(__xludf.DUMMYFUNCTION("""COMPUTED_VALUE"""),260.0)</f>
        <v>260</v>
      </c>
      <c r="O707" s="408">
        <v>0.65</v>
      </c>
      <c r="P707" s="414">
        <f t="shared" si="39"/>
        <v>169</v>
      </c>
      <c r="Q707" s="398">
        <v>260.0</v>
      </c>
      <c r="R707" s="378"/>
      <c r="S707" s="378"/>
      <c r="T707" s="378"/>
      <c r="U707" s="378"/>
      <c r="V707" s="378"/>
      <c r="W707" s="378"/>
      <c r="X707" s="378"/>
      <c r="Y707" s="378"/>
      <c r="Z707" s="378"/>
      <c r="AA707" s="378"/>
      <c r="AB707" s="378"/>
      <c r="AC707" s="378"/>
      <c r="AD707" s="378"/>
      <c r="AE707" s="378"/>
      <c r="AF707" s="378"/>
      <c r="AG707" s="378"/>
    </row>
    <row r="708">
      <c r="A708" s="378"/>
      <c r="B708" s="420"/>
      <c r="C708" s="421"/>
      <c r="D708" s="422"/>
      <c r="E708" s="423"/>
      <c r="F708" s="421"/>
      <c r="G708" s="413"/>
      <c r="H708" s="414"/>
      <c r="I708" s="376"/>
      <c r="J708" s="424"/>
      <c r="K708" s="421"/>
      <c r="L708" s="422"/>
      <c r="M708" s="423"/>
      <c r="N708" s="425"/>
      <c r="O708" s="408">
        <v>0.65</v>
      </c>
      <c r="P708" s="414">
        <f t="shared" si="39"/>
        <v>0</v>
      </c>
      <c r="Q708" s="378"/>
      <c r="R708" s="378"/>
      <c r="S708" s="378"/>
      <c r="T708" s="378"/>
      <c r="U708" s="378"/>
      <c r="V708" s="378"/>
      <c r="W708" s="378"/>
      <c r="X708" s="378"/>
      <c r="Y708" s="378"/>
      <c r="Z708" s="378"/>
      <c r="AA708" s="378"/>
      <c r="AB708" s="378"/>
      <c r="AC708" s="378"/>
      <c r="AD708" s="378"/>
      <c r="AE708" s="378"/>
      <c r="AF708" s="378"/>
      <c r="AG708" s="378"/>
    </row>
    <row r="709">
      <c r="A709" s="378"/>
      <c r="B709" s="420"/>
      <c r="C709" s="421"/>
      <c r="D709" s="422"/>
      <c r="E709" s="423"/>
      <c r="F709" s="421"/>
      <c r="G709" s="413"/>
      <c r="H709" s="414"/>
      <c r="I709" s="376"/>
      <c r="J709" s="424"/>
      <c r="K709" s="421"/>
      <c r="L709" s="422"/>
      <c r="M709" s="423"/>
      <c r="N709" s="425"/>
      <c r="O709" s="408">
        <v>0.65</v>
      </c>
      <c r="P709" s="414">
        <f t="shared" si="39"/>
        <v>0</v>
      </c>
      <c r="Q709" s="378"/>
      <c r="R709" s="378"/>
      <c r="S709" s="378"/>
      <c r="T709" s="378"/>
      <c r="U709" s="378"/>
      <c r="V709" s="378"/>
      <c r="W709" s="378"/>
      <c r="X709" s="378"/>
      <c r="Y709" s="378"/>
      <c r="Z709" s="378"/>
      <c r="AA709" s="378"/>
      <c r="AB709" s="378"/>
      <c r="AC709" s="378"/>
      <c r="AD709" s="378"/>
      <c r="AE709" s="378"/>
      <c r="AF709" s="378"/>
      <c r="AG709" s="378"/>
    </row>
    <row r="710">
      <c r="A710" s="378"/>
      <c r="B710" s="420"/>
      <c r="C710" s="421"/>
      <c r="D710" s="422"/>
      <c r="E710" s="423"/>
      <c r="F710" s="421"/>
      <c r="G710" s="413"/>
      <c r="H710" s="414"/>
      <c r="I710" s="376"/>
      <c r="J710" s="424"/>
      <c r="K710" s="421"/>
      <c r="L710" s="422"/>
      <c r="M710" s="423"/>
      <c r="N710" s="425"/>
      <c r="O710" s="408"/>
      <c r="P710" s="414"/>
      <c r="Q710" s="378"/>
      <c r="R710" s="378"/>
      <c r="S710" s="378"/>
      <c r="T710" s="378"/>
      <c r="U710" s="378"/>
      <c r="V710" s="378"/>
      <c r="W710" s="378"/>
      <c r="X710" s="378"/>
      <c r="Y710" s="378"/>
      <c r="Z710" s="378"/>
      <c r="AA710" s="378"/>
      <c r="AB710" s="378"/>
      <c r="AC710" s="378"/>
      <c r="AD710" s="378"/>
      <c r="AE710" s="378"/>
      <c r="AF710" s="378"/>
      <c r="AG710" s="378"/>
    </row>
    <row r="711">
      <c r="A711" s="378"/>
      <c r="B711" s="420"/>
      <c r="C711" s="421"/>
      <c r="D711" s="422"/>
      <c r="E711" s="423"/>
      <c r="F711" s="421"/>
      <c r="G711" s="413"/>
      <c r="H711" s="414"/>
      <c r="I711" s="376"/>
      <c r="J711" s="424"/>
      <c r="K711" s="421"/>
      <c r="L711" s="422"/>
      <c r="M711" s="423"/>
      <c r="N711" s="425"/>
      <c r="O711" s="408"/>
      <c r="P711" s="414"/>
      <c r="Q711" s="378"/>
      <c r="R711" s="378"/>
      <c r="S711" s="378"/>
      <c r="T711" s="378"/>
      <c r="U711" s="378"/>
      <c r="V711" s="378"/>
      <c r="W711" s="378"/>
      <c r="X711" s="378"/>
      <c r="Y711" s="378"/>
      <c r="Z711" s="378"/>
      <c r="AA711" s="378"/>
      <c r="AB711" s="378"/>
      <c r="AC711" s="378"/>
      <c r="AD711" s="378"/>
      <c r="AE711" s="378"/>
      <c r="AF711" s="378"/>
      <c r="AG711" s="378"/>
    </row>
    <row r="712">
      <c r="A712" s="378"/>
      <c r="B712" s="403" t="s">
        <v>711</v>
      </c>
      <c r="C712" s="224"/>
      <c r="D712" s="224"/>
      <c r="E712" s="222"/>
      <c r="F712" s="414">
        <f>SUM(F706:F711)</f>
        <v>1950</v>
      </c>
      <c r="G712" s="421"/>
      <c r="H712" s="414">
        <f>SUM(H706:H711)</f>
        <v>1716</v>
      </c>
      <c r="I712" s="376"/>
      <c r="J712" s="407" t="s">
        <v>711</v>
      </c>
      <c r="K712" s="224"/>
      <c r="L712" s="224"/>
      <c r="M712" s="222"/>
      <c r="N712" s="426">
        <f>SUM(N706:N711)</f>
        <v>1436</v>
      </c>
      <c r="O712" s="427"/>
      <c r="P712" s="414">
        <f>SUM(P706:P711)</f>
        <v>933.4</v>
      </c>
      <c r="Q712" s="378"/>
      <c r="R712" s="378"/>
      <c r="S712" s="378"/>
      <c r="T712" s="378"/>
      <c r="U712" s="378"/>
      <c r="V712" s="378"/>
      <c r="W712" s="378"/>
      <c r="X712" s="378"/>
      <c r="Y712" s="378"/>
      <c r="Z712" s="378"/>
      <c r="AA712" s="378"/>
      <c r="AB712" s="378"/>
      <c r="AC712" s="378"/>
      <c r="AD712" s="378"/>
      <c r="AE712" s="378"/>
      <c r="AF712" s="378"/>
      <c r="AG712" s="378"/>
    </row>
    <row r="713">
      <c r="A713" s="378"/>
      <c r="B713" s="428"/>
      <c r="C713" s="419"/>
      <c r="D713" s="419"/>
      <c r="E713" s="419"/>
      <c r="F713" s="419"/>
      <c r="G713" s="419"/>
      <c r="H713" s="429"/>
      <c r="I713" s="376"/>
      <c r="J713" s="430"/>
      <c r="K713" s="419"/>
      <c r="L713" s="419"/>
      <c r="M713" s="419"/>
      <c r="N713" s="431"/>
      <c r="O713" s="432"/>
      <c r="P713" s="429"/>
      <c r="Q713" s="378"/>
      <c r="R713" s="378"/>
      <c r="S713" s="378"/>
      <c r="T713" s="378"/>
      <c r="U713" s="378"/>
      <c r="V713" s="378"/>
      <c r="W713" s="378"/>
      <c r="X713" s="378"/>
      <c r="Y713" s="378"/>
      <c r="Z713" s="378"/>
      <c r="AA713" s="378"/>
      <c r="AB713" s="378"/>
      <c r="AC713" s="378"/>
      <c r="AD713" s="378"/>
      <c r="AE713" s="378"/>
      <c r="AF713" s="378"/>
      <c r="AG713" s="378"/>
    </row>
    <row r="714">
      <c r="A714" s="378"/>
      <c r="B714" s="433" t="s">
        <v>712</v>
      </c>
      <c r="C714" s="434"/>
      <c r="D714" s="435"/>
      <c r="E714" s="419"/>
      <c r="F714" s="419"/>
      <c r="G714" s="419"/>
      <c r="H714" s="429"/>
      <c r="I714" s="376"/>
      <c r="J714" s="437" t="s">
        <v>712</v>
      </c>
      <c r="K714" s="434"/>
      <c r="L714" s="435"/>
      <c r="M714" s="419"/>
      <c r="N714" s="431"/>
      <c r="O714" s="432"/>
      <c r="P714" s="429"/>
      <c r="Q714" s="378"/>
      <c r="R714" s="378"/>
      <c r="S714" s="378"/>
      <c r="T714" s="378"/>
      <c r="U714" s="378"/>
      <c r="V714" s="378"/>
      <c r="W714" s="378"/>
      <c r="X714" s="378"/>
      <c r="Y714" s="378"/>
      <c r="Z714" s="378"/>
      <c r="AA714" s="378"/>
      <c r="AB714" s="378"/>
      <c r="AC714" s="378"/>
      <c r="AD714" s="378"/>
      <c r="AE714" s="378"/>
      <c r="AF714" s="378"/>
      <c r="AG714" s="378"/>
    </row>
    <row r="715">
      <c r="A715" s="378"/>
      <c r="B715" s="438"/>
      <c r="C715" s="439"/>
      <c r="D715" s="440"/>
      <c r="E715" s="419"/>
      <c r="F715" s="419"/>
      <c r="G715" s="419"/>
      <c r="H715" s="429"/>
      <c r="I715" s="376"/>
      <c r="J715" s="443"/>
      <c r="K715" s="439"/>
      <c r="L715" s="440"/>
      <c r="M715" s="419"/>
      <c r="N715" s="431"/>
      <c r="O715" s="432"/>
      <c r="P715" s="429"/>
      <c r="Q715" s="378"/>
      <c r="R715" s="378"/>
      <c r="S715" s="378"/>
      <c r="T715" s="378"/>
      <c r="U715" s="378"/>
      <c r="V715" s="378"/>
      <c r="W715" s="378"/>
      <c r="X715" s="378"/>
      <c r="Y715" s="378"/>
      <c r="Z715" s="378"/>
      <c r="AA715" s="378"/>
      <c r="AB715" s="378"/>
      <c r="AC715" s="378"/>
      <c r="AD715" s="378"/>
      <c r="AE715" s="378"/>
      <c r="AF715" s="378"/>
      <c r="AG715" s="378"/>
    </row>
    <row r="716">
      <c r="A716" s="378"/>
      <c r="B716" s="444"/>
      <c r="C716" s="434"/>
      <c r="D716" s="435"/>
      <c r="E716" s="419"/>
      <c r="F716" s="463"/>
      <c r="G716" s="463"/>
      <c r="H716" s="448"/>
      <c r="I716" s="376"/>
      <c r="J716" s="445"/>
      <c r="K716" s="434"/>
      <c r="L716" s="435"/>
      <c r="M716" s="419"/>
      <c r="N716" s="446"/>
      <c r="O716" s="447"/>
      <c r="P716" s="448"/>
      <c r="Q716" s="378"/>
      <c r="R716" s="378"/>
      <c r="S716" s="378"/>
      <c r="T716" s="378"/>
      <c r="U716" s="378"/>
      <c r="V716" s="378"/>
      <c r="W716" s="378"/>
      <c r="X716" s="378"/>
      <c r="Y716" s="378"/>
      <c r="Z716" s="378"/>
      <c r="AA716" s="378"/>
      <c r="AB716" s="378"/>
      <c r="AC716" s="378"/>
      <c r="AD716" s="378"/>
      <c r="AE716" s="378"/>
      <c r="AF716" s="378"/>
      <c r="AG716" s="378"/>
    </row>
    <row r="717">
      <c r="A717" s="378"/>
      <c r="B717" s="438" t="s">
        <v>714</v>
      </c>
      <c r="C717" s="439">
        <f>SUM(C715:C716)</f>
        <v>0</v>
      </c>
      <c r="D717" s="440"/>
      <c r="E717" s="419"/>
      <c r="F717" s="463"/>
      <c r="G717" s="463"/>
      <c r="H717" s="448"/>
      <c r="I717" s="376"/>
      <c r="J717" s="443" t="s">
        <v>714</v>
      </c>
      <c r="K717" s="439">
        <f>SUM(K715:K716)</f>
        <v>0</v>
      </c>
      <c r="L717" s="440"/>
      <c r="M717" s="419"/>
      <c r="N717" s="446"/>
      <c r="O717" s="447"/>
      <c r="P717" s="448"/>
      <c r="Q717" s="378"/>
      <c r="R717" s="378"/>
      <c r="S717" s="378"/>
      <c r="T717" s="378"/>
      <c r="U717" s="378"/>
      <c r="V717" s="378"/>
      <c r="W717" s="378"/>
      <c r="X717" s="378"/>
      <c r="Y717" s="378"/>
      <c r="Z717" s="378"/>
      <c r="AA717" s="378"/>
      <c r="AB717" s="378"/>
      <c r="AC717" s="378"/>
      <c r="AD717" s="378"/>
      <c r="AE717" s="378"/>
      <c r="AF717" s="378"/>
      <c r="AG717" s="378"/>
    </row>
    <row r="718">
      <c r="A718" s="378"/>
      <c r="B718" s="450"/>
      <c r="C718" s="451"/>
      <c r="D718" s="419"/>
      <c r="E718" s="419"/>
      <c r="F718" s="463"/>
      <c r="G718" s="463"/>
      <c r="H718" s="448"/>
      <c r="I718" s="376"/>
      <c r="J718" s="535"/>
      <c r="K718" s="451"/>
      <c r="L718" s="419"/>
      <c r="M718" s="419"/>
      <c r="N718" s="446"/>
      <c r="O718" s="447"/>
      <c r="P718" s="448"/>
      <c r="Q718" s="378"/>
      <c r="R718" s="378"/>
      <c r="S718" s="378"/>
      <c r="T718" s="378"/>
      <c r="U718" s="378"/>
      <c r="V718" s="378"/>
      <c r="W718" s="378"/>
      <c r="X718" s="378"/>
      <c r="Y718" s="378"/>
      <c r="Z718" s="378"/>
      <c r="AA718" s="378"/>
      <c r="AB718" s="378"/>
      <c r="AC718" s="378"/>
      <c r="AD718" s="378"/>
      <c r="AE718" s="378"/>
      <c r="AF718" s="378"/>
      <c r="AG718" s="378"/>
    </row>
    <row r="719">
      <c r="A719" s="378"/>
      <c r="B719" s="454" t="s">
        <v>715</v>
      </c>
      <c r="C719" s="455"/>
      <c r="D719" s="435"/>
      <c r="E719" s="419"/>
      <c r="F719" s="463"/>
      <c r="G719" s="463"/>
      <c r="H719" s="448"/>
      <c r="I719" s="376"/>
      <c r="J719" s="458" t="s">
        <v>715</v>
      </c>
      <c r="K719" s="455"/>
      <c r="L719" s="435"/>
      <c r="M719" s="419"/>
      <c r="N719" s="446"/>
      <c r="O719" s="447"/>
      <c r="P719" s="448"/>
      <c r="Q719" s="378"/>
      <c r="R719" s="378"/>
      <c r="S719" s="378"/>
      <c r="T719" s="378"/>
      <c r="U719" s="378"/>
      <c r="V719" s="378"/>
      <c r="W719" s="378"/>
      <c r="X719" s="378"/>
      <c r="Y719" s="378"/>
      <c r="Z719" s="378"/>
      <c r="AA719" s="378"/>
      <c r="AB719" s="378"/>
      <c r="AC719" s="378"/>
      <c r="AD719" s="378"/>
      <c r="AE719" s="378"/>
      <c r="AF719" s="378"/>
      <c r="AG719" s="378"/>
    </row>
    <row r="720">
      <c r="A720" s="378"/>
      <c r="B720" s="459" t="s">
        <v>716</v>
      </c>
      <c r="C720" s="460">
        <v>150.0</v>
      </c>
      <c r="D720" s="440"/>
      <c r="E720" s="419"/>
      <c r="F720" s="463"/>
      <c r="G720" s="463"/>
      <c r="H720" s="448"/>
      <c r="I720" s="376"/>
      <c r="J720" s="462"/>
      <c r="K720" s="460"/>
      <c r="L720" s="440"/>
      <c r="M720" s="419"/>
      <c r="N720" s="446"/>
      <c r="O720" s="447"/>
      <c r="P720" s="448"/>
      <c r="Q720" s="378"/>
      <c r="R720" s="378"/>
      <c r="S720" s="378"/>
      <c r="T720" s="378"/>
      <c r="U720" s="378"/>
      <c r="V720" s="378"/>
      <c r="W720" s="378"/>
      <c r="X720" s="378"/>
      <c r="Y720" s="378"/>
      <c r="Z720" s="378"/>
      <c r="AA720" s="378"/>
      <c r="AB720" s="378"/>
      <c r="AC720" s="378"/>
      <c r="AD720" s="378"/>
      <c r="AE720" s="378"/>
      <c r="AF720" s="378"/>
      <c r="AG720" s="378"/>
    </row>
    <row r="721">
      <c r="A721" s="378"/>
      <c r="B721" s="459" t="s">
        <v>717</v>
      </c>
      <c r="C721" s="460">
        <v>400.0</v>
      </c>
      <c r="D721" s="440"/>
      <c r="E721" s="419"/>
      <c r="F721" s="463"/>
      <c r="G721" s="463"/>
      <c r="H721" s="448"/>
      <c r="I721" s="376"/>
      <c r="J721" s="462"/>
      <c r="K721" s="460"/>
      <c r="L721" s="440"/>
      <c r="M721" s="419"/>
      <c r="N721" s="446"/>
      <c r="O721" s="447"/>
      <c r="P721" s="448"/>
      <c r="Q721" s="378"/>
      <c r="R721" s="378"/>
      <c r="S721" s="378"/>
      <c r="T721" s="378"/>
      <c r="U721" s="378"/>
      <c r="V721" s="378"/>
      <c r="W721" s="378"/>
      <c r="X721" s="378"/>
      <c r="Y721" s="378"/>
      <c r="Z721" s="378"/>
      <c r="AA721" s="378"/>
      <c r="AB721" s="378"/>
      <c r="AC721" s="378"/>
      <c r="AD721" s="378"/>
      <c r="AE721" s="378"/>
      <c r="AF721" s="378"/>
      <c r="AG721" s="378"/>
    </row>
    <row r="722">
      <c r="A722" s="378"/>
      <c r="B722" s="459" t="s">
        <v>718</v>
      </c>
      <c r="C722" s="460">
        <v>200.0</v>
      </c>
      <c r="D722" s="440"/>
      <c r="E722" s="419"/>
      <c r="F722" s="463"/>
      <c r="G722" s="463"/>
      <c r="H722" s="448"/>
      <c r="I722" s="376"/>
      <c r="J722" s="462"/>
      <c r="K722" s="460"/>
      <c r="L722" s="440"/>
      <c r="M722" s="419"/>
      <c r="N722" s="446"/>
      <c r="O722" s="447"/>
      <c r="P722" s="448"/>
      <c r="Q722" s="378"/>
      <c r="R722" s="378"/>
      <c r="S722" s="378"/>
      <c r="T722" s="378"/>
      <c r="U722" s="378"/>
      <c r="V722" s="378"/>
      <c r="W722" s="378"/>
      <c r="X722" s="378"/>
      <c r="Y722" s="378"/>
      <c r="Z722" s="378"/>
      <c r="AA722" s="378"/>
      <c r="AB722" s="378"/>
      <c r="AC722" s="378"/>
      <c r="AD722" s="378"/>
      <c r="AE722" s="378"/>
      <c r="AF722" s="378"/>
      <c r="AG722" s="378"/>
    </row>
    <row r="723">
      <c r="A723" s="378"/>
      <c r="B723" s="459" t="s">
        <v>656</v>
      </c>
      <c r="C723" s="460" t="str">
        <f>IFERROR(__xludf.DUMMYFUNCTION("FILTER(D1045:D1073,C1045:C1073=F704)"),"#N/A")</f>
        <v>#N/A</v>
      </c>
      <c r="D723" s="440"/>
      <c r="E723" s="419"/>
      <c r="F723" s="463"/>
      <c r="G723" s="463"/>
      <c r="H723" s="448"/>
      <c r="I723" s="376"/>
      <c r="J723" s="462"/>
      <c r="K723" s="460"/>
      <c r="L723" s="440"/>
      <c r="M723" s="419"/>
      <c r="N723" s="446"/>
      <c r="O723" s="447"/>
      <c r="P723" s="448"/>
      <c r="Q723" s="378"/>
      <c r="R723" s="378"/>
      <c r="S723" s="378"/>
      <c r="T723" s="378"/>
      <c r="U723" s="378"/>
      <c r="V723" s="378"/>
      <c r="W723" s="378"/>
      <c r="X723" s="378"/>
      <c r="Y723" s="378"/>
      <c r="Z723" s="378"/>
      <c r="AA723" s="378"/>
      <c r="AB723" s="378"/>
      <c r="AC723" s="378"/>
      <c r="AD723" s="378"/>
      <c r="AE723" s="378"/>
      <c r="AF723" s="378"/>
      <c r="AG723" s="378"/>
    </row>
    <row r="724">
      <c r="A724" s="378"/>
      <c r="B724" s="454" t="s">
        <v>892</v>
      </c>
      <c r="C724" s="575">
        <v>523.44</v>
      </c>
      <c r="D724" s="435"/>
      <c r="E724" s="419"/>
      <c r="F724" s="561" t="s">
        <v>881</v>
      </c>
      <c r="G724" s="538" t="str">
        <f>H712+C717-C729</f>
        <v>#N/A</v>
      </c>
      <c r="H724" s="211"/>
      <c r="I724" s="376"/>
      <c r="J724" s="467"/>
      <c r="K724" s="455"/>
      <c r="L724" s="435"/>
      <c r="M724" s="419"/>
      <c r="N724" s="468" t="s">
        <v>842</v>
      </c>
      <c r="O724" s="539">
        <f>P712+K717-K729</f>
        <v>933.4</v>
      </c>
      <c r="P724" s="211"/>
      <c r="Q724" s="378"/>
      <c r="R724" s="378"/>
      <c r="S724" s="378"/>
      <c r="T724" s="378"/>
      <c r="U724" s="378"/>
      <c r="V724" s="378"/>
      <c r="W724" s="378"/>
      <c r="X724" s="378"/>
      <c r="Y724" s="378"/>
      <c r="Z724" s="378"/>
      <c r="AA724" s="378"/>
      <c r="AB724" s="378"/>
      <c r="AC724" s="378"/>
      <c r="AD724" s="378"/>
      <c r="AE724" s="378"/>
      <c r="AF724" s="378"/>
      <c r="AG724" s="378"/>
    </row>
    <row r="725">
      <c r="A725" s="378"/>
      <c r="B725" s="576" t="s">
        <v>893</v>
      </c>
      <c r="C725" s="575">
        <v>552.81</v>
      </c>
      <c r="D725" s="435"/>
      <c r="E725" s="419"/>
      <c r="F725" s="55"/>
      <c r="G725" s="278"/>
      <c r="H725" s="56"/>
      <c r="I725" s="376"/>
      <c r="J725" s="467"/>
      <c r="K725" s="455"/>
      <c r="L725" s="435"/>
      <c r="M725" s="419"/>
      <c r="N725" s="469" t="s">
        <v>854</v>
      </c>
      <c r="O725" s="278"/>
      <c r="P725" s="56"/>
      <c r="Q725" s="378"/>
      <c r="R725" s="378"/>
      <c r="S725" s="378"/>
      <c r="T725" s="378"/>
      <c r="U725" s="378"/>
      <c r="V725" s="378"/>
      <c r="W725" s="378"/>
      <c r="X725" s="378"/>
      <c r="Y725" s="378"/>
      <c r="Z725" s="378"/>
      <c r="AA725" s="378"/>
      <c r="AB725" s="378"/>
      <c r="AC725" s="378"/>
      <c r="AD725" s="378"/>
      <c r="AE725" s="378"/>
      <c r="AF725" s="378"/>
      <c r="AG725" s="378"/>
    </row>
    <row r="726">
      <c r="A726" s="378"/>
      <c r="B726" s="576" t="s">
        <v>894</v>
      </c>
      <c r="C726" s="537">
        <v>52.0</v>
      </c>
      <c r="D726" s="435"/>
      <c r="E726" s="419"/>
      <c r="F726" s="60"/>
      <c r="G726" s="215"/>
      <c r="H726" s="64"/>
      <c r="I726" s="376"/>
      <c r="J726" s="467"/>
      <c r="K726" s="455"/>
      <c r="L726" s="435"/>
      <c r="M726" s="419"/>
      <c r="N726" s="470"/>
      <c r="O726" s="215"/>
      <c r="P726" s="64"/>
      <c r="Q726" s="378"/>
      <c r="R726" s="378"/>
      <c r="S726" s="378"/>
      <c r="T726" s="378"/>
      <c r="U726" s="378"/>
      <c r="V726" s="378"/>
      <c r="W726" s="378"/>
      <c r="X726" s="378"/>
      <c r="Y726" s="378"/>
      <c r="Z726" s="378"/>
      <c r="AA726" s="378"/>
      <c r="AB726" s="378"/>
      <c r="AC726" s="378"/>
      <c r="AD726" s="378"/>
      <c r="AE726" s="378"/>
      <c r="AF726" s="378"/>
      <c r="AG726" s="378"/>
    </row>
    <row r="727">
      <c r="A727" s="378"/>
      <c r="B727" s="576" t="s">
        <v>895</v>
      </c>
      <c r="C727" s="537">
        <v>178.89</v>
      </c>
      <c r="D727" s="435"/>
      <c r="E727" s="419"/>
      <c r="F727" s="419"/>
      <c r="G727" s="419"/>
      <c r="H727" s="429"/>
      <c r="I727" s="376"/>
      <c r="J727" s="467"/>
      <c r="K727" s="455"/>
      <c r="L727" s="435"/>
      <c r="M727" s="419"/>
      <c r="N727" s="431"/>
      <c r="O727" s="432"/>
      <c r="P727" s="429"/>
      <c r="Q727" s="378"/>
      <c r="R727" s="378"/>
      <c r="S727" s="378"/>
      <c r="T727" s="378"/>
      <c r="U727" s="378"/>
      <c r="V727" s="378"/>
      <c r="W727" s="378"/>
      <c r="X727" s="378"/>
      <c r="Y727" s="378"/>
      <c r="Z727" s="378"/>
      <c r="AA727" s="378"/>
      <c r="AB727" s="378"/>
      <c r="AC727" s="378"/>
      <c r="AD727" s="378"/>
      <c r="AE727" s="378"/>
      <c r="AF727" s="378"/>
      <c r="AG727" s="378"/>
    </row>
    <row r="728">
      <c r="A728" s="378"/>
      <c r="B728" s="576" t="s">
        <v>896</v>
      </c>
      <c r="C728" s="537">
        <v>100.0</v>
      </c>
      <c r="D728" s="435"/>
      <c r="E728" s="419"/>
      <c r="F728" s="419"/>
      <c r="G728" s="419"/>
      <c r="H728" s="429"/>
      <c r="I728" s="376"/>
      <c r="J728" s="467"/>
      <c r="K728" s="455"/>
      <c r="L728" s="435"/>
      <c r="M728" s="419"/>
      <c r="N728" s="431"/>
      <c r="O728" s="432"/>
      <c r="P728" s="429"/>
      <c r="Q728" s="378"/>
      <c r="R728" s="378"/>
      <c r="S728" s="378"/>
      <c r="T728" s="378"/>
      <c r="U728" s="378"/>
      <c r="V728" s="378"/>
      <c r="W728" s="378"/>
      <c r="X728" s="378"/>
      <c r="Y728" s="378"/>
      <c r="Z728" s="378"/>
      <c r="AA728" s="378"/>
      <c r="AB728" s="378"/>
      <c r="AC728" s="378"/>
      <c r="AD728" s="378"/>
      <c r="AE728" s="378"/>
      <c r="AF728" s="378"/>
      <c r="AG728" s="378"/>
    </row>
    <row r="729">
      <c r="A729" s="378"/>
      <c r="B729" s="454" t="s">
        <v>721</v>
      </c>
      <c r="C729" s="460" t="str">
        <f>SUM(C720:C728)</f>
        <v>#N/A</v>
      </c>
      <c r="D729" s="440"/>
      <c r="E729" s="419"/>
      <c r="F729" s="419"/>
      <c r="G729" s="419"/>
      <c r="H729" s="429"/>
      <c r="I729" s="376"/>
      <c r="J729" s="458" t="s">
        <v>721</v>
      </c>
      <c r="K729" s="460">
        <f>SUM(K720:K728)</f>
        <v>0</v>
      </c>
      <c r="L729" s="440"/>
      <c r="M729" s="419"/>
      <c r="N729" s="431"/>
      <c r="O729" s="432"/>
      <c r="P729" s="429"/>
      <c r="Q729" s="378"/>
      <c r="R729" s="378"/>
      <c r="S729" s="378"/>
      <c r="T729" s="378"/>
      <c r="U729" s="378"/>
      <c r="V729" s="378"/>
      <c r="W729" s="378"/>
      <c r="X729" s="378"/>
      <c r="Y729" s="378"/>
      <c r="Z729" s="378"/>
      <c r="AA729" s="378"/>
      <c r="AB729" s="378"/>
      <c r="AC729" s="378"/>
      <c r="AD729" s="378"/>
      <c r="AE729" s="378"/>
      <c r="AF729" s="378"/>
      <c r="AG729" s="378"/>
    </row>
    <row r="730">
      <c r="A730" s="378"/>
      <c r="B730" s="471"/>
      <c r="C730" s="472"/>
      <c r="D730" s="472"/>
      <c r="E730" s="472"/>
      <c r="F730" s="472"/>
      <c r="G730" s="472"/>
      <c r="H730" s="473"/>
      <c r="I730" s="376"/>
      <c r="J730" s="474"/>
      <c r="K730" s="472"/>
      <c r="L730" s="472"/>
      <c r="M730" s="472"/>
      <c r="N730" s="475"/>
      <c r="O730" s="476"/>
      <c r="P730" s="473"/>
      <c r="Q730" s="378"/>
      <c r="R730" s="378"/>
      <c r="S730" s="378"/>
      <c r="T730" s="378"/>
      <c r="U730" s="378"/>
      <c r="V730" s="378"/>
      <c r="W730" s="378"/>
      <c r="X730" s="378"/>
      <c r="Y730" s="378"/>
      <c r="Z730" s="378"/>
      <c r="AA730" s="378"/>
      <c r="AB730" s="378"/>
      <c r="AC730" s="378"/>
      <c r="AD730" s="378"/>
      <c r="AE730" s="378"/>
      <c r="AF730" s="378"/>
      <c r="AG730" s="378"/>
    </row>
    <row r="731">
      <c r="A731" s="378"/>
      <c r="B731" s="550"/>
      <c r="C731" s="463"/>
      <c r="D731" s="463"/>
      <c r="E731" s="463"/>
      <c r="F731" s="463"/>
      <c r="G731" s="463"/>
      <c r="H731" s="463"/>
      <c r="I731" s="376"/>
      <c r="J731" s="377"/>
      <c r="K731" s="378"/>
      <c r="L731" s="378"/>
      <c r="M731" s="378"/>
      <c r="N731" s="379"/>
      <c r="O731" s="380"/>
      <c r="P731" s="378"/>
      <c r="Q731" s="378"/>
      <c r="R731" s="378"/>
      <c r="S731" s="378"/>
      <c r="T731" s="378"/>
      <c r="U731" s="378"/>
      <c r="V731" s="378"/>
      <c r="W731" s="378"/>
      <c r="X731" s="378"/>
      <c r="Y731" s="378"/>
      <c r="Z731" s="378"/>
      <c r="AA731" s="378"/>
      <c r="AB731" s="378"/>
      <c r="AC731" s="378"/>
      <c r="AD731" s="378"/>
      <c r="AE731" s="378"/>
      <c r="AF731" s="378"/>
      <c r="AG731" s="378"/>
    </row>
    <row r="732">
      <c r="A732" s="378"/>
      <c r="B732" s="550"/>
      <c r="C732" s="463"/>
      <c r="D732" s="463"/>
      <c r="E732" s="463"/>
      <c r="F732" s="463"/>
      <c r="G732" s="463"/>
      <c r="H732" s="463"/>
      <c r="I732" s="376"/>
      <c r="J732" s="377"/>
      <c r="K732" s="378"/>
      <c r="L732" s="378"/>
      <c r="M732" s="378"/>
      <c r="N732" s="379"/>
      <c r="O732" s="380"/>
      <c r="P732" s="378"/>
      <c r="Q732" s="378"/>
      <c r="R732" s="378"/>
      <c r="S732" s="378"/>
      <c r="T732" s="378"/>
      <c r="U732" s="378"/>
      <c r="V732" s="378"/>
      <c r="W732" s="378"/>
      <c r="X732" s="378"/>
      <c r="Y732" s="378"/>
      <c r="Z732" s="378"/>
      <c r="AA732" s="378"/>
      <c r="AB732" s="378"/>
      <c r="AC732" s="378"/>
      <c r="AD732" s="378"/>
      <c r="AE732" s="378"/>
      <c r="AF732" s="378"/>
      <c r="AG732" s="378"/>
    </row>
    <row r="733">
      <c r="A733" s="378"/>
      <c r="B733" s="382"/>
      <c r="C733" s="388"/>
      <c r="D733" s="384"/>
      <c r="E733" s="385" t="s">
        <v>700</v>
      </c>
      <c r="F733" s="385" t="str">
        <f>Board!A2</f>
        <v>11.17.25-11.23.25</v>
      </c>
      <c r="G733" s="213"/>
      <c r="H733" s="211"/>
      <c r="I733" s="386">
        <v>22.0</v>
      </c>
      <c r="J733" s="387"/>
      <c r="K733" s="388"/>
      <c r="L733" s="384"/>
      <c r="M733" s="385" t="s">
        <v>700</v>
      </c>
      <c r="N733" s="385" t="str">
        <f>Board!A2</f>
        <v>11.17.25-11.23.25</v>
      </c>
      <c r="O733" s="213"/>
      <c r="P733" s="211"/>
      <c r="Q733" s="378"/>
      <c r="R733" s="389" t="s">
        <v>831</v>
      </c>
      <c r="S733" s="389" t="s">
        <v>652</v>
      </c>
      <c r="T733" s="390" t="s">
        <v>832</v>
      </c>
      <c r="U733" s="391" t="s">
        <v>833</v>
      </c>
      <c r="V733" s="389" t="s">
        <v>655</v>
      </c>
      <c r="W733" s="389" t="s">
        <v>8</v>
      </c>
      <c r="X733" s="389" t="s">
        <v>656</v>
      </c>
      <c r="Y733" s="390" t="s">
        <v>834</v>
      </c>
      <c r="Z733" s="392" t="s">
        <v>835</v>
      </c>
      <c r="AA733" s="390" t="s">
        <v>836</v>
      </c>
      <c r="AB733" s="390" t="s">
        <v>837</v>
      </c>
      <c r="AC733" s="393" t="s">
        <v>716</v>
      </c>
      <c r="AD733" s="393" t="s">
        <v>717</v>
      </c>
      <c r="AE733" s="393" t="s">
        <v>718</v>
      </c>
      <c r="AF733" s="394" t="s">
        <v>838</v>
      </c>
      <c r="AG733" s="394"/>
    </row>
    <row r="734">
      <c r="A734" s="378"/>
      <c r="B734" s="395"/>
      <c r="C734" s="372"/>
      <c r="D734" s="396"/>
      <c r="E734" s="385" t="s">
        <v>702</v>
      </c>
      <c r="F734" s="385" t="s">
        <v>825</v>
      </c>
      <c r="G734" s="213"/>
      <c r="H734" s="211"/>
      <c r="I734" s="376"/>
      <c r="J734" s="397"/>
      <c r="K734" s="372"/>
      <c r="L734" s="396"/>
      <c r="M734" s="385" t="s">
        <v>351</v>
      </c>
      <c r="N734" s="385" t="str">
        <f t="array" ref="N734">XLOOKUP(N735,Board!K:K,Board!J:J)</f>
        <v>MARVIN CREARY</v>
      </c>
      <c r="O734" s="213"/>
      <c r="P734" s="211"/>
      <c r="Q734" s="378"/>
      <c r="R734" s="398">
        <f>I733</f>
        <v>22</v>
      </c>
      <c r="S734" s="398">
        <f>F735</f>
        <v>7607</v>
      </c>
      <c r="T734" s="399" t="str">
        <f>G755</f>
        <v>#N/A</v>
      </c>
      <c r="U734" s="378" t="str">
        <f>N734</f>
        <v>MARVIN CREARY</v>
      </c>
      <c r="V734" s="380">
        <f>O755</f>
        <v>1381.25</v>
      </c>
      <c r="W734" s="399">
        <f>P743</f>
        <v>1381.25</v>
      </c>
      <c r="X734" s="399" t="str">
        <f>C754</f>
        <v>#N/A</v>
      </c>
      <c r="Y734" s="400">
        <f>N743</f>
        <v>2125</v>
      </c>
      <c r="Z734" s="378" t="str">
        <f>V735-V734</f>
        <v>#N/A</v>
      </c>
      <c r="AA734" s="378"/>
      <c r="AB734" s="378"/>
      <c r="AC734" s="401">
        <f>C751</f>
        <v>100</v>
      </c>
      <c r="AD734" s="401">
        <f>C752</f>
        <v>400</v>
      </c>
      <c r="AE734" s="401">
        <f>C753</f>
        <v>200</v>
      </c>
      <c r="AF734" s="398">
        <f>C755+C756+C757+C758+C759</f>
        <v>0</v>
      </c>
      <c r="AG734" s="398"/>
    </row>
    <row r="735">
      <c r="A735" s="378"/>
      <c r="B735" s="395"/>
      <c r="C735" s="372"/>
      <c r="D735" s="402"/>
      <c r="E735" s="385" t="s">
        <v>703</v>
      </c>
      <c r="F735" s="385">
        <v>7607.0</v>
      </c>
      <c r="G735" s="532">
        <v>3866.0</v>
      </c>
      <c r="H735" s="533"/>
      <c r="I735" s="376"/>
      <c r="J735" s="397"/>
      <c r="K735" s="372"/>
      <c r="L735" s="402"/>
      <c r="M735" s="385" t="s">
        <v>703</v>
      </c>
      <c r="N735" s="385">
        <f>F735</f>
        <v>7607</v>
      </c>
      <c r="O735" s="532">
        <v>3866.0</v>
      </c>
      <c r="P735" s="533"/>
      <c r="Q735" s="378"/>
      <c r="R735" s="378"/>
      <c r="S735" s="378"/>
      <c r="T735" s="378"/>
      <c r="U735" s="378" t="str">
        <f>F734</f>
        <v>NZD Transport LLC</v>
      </c>
      <c r="V735" s="399" t="str">
        <f>G755</f>
        <v>#N/A</v>
      </c>
      <c r="W735" s="399">
        <f>H743</f>
        <v>3168</v>
      </c>
      <c r="X735" s="378"/>
      <c r="Y735" s="378"/>
      <c r="Z735" s="378"/>
      <c r="AA735" s="378"/>
      <c r="AB735" s="378"/>
      <c r="AC735" s="378"/>
      <c r="AD735" s="378"/>
      <c r="AE735" s="378"/>
      <c r="AF735" s="378"/>
      <c r="AG735" s="378"/>
    </row>
    <row r="736">
      <c r="A736" s="378"/>
      <c r="B736" s="403" t="s">
        <v>704</v>
      </c>
      <c r="C736" s="404" t="s">
        <v>5</v>
      </c>
      <c r="D736" s="405" t="s">
        <v>6</v>
      </c>
      <c r="E736" s="406" t="s">
        <v>7</v>
      </c>
      <c r="F736" s="404" t="s">
        <v>8</v>
      </c>
      <c r="G736" s="404" t="s">
        <v>706</v>
      </c>
      <c r="H736" s="404" t="s">
        <v>707</v>
      </c>
      <c r="I736" s="376"/>
      <c r="J736" s="407" t="s">
        <v>704</v>
      </c>
      <c r="K736" s="404" t="s">
        <v>5</v>
      </c>
      <c r="L736" s="405" t="s">
        <v>6</v>
      </c>
      <c r="M736" s="406" t="s">
        <v>7</v>
      </c>
      <c r="N736" s="404" t="s">
        <v>591</v>
      </c>
      <c r="O736" s="408" t="s">
        <v>839</v>
      </c>
      <c r="P736" s="404" t="s">
        <v>707</v>
      </c>
      <c r="Q736" s="378"/>
      <c r="R736" s="378"/>
      <c r="S736" s="378"/>
      <c r="T736" s="378"/>
      <c r="U736" s="378"/>
      <c r="V736" s="378"/>
      <c r="W736" s="378"/>
      <c r="X736" s="378"/>
      <c r="Y736" s="378"/>
      <c r="Z736" s="378"/>
      <c r="AA736" s="378"/>
      <c r="AB736" s="378"/>
      <c r="AC736" s="378"/>
      <c r="AD736" s="378"/>
      <c r="AE736" s="378"/>
      <c r="AF736" s="378"/>
      <c r="AG736" s="378"/>
    </row>
    <row r="737">
      <c r="A737" s="378"/>
      <c r="B737" s="555">
        <f>IFERROR(__xludf.DUMMYFUNCTION("FILTER(Board!C:G,Board!K:K=F735)"),45980.0)</f>
        <v>45980</v>
      </c>
      <c r="C737" s="404">
        <f>IFERROR(__xludf.DUMMYFUNCTION("""COMPUTED_VALUE"""),5540738.0)</f>
        <v>5540738</v>
      </c>
      <c r="D737" s="405" t="str">
        <f>IFERROR(__xludf.DUMMYFUNCTION("""COMPUTED_VALUE"""),"Brockton, MA, 02302")</f>
        <v>Brockton, MA, 02302</v>
      </c>
      <c r="E737" s="406" t="str">
        <f>IFERROR(__xludf.DUMMYFUNCTION("""COMPUTED_VALUE"""),"Wapakoneta, OH, 45895")</f>
        <v>Wapakoneta, OH, 45895</v>
      </c>
      <c r="F737" s="414">
        <f>IFERROR(__xludf.DUMMYFUNCTION("""COMPUTED_VALUE"""),900.0)</f>
        <v>900</v>
      </c>
      <c r="G737" s="413">
        <v>0.88</v>
      </c>
      <c r="H737" s="414">
        <f t="shared" ref="H737:H738" si="40">F737*G737</f>
        <v>792</v>
      </c>
      <c r="I737" s="376"/>
      <c r="J737" s="415">
        <f>IFERROR(__xludf.DUMMYFUNCTION("FILTER(Board!C:F,Board!K:K=N735)"),45980.0)</f>
        <v>45980</v>
      </c>
      <c r="K737" s="411">
        <f>IFERROR(__xludf.DUMMYFUNCTION("""COMPUTED_VALUE"""),5540738.0)</f>
        <v>5540738</v>
      </c>
      <c r="L737" s="411" t="str">
        <f>IFERROR(__xludf.DUMMYFUNCTION("""COMPUTED_VALUE"""),"Brockton, MA, 02302")</f>
        <v>Brockton, MA, 02302</v>
      </c>
      <c r="M737" s="411" t="str">
        <f>IFERROR(__xludf.DUMMYFUNCTION("""COMPUTED_VALUE"""),"Wapakoneta, OH, 45895")</f>
        <v>Wapakoneta, OH, 45895</v>
      </c>
      <c r="N737" s="416">
        <f>IFERROR(__xludf.DUMMYFUNCTION("FILTER(Board!H:H,Board!K:K=N735)"),874.0)</f>
        <v>874</v>
      </c>
      <c r="O737" s="408">
        <v>0.65</v>
      </c>
      <c r="P737" s="414">
        <f t="shared" ref="P737:P738" si="41">N737*O737</f>
        <v>568.1</v>
      </c>
      <c r="Q737" s="378"/>
      <c r="R737" s="378"/>
      <c r="S737" s="378"/>
      <c r="T737" s="378"/>
      <c r="U737" s="378"/>
      <c r="V737" s="378"/>
      <c r="W737" s="378"/>
      <c r="X737" s="378"/>
      <c r="Y737" s="378"/>
      <c r="Z737" s="378"/>
      <c r="AA737" s="378"/>
      <c r="AB737" s="378"/>
      <c r="AC737" s="378"/>
      <c r="AD737" s="378"/>
      <c r="AE737" s="378"/>
      <c r="AF737" s="378"/>
      <c r="AG737" s="378"/>
    </row>
    <row r="738">
      <c r="A738" s="378"/>
      <c r="B738" s="555">
        <f>IFERROR(__xludf.DUMMYFUNCTION("""COMPUTED_VALUE"""),45982.0)</f>
        <v>45982</v>
      </c>
      <c r="C738" s="404" t="str">
        <f>IFERROR(__xludf.DUMMYFUNCTION("""COMPUTED_VALUE"""),"DX-190023")</f>
        <v>DX-190023</v>
      </c>
      <c r="D738" s="405" t="str">
        <f>IFERROR(__xludf.DUMMYFUNCTION("""COMPUTED_VALUE"""),"Bluffton, IN, 46714")</f>
        <v>Bluffton, IN, 46714</v>
      </c>
      <c r="E738" s="406" t="str">
        <f>IFERROR(__xludf.DUMMYFUNCTION("""COMPUTED_VALUE"""),"Denver, CO, 80216")</f>
        <v>Denver, CO, 80216</v>
      </c>
      <c r="F738" s="414">
        <f>IFERROR(__xludf.DUMMYFUNCTION("""COMPUTED_VALUE"""),2700.0)</f>
        <v>2700</v>
      </c>
      <c r="G738" s="413">
        <v>0.88</v>
      </c>
      <c r="H738" s="414">
        <f t="shared" si="40"/>
        <v>2376</v>
      </c>
      <c r="I738" s="376"/>
      <c r="J738" s="418">
        <f>IFERROR(__xludf.DUMMYFUNCTION("""COMPUTED_VALUE"""),45982.0)</f>
        <v>45982</v>
      </c>
      <c r="K738" s="411" t="str">
        <f>IFERROR(__xludf.DUMMYFUNCTION("""COMPUTED_VALUE"""),"DX-190023")</f>
        <v>DX-190023</v>
      </c>
      <c r="L738" s="411" t="str">
        <f>IFERROR(__xludf.DUMMYFUNCTION("""COMPUTED_VALUE"""),"Bluffton, IN, 46714")</f>
        <v>Bluffton, IN, 46714</v>
      </c>
      <c r="M738" s="411" t="str">
        <f>IFERROR(__xludf.DUMMYFUNCTION("""COMPUTED_VALUE"""),"Denver, CO, 80216")</f>
        <v>Denver, CO, 80216</v>
      </c>
      <c r="N738" s="416">
        <f>IFERROR(__xludf.DUMMYFUNCTION("""COMPUTED_VALUE"""),1251.0)</f>
        <v>1251</v>
      </c>
      <c r="O738" s="408">
        <v>0.65</v>
      </c>
      <c r="P738" s="414">
        <f t="shared" si="41"/>
        <v>813.15</v>
      </c>
      <c r="Q738" s="378"/>
      <c r="R738" s="378"/>
      <c r="S738" s="378"/>
      <c r="T738" s="378"/>
      <c r="U738" s="378"/>
      <c r="V738" s="378"/>
      <c r="W738" s="378"/>
      <c r="X738" s="378"/>
      <c r="Y738" s="378"/>
      <c r="Z738" s="378"/>
      <c r="AA738" s="378"/>
      <c r="AB738" s="378"/>
      <c r="AC738" s="378"/>
      <c r="AD738" s="378"/>
      <c r="AE738" s="378"/>
      <c r="AF738" s="378"/>
      <c r="AG738" s="378"/>
    </row>
    <row r="739">
      <c r="A739" s="378"/>
      <c r="B739" s="420"/>
      <c r="C739" s="421"/>
      <c r="D739" s="422"/>
      <c r="E739" s="423"/>
      <c r="F739" s="421"/>
      <c r="G739" s="413"/>
      <c r="H739" s="414"/>
      <c r="I739" s="376"/>
      <c r="J739" s="424"/>
      <c r="K739" s="421"/>
      <c r="L739" s="422"/>
      <c r="M739" s="423"/>
      <c r="N739" s="425"/>
      <c r="O739" s="408"/>
      <c r="P739" s="414"/>
      <c r="Q739" s="378"/>
      <c r="R739" s="378"/>
      <c r="S739" s="378"/>
      <c r="T739" s="378"/>
      <c r="U739" s="378"/>
      <c r="V739" s="378"/>
      <c r="W739" s="378"/>
      <c r="X739" s="378"/>
      <c r="Y739" s="378"/>
      <c r="Z739" s="378"/>
      <c r="AA739" s="378"/>
      <c r="AB739" s="378"/>
      <c r="AC739" s="378"/>
      <c r="AD739" s="378"/>
      <c r="AE739" s="378"/>
      <c r="AF739" s="378"/>
      <c r="AG739" s="378"/>
    </row>
    <row r="740">
      <c r="A740" s="378"/>
      <c r="B740" s="420"/>
      <c r="C740" s="421"/>
      <c r="D740" s="422"/>
      <c r="E740" s="423"/>
      <c r="F740" s="421"/>
      <c r="G740" s="413"/>
      <c r="H740" s="414"/>
      <c r="I740" s="376"/>
      <c r="J740" s="424"/>
      <c r="K740" s="421"/>
      <c r="L740" s="422"/>
      <c r="M740" s="423"/>
      <c r="N740" s="425"/>
      <c r="O740" s="408"/>
      <c r="P740" s="414"/>
      <c r="Q740" s="378"/>
      <c r="R740" s="378"/>
      <c r="S740" s="378"/>
      <c r="T740" s="378"/>
      <c r="U740" s="378"/>
      <c r="V740" s="378"/>
      <c r="W740" s="378"/>
      <c r="X740" s="378"/>
      <c r="Y740" s="378"/>
      <c r="Z740" s="378"/>
      <c r="AA740" s="378"/>
      <c r="AB740" s="378"/>
      <c r="AC740" s="378"/>
      <c r="AD740" s="378"/>
      <c r="AE740" s="378"/>
      <c r="AF740" s="378"/>
      <c r="AG740" s="378"/>
    </row>
    <row r="741">
      <c r="A741" s="378"/>
      <c r="B741" s="420"/>
      <c r="C741" s="421"/>
      <c r="D741" s="422"/>
      <c r="E741" s="423"/>
      <c r="F741" s="421"/>
      <c r="G741" s="413"/>
      <c r="H741" s="414"/>
      <c r="I741" s="376"/>
      <c r="J741" s="424"/>
      <c r="K741" s="421"/>
      <c r="L741" s="422"/>
      <c r="M741" s="423"/>
      <c r="N741" s="425"/>
      <c r="O741" s="408"/>
      <c r="P741" s="414"/>
      <c r="Q741" s="378"/>
      <c r="R741" s="378"/>
      <c r="S741" s="378"/>
      <c r="T741" s="378"/>
      <c r="U741" s="378"/>
      <c r="V741" s="378"/>
      <c r="W741" s="378"/>
      <c r="X741" s="378"/>
      <c r="Y741" s="378"/>
      <c r="Z741" s="378"/>
      <c r="AA741" s="378"/>
      <c r="AB741" s="378"/>
      <c r="AC741" s="378"/>
      <c r="AD741" s="378"/>
      <c r="AE741" s="378"/>
      <c r="AF741" s="378"/>
      <c r="AG741" s="378"/>
    </row>
    <row r="742">
      <c r="A742" s="378"/>
      <c r="B742" s="420"/>
      <c r="C742" s="421"/>
      <c r="D742" s="422"/>
      <c r="E742" s="423"/>
      <c r="F742" s="421"/>
      <c r="G742" s="413"/>
      <c r="H742" s="414"/>
      <c r="I742" s="376"/>
      <c r="J742" s="424"/>
      <c r="K742" s="421"/>
      <c r="L742" s="422"/>
      <c r="M742" s="423"/>
      <c r="N742" s="425"/>
      <c r="O742" s="408"/>
      <c r="P742" s="414"/>
      <c r="Q742" s="378"/>
      <c r="R742" s="378"/>
      <c r="S742" s="378"/>
      <c r="T742" s="378"/>
      <c r="U742" s="378"/>
      <c r="V742" s="378"/>
      <c r="W742" s="378"/>
      <c r="X742" s="378"/>
      <c r="Y742" s="378"/>
      <c r="Z742" s="378"/>
      <c r="AA742" s="378"/>
      <c r="AB742" s="378"/>
      <c r="AC742" s="378"/>
      <c r="AD742" s="378"/>
      <c r="AE742" s="378"/>
      <c r="AF742" s="378"/>
      <c r="AG742" s="378"/>
    </row>
    <row r="743">
      <c r="A743" s="378"/>
      <c r="B743" s="403" t="s">
        <v>711</v>
      </c>
      <c r="C743" s="224"/>
      <c r="D743" s="224"/>
      <c r="E743" s="222"/>
      <c r="F743" s="414">
        <f>SUM(F737:F742)</f>
        <v>3600</v>
      </c>
      <c r="G743" s="421"/>
      <c r="H743" s="414">
        <f>SUM(H737:H742)</f>
        <v>3168</v>
      </c>
      <c r="I743" s="376"/>
      <c r="J743" s="407" t="s">
        <v>711</v>
      </c>
      <c r="K743" s="224"/>
      <c r="L743" s="224"/>
      <c r="M743" s="222"/>
      <c r="N743" s="426">
        <f>SUM(N737:N742)</f>
        <v>2125</v>
      </c>
      <c r="O743" s="427"/>
      <c r="P743" s="414">
        <f>SUM(P737:P742)</f>
        <v>1381.25</v>
      </c>
      <c r="Q743" s="378"/>
      <c r="R743" s="378"/>
      <c r="S743" s="378"/>
      <c r="T743" s="378"/>
      <c r="U743" s="378"/>
      <c r="V743" s="378"/>
      <c r="W743" s="378"/>
      <c r="X743" s="378"/>
      <c r="Y743" s="378"/>
      <c r="Z743" s="378"/>
      <c r="AA743" s="378"/>
      <c r="AB743" s="378"/>
      <c r="AC743" s="378"/>
      <c r="AD743" s="378"/>
      <c r="AE743" s="378"/>
      <c r="AF743" s="378"/>
      <c r="AG743" s="378"/>
    </row>
    <row r="744">
      <c r="A744" s="378"/>
      <c r="B744" s="428"/>
      <c r="C744" s="419"/>
      <c r="D744" s="419"/>
      <c r="E744" s="419"/>
      <c r="F744" s="419"/>
      <c r="G744" s="419"/>
      <c r="H744" s="429"/>
      <c r="I744" s="376"/>
      <c r="J744" s="430"/>
      <c r="K744" s="419"/>
      <c r="L744" s="419"/>
      <c r="M744" s="419"/>
      <c r="N744" s="431"/>
      <c r="O744" s="432"/>
      <c r="P744" s="429"/>
      <c r="Q744" s="378"/>
      <c r="R744" s="378"/>
      <c r="S744" s="378"/>
      <c r="T744" s="378"/>
      <c r="U744" s="378"/>
      <c r="V744" s="378"/>
      <c r="W744" s="378"/>
      <c r="X744" s="378"/>
      <c r="Y744" s="378"/>
      <c r="Z744" s="378"/>
      <c r="AA744" s="378"/>
      <c r="AB744" s="378"/>
      <c r="AC744" s="378"/>
      <c r="AD744" s="378"/>
      <c r="AE744" s="378"/>
      <c r="AF744" s="378"/>
      <c r="AG744" s="378"/>
    </row>
    <row r="745">
      <c r="A745" s="378"/>
      <c r="B745" s="433" t="s">
        <v>712</v>
      </c>
      <c r="C745" s="434"/>
      <c r="D745" s="435"/>
      <c r="E745" s="419"/>
      <c r="F745" s="419"/>
      <c r="G745" s="419"/>
      <c r="H745" s="429"/>
      <c r="I745" s="376"/>
      <c r="J745" s="437" t="s">
        <v>712</v>
      </c>
      <c r="K745" s="434"/>
      <c r="L745" s="435"/>
      <c r="M745" s="419"/>
      <c r="N745" s="431"/>
      <c r="O745" s="432"/>
      <c r="P745" s="429"/>
      <c r="Q745" s="378"/>
      <c r="R745" s="378"/>
      <c r="S745" s="378"/>
      <c r="T745" s="378"/>
      <c r="U745" s="378"/>
      <c r="V745" s="378"/>
      <c r="W745" s="378"/>
      <c r="X745" s="378"/>
      <c r="Y745" s="378"/>
      <c r="Z745" s="378"/>
      <c r="AA745" s="378"/>
      <c r="AB745" s="378"/>
      <c r="AC745" s="378"/>
      <c r="AD745" s="378"/>
      <c r="AE745" s="378"/>
      <c r="AF745" s="378"/>
      <c r="AG745" s="378"/>
    </row>
    <row r="746">
      <c r="A746" s="378"/>
      <c r="B746" s="438"/>
      <c r="C746" s="439"/>
      <c r="D746" s="440"/>
      <c r="E746" s="419"/>
      <c r="F746" s="419"/>
      <c r="G746" s="419"/>
      <c r="H746" s="429"/>
      <c r="I746" s="376"/>
      <c r="J746" s="443"/>
      <c r="K746" s="439"/>
      <c r="L746" s="440"/>
      <c r="M746" s="419"/>
      <c r="N746" s="431"/>
      <c r="O746" s="432"/>
      <c r="P746" s="429"/>
      <c r="Q746" s="378"/>
      <c r="R746" s="378"/>
      <c r="S746" s="378"/>
      <c r="T746" s="378"/>
      <c r="U746" s="378"/>
      <c r="V746" s="378"/>
      <c r="W746" s="378"/>
      <c r="X746" s="378"/>
      <c r="Y746" s="378"/>
      <c r="Z746" s="378"/>
      <c r="AA746" s="378"/>
      <c r="AB746" s="378"/>
      <c r="AC746" s="378"/>
      <c r="AD746" s="378"/>
      <c r="AE746" s="378"/>
      <c r="AF746" s="378"/>
      <c r="AG746" s="378"/>
    </row>
    <row r="747">
      <c r="A747" s="378"/>
      <c r="B747" s="444"/>
      <c r="C747" s="434"/>
      <c r="D747" s="435"/>
      <c r="E747" s="419"/>
      <c r="F747" s="463"/>
      <c r="G747" s="463"/>
      <c r="H747" s="448"/>
      <c r="I747" s="376"/>
      <c r="J747" s="445"/>
      <c r="K747" s="434"/>
      <c r="L747" s="435"/>
      <c r="M747" s="419"/>
      <c r="N747" s="446"/>
      <c r="O747" s="447"/>
      <c r="P747" s="448"/>
      <c r="Q747" s="378"/>
      <c r="R747" s="378"/>
      <c r="S747" s="378"/>
      <c r="T747" s="378"/>
      <c r="U747" s="378"/>
      <c r="V747" s="378"/>
      <c r="W747" s="378"/>
      <c r="X747" s="378"/>
      <c r="Y747" s="378"/>
      <c r="Z747" s="378"/>
      <c r="AA747" s="378"/>
      <c r="AB747" s="378"/>
      <c r="AC747" s="378"/>
      <c r="AD747" s="378"/>
      <c r="AE747" s="378"/>
      <c r="AF747" s="378"/>
      <c r="AG747" s="378"/>
    </row>
    <row r="748">
      <c r="A748" s="378"/>
      <c r="B748" s="438" t="s">
        <v>714</v>
      </c>
      <c r="C748" s="439">
        <f>SUM(C746:C747)</f>
        <v>0</v>
      </c>
      <c r="D748" s="440"/>
      <c r="E748" s="419"/>
      <c r="F748" s="463"/>
      <c r="G748" s="463"/>
      <c r="H748" s="448"/>
      <c r="I748" s="376"/>
      <c r="J748" s="443" t="s">
        <v>714</v>
      </c>
      <c r="K748" s="439">
        <f>SUM(K746:K747)</f>
        <v>0</v>
      </c>
      <c r="L748" s="440"/>
      <c r="M748" s="419"/>
      <c r="N748" s="446"/>
      <c r="O748" s="447"/>
      <c r="P748" s="448"/>
      <c r="Q748" s="378"/>
      <c r="R748" s="378"/>
      <c r="S748" s="378"/>
      <c r="T748" s="378"/>
      <c r="U748" s="378"/>
      <c r="V748" s="378"/>
      <c r="W748" s="378"/>
      <c r="X748" s="378"/>
      <c r="Y748" s="378"/>
      <c r="Z748" s="378"/>
      <c r="AA748" s="378"/>
      <c r="AB748" s="378"/>
      <c r="AC748" s="378"/>
      <c r="AD748" s="378"/>
      <c r="AE748" s="378"/>
      <c r="AF748" s="378"/>
      <c r="AG748" s="378"/>
    </row>
    <row r="749">
      <c r="A749" s="378"/>
      <c r="B749" s="450"/>
      <c r="C749" s="451"/>
      <c r="D749" s="419"/>
      <c r="E749" s="419"/>
      <c r="F749" s="463"/>
      <c r="G749" s="463"/>
      <c r="H749" s="448"/>
      <c r="I749" s="376"/>
      <c r="J749" s="535"/>
      <c r="K749" s="451"/>
      <c r="L749" s="419"/>
      <c r="M749" s="419"/>
      <c r="N749" s="446"/>
      <c r="O749" s="447"/>
      <c r="P749" s="448"/>
      <c r="Q749" s="378"/>
      <c r="R749" s="378"/>
      <c r="S749" s="378"/>
      <c r="T749" s="378"/>
      <c r="U749" s="378"/>
      <c r="V749" s="378"/>
      <c r="W749" s="378"/>
      <c r="X749" s="378"/>
      <c r="Y749" s="378"/>
      <c r="Z749" s="378"/>
      <c r="AA749" s="378"/>
      <c r="AB749" s="378"/>
      <c r="AC749" s="378"/>
      <c r="AD749" s="378"/>
      <c r="AE749" s="378"/>
      <c r="AF749" s="378"/>
      <c r="AG749" s="378"/>
    </row>
    <row r="750">
      <c r="A750" s="378"/>
      <c r="B750" s="454" t="s">
        <v>715</v>
      </c>
      <c r="C750" s="455"/>
      <c r="D750" s="435"/>
      <c r="E750" s="419"/>
      <c r="F750" s="463"/>
      <c r="G750" s="463"/>
      <c r="H750" s="448"/>
      <c r="I750" s="376"/>
      <c r="J750" s="458" t="s">
        <v>715</v>
      </c>
      <c r="K750" s="455"/>
      <c r="L750" s="435"/>
      <c r="M750" s="419"/>
      <c r="N750" s="446"/>
      <c r="O750" s="447"/>
      <c r="P750" s="448"/>
      <c r="Q750" s="378"/>
      <c r="R750" s="378"/>
      <c r="S750" s="378"/>
      <c r="T750" s="378"/>
      <c r="U750" s="378"/>
      <c r="V750" s="378"/>
      <c r="W750" s="378"/>
      <c r="X750" s="378"/>
      <c r="Y750" s="378"/>
      <c r="Z750" s="378"/>
      <c r="AA750" s="378"/>
      <c r="AB750" s="378"/>
      <c r="AC750" s="378"/>
      <c r="AD750" s="378"/>
      <c r="AE750" s="378"/>
      <c r="AF750" s="378"/>
      <c r="AG750" s="378"/>
    </row>
    <row r="751">
      <c r="A751" s="378"/>
      <c r="B751" s="459" t="s">
        <v>716</v>
      </c>
      <c r="C751" s="460">
        <v>100.0</v>
      </c>
      <c r="D751" s="577" t="s">
        <v>851</v>
      </c>
      <c r="E751" s="419"/>
      <c r="F751" s="463"/>
      <c r="G751" s="463"/>
      <c r="H751" s="448"/>
      <c r="I751" s="376"/>
      <c r="J751" s="462"/>
      <c r="K751" s="460"/>
      <c r="L751" s="440"/>
      <c r="M751" s="419"/>
      <c r="N751" s="446"/>
      <c r="O751" s="447"/>
      <c r="P751" s="448"/>
      <c r="Q751" s="378"/>
      <c r="R751" s="378"/>
      <c r="S751" s="378"/>
      <c r="T751" s="378"/>
      <c r="U751" s="378"/>
      <c r="V751" s="378"/>
      <c r="W751" s="378"/>
      <c r="X751" s="378"/>
      <c r="Y751" s="378"/>
      <c r="Z751" s="378"/>
      <c r="AA751" s="378"/>
      <c r="AB751" s="378"/>
      <c r="AC751" s="378"/>
      <c r="AD751" s="378"/>
      <c r="AE751" s="378"/>
      <c r="AF751" s="378"/>
      <c r="AG751" s="378"/>
    </row>
    <row r="752">
      <c r="A752" s="378"/>
      <c r="B752" s="459" t="s">
        <v>717</v>
      </c>
      <c r="C752" s="460">
        <v>400.0</v>
      </c>
      <c r="D752" s="440"/>
      <c r="E752" s="419"/>
      <c r="F752" s="463"/>
      <c r="G752" s="463"/>
      <c r="H752" s="448"/>
      <c r="I752" s="376"/>
      <c r="J752" s="462"/>
      <c r="K752" s="460"/>
      <c r="L752" s="440"/>
      <c r="M752" s="419"/>
      <c r="N752" s="446"/>
      <c r="O752" s="447"/>
      <c r="P752" s="448"/>
      <c r="Q752" s="378"/>
      <c r="R752" s="378"/>
      <c r="S752" s="378"/>
      <c r="T752" s="378"/>
      <c r="U752" s="378"/>
      <c r="V752" s="378"/>
      <c r="W752" s="378"/>
      <c r="X752" s="378"/>
      <c r="Y752" s="378"/>
      <c r="Z752" s="378"/>
      <c r="AA752" s="378"/>
      <c r="AB752" s="378"/>
      <c r="AC752" s="378"/>
      <c r="AD752" s="378"/>
      <c r="AE752" s="378"/>
      <c r="AF752" s="378"/>
      <c r="AG752" s="378"/>
    </row>
    <row r="753">
      <c r="A753" s="378"/>
      <c r="B753" s="459" t="s">
        <v>718</v>
      </c>
      <c r="C753" s="460">
        <v>200.0</v>
      </c>
      <c r="D753" s="440"/>
      <c r="E753" s="419"/>
      <c r="F753" s="463"/>
      <c r="G753" s="463"/>
      <c r="H753" s="448"/>
      <c r="I753" s="376"/>
      <c r="J753" s="462"/>
      <c r="K753" s="460"/>
      <c r="L753" s="440"/>
      <c r="M753" s="419"/>
      <c r="N753" s="446"/>
      <c r="O753" s="447"/>
      <c r="P753" s="448"/>
      <c r="Q753" s="378"/>
      <c r="R753" s="378"/>
      <c r="S753" s="378"/>
      <c r="T753" s="378"/>
      <c r="U753" s="378"/>
      <c r="V753" s="378"/>
      <c r="W753" s="378"/>
      <c r="X753" s="378"/>
      <c r="Y753" s="378"/>
      <c r="Z753" s="378"/>
      <c r="AA753" s="378"/>
      <c r="AB753" s="378"/>
      <c r="AC753" s="378"/>
      <c r="AD753" s="378"/>
      <c r="AE753" s="378"/>
      <c r="AF753" s="378"/>
      <c r="AG753" s="378"/>
    </row>
    <row r="754">
      <c r="A754" s="378"/>
      <c r="B754" s="459" t="s">
        <v>656</v>
      </c>
      <c r="C754" s="460" t="str">
        <f>IFERROR(__xludf.DUMMYFUNCTION("FILTER(D1045:D1073,C1045:C1073=G735)"),"#N/A")</f>
        <v>#N/A</v>
      </c>
      <c r="D754" s="578"/>
      <c r="E754" s="419"/>
      <c r="F754" s="463"/>
      <c r="G754" s="463"/>
      <c r="H754" s="448"/>
      <c r="I754" s="376"/>
      <c r="J754" s="462"/>
      <c r="K754" s="460"/>
      <c r="L754" s="440"/>
      <c r="M754" s="419"/>
      <c r="N754" s="446"/>
      <c r="O754" s="447"/>
      <c r="P754" s="448"/>
      <c r="Q754" s="378"/>
      <c r="R754" s="378"/>
      <c r="S754" s="378"/>
      <c r="T754" s="378"/>
      <c r="U754" s="378"/>
      <c r="V754" s="378"/>
      <c r="W754" s="378"/>
      <c r="X754" s="378"/>
      <c r="Y754" s="378"/>
      <c r="Z754" s="378"/>
      <c r="AA754" s="378"/>
      <c r="AB754" s="378"/>
      <c r="AC754" s="378"/>
      <c r="AD754" s="378"/>
      <c r="AE754" s="378"/>
      <c r="AF754" s="378"/>
      <c r="AG754" s="378"/>
    </row>
    <row r="755">
      <c r="A755" s="378"/>
      <c r="B755" s="454" t="s">
        <v>883</v>
      </c>
      <c r="C755" s="455"/>
      <c r="D755" s="435"/>
      <c r="E755" s="419"/>
      <c r="F755" s="468" t="s">
        <v>842</v>
      </c>
      <c r="G755" s="538" t="str">
        <f>H743+C748-C760</f>
        <v>#N/A</v>
      </c>
      <c r="H755" s="211"/>
      <c r="I755" s="376"/>
      <c r="J755" s="467"/>
      <c r="K755" s="455"/>
      <c r="L755" s="435"/>
      <c r="M755" s="419"/>
      <c r="N755" s="468" t="s">
        <v>842</v>
      </c>
      <c r="O755" s="539">
        <f>P743+K748-K760</f>
        <v>1381.25</v>
      </c>
      <c r="P755" s="211"/>
      <c r="Q755" s="378"/>
      <c r="R755" s="378"/>
      <c r="S755" s="378"/>
      <c r="T755" s="378"/>
      <c r="U755" s="378"/>
      <c r="V755" s="378"/>
      <c r="W755" s="378"/>
      <c r="X755" s="378"/>
      <c r="Y755" s="378"/>
      <c r="Z755" s="378"/>
      <c r="AA755" s="378"/>
      <c r="AB755" s="378"/>
      <c r="AC755" s="378"/>
      <c r="AD755" s="378"/>
      <c r="AE755" s="378"/>
      <c r="AF755" s="378"/>
      <c r="AG755" s="378"/>
    </row>
    <row r="756">
      <c r="A756" s="378"/>
      <c r="B756" s="464"/>
      <c r="C756" s="455"/>
      <c r="D756" s="435"/>
      <c r="E756" s="419"/>
      <c r="F756" s="469" t="s">
        <v>843</v>
      </c>
      <c r="G756" s="278"/>
      <c r="H756" s="56"/>
      <c r="I756" s="376"/>
      <c r="J756" s="467"/>
      <c r="K756" s="455"/>
      <c r="L756" s="435"/>
      <c r="M756" s="419"/>
      <c r="N756" s="469" t="s">
        <v>854</v>
      </c>
      <c r="O756" s="278"/>
      <c r="P756" s="56"/>
      <c r="Q756" s="378"/>
      <c r="R756" s="378"/>
      <c r="S756" s="378"/>
      <c r="T756" s="378"/>
      <c r="U756" s="378"/>
      <c r="V756" s="378"/>
      <c r="W756" s="378"/>
      <c r="X756" s="378"/>
      <c r="Y756" s="378"/>
      <c r="Z756" s="378"/>
      <c r="AA756" s="378"/>
      <c r="AB756" s="378"/>
      <c r="AC756" s="378"/>
      <c r="AD756" s="378"/>
      <c r="AE756" s="378"/>
      <c r="AF756" s="378"/>
      <c r="AG756" s="378"/>
    </row>
    <row r="757">
      <c r="A757" s="378"/>
      <c r="B757" s="464"/>
      <c r="C757" s="455"/>
      <c r="D757" s="435"/>
      <c r="E757" s="419"/>
      <c r="F757" s="470"/>
      <c r="G757" s="215"/>
      <c r="H757" s="64"/>
      <c r="I757" s="376"/>
      <c r="J757" s="467"/>
      <c r="K757" s="455"/>
      <c r="L757" s="435"/>
      <c r="M757" s="419"/>
      <c r="N757" s="470"/>
      <c r="O757" s="215"/>
      <c r="P757" s="64"/>
      <c r="Q757" s="378"/>
      <c r="R757" s="378"/>
      <c r="S757" s="378"/>
      <c r="T757" s="378"/>
      <c r="U757" s="378"/>
      <c r="V757" s="378"/>
      <c r="W757" s="378"/>
      <c r="X757" s="378"/>
      <c r="Y757" s="378"/>
      <c r="Z757" s="378"/>
      <c r="AA757" s="378"/>
      <c r="AB757" s="378"/>
      <c r="AC757" s="378"/>
      <c r="AD757" s="378"/>
      <c r="AE757" s="378"/>
      <c r="AF757" s="378"/>
      <c r="AG757" s="378"/>
    </row>
    <row r="758">
      <c r="A758" s="378"/>
      <c r="B758" s="464"/>
      <c r="C758" s="455"/>
      <c r="D758" s="435"/>
      <c r="E758" s="419"/>
      <c r="F758" s="419"/>
      <c r="G758" s="419"/>
      <c r="H758" s="429"/>
      <c r="I758" s="376"/>
      <c r="J758" s="467"/>
      <c r="K758" s="455"/>
      <c r="L758" s="435"/>
      <c r="M758" s="419"/>
      <c r="N758" s="431"/>
      <c r="O758" s="432"/>
      <c r="P758" s="429"/>
      <c r="Q758" s="378"/>
      <c r="R758" s="378"/>
      <c r="S758" s="378"/>
      <c r="T758" s="378"/>
      <c r="U758" s="378"/>
      <c r="V758" s="378"/>
      <c r="W758" s="378"/>
      <c r="X758" s="378"/>
      <c r="Y758" s="378"/>
      <c r="Z758" s="378"/>
      <c r="AA758" s="378"/>
      <c r="AB758" s="378"/>
      <c r="AC758" s="378"/>
      <c r="AD758" s="378"/>
      <c r="AE758" s="378"/>
      <c r="AF758" s="378"/>
      <c r="AG758" s="378"/>
    </row>
    <row r="759">
      <c r="A759" s="378"/>
      <c r="B759" s="464"/>
      <c r="C759" s="455"/>
      <c r="D759" s="435"/>
      <c r="E759" s="419"/>
      <c r="F759" s="419"/>
      <c r="G759" s="419"/>
      <c r="H759" s="429"/>
      <c r="I759" s="376"/>
      <c r="J759" s="467"/>
      <c r="K759" s="455"/>
      <c r="L759" s="435"/>
      <c r="M759" s="419"/>
      <c r="N759" s="431"/>
      <c r="O759" s="432"/>
      <c r="P759" s="429"/>
      <c r="Q759" s="378"/>
      <c r="R759" s="378"/>
      <c r="S759" s="378"/>
      <c r="T759" s="378"/>
      <c r="U759" s="378"/>
      <c r="V759" s="378"/>
      <c r="W759" s="378"/>
      <c r="X759" s="378"/>
      <c r="Y759" s="378"/>
      <c r="Z759" s="378"/>
      <c r="AA759" s="378"/>
      <c r="AB759" s="378"/>
      <c r="AC759" s="378"/>
      <c r="AD759" s="378"/>
      <c r="AE759" s="378"/>
      <c r="AF759" s="378"/>
      <c r="AG759" s="378"/>
    </row>
    <row r="760">
      <c r="A760" s="378"/>
      <c r="B760" s="454" t="s">
        <v>721</v>
      </c>
      <c r="C760" s="460" t="str">
        <f>SUM(C751:C759)</f>
        <v>#N/A</v>
      </c>
      <c r="D760" s="579"/>
      <c r="E760" s="580"/>
      <c r="F760" s="580"/>
      <c r="G760" s="580"/>
      <c r="H760" s="581"/>
      <c r="I760" s="376"/>
      <c r="J760" s="458" t="s">
        <v>721</v>
      </c>
      <c r="K760" s="460">
        <f>SUM(K751:K759)</f>
        <v>0</v>
      </c>
      <c r="L760" s="440"/>
      <c r="M760" s="419"/>
      <c r="N760" s="431"/>
      <c r="O760" s="432"/>
      <c r="P760" s="429"/>
      <c r="Q760" s="378"/>
      <c r="R760" s="378"/>
      <c r="S760" s="378"/>
      <c r="T760" s="378"/>
      <c r="U760" s="378"/>
      <c r="V760" s="378"/>
      <c r="W760" s="378"/>
      <c r="X760" s="378"/>
      <c r="Y760" s="378"/>
      <c r="Z760" s="378"/>
      <c r="AA760" s="378"/>
      <c r="AB760" s="378"/>
      <c r="AC760" s="378"/>
      <c r="AD760" s="378"/>
      <c r="AE760" s="378"/>
      <c r="AF760" s="378"/>
      <c r="AG760" s="378"/>
    </row>
    <row r="761">
      <c r="A761" s="378"/>
      <c r="B761" s="550"/>
      <c r="C761" s="463"/>
      <c r="D761" s="463"/>
      <c r="E761" s="463"/>
      <c r="F761" s="463"/>
      <c r="G761" s="463"/>
      <c r="H761" s="463"/>
      <c r="I761" s="376"/>
      <c r="J761" s="377"/>
      <c r="K761" s="378"/>
      <c r="L761" s="378"/>
      <c r="M761" s="378"/>
      <c r="N761" s="379"/>
      <c r="O761" s="380"/>
      <c r="P761" s="378"/>
      <c r="Q761" s="378"/>
      <c r="R761" s="378"/>
      <c r="S761" s="378"/>
      <c r="T761" s="378"/>
      <c r="U761" s="378"/>
      <c r="V761" s="378"/>
      <c r="W761" s="378"/>
      <c r="X761" s="378"/>
      <c r="Y761" s="378"/>
      <c r="Z761" s="378"/>
      <c r="AA761" s="378"/>
      <c r="AB761" s="378"/>
      <c r="AC761" s="378"/>
      <c r="AD761" s="378"/>
      <c r="AE761" s="378"/>
      <c r="AF761" s="378"/>
      <c r="AG761" s="378"/>
    </row>
    <row r="762">
      <c r="A762" s="378"/>
      <c r="B762" s="550"/>
      <c r="C762" s="463"/>
      <c r="D762" s="463"/>
      <c r="E762" s="463"/>
      <c r="F762" s="463"/>
      <c r="G762" s="463"/>
      <c r="H762" s="463"/>
      <c r="I762" s="376"/>
      <c r="J762" s="377"/>
      <c r="K762" s="378"/>
      <c r="L762" s="378"/>
      <c r="M762" s="378"/>
      <c r="N762" s="379"/>
      <c r="O762" s="380"/>
      <c r="P762" s="378"/>
      <c r="Q762" s="378"/>
      <c r="R762" s="378"/>
      <c r="S762" s="378"/>
      <c r="T762" s="378"/>
      <c r="U762" s="378"/>
      <c r="V762" s="378"/>
      <c r="W762" s="378"/>
      <c r="X762" s="378"/>
      <c r="Y762" s="378"/>
      <c r="Z762" s="378"/>
      <c r="AA762" s="378"/>
      <c r="AB762" s="378"/>
      <c r="AC762" s="378"/>
      <c r="AD762" s="378"/>
      <c r="AE762" s="378"/>
      <c r="AF762" s="378"/>
      <c r="AG762" s="378"/>
    </row>
    <row r="763">
      <c r="A763" s="378"/>
      <c r="B763" s="382"/>
      <c r="C763" s="383"/>
      <c r="D763" s="384"/>
      <c r="E763" s="385" t="s">
        <v>700</v>
      </c>
      <c r="F763" s="385" t="str">
        <f>Board!A2</f>
        <v>11.17.25-11.23.25</v>
      </c>
      <c r="G763" s="213"/>
      <c r="H763" s="211"/>
      <c r="I763" s="386">
        <v>23.0</v>
      </c>
      <c r="J763" s="387"/>
      <c r="K763" s="388"/>
      <c r="L763" s="384"/>
      <c r="M763" s="385" t="s">
        <v>700</v>
      </c>
      <c r="N763" s="385" t="str">
        <f>Board!A2</f>
        <v>11.17.25-11.23.25</v>
      </c>
      <c r="O763" s="213"/>
      <c r="P763" s="211"/>
      <c r="Q763" s="378"/>
      <c r="R763" s="389" t="s">
        <v>831</v>
      </c>
      <c r="S763" s="389" t="s">
        <v>652</v>
      </c>
      <c r="T763" s="390" t="s">
        <v>832</v>
      </c>
      <c r="U763" s="391" t="s">
        <v>833</v>
      </c>
      <c r="V763" s="389" t="s">
        <v>655</v>
      </c>
      <c r="W763" s="389" t="s">
        <v>8</v>
      </c>
      <c r="X763" s="389" t="s">
        <v>656</v>
      </c>
      <c r="Y763" s="390" t="s">
        <v>834</v>
      </c>
      <c r="Z763" s="392" t="s">
        <v>835</v>
      </c>
      <c r="AA763" s="390" t="s">
        <v>836</v>
      </c>
      <c r="AB763" s="390" t="s">
        <v>837</v>
      </c>
      <c r="AC763" s="393" t="s">
        <v>716</v>
      </c>
      <c r="AD763" s="393" t="s">
        <v>717</v>
      </c>
      <c r="AE763" s="393" t="s">
        <v>718</v>
      </c>
      <c r="AF763" s="394" t="s">
        <v>838</v>
      </c>
      <c r="AG763" s="394"/>
    </row>
    <row r="764">
      <c r="A764" s="378"/>
      <c r="B764" s="395"/>
      <c r="C764" s="372"/>
      <c r="D764" s="396"/>
      <c r="E764" s="385" t="s">
        <v>702</v>
      </c>
      <c r="F764" s="385" t="s">
        <v>897</v>
      </c>
      <c r="G764" s="213"/>
      <c r="H764" s="211"/>
      <c r="I764" s="376"/>
      <c r="J764" s="397"/>
      <c r="K764" s="372"/>
      <c r="L764" s="396"/>
      <c r="M764" s="385" t="s">
        <v>351</v>
      </c>
      <c r="N764" s="385" t="str">
        <f t="array" ref="N764">XLOOKUP(N765,Board!K:K,Board!J:J)</f>
        <v>TOUSSAINT BESANTO</v>
      </c>
      <c r="O764" s="213"/>
      <c r="P764" s="211"/>
      <c r="Q764" s="378"/>
      <c r="R764" s="398">
        <f>I763</f>
        <v>23</v>
      </c>
      <c r="S764" s="398">
        <f>F765</f>
        <v>7807</v>
      </c>
      <c r="T764" s="399" t="str">
        <f>G785</f>
        <v>#N/A</v>
      </c>
      <c r="U764" s="378" t="str">
        <f>N764</f>
        <v>TOUSSAINT BESANTO</v>
      </c>
      <c r="V764" s="380">
        <f>O785</f>
        <v>1921.4</v>
      </c>
      <c r="W764" s="399">
        <f>P773</f>
        <v>1921.4</v>
      </c>
      <c r="X764" s="399" t="str">
        <f>C784</f>
        <v>#N/A</v>
      </c>
      <c r="Y764" s="400">
        <f>N773</f>
        <v>2956</v>
      </c>
      <c r="Z764" s="378" t="str">
        <f>V765-V764</f>
        <v>#N/A</v>
      </c>
      <c r="AA764" s="378"/>
      <c r="AB764" s="378"/>
      <c r="AC764" s="401" t="str">
        <f>C781</f>
        <v/>
      </c>
      <c r="AD764" s="401" t="str">
        <f>C782</f>
        <v/>
      </c>
      <c r="AE764" s="401" t="str">
        <f>C783</f>
        <v/>
      </c>
      <c r="AF764" s="398">
        <f>C785+C786+C787+C788+C789</f>
        <v>0</v>
      </c>
      <c r="AG764" s="398"/>
    </row>
    <row r="765">
      <c r="A765" s="378"/>
      <c r="B765" s="395"/>
      <c r="C765" s="372"/>
      <c r="D765" s="402"/>
      <c r="E765" s="385" t="s">
        <v>703</v>
      </c>
      <c r="F765" s="385">
        <v>7807.0</v>
      </c>
      <c r="G765" s="213"/>
      <c r="H765" s="211"/>
      <c r="I765" s="376"/>
      <c r="J765" s="397"/>
      <c r="K765" s="372"/>
      <c r="L765" s="402"/>
      <c r="M765" s="385" t="s">
        <v>703</v>
      </c>
      <c r="N765" s="385">
        <f>F765</f>
        <v>7807</v>
      </c>
      <c r="O765" s="213"/>
      <c r="P765" s="211"/>
      <c r="Q765" s="378"/>
      <c r="R765" s="378"/>
      <c r="S765" s="378"/>
      <c r="T765" s="378"/>
      <c r="U765" s="378" t="str">
        <f>F764</f>
        <v>KOMO Logistics LLC</v>
      </c>
      <c r="V765" s="399" t="str">
        <f>G785</f>
        <v>#N/A</v>
      </c>
      <c r="W765" s="399">
        <f>H773</f>
        <v>4147.44</v>
      </c>
      <c r="X765" s="378"/>
      <c r="Y765" s="378"/>
      <c r="Z765" s="378"/>
      <c r="AA765" s="378"/>
      <c r="AB765" s="378"/>
      <c r="AC765" s="378"/>
      <c r="AD765" s="378"/>
      <c r="AE765" s="378"/>
      <c r="AF765" s="378"/>
      <c r="AG765" s="378"/>
    </row>
    <row r="766">
      <c r="A766" s="378"/>
      <c r="B766" s="403" t="s">
        <v>704</v>
      </c>
      <c r="C766" s="404" t="s">
        <v>5</v>
      </c>
      <c r="D766" s="405" t="s">
        <v>6</v>
      </c>
      <c r="E766" s="406" t="s">
        <v>7</v>
      </c>
      <c r="F766" s="404" t="s">
        <v>8</v>
      </c>
      <c r="G766" s="404" t="s">
        <v>706</v>
      </c>
      <c r="H766" s="404" t="s">
        <v>707</v>
      </c>
      <c r="I766" s="376"/>
      <c r="J766" s="407" t="s">
        <v>704</v>
      </c>
      <c r="K766" s="404" t="s">
        <v>5</v>
      </c>
      <c r="L766" s="405" t="s">
        <v>6</v>
      </c>
      <c r="M766" s="406" t="s">
        <v>7</v>
      </c>
      <c r="N766" s="404" t="s">
        <v>591</v>
      </c>
      <c r="O766" s="408" t="s">
        <v>839</v>
      </c>
      <c r="P766" s="404" t="s">
        <v>707</v>
      </c>
      <c r="Q766" s="378"/>
      <c r="R766" s="378"/>
      <c r="S766" s="378"/>
      <c r="T766" s="378"/>
      <c r="U766" s="378"/>
      <c r="V766" s="378"/>
      <c r="W766" s="378"/>
      <c r="X766" s="378"/>
      <c r="Y766" s="378"/>
      <c r="Z766" s="378"/>
      <c r="AA766" s="378"/>
      <c r="AB766" s="378"/>
      <c r="AC766" s="378"/>
      <c r="AD766" s="378"/>
      <c r="AE766" s="378"/>
      <c r="AF766" s="378"/>
      <c r="AG766" s="378"/>
    </row>
    <row r="767">
      <c r="A767" s="378"/>
      <c r="B767" s="555">
        <f>IFERROR(__xludf.DUMMYFUNCTION("FILTER(Board!C:G,Board!K:K=F765)"),45978.0)</f>
        <v>45978</v>
      </c>
      <c r="C767" s="404">
        <f>IFERROR(__xludf.DUMMYFUNCTION("""COMPUTED_VALUE"""),2.0599741E7)</f>
        <v>20599741</v>
      </c>
      <c r="D767" s="405" t="str">
        <f>IFERROR(__xludf.DUMMYFUNCTION("""COMPUTED_VALUE"""),"Bradenton, FL, 34208")</f>
        <v>Bradenton, FL, 34208</v>
      </c>
      <c r="E767" s="406" t="str">
        <f>IFERROR(__xludf.DUMMYFUNCTION("""COMPUTED_VALUE"""),"Rogers, AR, 72758")</f>
        <v>Rogers, AR, 72758</v>
      </c>
      <c r="F767" s="414">
        <f>IFERROR(__xludf.DUMMYFUNCTION("""COMPUTED_VALUE"""),1240.0)</f>
        <v>1240</v>
      </c>
      <c r="G767" s="413">
        <v>0.88</v>
      </c>
      <c r="H767" s="414">
        <f t="shared" ref="H767:H769" si="42">F767*G767</f>
        <v>1091.2</v>
      </c>
      <c r="I767" s="376"/>
      <c r="J767" s="415">
        <f>IFERROR(__xludf.DUMMYFUNCTION("FILTER(Board!C:F,Board!K:K=N765)"),45978.0)</f>
        <v>45978</v>
      </c>
      <c r="K767" s="411">
        <f>IFERROR(__xludf.DUMMYFUNCTION("""COMPUTED_VALUE"""),2.0599741E7)</f>
        <v>20599741</v>
      </c>
      <c r="L767" s="411" t="str">
        <f>IFERROR(__xludf.DUMMYFUNCTION("""COMPUTED_VALUE"""),"Bradenton, FL, 34208")</f>
        <v>Bradenton, FL, 34208</v>
      </c>
      <c r="M767" s="411" t="str">
        <f>IFERROR(__xludf.DUMMYFUNCTION("""COMPUTED_VALUE"""),"Rogers, AR, 72758")</f>
        <v>Rogers, AR, 72758</v>
      </c>
      <c r="N767" s="416">
        <f>IFERROR(__xludf.DUMMYFUNCTION("FILTER(Board!H:H,Board!K:K=N765)"),1275.0)</f>
        <v>1275</v>
      </c>
      <c r="O767" s="408">
        <v>0.65</v>
      </c>
      <c r="P767" s="414">
        <f t="shared" ref="P767:P769" si="43">N767*O767</f>
        <v>828.75</v>
      </c>
      <c r="Q767" s="378"/>
      <c r="R767" s="378"/>
      <c r="S767" s="378"/>
      <c r="T767" s="378"/>
      <c r="U767" s="378"/>
      <c r="V767" s="378"/>
      <c r="W767" s="378"/>
      <c r="X767" s="378"/>
      <c r="Y767" s="378"/>
      <c r="Z767" s="378"/>
      <c r="AA767" s="378"/>
      <c r="AB767" s="378"/>
      <c r="AC767" s="378"/>
      <c r="AD767" s="378"/>
      <c r="AE767" s="378"/>
      <c r="AF767" s="378"/>
      <c r="AG767" s="378"/>
    </row>
    <row r="768">
      <c r="A768" s="378"/>
      <c r="B768" s="555">
        <f>IFERROR(__xludf.DUMMYFUNCTION("""COMPUTED_VALUE"""),45980.0)</f>
        <v>45980</v>
      </c>
      <c r="C768" s="404">
        <f>IFERROR(__xludf.DUMMYFUNCTION("""COMPUTED_VALUE"""),2.0676852E7)</f>
        <v>20676852</v>
      </c>
      <c r="D768" s="405" t="str">
        <f>IFERROR(__xludf.DUMMYFUNCTION("""COMPUTED_VALUE"""),"Miami, OK, 74355")</f>
        <v>Miami, OK, 74355</v>
      </c>
      <c r="E768" s="406" t="str">
        <f>IFERROR(__xludf.DUMMYFUNCTION("""COMPUTED_VALUE"""),"Whitestown, IN, 46075")</f>
        <v>Whitestown, IN, 46075</v>
      </c>
      <c r="F768" s="414">
        <f>IFERROR(__xludf.DUMMYFUNCTION("""COMPUTED_VALUE"""),1023.0)</f>
        <v>1023</v>
      </c>
      <c r="G768" s="413">
        <v>0.88</v>
      </c>
      <c r="H768" s="414">
        <f t="shared" si="42"/>
        <v>900.24</v>
      </c>
      <c r="I768" s="376"/>
      <c r="J768" s="418">
        <f>IFERROR(__xludf.DUMMYFUNCTION("""COMPUTED_VALUE"""),45980.0)</f>
        <v>45980</v>
      </c>
      <c r="K768" s="411">
        <f>IFERROR(__xludf.DUMMYFUNCTION("""COMPUTED_VALUE"""),2.0676852E7)</f>
        <v>20676852</v>
      </c>
      <c r="L768" s="411" t="str">
        <f>IFERROR(__xludf.DUMMYFUNCTION("""COMPUTED_VALUE"""),"Miami, OK, 74355")</f>
        <v>Miami, OK, 74355</v>
      </c>
      <c r="M768" s="411" t="str">
        <f>IFERROR(__xludf.DUMMYFUNCTION("""COMPUTED_VALUE"""),"Whitestown, IN, 46075")</f>
        <v>Whitestown, IN, 46075</v>
      </c>
      <c r="N768" s="416">
        <f>IFERROR(__xludf.DUMMYFUNCTION("""COMPUTED_VALUE"""),655.0)</f>
        <v>655</v>
      </c>
      <c r="O768" s="408">
        <v>0.65</v>
      </c>
      <c r="P768" s="414">
        <f t="shared" si="43"/>
        <v>425.75</v>
      </c>
      <c r="Q768" s="378"/>
      <c r="R768" s="378"/>
      <c r="S768" s="378"/>
      <c r="T768" s="378"/>
      <c r="U768" s="378"/>
      <c r="V768" s="378"/>
      <c r="W768" s="378"/>
      <c r="X768" s="378"/>
      <c r="Y768" s="378"/>
      <c r="Z768" s="378"/>
      <c r="AA768" s="378"/>
      <c r="AB768" s="378"/>
      <c r="AC768" s="378"/>
      <c r="AD768" s="378"/>
      <c r="AE768" s="378"/>
      <c r="AF768" s="378"/>
      <c r="AG768" s="378"/>
    </row>
    <row r="769">
      <c r="A769" s="378"/>
      <c r="B769" s="499">
        <f>IFERROR(__xludf.DUMMYFUNCTION("""COMPUTED_VALUE"""),45982.0)</f>
        <v>45982</v>
      </c>
      <c r="C769" s="421">
        <f>IFERROR(__xludf.DUMMYFUNCTION("""COMPUTED_VALUE"""),2.0554704E7)</f>
        <v>20554704</v>
      </c>
      <c r="D769" s="422" t="str">
        <f>IFERROR(__xludf.DUMMYFUNCTION("""COMPUTED_VALUE"""),"Paw Paw, MI, 49079")</f>
        <v>Paw Paw, MI, 49079</v>
      </c>
      <c r="E769" s="423" t="str">
        <f>IFERROR(__xludf.DUMMYFUNCTION("""COMPUTED_VALUE"""),"Windsor, CT, 06095")</f>
        <v>Windsor, CT, 06095</v>
      </c>
      <c r="F769" s="500">
        <f>IFERROR(__xludf.DUMMYFUNCTION("""COMPUTED_VALUE"""),2450.0)</f>
        <v>2450</v>
      </c>
      <c r="G769" s="413">
        <v>0.88</v>
      </c>
      <c r="H769" s="414">
        <f t="shared" si="42"/>
        <v>2156</v>
      </c>
      <c r="I769" s="376"/>
      <c r="J769" s="545">
        <f>IFERROR(__xludf.DUMMYFUNCTION("""COMPUTED_VALUE"""),45982.0)</f>
        <v>45982</v>
      </c>
      <c r="K769" s="421">
        <f>IFERROR(__xludf.DUMMYFUNCTION("""COMPUTED_VALUE"""),2.0554704E7)</f>
        <v>20554704</v>
      </c>
      <c r="L769" s="422" t="str">
        <f>IFERROR(__xludf.DUMMYFUNCTION("""COMPUTED_VALUE"""),"Paw Paw, MI, 49079")</f>
        <v>Paw Paw, MI, 49079</v>
      </c>
      <c r="M769" s="423" t="str">
        <f>IFERROR(__xludf.DUMMYFUNCTION("""COMPUTED_VALUE"""),"Windsor, CT, 06095")</f>
        <v>Windsor, CT, 06095</v>
      </c>
      <c r="N769" s="546">
        <f>IFERROR(__xludf.DUMMYFUNCTION("""COMPUTED_VALUE"""),1026.0)</f>
        <v>1026</v>
      </c>
      <c r="O769" s="408">
        <v>0.65</v>
      </c>
      <c r="P769" s="414">
        <f t="shared" si="43"/>
        <v>666.9</v>
      </c>
      <c r="Q769" s="378"/>
      <c r="R769" s="378"/>
      <c r="S769" s="378"/>
      <c r="T769" s="378"/>
      <c r="U769" s="378"/>
      <c r="V769" s="378"/>
      <c r="W769" s="378"/>
      <c r="X769" s="378"/>
      <c r="Y769" s="378"/>
      <c r="Z769" s="378"/>
      <c r="AA769" s="378"/>
      <c r="AB769" s="378"/>
      <c r="AC769" s="378"/>
      <c r="AD769" s="378"/>
      <c r="AE769" s="378"/>
      <c r="AF769" s="378"/>
      <c r="AG769" s="378"/>
    </row>
    <row r="770">
      <c r="A770" s="378"/>
      <c r="B770" s="420"/>
      <c r="C770" s="421"/>
      <c r="D770" s="422"/>
      <c r="E770" s="423"/>
      <c r="F770" s="421"/>
      <c r="G770" s="413"/>
      <c r="H770" s="414"/>
      <c r="I770" s="376"/>
      <c r="J770" s="424"/>
      <c r="K770" s="421"/>
      <c r="L770" s="422"/>
      <c r="M770" s="423"/>
      <c r="N770" s="425"/>
      <c r="O770" s="408"/>
      <c r="P770" s="414"/>
      <c r="Q770" s="378"/>
      <c r="R770" s="378"/>
      <c r="S770" s="378"/>
      <c r="T770" s="378"/>
      <c r="U770" s="378"/>
      <c r="V770" s="378"/>
      <c r="W770" s="378"/>
      <c r="X770" s="378"/>
      <c r="Y770" s="378"/>
      <c r="Z770" s="378"/>
      <c r="AA770" s="378"/>
      <c r="AB770" s="378"/>
      <c r="AC770" s="378"/>
      <c r="AD770" s="378"/>
      <c r="AE770" s="378"/>
      <c r="AF770" s="378"/>
      <c r="AG770" s="378"/>
    </row>
    <row r="771">
      <c r="A771" s="378"/>
      <c r="B771" s="420"/>
      <c r="C771" s="421"/>
      <c r="D771" s="422"/>
      <c r="E771" s="423"/>
      <c r="F771" s="421"/>
      <c r="G771" s="413"/>
      <c r="H771" s="414"/>
      <c r="I771" s="376"/>
      <c r="J771" s="424"/>
      <c r="K771" s="421"/>
      <c r="L771" s="422"/>
      <c r="M771" s="423"/>
      <c r="N771" s="425"/>
      <c r="O771" s="408"/>
      <c r="P771" s="414"/>
      <c r="Q771" s="378"/>
      <c r="R771" s="378"/>
      <c r="S771" s="378"/>
      <c r="T771" s="378"/>
      <c r="U771" s="378"/>
      <c r="V771" s="378"/>
      <c r="W771" s="378"/>
      <c r="X771" s="378"/>
      <c r="Y771" s="378"/>
      <c r="Z771" s="378"/>
      <c r="AA771" s="378"/>
      <c r="AB771" s="378"/>
      <c r="AC771" s="378"/>
      <c r="AD771" s="378"/>
      <c r="AE771" s="378"/>
      <c r="AF771" s="378"/>
      <c r="AG771" s="378"/>
    </row>
    <row r="772">
      <c r="A772" s="378"/>
      <c r="B772" s="420"/>
      <c r="C772" s="421"/>
      <c r="D772" s="422"/>
      <c r="E772" s="423"/>
      <c r="F772" s="421"/>
      <c r="G772" s="413"/>
      <c r="H772" s="414"/>
      <c r="I772" s="376"/>
      <c r="J772" s="424"/>
      <c r="K772" s="421"/>
      <c r="L772" s="422"/>
      <c r="M772" s="423"/>
      <c r="N772" s="425"/>
      <c r="O772" s="408"/>
      <c r="P772" s="414"/>
      <c r="Q772" s="378"/>
      <c r="R772" s="378"/>
      <c r="S772" s="378"/>
      <c r="T772" s="378"/>
      <c r="U772" s="378"/>
      <c r="V772" s="378"/>
      <c r="W772" s="378"/>
      <c r="X772" s="378"/>
      <c r="Y772" s="378"/>
      <c r="Z772" s="378"/>
      <c r="AA772" s="378"/>
      <c r="AB772" s="378"/>
      <c r="AC772" s="378"/>
      <c r="AD772" s="378"/>
      <c r="AE772" s="378"/>
      <c r="AF772" s="378"/>
      <c r="AG772" s="378"/>
    </row>
    <row r="773">
      <c r="A773" s="378"/>
      <c r="B773" s="403" t="s">
        <v>711</v>
      </c>
      <c r="C773" s="224"/>
      <c r="D773" s="224"/>
      <c r="E773" s="222"/>
      <c r="F773" s="414">
        <f>SUM(F767:F772)</f>
        <v>4713</v>
      </c>
      <c r="G773" s="421"/>
      <c r="H773" s="414">
        <f>SUM(H767:H772)</f>
        <v>4147.44</v>
      </c>
      <c r="I773" s="376"/>
      <c r="J773" s="407" t="s">
        <v>711</v>
      </c>
      <c r="K773" s="224"/>
      <c r="L773" s="224"/>
      <c r="M773" s="222"/>
      <c r="N773" s="426">
        <f>SUM(N767:N772)</f>
        <v>2956</v>
      </c>
      <c r="O773" s="427"/>
      <c r="P773" s="414">
        <f>SUM(P767:P772)</f>
        <v>1921.4</v>
      </c>
      <c r="Q773" s="378"/>
      <c r="R773" s="378"/>
      <c r="S773" s="378"/>
      <c r="T773" s="378"/>
      <c r="U773" s="378"/>
      <c r="V773" s="378"/>
      <c r="W773" s="378"/>
      <c r="X773" s="378"/>
      <c r="Y773" s="378"/>
      <c r="Z773" s="378"/>
      <c r="AA773" s="378"/>
      <c r="AB773" s="378"/>
      <c r="AC773" s="378"/>
      <c r="AD773" s="378"/>
      <c r="AE773" s="378"/>
      <c r="AF773" s="378"/>
      <c r="AG773" s="378"/>
    </row>
    <row r="774">
      <c r="A774" s="378"/>
      <c r="B774" s="428"/>
      <c r="C774" s="419"/>
      <c r="D774" s="419"/>
      <c r="E774" s="419"/>
      <c r="F774" s="419"/>
      <c r="G774" s="419"/>
      <c r="H774" s="429"/>
      <c r="I774" s="376"/>
      <c r="J774" s="430"/>
      <c r="K774" s="419"/>
      <c r="L774" s="419"/>
      <c r="M774" s="419"/>
      <c r="N774" s="431"/>
      <c r="O774" s="432"/>
      <c r="P774" s="429"/>
      <c r="Q774" s="378"/>
      <c r="R774" s="378"/>
      <c r="S774" s="378"/>
      <c r="T774" s="378"/>
      <c r="U774" s="378"/>
      <c r="V774" s="378"/>
      <c r="W774" s="378"/>
      <c r="X774" s="378"/>
      <c r="Y774" s="378"/>
      <c r="Z774" s="378"/>
      <c r="AA774" s="378"/>
      <c r="AB774" s="378"/>
      <c r="AC774" s="378"/>
      <c r="AD774" s="378"/>
      <c r="AE774" s="378"/>
      <c r="AF774" s="378"/>
      <c r="AG774" s="378"/>
    </row>
    <row r="775">
      <c r="A775" s="378"/>
      <c r="B775" s="433" t="s">
        <v>712</v>
      </c>
      <c r="C775" s="434"/>
      <c r="D775" s="435"/>
      <c r="E775" s="419"/>
      <c r="F775" s="441">
        <v>828.75</v>
      </c>
      <c r="G775" s="442">
        <v>1.0</v>
      </c>
      <c r="H775" s="441">
        <v>828.75</v>
      </c>
      <c r="I775" s="376"/>
      <c r="J775" s="437" t="s">
        <v>712</v>
      </c>
      <c r="K775" s="434"/>
      <c r="L775" s="435"/>
      <c r="M775" s="419"/>
      <c r="N775" s="431"/>
      <c r="O775" s="432"/>
      <c r="P775" s="429"/>
      <c r="Q775" s="378"/>
      <c r="R775" s="378"/>
      <c r="S775" s="378"/>
      <c r="T775" s="378"/>
      <c r="U775" s="378"/>
      <c r="V775" s="378"/>
      <c r="W775" s="378"/>
      <c r="X775" s="378"/>
      <c r="Y775" s="378"/>
      <c r="Z775" s="378"/>
      <c r="AA775" s="378"/>
      <c r="AB775" s="378"/>
      <c r="AC775" s="378"/>
      <c r="AD775" s="378"/>
      <c r="AE775" s="378"/>
      <c r="AF775" s="378"/>
      <c r="AG775" s="378"/>
    </row>
    <row r="776">
      <c r="A776" s="378"/>
      <c r="B776" s="438" t="s">
        <v>657</v>
      </c>
      <c r="C776" s="439">
        <v>961.1</v>
      </c>
      <c r="D776" s="440"/>
      <c r="E776" s="419"/>
      <c r="F776" s="441">
        <v>425.75</v>
      </c>
      <c r="G776" s="442">
        <v>1.0</v>
      </c>
      <c r="H776" s="441">
        <v>425.75</v>
      </c>
      <c r="I776" s="376"/>
      <c r="J776" s="443" t="s">
        <v>713</v>
      </c>
      <c r="K776" s="439"/>
      <c r="L776" s="440"/>
      <c r="M776" s="419"/>
      <c r="N776" s="431"/>
      <c r="O776" s="432"/>
      <c r="P776" s="429"/>
      <c r="Q776" s="378"/>
      <c r="R776" s="378"/>
      <c r="S776" s="378"/>
      <c r="T776" s="378"/>
      <c r="U776" s="378"/>
      <c r="V776" s="378"/>
      <c r="W776" s="378"/>
      <c r="X776" s="378"/>
      <c r="Y776" s="378"/>
      <c r="Z776" s="378"/>
      <c r="AA776" s="378"/>
      <c r="AB776" s="378"/>
      <c r="AC776" s="378"/>
      <c r="AD776" s="378"/>
      <c r="AE776" s="378"/>
      <c r="AF776" s="378"/>
      <c r="AG776" s="378"/>
    </row>
    <row r="777">
      <c r="A777" s="378"/>
      <c r="B777" s="444"/>
      <c r="C777" s="434"/>
      <c r="D777" s="435"/>
      <c r="E777" s="419"/>
      <c r="F777" s="441">
        <v>666.9</v>
      </c>
      <c r="G777" s="442">
        <v>1.0</v>
      </c>
      <c r="H777" s="441">
        <v>666.9</v>
      </c>
      <c r="I777" s="376"/>
      <c r="J777" s="445"/>
      <c r="K777" s="434"/>
      <c r="L777" s="435"/>
      <c r="M777" s="419"/>
      <c r="N777" s="446"/>
      <c r="O777" s="447"/>
      <c r="P777" s="448"/>
      <c r="Q777" s="378"/>
      <c r="R777" s="378"/>
      <c r="S777" s="378"/>
      <c r="T777" s="378"/>
      <c r="U777" s="378"/>
      <c r="V777" s="378"/>
      <c r="W777" s="378"/>
      <c r="X777" s="378"/>
      <c r="Y777" s="378"/>
      <c r="Z777" s="378"/>
      <c r="AA777" s="378"/>
      <c r="AB777" s="378"/>
      <c r="AC777" s="378"/>
      <c r="AD777" s="378"/>
      <c r="AE777" s="378"/>
      <c r="AF777" s="378"/>
      <c r="AG777" s="378"/>
    </row>
    <row r="778">
      <c r="A778" s="378"/>
      <c r="B778" s="438" t="s">
        <v>714</v>
      </c>
      <c r="C778" s="439">
        <f>SUM(C776:C777)</f>
        <v>961.1</v>
      </c>
      <c r="D778" s="440"/>
      <c r="E778" s="419"/>
      <c r="F778" s="449"/>
      <c r="G778" s="442">
        <v>1.0</v>
      </c>
      <c r="H778" s="441">
        <v>0.0</v>
      </c>
      <c r="I778" s="376"/>
      <c r="J778" s="443" t="s">
        <v>714</v>
      </c>
      <c r="K778" s="439">
        <f>SUM(K776:K777)</f>
        <v>0</v>
      </c>
      <c r="L778" s="440"/>
      <c r="M778" s="419"/>
      <c r="N778" s="446"/>
      <c r="O778" s="447"/>
      <c r="P778" s="448"/>
      <c r="Q778" s="378"/>
      <c r="R778" s="378"/>
      <c r="S778" s="378"/>
      <c r="T778" s="378"/>
      <c r="U778" s="378"/>
      <c r="V778" s="378"/>
      <c r="W778" s="378"/>
      <c r="X778" s="378"/>
      <c r="Y778" s="378"/>
      <c r="Z778" s="378"/>
      <c r="AA778" s="378"/>
      <c r="AB778" s="378"/>
      <c r="AC778" s="378"/>
      <c r="AD778" s="378"/>
      <c r="AE778" s="378"/>
      <c r="AF778" s="378"/>
      <c r="AG778" s="378"/>
    </row>
    <row r="779">
      <c r="A779" s="378"/>
      <c r="B779" s="450"/>
      <c r="C779" s="451"/>
      <c r="D779" s="419"/>
      <c r="E779" s="419"/>
      <c r="F779" s="449"/>
      <c r="G779" s="449"/>
      <c r="H779" s="449"/>
      <c r="I779" s="376"/>
      <c r="J779" s="535"/>
      <c r="K779" s="451"/>
      <c r="L779" s="419"/>
      <c r="M779" s="419"/>
      <c r="N779" s="446"/>
      <c r="O779" s="447"/>
      <c r="P779" s="448"/>
      <c r="Q779" s="378"/>
      <c r="R779" s="378"/>
      <c r="S779" s="378"/>
      <c r="T779" s="378"/>
      <c r="U779" s="378"/>
      <c r="V779" s="378"/>
      <c r="W779" s="378"/>
      <c r="X779" s="378"/>
      <c r="Y779" s="378"/>
      <c r="Z779" s="378"/>
      <c r="AA779" s="378"/>
      <c r="AB779" s="378"/>
      <c r="AC779" s="378"/>
      <c r="AD779" s="378"/>
      <c r="AE779" s="378"/>
      <c r="AF779" s="378"/>
      <c r="AG779" s="378"/>
    </row>
    <row r="780">
      <c r="A780" s="378"/>
      <c r="B780" s="454" t="s">
        <v>715</v>
      </c>
      <c r="C780" s="455"/>
      <c r="D780" s="435"/>
      <c r="E780" s="419"/>
      <c r="F780" s="461">
        <v>1921.4</v>
      </c>
      <c r="G780" s="449"/>
      <c r="H780" s="461">
        <v>1921.4</v>
      </c>
      <c r="I780" s="376"/>
      <c r="J780" s="458" t="s">
        <v>715</v>
      </c>
      <c r="K780" s="455"/>
      <c r="L780" s="435"/>
      <c r="M780" s="419"/>
      <c r="N780" s="446"/>
      <c r="O780" s="447"/>
      <c r="P780" s="448"/>
      <c r="Q780" s="378"/>
      <c r="R780" s="378"/>
      <c r="S780" s="378"/>
      <c r="T780" s="378"/>
      <c r="U780" s="378"/>
      <c r="V780" s="378"/>
      <c r="W780" s="378"/>
      <c r="X780" s="378"/>
      <c r="Y780" s="378"/>
      <c r="Z780" s="378"/>
      <c r="AA780" s="378"/>
      <c r="AB780" s="378"/>
      <c r="AC780" s="378"/>
      <c r="AD780" s="378"/>
      <c r="AE780" s="378"/>
      <c r="AF780" s="378"/>
      <c r="AG780" s="378"/>
    </row>
    <row r="781">
      <c r="A781" s="378"/>
      <c r="B781" s="459" t="s">
        <v>716</v>
      </c>
      <c r="C781" s="460"/>
      <c r="D781" s="574" t="s">
        <v>865</v>
      </c>
      <c r="E781" s="419"/>
      <c r="F781" s="463"/>
      <c r="G781" s="463"/>
      <c r="H781" s="448"/>
      <c r="I781" s="376"/>
      <c r="J781" s="462"/>
      <c r="K781" s="460"/>
      <c r="L781" s="440"/>
      <c r="M781" s="419"/>
      <c r="N781" s="446"/>
      <c r="O781" s="447"/>
      <c r="P781" s="448"/>
      <c r="Q781" s="378"/>
      <c r="R781" s="378"/>
      <c r="S781" s="378"/>
      <c r="T781" s="378"/>
      <c r="U781" s="378"/>
      <c r="V781" s="378"/>
      <c r="W781" s="378"/>
      <c r="X781" s="378"/>
      <c r="Y781" s="378"/>
      <c r="Z781" s="378"/>
      <c r="AA781" s="378"/>
      <c r="AB781" s="378"/>
      <c r="AC781" s="378"/>
      <c r="AD781" s="378"/>
      <c r="AE781" s="378"/>
      <c r="AF781" s="378"/>
      <c r="AG781" s="378"/>
    </row>
    <row r="782">
      <c r="A782" s="378"/>
      <c r="B782" s="459" t="s">
        <v>717</v>
      </c>
      <c r="C782" s="460"/>
      <c r="D782" s="440"/>
      <c r="E782" s="419"/>
      <c r="F782" s="463"/>
      <c r="G782" s="463"/>
      <c r="H782" s="448"/>
      <c r="I782" s="376"/>
      <c r="J782" s="462"/>
      <c r="K782" s="460"/>
      <c r="L782" s="440"/>
      <c r="M782" s="419"/>
      <c r="N782" s="446"/>
      <c r="O782" s="447"/>
      <c r="P782" s="448"/>
      <c r="Q782" s="378"/>
      <c r="R782" s="378"/>
      <c r="S782" s="378"/>
      <c r="T782" s="378"/>
      <c r="U782" s="378"/>
      <c r="V782" s="378"/>
      <c r="W782" s="378"/>
      <c r="X782" s="378"/>
      <c r="Y782" s="378"/>
      <c r="Z782" s="378"/>
      <c r="AA782" s="378"/>
      <c r="AB782" s="378"/>
      <c r="AC782" s="378"/>
      <c r="AD782" s="378"/>
      <c r="AE782" s="378"/>
      <c r="AF782" s="378"/>
      <c r="AG782" s="378"/>
    </row>
    <row r="783">
      <c r="A783" s="378"/>
      <c r="B783" s="459" t="s">
        <v>718</v>
      </c>
      <c r="C783" s="460"/>
      <c r="D783" s="440"/>
      <c r="E783" s="419"/>
      <c r="F783" s="463"/>
      <c r="G783" s="463"/>
      <c r="H783" s="448"/>
      <c r="I783" s="376"/>
      <c r="J783" s="462"/>
      <c r="K783" s="460"/>
      <c r="L783" s="440"/>
      <c r="M783" s="419"/>
      <c r="N783" s="446"/>
      <c r="O783" s="447"/>
      <c r="P783" s="448"/>
      <c r="Q783" s="378"/>
      <c r="R783" s="378"/>
      <c r="S783" s="378"/>
      <c r="T783" s="378"/>
      <c r="U783" s="378"/>
      <c r="V783" s="378"/>
      <c r="W783" s="378"/>
      <c r="X783" s="378"/>
      <c r="Y783" s="378"/>
      <c r="Z783" s="378"/>
      <c r="AA783" s="378"/>
      <c r="AB783" s="378"/>
      <c r="AC783" s="378"/>
      <c r="AD783" s="378"/>
      <c r="AE783" s="378"/>
      <c r="AF783" s="378"/>
      <c r="AG783" s="378"/>
    </row>
    <row r="784">
      <c r="A784" s="378"/>
      <c r="B784" s="459" t="s">
        <v>656</v>
      </c>
      <c r="C784" s="460" t="str">
        <f>IFERROR(__xludf.DUMMYFUNCTION("FILTER(D1045:D1073,C1045:C1073=F765)"),"#N/A")</f>
        <v>#N/A</v>
      </c>
      <c r="D784" s="440">
        <v>0.0</v>
      </c>
      <c r="E784" s="419"/>
      <c r="F784" s="463"/>
      <c r="G784" s="463"/>
      <c r="H784" s="582">
        <v>2882.5</v>
      </c>
      <c r="I784" s="376"/>
      <c r="J784" s="462"/>
      <c r="K784" s="460"/>
      <c r="L784" s="440"/>
      <c r="M784" s="419"/>
      <c r="N784" s="446"/>
      <c r="O784" s="447"/>
      <c r="P784" s="448"/>
      <c r="Q784" s="378"/>
      <c r="R784" s="378"/>
      <c r="S784" s="378"/>
      <c r="T784" s="378"/>
      <c r="U784" s="378"/>
      <c r="V784" s="378"/>
      <c r="W784" s="378"/>
      <c r="X784" s="378"/>
      <c r="Y784" s="378"/>
      <c r="Z784" s="378"/>
      <c r="AA784" s="378"/>
      <c r="AB784" s="378"/>
      <c r="AC784" s="378"/>
      <c r="AD784" s="378"/>
      <c r="AE784" s="378"/>
      <c r="AF784" s="378"/>
      <c r="AG784" s="378"/>
    </row>
    <row r="785">
      <c r="A785" s="378"/>
      <c r="B785" s="464"/>
      <c r="C785" s="455"/>
      <c r="D785" s="435"/>
      <c r="E785" s="419"/>
      <c r="F785" s="468" t="s">
        <v>842</v>
      </c>
      <c r="G785" s="466" t="str">
        <f>H773+C778-C790</f>
        <v>#N/A</v>
      </c>
      <c r="H785" s="211"/>
      <c r="I785" s="376"/>
      <c r="J785" s="467"/>
      <c r="K785" s="455"/>
      <c r="L785" s="435"/>
      <c r="M785" s="419"/>
      <c r="N785" s="468" t="s">
        <v>842</v>
      </c>
      <c r="O785" s="539">
        <f>P773+K778-K790</f>
        <v>1921.4</v>
      </c>
      <c r="P785" s="211"/>
      <c r="Q785" s="378"/>
      <c r="R785" s="378"/>
      <c r="S785" s="378"/>
      <c r="T785" s="378"/>
      <c r="U785" s="378"/>
      <c r="V785" s="378"/>
      <c r="W785" s="378"/>
      <c r="X785" s="378"/>
      <c r="Y785" s="378"/>
      <c r="Z785" s="378"/>
      <c r="AA785" s="378"/>
      <c r="AB785" s="378"/>
      <c r="AC785" s="378"/>
      <c r="AD785" s="378"/>
      <c r="AE785" s="378"/>
      <c r="AF785" s="378"/>
      <c r="AG785" s="378"/>
    </row>
    <row r="786">
      <c r="A786" s="378"/>
      <c r="B786" s="464"/>
      <c r="C786" s="455"/>
      <c r="D786" s="435"/>
      <c r="E786" s="419"/>
      <c r="F786" s="469" t="s">
        <v>843</v>
      </c>
      <c r="G786" s="278"/>
      <c r="H786" s="56"/>
      <c r="I786" s="376"/>
      <c r="J786" s="467"/>
      <c r="K786" s="455"/>
      <c r="L786" s="435"/>
      <c r="M786" s="419"/>
      <c r="N786" s="469" t="s">
        <v>854</v>
      </c>
      <c r="O786" s="278"/>
      <c r="P786" s="56"/>
      <c r="Q786" s="378"/>
      <c r="R786" s="378"/>
      <c r="S786" s="378"/>
      <c r="T786" s="378"/>
      <c r="U786" s="378"/>
      <c r="V786" s="378"/>
      <c r="W786" s="378"/>
      <c r="X786" s="378"/>
      <c r="Y786" s="378"/>
      <c r="Z786" s="378"/>
      <c r="AA786" s="378"/>
      <c r="AB786" s="378"/>
      <c r="AC786" s="378"/>
      <c r="AD786" s="378"/>
      <c r="AE786" s="378"/>
      <c r="AF786" s="378"/>
      <c r="AG786" s="378"/>
    </row>
    <row r="787">
      <c r="A787" s="378"/>
      <c r="B787" s="464"/>
      <c r="C787" s="455"/>
      <c r="D787" s="435"/>
      <c r="E787" s="419"/>
      <c r="F787" s="470"/>
      <c r="G787" s="215"/>
      <c r="H787" s="64"/>
      <c r="I787" s="376"/>
      <c r="J787" s="467"/>
      <c r="K787" s="455"/>
      <c r="L787" s="435"/>
      <c r="M787" s="419"/>
      <c r="N787" s="470"/>
      <c r="O787" s="215"/>
      <c r="P787" s="64"/>
      <c r="Q787" s="378"/>
      <c r="R787" s="378"/>
      <c r="S787" s="378"/>
      <c r="T787" s="378"/>
      <c r="U787" s="378"/>
      <c r="V787" s="378"/>
      <c r="W787" s="378"/>
      <c r="X787" s="378"/>
      <c r="Y787" s="378"/>
      <c r="Z787" s="378"/>
      <c r="AA787" s="378"/>
      <c r="AB787" s="378"/>
      <c r="AC787" s="378"/>
      <c r="AD787" s="378"/>
      <c r="AE787" s="378"/>
      <c r="AF787" s="378"/>
      <c r="AG787" s="378"/>
    </row>
    <row r="788">
      <c r="A788" s="378"/>
      <c r="B788" s="464"/>
      <c r="C788" s="455"/>
      <c r="D788" s="435"/>
      <c r="E788" s="419"/>
      <c r="F788" s="419"/>
      <c r="G788" s="419"/>
      <c r="H788" s="429"/>
      <c r="I788" s="376"/>
      <c r="J788" s="467"/>
      <c r="K788" s="455"/>
      <c r="L788" s="435"/>
      <c r="M788" s="419"/>
      <c r="N788" s="431"/>
      <c r="O788" s="432"/>
      <c r="P788" s="429"/>
      <c r="Q788" s="378"/>
      <c r="R788" s="378"/>
      <c r="S788" s="378"/>
      <c r="T788" s="378"/>
      <c r="U788" s="378"/>
      <c r="V788" s="378"/>
      <c r="W788" s="378"/>
      <c r="X788" s="378"/>
      <c r="Y788" s="378"/>
      <c r="Z788" s="378"/>
      <c r="AA788" s="378"/>
      <c r="AB788" s="378"/>
      <c r="AC788" s="378"/>
      <c r="AD788" s="378"/>
      <c r="AE788" s="378"/>
      <c r="AF788" s="378"/>
      <c r="AG788" s="378"/>
    </row>
    <row r="789">
      <c r="A789" s="378"/>
      <c r="B789" s="464"/>
      <c r="C789" s="455"/>
      <c r="D789" s="435"/>
      <c r="E789" s="419"/>
      <c r="F789" s="419"/>
      <c r="G789" s="419"/>
      <c r="H789" s="429"/>
      <c r="I789" s="376"/>
      <c r="J789" s="467"/>
      <c r="K789" s="455"/>
      <c r="L789" s="435"/>
      <c r="M789" s="419"/>
      <c r="N789" s="431"/>
      <c r="O789" s="432"/>
      <c r="P789" s="429"/>
      <c r="Q789" s="378"/>
      <c r="R789" s="378"/>
      <c r="S789" s="378"/>
      <c r="T789" s="378"/>
      <c r="U789" s="378"/>
      <c r="V789" s="378"/>
      <c r="W789" s="378"/>
      <c r="X789" s="378"/>
      <c r="Y789" s="378"/>
      <c r="Z789" s="378"/>
      <c r="AA789" s="378"/>
      <c r="AB789" s="378"/>
      <c r="AC789" s="378"/>
      <c r="AD789" s="378"/>
      <c r="AE789" s="378"/>
      <c r="AF789" s="378"/>
      <c r="AG789" s="378"/>
    </row>
    <row r="790">
      <c r="A790" s="378"/>
      <c r="B790" s="454" t="s">
        <v>721</v>
      </c>
      <c r="C790" s="460" t="str">
        <f>SUM(C781:C789)</f>
        <v>#N/A</v>
      </c>
      <c r="D790" s="440"/>
      <c r="E790" s="419"/>
      <c r="F790" s="419"/>
      <c r="G790" s="419"/>
      <c r="H790" s="429"/>
      <c r="I790" s="376"/>
      <c r="J790" s="458" t="s">
        <v>721</v>
      </c>
      <c r="K790" s="460">
        <f>SUM(K781:K789)</f>
        <v>0</v>
      </c>
      <c r="L790" s="440"/>
      <c r="M790" s="419"/>
      <c r="N790" s="431"/>
      <c r="O790" s="432"/>
      <c r="P790" s="429"/>
      <c r="Q790" s="378"/>
      <c r="R790" s="378"/>
      <c r="S790" s="378"/>
      <c r="T790" s="378"/>
      <c r="U790" s="378"/>
      <c r="V790" s="378"/>
      <c r="W790" s="378"/>
      <c r="X790" s="378"/>
      <c r="Y790" s="378"/>
      <c r="Z790" s="378"/>
      <c r="AA790" s="378"/>
      <c r="AB790" s="378"/>
      <c r="AC790" s="378"/>
      <c r="AD790" s="378"/>
      <c r="AE790" s="378"/>
      <c r="AF790" s="378"/>
      <c r="AG790" s="378"/>
    </row>
    <row r="791">
      <c r="A791" s="378"/>
      <c r="B791" s="471"/>
      <c r="C791" s="472"/>
      <c r="D791" s="472"/>
      <c r="E791" s="472"/>
      <c r="F791" s="472"/>
      <c r="G791" s="472"/>
      <c r="H791" s="473"/>
      <c r="I791" s="376"/>
      <c r="J791" s="474"/>
      <c r="K791" s="472"/>
      <c r="L791" s="472"/>
      <c r="M791" s="472"/>
      <c r="N791" s="475"/>
      <c r="O791" s="476"/>
      <c r="P791" s="473"/>
      <c r="Q791" s="378"/>
      <c r="R791" s="378"/>
      <c r="S791" s="378"/>
      <c r="T791" s="378"/>
      <c r="U791" s="378"/>
      <c r="V791" s="378"/>
      <c r="W791" s="378"/>
      <c r="X791" s="378"/>
      <c r="Y791" s="378"/>
      <c r="Z791" s="378"/>
      <c r="AA791" s="378"/>
      <c r="AB791" s="378"/>
      <c r="AC791" s="378"/>
      <c r="AD791" s="378"/>
      <c r="AE791" s="378"/>
      <c r="AF791" s="378"/>
      <c r="AG791" s="378"/>
    </row>
    <row r="792">
      <c r="A792" s="378"/>
      <c r="B792" s="550"/>
      <c r="C792" s="463"/>
      <c r="D792" s="463"/>
      <c r="E792" s="463"/>
      <c r="F792" s="463"/>
      <c r="G792" s="463"/>
      <c r="H792" s="463"/>
      <c r="I792" s="376"/>
      <c r="J792" s="377"/>
      <c r="K792" s="378"/>
      <c r="L792" s="378"/>
      <c r="M792" s="378"/>
      <c r="N792" s="379"/>
      <c r="O792" s="380"/>
      <c r="P792" s="378"/>
      <c r="Q792" s="378"/>
      <c r="R792" s="378"/>
      <c r="S792" s="378"/>
      <c r="T792" s="378"/>
      <c r="U792" s="378"/>
      <c r="V792" s="378"/>
      <c r="W792" s="378"/>
      <c r="X792" s="378"/>
      <c r="Y792" s="378"/>
      <c r="Z792" s="378"/>
      <c r="AA792" s="378"/>
      <c r="AB792" s="378"/>
      <c r="AC792" s="378"/>
      <c r="AD792" s="378"/>
      <c r="AE792" s="378"/>
      <c r="AF792" s="378"/>
      <c r="AG792" s="378"/>
    </row>
    <row r="793">
      <c r="A793" s="378"/>
      <c r="B793" s="550"/>
      <c r="C793" s="463"/>
      <c r="D793" s="463"/>
      <c r="E793" s="463"/>
      <c r="F793" s="478" t="s">
        <v>783</v>
      </c>
      <c r="H793" s="463"/>
      <c r="I793" s="376"/>
      <c r="J793" s="377"/>
      <c r="K793" s="378"/>
      <c r="L793" s="378"/>
      <c r="M793" s="378"/>
      <c r="N793" s="379"/>
      <c r="O793" s="380"/>
      <c r="P793" s="378"/>
      <c r="Q793" s="378"/>
      <c r="R793" s="378"/>
      <c r="S793" s="378"/>
      <c r="T793" s="378"/>
      <c r="U793" s="378"/>
      <c r="V793" s="378"/>
      <c r="W793" s="378"/>
      <c r="X793" s="378"/>
      <c r="Y793" s="378"/>
      <c r="Z793" s="378"/>
      <c r="AA793" s="378"/>
      <c r="AB793" s="378"/>
      <c r="AC793" s="378"/>
      <c r="AD793" s="378"/>
      <c r="AE793" s="378"/>
      <c r="AF793" s="378"/>
      <c r="AG793" s="378"/>
    </row>
    <row r="794">
      <c r="A794" s="378"/>
      <c r="B794" s="382"/>
      <c r="C794" s="388"/>
      <c r="D794" s="384"/>
      <c r="E794" s="385" t="s">
        <v>700</v>
      </c>
      <c r="F794" s="385" t="str">
        <f>Board!A2</f>
        <v>11.17.25-11.23.25</v>
      </c>
      <c r="G794" s="213"/>
      <c r="H794" s="211"/>
      <c r="I794" s="386">
        <v>24.0</v>
      </c>
      <c r="J794" s="387"/>
      <c r="K794" s="388"/>
      <c r="L794" s="384"/>
      <c r="M794" s="385" t="s">
        <v>700</v>
      </c>
      <c r="N794" s="385" t="str">
        <f>Board!A2</f>
        <v>11.17.25-11.23.25</v>
      </c>
      <c r="O794" s="213"/>
      <c r="P794" s="211"/>
      <c r="Q794" s="378"/>
      <c r="R794" s="389" t="s">
        <v>831</v>
      </c>
      <c r="S794" s="389" t="s">
        <v>652</v>
      </c>
      <c r="T794" s="390" t="s">
        <v>832</v>
      </c>
      <c r="U794" s="391" t="s">
        <v>833</v>
      </c>
      <c r="V794" s="389" t="s">
        <v>655</v>
      </c>
      <c r="W794" s="389" t="s">
        <v>8</v>
      </c>
      <c r="X794" s="389" t="s">
        <v>656</v>
      </c>
      <c r="Y794" s="390" t="s">
        <v>834</v>
      </c>
      <c r="Z794" s="392" t="s">
        <v>835</v>
      </c>
      <c r="AA794" s="390" t="s">
        <v>836</v>
      </c>
      <c r="AB794" s="390" t="s">
        <v>837</v>
      </c>
      <c r="AC794" s="393" t="s">
        <v>716</v>
      </c>
      <c r="AD794" s="393" t="s">
        <v>717</v>
      </c>
      <c r="AE794" s="393" t="s">
        <v>718</v>
      </c>
      <c r="AF794" s="394" t="s">
        <v>838</v>
      </c>
      <c r="AG794" s="394"/>
    </row>
    <row r="795">
      <c r="A795" s="378"/>
      <c r="B795" s="395"/>
      <c r="C795" s="372"/>
      <c r="D795" s="396"/>
      <c r="E795" s="385" t="s">
        <v>702</v>
      </c>
      <c r="F795" s="534" t="s">
        <v>898</v>
      </c>
      <c r="G795" s="213"/>
      <c r="H795" s="211"/>
      <c r="I795" s="376"/>
      <c r="J795" s="397"/>
      <c r="K795" s="372"/>
      <c r="L795" s="396"/>
      <c r="M795" s="385" t="s">
        <v>351</v>
      </c>
      <c r="N795" s="385" t="str">
        <f t="array" ref="N795">XLOOKUP(N796,Board!K:K,Board!J:J)</f>
        <v>Kimberly Monique Sowell</v>
      </c>
      <c r="O795" s="213"/>
      <c r="P795" s="211"/>
      <c r="Q795" s="378"/>
      <c r="R795" s="398">
        <f>I794</f>
        <v>24</v>
      </c>
      <c r="S795" s="398">
        <f>F796</f>
        <v>8479</v>
      </c>
      <c r="T795" s="399" t="str">
        <f>G816</f>
        <v>#N/A</v>
      </c>
      <c r="U795" s="378" t="str">
        <f>N795</f>
        <v>Kimberly Monique Sowell</v>
      </c>
      <c r="V795" s="380">
        <f>O816</f>
        <v>725.4</v>
      </c>
      <c r="W795" s="399">
        <f>P804</f>
        <v>432.9</v>
      </c>
      <c r="X795" s="399" t="str">
        <f>C815</f>
        <v>#N/A</v>
      </c>
      <c r="Y795" s="400">
        <f>N804</f>
        <v>666</v>
      </c>
      <c r="Z795" s="378" t="str">
        <f>V796-V795</f>
        <v>#N/A</v>
      </c>
      <c r="AA795" s="378"/>
      <c r="AB795" s="378"/>
      <c r="AC795" s="401">
        <f>C812</f>
        <v>150</v>
      </c>
      <c r="AD795" s="401">
        <f>C813</f>
        <v>400</v>
      </c>
      <c r="AE795" s="401">
        <f>C814</f>
        <v>0</v>
      </c>
      <c r="AF795" s="530">
        <f>C816+C817+C818+C819+C820</f>
        <v>899.62</v>
      </c>
      <c r="AG795" s="398"/>
    </row>
    <row r="796">
      <c r="A796" s="378"/>
      <c r="B796" s="395"/>
      <c r="C796" s="372"/>
      <c r="D796" s="402"/>
      <c r="E796" s="385" t="s">
        <v>703</v>
      </c>
      <c r="F796" s="385">
        <v>8479.0</v>
      </c>
      <c r="G796" s="532">
        <v>6338.0</v>
      </c>
      <c r="H796" s="533"/>
      <c r="I796" s="376"/>
      <c r="J796" s="397"/>
      <c r="K796" s="372"/>
      <c r="L796" s="402"/>
      <c r="M796" s="385" t="s">
        <v>703</v>
      </c>
      <c r="N796" s="385">
        <f>F796</f>
        <v>8479</v>
      </c>
      <c r="O796" s="532">
        <v>6338.0</v>
      </c>
      <c r="P796" s="533"/>
      <c r="Q796" s="378"/>
      <c r="R796" s="378"/>
      <c r="S796" s="378"/>
      <c r="T796" s="378"/>
      <c r="U796" s="378" t="str">
        <f>F795</f>
        <v>Fwziyes Place LLC Boss Trucking Equipment LLC</v>
      </c>
      <c r="V796" s="399" t="str">
        <f>G816</f>
        <v>#N/A</v>
      </c>
      <c r="W796" s="399">
        <f>H804</f>
        <v>1188</v>
      </c>
      <c r="X796" s="378"/>
      <c r="Y796" s="378"/>
      <c r="Z796" s="378"/>
      <c r="AA796" s="378"/>
      <c r="AB796" s="378"/>
      <c r="AC796" s="378"/>
      <c r="AD796" s="378"/>
      <c r="AE796" s="378"/>
      <c r="AF796" s="378"/>
      <c r="AG796" s="378"/>
    </row>
    <row r="797">
      <c r="A797" s="378"/>
      <c r="B797" s="403" t="s">
        <v>704</v>
      </c>
      <c r="C797" s="404" t="s">
        <v>5</v>
      </c>
      <c r="D797" s="405" t="s">
        <v>6</v>
      </c>
      <c r="E797" s="406" t="s">
        <v>7</v>
      </c>
      <c r="F797" s="404" t="s">
        <v>8</v>
      </c>
      <c r="G797" s="404" t="s">
        <v>706</v>
      </c>
      <c r="H797" s="404" t="s">
        <v>707</v>
      </c>
      <c r="I797" s="376"/>
      <c r="J797" s="407" t="s">
        <v>704</v>
      </c>
      <c r="K797" s="404" t="s">
        <v>5</v>
      </c>
      <c r="L797" s="405" t="s">
        <v>6</v>
      </c>
      <c r="M797" s="406" t="s">
        <v>7</v>
      </c>
      <c r="N797" s="404" t="s">
        <v>591</v>
      </c>
      <c r="O797" s="408" t="s">
        <v>839</v>
      </c>
      <c r="P797" s="404" t="s">
        <v>707</v>
      </c>
      <c r="Q797" s="378"/>
      <c r="R797" s="378"/>
      <c r="S797" s="378"/>
      <c r="T797" s="378"/>
      <c r="U797" s="378"/>
      <c r="V797" s="378"/>
      <c r="W797" s="378"/>
      <c r="X797" s="378"/>
      <c r="Y797" s="378"/>
      <c r="Z797" s="378"/>
      <c r="AA797" s="378"/>
      <c r="AB797" s="378"/>
      <c r="AC797" s="378"/>
      <c r="AD797" s="378"/>
      <c r="AE797" s="378"/>
      <c r="AF797" s="378"/>
      <c r="AG797" s="378"/>
    </row>
    <row r="798">
      <c r="A798" s="378"/>
      <c r="B798" s="555">
        <f>IFERROR(__xludf.DUMMYFUNCTION("FILTER(Board!C:G,Board!K:K=F796)"),45981.0)</f>
        <v>45981</v>
      </c>
      <c r="C798" s="404">
        <f>IFERROR(__xludf.DUMMYFUNCTION("""COMPUTED_VALUE"""),2175253.0)</f>
        <v>2175253</v>
      </c>
      <c r="D798" s="405" t="str">
        <f>IFERROR(__xludf.DUMMYFUNCTION("""COMPUTED_VALUE"""),"Forsyth, GA, 31029")</f>
        <v>Forsyth, GA, 31029</v>
      </c>
      <c r="E798" s="406" t="str">
        <f>IFERROR(__xludf.DUMMYFUNCTION("""COMPUTED_VALUE"""),"Roanoke, VA, 24017")</f>
        <v>Roanoke, VA, 24017</v>
      </c>
      <c r="F798" s="414">
        <f>IFERROR(__xludf.DUMMYFUNCTION("""COMPUTED_VALUE"""),1350.0)</f>
        <v>1350</v>
      </c>
      <c r="G798" s="413">
        <v>0.88</v>
      </c>
      <c r="H798" s="414">
        <f>F798*G798</f>
        <v>1188</v>
      </c>
      <c r="I798" s="376"/>
      <c r="J798" s="415">
        <f>IFERROR(__xludf.DUMMYFUNCTION("FILTER(Board!C:F,Board!K:K=N796)"),45981.0)</f>
        <v>45981</v>
      </c>
      <c r="K798" s="411">
        <f>IFERROR(__xludf.DUMMYFUNCTION("""COMPUTED_VALUE"""),2175253.0)</f>
        <v>2175253</v>
      </c>
      <c r="L798" s="411" t="str">
        <f>IFERROR(__xludf.DUMMYFUNCTION("""COMPUTED_VALUE"""),"Forsyth, GA, 31029")</f>
        <v>Forsyth, GA, 31029</v>
      </c>
      <c r="M798" s="411" t="str">
        <f>IFERROR(__xludf.DUMMYFUNCTION("""COMPUTED_VALUE"""),"Roanoke, VA, 24017")</f>
        <v>Roanoke, VA, 24017</v>
      </c>
      <c r="N798" s="416">
        <f>IFERROR(__xludf.DUMMYFUNCTION("FILTER(Board!H:H,Board!K:K=N796)"),666.0)</f>
        <v>666</v>
      </c>
      <c r="O798" s="408">
        <v>0.65</v>
      </c>
      <c r="P798" s="414">
        <f>N798*O798</f>
        <v>432.9</v>
      </c>
      <c r="Q798" s="378"/>
      <c r="R798" s="378"/>
      <c r="S798" s="378"/>
      <c r="T798" s="378"/>
      <c r="U798" s="378"/>
      <c r="V798" s="378"/>
      <c r="W798" s="378"/>
      <c r="X798" s="378"/>
      <c r="Y798" s="378"/>
      <c r="Z798" s="378"/>
      <c r="AA798" s="378"/>
      <c r="AB798" s="378"/>
      <c r="AC798" s="378"/>
      <c r="AD798" s="378"/>
      <c r="AE798" s="378"/>
      <c r="AF798" s="378"/>
      <c r="AG798" s="378"/>
    </row>
    <row r="799">
      <c r="A799" s="378"/>
      <c r="B799" s="555"/>
      <c r="C799" s="404"/>
      <c r="D799" s="405"/>
      <c r="E799" s="406"/>
      <c r="F799" s="414"/>
      <c r="G799" s="413"/>
      <c r="H799" s="414"/>
      <c r="I799" s="376"/>
      <c r="J799" s="418"/>
      <c r="K799" s="411"/>
      <c r="L799" s="411"/>
      <c r="M799" s="411"/>
      <c r="N799" s="411"/>
      <c r="O799" s="408"/>
      <c r="P799" s="414"/>
      <c r="Q799" s="378"/>
      <c r="R799" s="378"/>
      <c r="S799" s="378"/>
      <c r="T799" s="378"/>
      <c r="U799" s="378"/>
      <c r="V799" s="378"/>
      <c r="W799" s="378"/>
      <c r="X799" s="378"/>
      <c r="Y799" s="378"/>
      <c r="Z799" s="378"/>
      <c r="AA799" s="378"/>
      <c r="AB799" s="378"/>
      <c r="AC799" s="378"/>
      <c r="AD799" s="378"/>
      <c r="AE799" s="378"/>
      <c r="AF799" s="378"/>
      <c r="AG799" s="378"/>
    </row>
    <row r="800">
      <c r="A800" s="378"/>
      <c r="B800" s="420"/>
      <c r="C800" s="421"/>
      <c r="D800" s="422"/>
      <c r="E800" s="423"/>
      <c r="F800" s="421"/>
      <c r="G800" s="413"/>
      <c r="H800" s="414"/>
      <c r="I800" s="376"/>
      <c r="J800" s="424"/>
      <c r="K800" s="421"/>
      <c r="L800" s="422"/>
      <c r="M800" s="423"/>
      <c r="N800" s="425"/>
      <c r="O800" s="408"/>
      <c r="P800" s="414"/>
      <c r="Q800" s="378"/>
      <c r="R800" s="378"/>
      <c r="S800" s="378"/>
      <c r="T800" s="378"/>
      <c r="U800" s="378"/>
      <c r="V800" s="378"/>
      <c r="W800" s="378"/>
      <c r="X800" s="378"/>
      <c r="Y800" s="378"/>
      <c r="Z800" s="378"/>
      <c r="AA800" s="378"/>
      <c r="AB800" s="378"/>
      <c r="AC800" s="378"/>
      <c r="AD800" s="378"/>
      <c r="AE800" s="378"/>
      <c r="AF800" s="378"/>
      <c r="AG800" s="378"/>
    </row>
    <row r="801">
      <c r="A801" s="378"/>
      <c r="B801" s="420"/>
      <c r="C801" s="421"/>
      <c r="D801" s="422"/>
      <c r="E801" s="423"/>
      <c r="F801" s="421"/>
      <c r="G801" s="413"/>
      <c r="H801" s="414"/>
      <c r="I801" s="376"/>
      <c r="J801" s="424"/>
      <c r="K801" s="421"/>
      <c r="L801" s="422"/>
      <c r="M801" s="423"/>
      <c r="N801" s="425"/>
      <c r="O801" s="408"/>
      <c r="P801" s="414"/>
      <c r="Q801" s="378"/>
      <c r="R801" s="378"/>
      <c r="S801" s="378"/>
      <c r="T801" s="378"/>
      <c r="U801" s="378"/>
      <c r="V801" s="378"/>
      <c r="W801" s="378"/>
      <c r="X801" s="378"/>
      <c r="Y801" s="378"/>
      <c r="Z801" s="378"/>
      <c r="AA801" s="378"/>
      <c r="AB801" s="378"/>
      <c r="AC801" s="378"/>
      <c r="AD801" s="378"/>
      <c r="AE801" s="378"/>
      <c r="AF801" s="378"/>
      <c r="AG801" s="378"/>
    </row>
    <row r="802">
      <c r="A802" s="378"/>
      <c r="B802" s="420"/>
      <c r="C802" s="421"/>
      <c r="D802" s="422"/>
      <c r="E802" s="423"/>
      <c r="F802" s="421"/>
      <c r="G802" s="413"/>
      <c r="H802" s="414"/>
      <c r="I802" s="376"/>
      <c r="J802" s="424"/>
      <c r="K802" s="421"/>
      <c r="L802" s="422"/>
      <c r="M802" s="423"/>
      <c r="N802" s="425"/>
      <c r="O802" s="408"/>
      <c r="P802" s="414"/>
      <c r="Q802" s="378"/>
      <c r="R802" s="378"/>
      <c r="S802" s="378"/>
      <c r="T802" s="378"/>
      <c r="U802" s="378"/>
      <c r="V802" s="378"/>
      <c r="W802" s="378"/>
      <c r="X802" s="378"/>
      <c r="Y802" s="378"/>
      <c r="Z802" s="378"/>
      <c r="AA802" s="378"/>
      <c r="AB802" s="378"/>
      <c r="AC802" s="378"/>
      <c r="AD802" s="378"/>
      <c r="AE802" s="378"/>
      <c r="AF802" s="378"/>
      <c r="AG802" s="378"/>
    </row>
    <row r="803">
      <c r="A803" s="378"/>
      <c r="B803" s="420"/>
      <c r="C803" s="421"/>
      <c r="D803" s="422"/>
      <c r="E803" s="423"/>
      <c r="F803" s="421"/>
      <c r="G803" s="413"/>
      <c r="H803" s="414"/>
      <c r="I803" s="376"/>
      <c r="J803" s="424"/>
      <c r="K803" s="421"/>
      <c r="L803" s="422"/>
      <c r="M803" s="423"/>
      <c r="N803" s="425"/>
      <c r="O803" s="408"/>
      <c r="P803" s="414"/>
      <c r="Q803" s="378"/>
      <c r="R803" s="378"/>
      <c r="S803" s="378"/>
      <c r="T803" s="378"/>
      <c r="U803" s="378"/>
      <c r="V803" s="378"/>
      <c r="W803" s="378"/>
      <c r="X803" s="378"/>
      <c r="Y803" s="378"/>
      <c r="Z803" s="378"/>
      <c r="AA803" s="378"/>
      <c r="AB803" s="378"/>
      <c r="AC803" s="378"/>
      <c r="AD803" s="378"/>
      <c r="AE803" s="378"/>
      <c r="AF803" s="378"/>
      <c r="AG803" s="378"/>
    </row>
    <row r="804">
      <c r="A804" s="378"/>
      <c r="B804" s="403" t="s">
        <v>711</v>
      </c>
      <c r="C804" s="224"/>
      <c r="D804" s="224"/>
      <c r="E804" s="222"/>
      <c r="F804" s="414">
        <f>SUM(F798:F803)</f>
        <v>1350</v>
      </c>
      <c r="G804" s="421"/>
      <c r="H804" s="414">
        <f>SUM(H798:H803)</f>
        <v>1188</v>
      </c>
      <c r="I804" s="376"/>
      <c r="J804" s="407" t="s">
        <v>711</v>
      </c>
      <c r="K804" s="224"/>
      <c r="L804" s="224"/>
      <c r="M804" s="222"/>
      <c r="N804" s="426">
        <f>SUM(N798:N803)</f>
        <v>666</v>
      </c>
      <c r="O804" s="427"/>
      <c r="P804" s="414">
        <f>SUM(P798:P803)</f>
        <v>432.9</v>
      </c>
      <c r="Q804" s="378"/>
      <c r="R804" s="378"/>
      <c r="S804" s="378"/>
      <c r="T804" s="378"/>
      <c r="U804" s="378"/>
      <c r="V804" s="378"/>
      <c r="W804" s="378"/>
      <c r="X804" s="378"/>
      <c r="Y804" s="378"/>
      <c r="Z804" s="378"/>
      <c r="AA804" s="378"/>
      <c r="AB804" s="378"/>
      <c r="AC804" s="378"/>
      <c r="AD804" s="378"/>
      <c r="AE804" s="378"/>
      <c r="AF804" s="378"/>
      <c r="AG804" s="378"/>
    </row>
    <row r="805">
      <c r="A805" s="378"/>
      <c r="B805" s="428"/>
      <c r="C805" s="419"/>
      <c r="D805" s="419"/>
      <c r="E805" s="419"/>
      <c r="F805" s="419"/>
      <c r="G805" s="419"/>
      <c r="H805" s="429"/>
      <c r="I805" s="376"/>
      <c r="J805" s="430"/>
      <c r="K805" s="419"/>
      <c r="L805" s="419"/>
      <c r="M805" s="419"/>
      <c r="N805" s="431"/>
      <c r="O805" s="432"/>
      <c r="P805" s="429"/>
      <c r="Q805" s="378"/>
      <c r="R805" s="378"/>
      <c r="S805" s="378"/>
      <c r="T805" s="378"/>
      <c r="U805" s="378"/>
      <c r="V805" s="378"/>
      <c r="W805" s="378"/>
      <c r="X805" s="378"/>
      <c r="Y805" s="378"/>
      <c r="Z805" s="378"/>
      <c r="AA805" s="378"/>
      <c r="AB805" s="378"/>
      <c r="AC805" s="378"/>
      <c r="AD805" s="378"/>
      <c r="AE805" s="378"/>
      <c r="AF805" s="378"/>
      <c r="AG805" s="378"/>
    </row>
    <row r="806">
      <c r="A806" s="378"/>
      <c r="B806" s="433" t="s">
        <v>712</v>
      </c>
      <c r="C806" s="434"/>
      <c r="D806" s="435"/>
      <c r="E806" s="419"/>
      <c r="F806" s="419"/>
      <c r="G806" s="419"/>
      <c r="H806" s="429"/>
      <c r="I806" s="376"/>
      <c r="J806" s="437" t="s">
        <v>712</v>
      </c>
      <c r="K806" s="434"/>
      <c r="L806" s="435"/>
      <c r="M806" s="419"/>
      <c r="N806" s="431"/>
      <c r="O806" s="432"/>
      <c r="P806" s="429"/>
      <c r="Q806" s="378"/>
      <c r="R806" s="378"/>
      <c r="S806" s="378"/>
      <c r="T806" s="378"/>
      <c r="U806" s="378"/>
      <c r="V806" s="378"/>
      <c r="W806" s="378"/>
      <c r="X806" s="378"/>
      <c r="Y806" s="378"/>
      <c r="Z806" s="378"/>
      <c r="AA806" s="378"/>
      <c r="AB806" s="378"/>
      <c r="AC806" s="378"/>
      <c r="AD806" s="378"/>
      <c r="AE806" s="378"/>
      <c r="AF806" s="378"/>
      <c r="AG806" s="378"/>
    </row>
    <row r="807">
      <c r="A807" s="378"/>
      <c r="B807" s="438" t="s">
        <v>713</v>
      </c>
      <c r="C807" s="439"/>
      <c r="D807" s="440"/>
      <c r="E807" s="419"/>
      <c r="F807" s="419"/>
      <c r="G807" s="419"/>
      <c r="H807" s="429"/>
      <c r="I807" s="376"/>
      <c r="J807" s="443" t="s">
        <v>899</v>
      </c>
      <c r="K807" s="439">
        <f>450*0.65</f>
        <v>292.5</v>
      </c>
      <c r="L807" s="440"/>
      <c r="M807" s="419"/>
      <c r="N807" s="431"/>
      <c r="O807" s="432"/>
      <c r="P807" s="429"/>
      <c r="Q807" s="378"/>
      <c r="R807" s="378"/>
      <c r="S807" s="378"/>
      <c r="T807" s="378"/>
      <c r="U807" s="378"/>
      <c r="V807" s="378"/>
      <c r="W807" s="378"/>
      <c r="X807" s="378"/>
      <c r="Y807" s="378"/>
      <c r="Z807" s="378"/>
      <c r="AA807" s="378"/>
      <c r="AB807" s="378"/>
      <c r="AC807" s="378"/>
      <c r="AD807" s="378"/>
      <c r="AE807" s="378"/>
      <c r="AF807" s="378"/>
      <c r="AG807" s="378"/>
    </row>
    <row r="808">
      <c r="A808" s="378"/>
      <c r="B808" s="444"/>
      <c r="C808" s="434"/>
      <c r="D808" s="435"/>
      <c r="E808" s="419"/>
      <c r="F808" s="463"/>
      <c r="G808" s="463"/>
      <c r="H808" s="448"/>
      <c r="I808" s="376"/>
      <c r="J808" s="445"/>
      <c r="K808" s="434"/>
      <c r="L808" s="435"/>
      <c r="M808" s="419"/>
      <c r="N808" s="446"/>
      <c r="O808" s="447"/>
      <c r="P808" s="448"/>
      <c r="Q808" s="378"/>
      <c r="R808" s="378"/>
      <c r="S808" s="378"/>
      <c r="T808" s="378"/>
      <c r="U808" s="378"/>
      <c r="V808" s="378"/>
      <c r="W808" s="378"/>
      <c r="X808" s="378"/>
      <c r="Y808" s="378"/>
      <c r="Z808" s="378"/>
      <c r="AA808" s="378"/>
      <c r="AB808" s="378"/>
      <c r="AC808" s="378"/>
      <c r="AD808" s="378"/>
      <c r="AE808" s="378"/>
      <c r="AF808" s="378"/>
      <c r="AG808" s="378"/>
    </row>
    <row r="809">
      <c r="A809" s="378"/>
      <c r="B809" s="438" t="s">
        <v>714</v>
      </c>
      <c r="C809" s="439">
        <f>SUM(C807:C808)</f>
        <v>0</v>
      </c>
      <c r="D809" s="440"/>
      <c r="E809" s="419"/>
      <c r="F809" s="463"/>
      <c r="G809" s="463"/>
      <c r="H809" s="448"/>
      <c r="I809" s="376"/>
      <c r="J809" s="443" t="s">
        <v>714</v>
      </c>
      <c r="K809" s="439">
        <f>SUM(K807:K808)</f>
        <v>292.5</v>
      </c>
      <c r="L809" s="440"/>
      <c r="M809" s="419"/>
      <c r="N809" s="446"/>
      <c r="O809" s="447"/>
      <c r="P809" s="448"/>
      <c r="Q809" s="378"/>
      <c r="R809" s="378"/>
      <c r="S809" s="378"/>
      <c r="T809" s="378"/>
      <c r="U809" s="378"/>
      <c r="V809" s="378"/>
      <c r="W809" s="378"/>
      <c r="X809" s="378"/>
      <c r="Y809" s="378"/>
      <c r="Z809" s="378"/>
      <c r="AA809" s="378"/>
      <c r="AB809" s="378"/>
      <c r="AC809" s="378"/>
      <c r="AD809" s="378"/>
      <c r="AE809" s="378"/>
      <c r="AF809" s="378"/>
      <c r="AG809" s="378"/>
    </row>
    <row r="810">
      <c r="A810" s="378"/>
      <c r="B810" s="450"/>
      <c r="C810" s="451"/>
      <c r="D810" s="419"/>
      <c r="E810" s="419"/>
      <c r="F810" s="463"/>
      <c r="G810" s="463"/>
      <c r="H810" s="448"/>
      <c r="I810" s="376"/>
      <c r="J810" s="535"/>
      <c r="K810" s="451"/>
      <c r="L810" s="419"/>
      <c r="M810" s="419"/>
      <c r="N810" s="446"/>
      <c r="O810" s="447"/>
      <c r="P810" s="448"/>
      <c r="Q810" s="378"/>
      <c r="R810" s="378"/>
      <c r="S810" s="378"/>
      <c r="T810" s="378"/>
      <c r="U810" s="378"/>
      <c r="V810" s="378"/>
      <c r="W810" s="378"/>
      <c r="X810" s="378"/>
      <c r="Y810" s="378"/>
      <c r="Z810" s="378"/>
      <c r="AA810" s="378"/>
      <c r="AB810" s="378"/>
      <c r="AC810" s="378"/>
      <c r="AD810" s="378"/>
      <c r="AE810" s="378"/>
      <c r="AF810" s="378"/>
      <c r="AG810" s="378"/>
    </row>
    <row r="811">
      <c r="A811" s="378"/>
      <c r="B811" s="454" t="s">
        <v>715</v>
      </c>
      <c r="C811" s="455"/>
      <c r="D811" s="435"/>
      <c r="E811" s="419"/>
      <c r="F811" s="463"/>
      <c r="G811" s="463"/>
      <c r="H811" s="448"/>
      <c r="I811" s="376"/>
      <c r="J811" s="458" t="s">
        <v>715</v>
      </c>
      <c r="K811" s="455"/>
      <c r="L811" s="435"/>
      <c r="M811" s="419"/>
      <c r="N811" s="446"/>
      <c r="O811" s="447"/>
      <c r="P811" s="448"/>
      <c r="Q811" s="378"/>
      <c r="R811" s="378"/>
      <c r="S811" s="378"/>
      <c r="T811" s="378"/>
      <c r="U811" s="378"/>
      <c r="V811" s="378"/>
      <c r="W811" s="378"/>
      <c r="X811" s="378"/>
      <c r="Y811" s="378"/>
      <c r="Z811" s="378"/>
      <c r="AA811" s="378"/>
      <c r="AB811" s="378"/>
      <c r="AC811" s="378"/>
      <c r="AD811" s="378"/>
      <c r="AE811" s="378"/>
      <c r="AF811" s="378"/>
      <c r="AG811" s="378"/>
    </row>
    <row r="812">
      <c r="A812" s="378"/>
      <c r="B812" s="459" t="s">
        <v>716</v>
      </c>
      <c r="C812" s="460">
        <v>150.0</v>
      </c>
      <c r="D812" s="440"/>
      <c r="E812" s="419"/>
      <c r="F812" s="463"/>
      <c r="G812" s="463"/>
      <c r="H812" s="448"/>
      <c r="I812" s="376"/>
      <c r="J812" s="462"/>
      <c r="K812" s="460"/>
      <c r="L812" s="440"/>
      <c r="M812" s="419"/>
      <c r="N812" s="446"/>
      <c r="O812" s="447"/>
      <c r="P812" s="448"/>
      <c r="Q812" s="378"/>
      <c r="R812" s="378"/>
      <c r="S812" s="378"/>
      <c r="T812" s="378"/>
      <c r="U812" s="378"/>
      <c r="V812" s="378"/>
      <c r="W812" s="378"/>
      <c r="X812" s="378"/>
      <c r="Y812" s="378"/>
      <c r="Z812" s="378"/>
      <c r="AA812" s="378"/>
      <c r="AB812" s="378"/>
      <c r="AC812" s="378"/>
      <c r="AD812" s="378"/>
      <c r="AE812" s="378"/>
      <c r="AF812" s="378"/>
      <c r="AG812" s="378"/>
    </row>
    <row r="813">
      <c r="A813" s="378"/>
      <c r="B813" s="459" t="s">
        <v>717</v>
      </c>
      <c r="C813" s="460">
        <v>400.0</v>
      </c>
      <c r="D813" s="440"/>
      <c r="E813" s="419"/>
      <c r="F813" s="463"/>
      <c r="G813" s="463"/>
      <c r="H813" s="448"/>
      <c r="I813" s="376"/>
      <c r="J813" s="462"/>
      <c r="K813" s="460"/>
      <c r="L813" s="440"/>
      <c r="M813" s="419"/>
      <c r="N813" s="446"/>
      <c r="O813" s="447"/>
      <c r="P813" s="448"/>
      <c r="Q813" s="378"/>
      <c r="R813" s="378"/>
      <c r="S813" s="378"/>
      <c r="T813" s="378"/>
      <c r="U813" s="378"/>
      <c r="V813" s="378"/>
      <c r="W813" s="378"/>
      <c r="X813" s="378"/>
      <c r="Y813" s="378"/>
      <c r="Z813" s="378"/>
      <c r="AA813" s="378"/>
      <c r="AB813" s="378"/>
      <c r="AC813" s="378"/>
      <c r="AD813" s="378"/>
      <c r="AE813" s="378"/>
      <c r="AF813" s="378"/>
      <c r="AG813" s="378"/>
    </row>
    <row r="814">
      <c r="A814" s="378"/>
      <c r="B814" s="459" t="s">
        <v>718</v>
      </c>
      <c r="C814" s="460">
        <v>0.0</v>
      </c>
      <c r="D814" s="440"/>
      <c r="E814" s="419"/>
      <c r="F814" s="463"/>
      <c r="G814" s="463"/>
      <c r="H814" s="448"/>
      <c r="I814" s="376"/>
      <c r="J814" s="462"/>
      <c r="K814" s="460"/>
      <c r="L814" s="440"/>
      <c r="M814" s="419"/>
      <c r="N814" s="446"/>
      <c r="O814" s="447"/>
      <c r="P814" s="448"/>
      <c r="Q814" s="378"/>
      <c r="R814" s="378"/>
      <c r="S814" s="378"/>
      <c r="T814" s="378"/>
      <c r="U814" s="378"/>
      <c r="V814" s="378"/>
      <c r="W814" s="378"/>
      <c r="X814" s="378"/>
      <c r="Y814" s="378"/>
      <c r="Z814" s="378"/>
      <c r="AA814" s="378"/>
      <c r="AB814" s="378"/>
      <c r="AC814" s="378"/>
      <c r="AD814" s="378"/>
      <c r="AE814" s="378"/>
      <c r="AF814" s="378"/>
      <c r="AG814" s="378"/>
    </row>
    <row r="815">
      <c r="A815" s="378"/>
      <c r="B815" s="459" t="s">
        <v>656</v>
      </c>
      <c r="C815" s="460" t="str">
        <f>IFERROR(__xludf.DUMMYFUNCTION("FILTER(D1045:D1073,C1045:C1073=G796)"),"#N/A")</f>
        <v>#N/A</v>
      </c>
      <c r="D815" s="440"/>
      <c r="E815" s="419"/>
      <c r="F815" s="463"/>
      <c r="G815" s="463"/>
      <c r="H815" s="448"/>
      <c r="I815" s="376"/>
      <c r="J815" s="462"/>
      <c r="K815" s="460"/>
      <c r="L815" s="440"/>
      <c r="M815" s="419"/>
      <c r="N815" s="446"/>
      <c r="O815" s="447"/>
      <c r="P815" s="448"/>
      <c r="Q815" s="378"/>
      <c r="R815" s="378"/>
      <c r="S815" s="378"/>
      <c r="T815" s="378"/>
      <c r="U815" s="378"/>
      <c r="V815" s="378"/>
      <c r="W815" s="378"/>
      <c r="X815" s="378"/>
      <c r="Y815" s="378"/>
      <c r="Z815" s="378"/>
      <c r="AA815" s="378"/>
      <c r="AB815" s="378"/>
      <c r="AC815" s="378"/>
      <c r="AD815" s="378"/>
      <c r="AE815" s="378"/>
      <c r="AF815" s="378"/>
      <c r="AG815" s="378"/>
    </row>
    <row r="816">
      <c r="A816" s="378"/>
      <c r="B816" s="454" t="s">
        <v>900</v>
      </c>
      <c r="C816" s="537">
        <v>744.62</v>
      </c>
      <c r="D816" s="435"/>
      <c r="E816" s="419"/>
      <c r="F816" s="468" t="s">
        <v>842</v>
      </c>
      <c r="G816" s="538" t="str">
        <f>H804+C809-C821</f>
        <v>#N/A</v>
      </c>
      <c r="H816" s="211"/>
      <c r="I816" s="376"/>
      <c r="J816" s="467"/>
      <c r="K816" s="455"/>
      <c r="L816" s="435"/>
      <c r="M816" s="419"/>
      <c r="N816" s="468" t="s">
        <v>842</v>
      </c>
      <c r="O816" s="539">
        <f>P804+K809-K821</f>
        <v>725.4</v>
      </c>
      <c r="P816" s="211"/>
      <c r="Q816" s="378"/>
      <c r="R816" s="378"/>
      <c r="S816" s="378"/>
      <c r="T816" s="378"/>
      <c r="U816" s="378"/>
      <c r="V816" s="378"/>
      <c r="W816" s="378"/>
      <c r="X816" s="378"/>
      <c r="Y816" s="378"/>
      <c r="Z816" s="378"/>
      <c r="AA816" s="378"/>
      <c r="AB816" s="378"/>
      <c r="AC816" s="378"/>
      <c r="AD816" s="378"/>
      <c r="AE816" s="378"/>
      <c r="AF816" s="378"/>
      <c r="AG816" s="378"/>
    </row>
    <row r="817">
      <c r="A817" s="378"/>
      <c r="B817" s="454" t="s">
        <v>901</v>
      </c>
      <c r="C817" s="537">
        <v>155.0</v>
      </c>
      <c r="D817" s="435"/>
      <c r="E817" s="419"/>
      <c r="F817" s="469" t="s">
        <v>843</v>
      </c>
      <c r="G817" s="278"/>
      <c r="H817" s="56"/>
      <c r="I817" s="376"/>
      <c r="J817" s="467"/>
      <c r="K817" s="455"/>
      <c r="L817" s="435"/>
      <c r="M817" s="419"/>
      <c r="N817" s="469" t="s">
        <v>854</v>
      </c>
      <c r="O817" s="278"/>
      <c r="P817" s="56"/>
      <c r="Q817" s="378"/>
      <c r="R817" s="378"/>
      <c r="S817" s="378"/>
      <c r="T817" s="378"/>
      <c r="U817" s="378"/>
      <c r="V817" s="378"/>
      <c r="W817" s="378"/>
      <c r="X817" s="378"/>
      <c r="Y817" s="378"/>
      <c r="Z817" s="378"/>
      <c r="AA817" s="378"/>
      <c r="AB817" s="378"/>
      <c r="AC817" s="378"/>
      <c r="AD817" s="378"/>
      <c r="AE817" s="378"/>
      <c r="AF817" s="378"/>
      <c r="AG817" s="378"/>
    </row>
    <row r="818">
      <c r="A818" s="378"/>
      <c r="B818" s="464"/>
      <c r="C818" s="455"/>
      <c r="D818" s="435"/>
      <c r="E818" s="419"/>
      <c r="F818" s="470"/>
      <c r="G818" s="215"/>
      <c r="H818" s="64"/>
      <c r="I818" s="376"/>
      <c r="J818" s="467"/>
      <c r="K818" s="455"/>
      <c r="L818" s="435"/>
      <c r="M818" s="419"/>
      <c r="N818" s="470"/>
      <c r="O818" s="215"/>
      <c r="P818" s="64"/>
      <c r="Q818" s="378"/>
      <c r="R818" s="378"/>
      <c r="S818" s="378"/>
      <c r="T818" s="378"/>
      <c r="U818" s="378"/>
      <c r="V818" s="378"/>
      <c r="W818" s="378"/>
      <c r="X818" s="378"/>
      <c r="Y818" s="378"/>
      <c r="Z818" s="378"/>
      <c r="AA818" s="378"/>
      <c r="AB818" s="378"/>
      <c r="AC818" s="378"/>
      <c r="AD818" s="378"/>
      <c r="AE818" s="378"/>
      <c r="AF818" s="378"/>
      <c r="AG818" s="378"/>
    </row>
    <row r="819">
      <c r="A819" s="378"/>
      <c r="B819" s="464"/>
      <c r="C819" s="455"/>
      <c r="D819" s="435"/>
      <c r="E819" s="419"/>
      <c r="F819" s="419"/>
      <c r="G819" s="419"/>
      <c r="H819" s="429"/>
      <c r="I819" s="376"/>
      <c r="J819" s="467"/>
      <c r="K819" s="455"/>
      <c r="L819" s="435"/>
      <c r="M819" s="419"/>
      <c r="N819" s="431"/>
      <c r="O819" s="432"/>
      <c r="P819" s="429"/>
      <c r="Q819" s="378"/>
      <c r="R819" s="378"/>
      <c r="S819" s="378"/>
      <c r="T819" s="378"/>
      <c r="U819" s="378"/>
      <c r="V819" s="378"/>
      <c r="W819" s="378"/>
      <c r="X819" s="378"/>
      <c r="Y819" s="378"/>
      <c r="Z819" s="378"/>
      <c r="AA819" s="378"/>
      <c r="AB819" s="378"/>
      <c r="AC819" s="378"/>
      <c r="AD819" s="378"/>
      <c r="AE819" s="378"/>
      <c r="AF819" s="378"/>
      <c r="AG819" s="378"/>
    </row>
    <row r="820">
      <c r="A820" s="378"/>
      <c r="B820" s="464"/>
      <c r="C820" s="455"/>
      <c r="D820" s="435"/>
      <c r="E820" s="419"/>
      <c r="F820" s="419"/>
      <c r="G820" s="419"/>
      <c r="H820" s="429"/>
      <c r="I820" s="376"/>
      <c r="J820" s="467"/>
      <c r="K820" s="455"/>
      <c r="L820" s="435"/>
      <c r="M820" s="419"/>
      <c r="N820" s="431"/>
      <c r="O820" s="432"/>
      <c r="P820" s="429"/>
      <c r="Q820" s="378"/>
      <c r="R820" s="378"/>
      <c r="S820" s="378"/>
      <c r="T820" s="378"/>
      <c r="U820" s="378"/>
      <c r="V820" s="378"/>
      <c r="W820" s="378"/>
      <c r="X820" s="378"/>
      <c r="Y820" s="378"/>
      <c r="Z820" s="378"/>
      <c r="AA820" s="378"/>
      <c r="AB820" s="378"/>
      <c r="AC820" s="378"/>
      <c r="AD820" s="378"/>
      <c r="AE820" s="378"/>
      <c r="AF820" s="378"/>
      <c r="AG820" s="378"/>
    </row>
    <row r="821">
      <c r="A821" s="378"/>
      <c r="B821" s="454" t="s">
        <v>721</v>
      </c>
      <c r="C821" s="460" t="str">
        <f>SUM(C812:C820)</f>
        <v>#N/A</v>
      </c>
      <c r="D821" s="440"/>
      <c r="E821" s="419"/>
      <c r="F821" s="419"/>
      <c r="G821" s="419"/>
      <c r="H821" s="429"/>
      <c r="I821" s="376"/>
      <c r="J821" s="458" t="s">
        <v>721</v>
      </c>
      <c r="K821" s="460">
        <f>SUM(K812:K820)</f>
        <v>0</v>
      </c>
      <c r="L821" s="440"/>
      <c r="M821" s="419"/>
      <c r="N821" s="431"/>
      <c r="O821" s="432"/>
      <c r="P821" s="429"/>
      <c r="Q821" s="378"/>
      <c r="R821" s="378"/>
      <c r="S821" s="378"/>
      <c r="T821" s="378"/>
      <c r="U821" s="378"/>
      <c r="V821" s="378"/>
      <c r="W821" s="378"/>
      <c r="X821" s="378"/>
      <c r="Y821" s="378"/>
      <c r="Z821" s="378"/>
      <c r="AA821" s="378"/>
      <c r="AB821" s="378"/>
      <c r="AC821" s="378"/>
      <c r="AD821" s="378"/>
      <c r="AE821" s="378"/>
      <c r="AF821" s="378"/>
      <c r="AG821" s="378"/>
    </row>
    <row r="822">
      <c r="A822" s="378"/>
      <c r="B822" s="471"/>
      <c r="C822" s="472"/>
      <c r="D822" s="472"/>
      <c r="E822" s="472"/>
      <c r="F822" s="472"/>
      <c r="G822" s="472"/>
      <c r="H822" s="473"/>
      <c r="I822" s="376"/>
      <c r="J822" s="474"/>
      <c r="K822" s="472"/>
      <c r="L822" s="472"/>
      <c r="M822" s="472"/>
      <c r="N822" s="475"/>
      <c r="O822" s="476"/>
      <c r="P822" s="473"/>
      <c r="Q822" s="378"/>
      <c r="R822" s="378"/>
      <c r="S822" s="378"/>
      <c r="T822" s="378"/>
      <c r="U822" s="378"/>
      <c r="V822" s="378"/>
      <c r="W822" s="378"/>
      <c r="X822" s="378"/>
      <c r="Y822" s="378"/>
      <c r="Z822" s="378"/>
      <c r="AA822" s="378"/>
      <c r="AB822" s="378"/>
      <c r="AC822" s="378"/>
      <c r="AD822" s="378"/>
      <c r="AE822" s="378"/>
      <c r="AF822" s="378"/>
      <c r="AG822" s="378"/>
    </row>
    <row r="823">
      <c r="A823" s="378"/>
      <c r="B823" s="550"/>
      <c r="C823" s="463"/>
      <c r="D823" s="463"/>
      <c r="E823" s="463"/>
      <c r="F823" s="463"/>
      <c r="G823" s="463"/>
      <c r="H823" s="463"/>
      <c r="I823" s="376"/>
      <c r="J823" s="377"/>
      <c r="K823" s="378"/>
      <c r="L823" s="378"/>
      <c r="M823" s="378"/>
      <c r="N823" s="379"/>
      <c r="O823" s="380"/>
      <c r="P823" s="378"/>
      <c r="Q823" s="378"/>
      <c r="R823" s="378"/>
      <c r="S823" s="378"/>
      <c r="T823" s="378"/>
      <c r="U823" s="378"/>
      <c r="V823" s="378"/>
      <c r="W823" s="378"/>
      <c r="X823" s="378"/>
      <c r="Y823" s="378"/>
      <c r="Z823" s="378"/>
      <c r="AA823" s="378"/>
      <c r="AB823" s="378"/>
      <c r="AC823" s="378"/>
      <c r="AD823" s="378"/>
      <c r="AE823" s="378"/>
      <c r="AF823" s="378"/>
      <c r="AG823" s="378"/>
    </row>
    <row r="824">
      <c r="A824" s="378"/>
      <c r="B824" s="550"/>
      <c r="C824" s="463"/>
      <c r="D824" s="463"/>
      <c r="E824" s="463"/>
      <c r="F824" s="463"/>
      <c r="G824" s="463"/>
      <c r="H824" s="463"/>
      <c r="I824" s="376"/>
      <c r="J824" s="377"/>
      <c r="K824" s="378"/>
      <c r="L824" s="378"/>
      <c r="M824" s="378"/>
      <c r="N824" s="379"/>
      <c r="O824" s="380"/>
      <c r="P824" s="378"/>
      <c r="Q824" s="378"/>
      <c r="R824" s="378"/>
      <c r="S824" s="378"/>
      <c r="T824" s="378"/>
      <c r="U824" s="378"/>
      <c r="V824" s="378"/>
      <c r="W824" s="378"/>
      <c r="X824" s="378"/>
      <c r="Y824" s="378"/>
      <c r="Z824" s="378"/>
      <c r="AA824" s="378"/>
      <c r="AB824" s="378"/>
      <c r="AC824" s="378"/>
      <c r="AD824" s="378"/>
      <c r="AE824" s="378"/>
      <c r="AF824" s="378"/>
      <c r="AG824" s="378"/>
    </row>
    <row r="825">
      <c r="A825" s="378"/>
      <c r="B825" s="382"/>
      <c r="C825" s="388"/>
      <c r="D825" s="384"/>
      <c r="E825" s="385" t="s">
        <v>700</v>
      </c>
      <c r="F825" s="385" t="str">
        <f>Board!A2</f>
        <v>11.17.25-11.23.25</v>
      </c>
      <c r="G825" s="213"/>
      <c r="H825" s="211"/>
      <c r="I825" s="386">
        <v>25.0</v>
      </c>
      <c r="J825" s="583"/>
      <c r="K825" s="584"/>
      <c r="L825" s="585"/>
      <c r="M825" s="586" t="s">
        <v>700</v>
      </c>
      <c r="N825" s="587" t="str">
        <f>Board!A2</f>
        <v>11.17.25-11.23.25</v>
      </c>
      <c r="O825" s="213"/>
      <c r="P825" s="211"/>
      <c r="Q825" s="378"/>
      <c r="R825" s="389" t="s">
        <v>831</v>
      </c>
      <c r="S825" s="389" t="s">
        <v>652</v>
      </c>
      <c r="T825" s="390" t="s">
        <v>832</v>
      </c>
      <c r="U825" s="391" t="s">
        <v>833</v>
      </c>
      <c r="V825" s="389" t="s">
        <v>655</v>
      </c>
      <c r="W825" s="389" t="s">
        <v>8</v>
      </c>
      <c r="X825" s="389" t="s">
        <v>656</v>
      </c>
      <c r="Y825" s="390" t="s">
        <v>834</v>
      </c>
      <c r="Z825" s="392" t="s">
        <v>835</v>
      </c>
      <c r="AA825" s="390" t="s">
        <v>836</v>
      </c>
      <c r="AB825" s="390" t="s">
        <v>837</v>
      </c>
      <c r="AC825" s="393" t="s">
        <v>716</v>
      </c>
      <c r="AD825" s="393" t="s">
        <v>717</v>
      </c>
      <c r="AE825" s="393" t="s">
        <v>718</v>
      </c>
      <c r="AF825" s="394" t="s">
        <v>838</v>
      </c>
      <c r="AG825" s="394"/>
    </row>
    <row r="826">
      <c r="A826" s="378"/>
      <c r="B826" s="395"/>
      <c r="C826" s="372"/>
      <c r="D826" s="396"/>
      <c r="E826" s="385" t="s">
        <v>702</v>
      </c>
      <c r="F826" s="385" t="s">
        <v>902</v>
      </c>
      <c r="G826" s="213"/>
      <c r="H826" s="211"/>
      <c r="I826" s="376"/>
      <c r="J826" s="588"/>
      <c r="K826" s="589"/>
      <c r="L826" s="590"/>
      <c r="M826" s="586" t="s">
        <v>351</v>
      </c>
      <c r="N826" s="587" t="str">
        <f t="array" ref="N826">XLOOKUP(N827,Board!K:K,Board!J:J)</f>
        <v>Bellane Stender</v>
      </c>
      <c r="O826" s="213"/>
      <c r="P826" s="211"/>
      <c r="Q826" s="378"/>
      <c r="R826" s="398">
        <f>I825</f>
        <v>25</v>
      </c>
      <c r="S826" s="398">
        <f>F827</f>
        <v>9334</v>
      </c>
      <c r="T826" s="399" t="str">
        <f>G847</f>
        <v>#N/A</v>
      </c>
      <c r="U826" s="378" t="str">
        <f>N826</f>
        <v>Bellane Stender</v>
      </c>
      <c r="V826" s="380">
        <f>O847</f>
        <v>2734.8945</v>
      </c>
      <c r="W826" s="399">
        <f>P835</f>
        <v>2734.8945</v>
      </c>
      <c r="X826" s="399" t="str">
        <f>C846</f>
        <v>#N/A</v>
      </c>
      <c r="Y826" s="400">
        <f>N835</f>
        <v>4207.53</v>
      </c>
      <c r="Z826" s="378" t="str">
        <f>V827-V826</f>
        <v>#N/A</v>
      </c>
      <c r="AA826" s="378"/>
      <c r="AB826" s="378"/>
      <c r="AC826" s="401">
        <f>C843</f>
        <v>150</v>
      </c>
      <c r="AD826" s="401">
        <f>C844</f>
        <v>400</v>
      </c>
      <c r="AE826" s="401">
        <f>C845</f>
        <v>200</v>
      </c>
      <c r="AF826" s="530">
        <f>C847+C848+C849+C850+C851</f>
        <v>141.21</v>
      </c>
      <c r="AG826" s="398"/>
    </row>
    <row r="827">
      <c r="A827" s="378"/>
      <c r="B827" s="395"/>
      <c r="C827" s="372"/>
      <c r="D827" s="402"/>
      <c r="E827" s="385" t="s">
        <v>703</v>
      </c>
      <c r="F827" s="385">
        <v>9334.0</v>
      </c>
      <c r="G827" s="213"/>
      <c r="H827" s="211"/>
      <c r="I827" s="376"/>
      <c r="J827" s="588"/>
      <c r="K827" s="589"/>
      <c r="L827" s="591"/>
      <c r="M827" s="586" t="s">
        <v>703</v>
      </c>
      <c r="N827" s="587">
        <f>F827</f>
        <v>9334</v>
      </c>
      <c r="O827" s="213"/>
      <c r="P827" s="211"/>
      <c r="Q827" s="378"/>
      <c r="R827" s="378"/>
      <c r="S827" s="378"/>
      <c r="T827" s="378"/>
      <c r="U827" s="378" t="str">
        <f>F826</f>
        <v>Neta Globbal Logistics LLC</v>
      </c>
      <c r="V827" s="399" t="str">
        <f>G847</f>
        <v>#N/A</v>
      </c>
      <c r="W827" s="399">
        <f>H835</f>
        <v>6776</v>
      </c>
      <c r="X827" s="378"/>
      <c r="Y827" s="378"/>
      <c r="Z827" s="378"/>
      <c r="AA827" s="378"/>
      <c r="AB827" s="378"/>
      <c r="AC827" s="378"/>
      <c r="AD827" s="378"/>
      <c r="AE827" s="378"/>
      <c r="AF827" s="378"/>
      <c r="AG827" s="378"/>
    </row>
    <row r="828">
      <c r="A828" s="378"/>
      <c r="B828" s="403" t="s">
        <v>704</v>
      </c>
      <c r="C828" s="404" t="s">
        <v>5</v>
      </c>
      <c r="D828" s="405" t="s">
        <v>6</v>
      </c>
      <c r="E828" s="406" t="s">
        <v>7</v>
      </c>
      <c r="F828" s="404" t="s">
        <v>8</v>
      </c>
      <c r="G828" s="404" t="s">
        <v>706</v>
      </c>
      <c r="H828" s="404" t="s">
        <v>707</v>
      </c>
      <c r="I828" s="376"/>
      <c r="J828" s="592" t="s">
        <v>704</v>
      </c>
      <c r="K828" s="593" t="s">
        <v>5</v>
      </c>
      <c r="L828" s="594" t="s">
        <v>6</v>
      </c>
      <c r="M828" s="595" t="s">
        <v>7</v>
      </c>
      <c r="N828" s="596" t="s">
        <v>591</v>
      </c>
      <c r="O828" s="597" t="s">
        <v>839</v>
      </c>
      <c r="P828" s="593" t="s">
        <v>707</v>
      </c>
      <c r="Q828" s="378"/>
      <c r="R828" s="378"/>
      <c r="S828" s="378"/>
      <c r="T828" s="378"/>
      <c r="U828" s="378"/>
      <c r="V828" s="378"/>
      <c r="W828" s="378"/>
      <c r="X828" s="378"/>
      <c r="Y828" s="378"/>
      <c r="Z828" s="378"/>
      <c r="AA828" s="378"/>
      <c r="AB828" s="378"/>
      <c r="AC828" s="378"/>
      <c r="AD828" s="378"/>
      <c r="AE828" s="378"/>
      <c r="AF828" s="378"/>
      <c r="AG828" s="378"/>
    </row>
    <row r="829">
      <c r="A829" s="378"/>
      <c r="B829" s="555">
        <f>IFERROR(__xludf.DUMMYFUNCTION("FILTER(Board!C:G,Board!K:K=F827)"),45978.0)</f>
        <v>45978</v>
      </c>
      <c r="C829" s="404" t="str">
        <f>IFERROR(__xludf.DUMMYFUNCTION("""COMPUTED_VALUE"""),"BG1049391825")</f>
        <v>BG1049391825</v>
      </c>
      <c r="D829" s="405" t="str">
        <f>IFERROR(__xludf.DUMMYFUNCTION("""COMPUTED_VALUE"""),"Ocala, FL, 34471")</f>
        <v>Ocala, FL, 34471</v>
      </c>
      <c r="E829" s="406" t="str">
        <f>IFERROR(__xludf.DUMMYFUNCTION("""COMPUTED_VALUE"""),"Brownsville, TX, 78526")</f>
        <v>Brownsville, TX, 78526</v>
      </c>
      <c r="F829" s="414">
        <f>IFERROR(__xludf.DUMMYFUNCTION("""COMPUTED_VALUE"""),1500.0)</f>
        <v>1500</v>
      </c>
      <c r="G829" s="413">
        <v>0.88</v>
      </c>
      <c r="H829" s="414">
        <f t="shared" ref="H829:H833" si="44">F829*G829</f>
        <v>1320</v>
      </c>
      <c r="I829" s="376"/>
      <c r="J829" s="598">
        <f>IFERROR(__xludf.DUMMYFUNCTION("FILTER(Board!C:F,Board!K:K=N827)"),45978.0)</f>
        <v>45978</v>
      </c>
      <c r="K829" s="593" t="str">
        <f>IFERROR(__xludf.DUMMYFUNCTION("""COMPUTED_VALUE"""),"BG1049391825")</f>
        <v>BG1049391825</v>
      </c>
      <c r="L829" s="593" t="str">
        <f>IFERROR(__xludf.DUMMYFUNCTION("""COMPUTED_VALUE"""),"Ocala, FL, 34471")</f>
        <v>Ocala, FL, 34471</v>
      </c>
      <c r="M829" s="593" t="str">
        <f>IFERROR(__xludf.DUMMYFUNCTION("""COMPUTED_VALUE"""),"Brownsville, TX, 78526")</f>
        <v>Brownsville, TX, 78526</v>
      </c>
      <c r="N829" s="599">
        <f>IFERROR(__xludf.DUMMYFUNCTION("FILTER(Board!H:H,Board!K:K=N827)"),1330.0)</f>
        <v>1330</v>
      </c>
      <c r="O829" s="597">
        <v>0.65</v>
      </c>
      <c r="P829" s="600">
        <f t="shared" ref="P829:P833" si="45">N829*O829</f>
        <v>864.5</v>
      </c>
      <c r="Q829" s="378"/>
      <c r="R829" s="378"/>
      <c r="S829" s="378"/>
      <c r="T829" s="378"/>
      <c r="U829" s="378"/>
      <c r="V829" s="378"/>
      <c r="W829" s="378"/>
      <c r="X829" s="378"/>
      <c r="Y829" s="378"/>
      <c r="Z829" s="378"/>
      <c r="AA829" s="378"/>
      <c r="AB829" s="378"/>
      <c r="AC829" s="378"/>
      <c r="AD829" s="378"/>
      <c r="AE829" s="378"/>
      <c r="AF829" s="378"/>
      <c r="AG829" s="378"/>
    </row>
    <row r="830">
      <c r="A830" s="378"/>
      <c r="B830" s="555">
        <f>IFERROR(__xludf.DUMMYFUNCTION("""COMPUTED_VALUE"""),45980.0)</f>
        <v>45980</v>
      </c>
      <c r="C830" s="404" t="str">
        <f>IFERROR(__xludf.DUMMYFUNCTION("""COMPUTED_VALUE"""),"TR-0000270191-01")</f>
        <v>TR-0000270191-01</v>
      </c>
      <c r="D830" s="405" t="str">
        <f>IFERROR(__xludf.DUMMYFUNCTION("""COMPUTED_VALUE"""),", TX, 78521")</f>
        <v>, TX, 78521</v>
      </c>
      <c r="E830" s="406" t="str">
        <f>IFERROR(__xludf.DUMMYFUNCTION("""COMPUTED_VALUE"""),"Baton Rouge, LA, 70806")</f>
        <v>Baton Rouge, LA, 70806</v>
      </c>
      <c r="F830" s="414">
        <f>IFERROR(__xludf.DUMMYFUNCTION("""COMPUTED_VALUE"""),1350.0)</f>
        <v>1350</v>
      </c>
      <c r="G830" s="413">
        <v>0.88</v>
      </c>
      <c r="H830" s="414">
        <f t="shared" si="44"/>
        <v>1188</v>
      </c>
      <c r="I830" s="376"/>
      <c r="J830" s="601">
        <f>IFERROR(__xludf.DUMMYFUNCTION("""COMPUTED_VALUE"""),45980.0)</f>
        <v>45980</v>
      </c>
      <c r="K830" s="593" t="str">
        <f>IFERROR(__xludf.DUMMYFUNCTION("""COMPUTED_VALUE"""),"TR-0000270191-01")</f>
        <v>TR-0000270191-01</v>
      </c>
      <c r="L830" s="593" t="str">
        <f>IFERROR(__xludf.DUMMYFUNCTION("""COMPUTED_VALUE"""),", TX, 78521")</f>
        <v>, TX, 78521</v>
      </c>
      <c r="M830" s="593" t="str">
        <f>IFERROR(__xludf.DUMMYFUNCTION("""COMPUTED_VALUE"""),"Baton Rouge, LA, 70806")</f>
        <v>Baton Rouge, LA, 70806</v>
      </c>
      <c r="N830" s="599">
        <f>IFERROR(__xludf.DUMMYFUNCTION("""COMPUTED_VALUE"""),632.0)</f>
        <v>632</v>
      </c>
      <c r="O830" s="597">
        <v>0.65</v>
      </c>
      <c r="P830" s="600">
        <f t="shared" si="45"/>
        <v>410.8</v>
      </c>
      <c r="Q830" s="378"/>
      <c r="R830" s="378"/>
      <c r="S830" s="378"/>
      <c r="T830" s="378"/>
      <c r="U830" s="378"/>
      <c r="V830" s="378"/>
      <c r="W830" s="378"/>
      <c r="X830" s="378"/>
      <c r="Y830" s="378"/>
      <c r="Z830" s="378"/>
      <c r="AA830" s="378"/>
      <c r="AB830" s="378"/>
      <c r="AC830" s="378"/>
      <c r="AD830" s="378"/>
      <c r="AE830" s="378"/>
      <c r="AF830" s="378"/>
      <c r="AG830" s="378"/>
    </row>
    <row r="831">
      <c r="A831" s="378"/>
      <c r="B831" s="499">
        <f>IFERROR(__xludf.DUMMYFUNCTION("""COMPUTED_VALUE"""),45981.0)</f>
        <v>45981</v>
      </c>
      <c r="C831" s="421">
        <f>IFERROR(__xludf.DUMMYFUNCTION("""COMPUTED_VALUE"""),1761383.0)</f>
        <v>1761383</v>
      </c>
      <c r="D831" s="422" t="str">
        <f>IFERROR(__xludf.DUMMYFUNCTION("""COMPUTED_VALUE"""),"Baton Rouge, LA, 70807")</f>
        <v>Baton Rouge, LA, 70807</v>
      </c>
      <c r="E831" s="423" t="str">
        <f>IFERROR(__xludf.DUMMYFUNCTION("""COMPUTED_VALUE"""),"High Point, NC, 27263")</f>
        <v>High Point, NC, 27263</v>
      </c>
      <c r="F831" s="500">
        <f>IFERROR(__xludf.DUMMYFUNCTION("""COMPUTED_VALUE"""),1850.0)</f>
        <v>1850</v>
      </c>
      <c r="G831" s="413">
        <v>0.88</v>
      </c>
      <c r="H831" s="414">
        <f t="shared" si="44"/>
        <v>1628</v>
      </c>
      <c r="I831" s="376"/>
      <c r="J831" s="601">
        <f>IFERROR(__xludf.DUMMYFUNCTION("""COMPUTED_VALUE"""),45981.0)</f>
        <v>45981</v>
      </c>
      <c r="K831" s="593">
        <f>IFERROR(__xludf.DUMMYFUNCTION("""COMPUTED_VALUE"""),1761383.0)</f>
        <v>1761383</v>
      </c>
      <c r="L831" s="593" t="str">
        <f>IFERROR(__xludf.DUMMYFUNCTION("""COMPUTED_VALUE"""),"Baton Rouge, LA, 70807")</f>
        <v>Baton Rouge, LA, 70807</v>
      </c>
      <c r="M831" s="593" t="str">
        <f>IFERROR(__xludf.DUMMYFUNCTION("""COMPUTED_VALUE"""),"High Point, NC, 27263")</f>
        <v>High Point, NC, 27263</v>
      </c>
      <c r="N831" s="599">
        <f>IFERROR(__xludf.DUMMYFUNCTION("""COMPUTED_VALUE"""),860.0)</f>
        <v>860</v>
      </c>
      <c r="O831" s="597">
        <v>0.65</v>
      </c>
      <c r="P831" s="600">
        <f t="shared" si="45"/>
        <v>559</v>
      </c>
      <c r="Q831" s="378"/>
      <c r="R831" s="378"/>
      <c r="S831" s="378"/>
      <c r="T831" s="378"/>
      <c r="U831" s="378"/>
      <c r="V831" s="378"/>
      <c r="W831" s="378"/>
      <c r="X831" s="378"/>
      <c r="Y831" s="378"/>
      <c r="Z831" s="378"/>
      <c r="AA831" s="378"/>
      <c r="AB831" s="378"/>
      <c r="AC831" s="378"/>
      <c r="AD831" s="378"/>
      <c r="AE831" s="378"/>
      <c r="AF831" s="378"/>
      <c r="AG831" s="378"/>
    </row>
    <row r="832">
      <c r="A832" s="378"/>
      <c r="B832" s="499">
        <f>IFERROR(__xludf.DUMMYFUNCTION("""COMPUTED_VALUE"""),45982.0)</f>
        <v>45982</v>
      </c>
      <c r="C832" s="421">
        <f>IFERROR(__xludf.DUMMYFUNCTION("""COMPUTED_VALUE"""),2233146.0)</f>
        <v>2233146</v>
      </c>
      <c r="D832" s="422" t="str">
        <f>IFERROR(__xludf.DUMMYFUNCTION("""COMPUTED_VALUE"""),"Lexington, NC, 27295")</f>
        <v>Lexington, NC, 27295</v>
      </c>
      <c r="E832" s="423" t="str">
        <f>IFERROR(__xludf.DUMMYFUNCTION("""COMPUTED_VALUE"""),"Albany, GA, 31705")</f>
        <v>Albany, GA, 31705</v>
      </c>
      <c r="F832" s="500">
        <f>IFERROR(__xludf.DUMMYFUNCTION("""COMPUTED_VALUE"""),1500.0)</f>
        <v>1500</v>
      </c>
      <c r="G832" s="413">
        <v>0.88</v>
      </c>
      <c r="H832" s="414">
        <f t="shared" si="44"/>
        <v>1320</v>
      </c>
      <c r="I832" s="376"/>
      <c r="J832" s="601">
        <f>IFERROR(__xludf.DUMMYFUNCTION("""COMPUTED_VALUE"""),45982.0)</f>
        <v>45982</v>
      </c>
      <c r="K832" s="593">
        <f>IFERROR(__xludf.DUMMYFUNCTION("""COMPUTED_VALUE"""),2233146.0)</f>
        <v>2233146</v>
      </c>
      <c r="L832" s="594" t="str">
        <f>IFERROR(__xludf.DUMMYFUNCTION("""COMPUTED_VALUE"""),"Lexington, NC, 27295")</f>
        <v>Lexington, NC, 27295</v>
      </c>
      <c r="M832" s="595" t="str">
        <f>IFERROR(__xludf.DUMMYFUNCTION("""COMPUTED_VALUE"""),"Albany, GA, 31705")</f>
        <v>Albany, GA, 31705</v>
      </c>
      <c r="N832" s="599">
        <f>IFERROR(__xludf.DUMMYFUNCTION("""COMPUTED_VALUE"""),446.0)</f>
        <v>446</v>
      </c>
      <c r="O832" s="597">
        <v>0.65</v>
      </c>
      <c r="P832" s="600">
        <f t="shared" si="45"/>
        <v>289.9</v>
      </c>
      <c r="Q832" s="378"/>
      <c r="R832" s="378"/>
      <c r="S832" s="378"/>
      <c r="T832" s="378"/>
      <c r="U832" s="378"/>
      <c r="V832" s="378"/>
      <c r="W832" s="378"/>
      <c r="X832" s="378"/>
      <c r="Y832" s="378"/>
      <c r="Z832" s="378"/>
      <c r="AA832" s="378"/>
      <c r="AB832" s="378"/>
      <c r="AC832" s="378"/>
      <c r="AD832" s="378"/>
      <c r="AE832" s="378"/>
      <c r="AF832" s="378"/>
      <c r="AG832" s="378"/>
    </row>
    <row r="833">
      <c r="A833" s="378"/>
      <c r="B833" s="499">
        <f>IFERROR(__xludf.DUMMYFUNCTION("""COMPUTED_VALUE"""),45983.0)</f>
        <v>45983</v>
      </c>
      <c r="C833" s="421">
        <f>IFERROR(__xludf.DUMMYFUNCTION("""COMPUTED_VALUE"""),1761581.0)</f>
        <v>1761581</v>
      </c>
      <c r="D833" s="422" t="str">
        <f>IFERROR(__xludf.DUMMYFUNCTION("""COMPUTED_VALUE"""),"Ochlocknee, GA, 31773")</f>
        <v>Ochlocknee, GA, 31773</v>
      </c>
      <c r="E833" s="423" t="str">
        <f>IFERROR(__xludf.DUMMYFUNCTION("""COMPUTED_VALUE"""),"Northlake, TX, 76262")</f>
        <v>Northlake, TX, 76262</v>
      </c>
      <c r="F833" s="500">
        <f>IFERROR(__xludf.DUMMYFUNCTION("""COMPUTED_VALUE"""),1500.0)</f>
        <v>1500</v>
      </c>
      <c r="G833" s="413">
        <v>0.88</v>
      </c>
      <c r="H833" s="414">
        <f t="shared" si="44"/>
        <v>1320</v>
      </c>
      <c r="I833" s="376"/>
      <c r="J833" s="601">
        <f>IFERROR(__xludf.DUMMYFUNCTION("""COMPUTED_VALUE"""),45983.0)</f>
        <v>45983</v>
      </c>
      <c r="K833" s="593">
        <f>IFERROR(__xludf.DUMMYFUNCTION("""COMPUTED_VALUE"""),1761581.0)</f>
        <v>1761581</v>
      </c>
      <c r="L833" s="594" t="str">
        <f>IFERROR(__xludf.DUMMYFUNCTION("""COMPUTED_VALUE"""),"Ochlocknee, GA, 31773")</f>
        <v>Ochlocknee, GA, 31773</v>
      </c>
      <c r="M833" s="595" t="str">
        <f>IFERROR(__xludf.DUMMYFUNCTION("""COMPUTED_VALUE"""),"Northlake, TX, 76262")</f>
        <v>Northlake, TX, 76262</v>
      </c>
      <c r="N833" s="599">
        <f>IFERROR(__xludf.DUMMYFUNCTION("""COMPUTED_VALUE"""),939.53)</f>
        <v>939.53</v>
      </c>
      <c r="O833" s="597">
        <v>0.65</v>
      </c>
      <c r="P833" s="600">
        <f t="shared" si="45"/>
        <v>610.6945</v>
      </c>
      <c r="Q833" s="378"/>
      <c r="R833" s="378"/>
      <c r="S833" s="378"/>
      <c r="T833" s="378"/>
      <c r="U833" s="378"/>
      <c r="V833" s="378"/>
      <c r="W833" s="378"/>
      <c r="X833" s="378"/>
      <c r="Y833" s="378"/>
      <c r="Z833" s="378"/>
      <c r="AA833" s="378"/>
      <c r="AB833" s="378"/>
      <c r="AC833" s="378"/>
      <c r="AD833" s="378"/>
      <c r="AE833" s="378"/>
      <c r="AF833" s="378"/>
      <c r="AG833" s="378"/>
    </row>
    <row r="834">
      <c r="A834" s="378"/>
      <c r="B834" s="420"/>
      <c r="C834" s="421"/>
      <c r="D834" s="422"/>
      <c r="E834" s="423"/>
      <c r="F834" s="421"/>
      <c r="G834" s="413"/>
      <c r="H834" s="414"/>
      <c r="I834" s="376"/>
      <c r="J834" s="602"/>
      <c r="K834" s="593"/>
      <c r="L834" s="594"/>
      <c r="M834" s="595"/>
      <c r="N834" s="596"/>
      <c r="O834" s="597"/>
      <c r="P834" s="600"/>
      <c r="Q834" s="378"/>
      <c r="R834" s="378"/>
      <c r="S834" s="378"/>
      <c r="T834" s="378"/>
      <c r="U834" s="378"/>
      <c r="V834" s="378"/>
      <c r="W834" s="378"/>
      <c r="X834" s="378"/>
      <c r="Y834" s="378"/>
      <c r="Z834" s="378"/>
      <c r="AA834" s="378"/>
      <c r="AB834" s="378"/>
      <c r="AC834" s="378"/>
      <c r="AD834" s="378"/>
      <c r="AE834" s="378"/>
      <c r="AF834" s="378"/>
      <c r="AG834" s="378"/>
    </row>
    <row r="835">
      <c r="A835" s="378"/>
      <c r="B835" s="403" t="s">
        <v>711</v>
      </c>
      <c r="C835" s="224"/>
      <c r="D835" s="224"/>
      <c r="E835" s="222"/>
      <c r="F835" s="414">
        <f>SUM(F829:F834)</f>
        <v>7700</v>
      </c>
      <c r="G835" s="421"/>
      <c r="H835" s="414">
        <f>SUM(H829:H834)</f>
        <v>6776</v>
      </c>
      <c r="I835" s="376"/>
      <c r="J835" s="603" t="s">
        <v>711</v>
      </c>
      <c r="K835" s="224"/>
      <c r="L835" s="224"/>
      <c r="M835" s="222"/>
      <c r="N835" s="599">
        <f>SUM(N829:N834)</f>
        <v>4207.53</v>
      </c>
      <c r="O835" s="597"/>
      <c r="P835" s="600">
        <f>SUM(P829:P834)</f>
        <v>2734.8945</v>
      </c>
      <c r="Q835" s="378"/>
      <c r="R835" s="378"/>
      <c r="S835" s="378"/>
      <c r="T835" s="378"/>
      <c r="U835" s="378"/>
      <c r="V835" s="378"/>
      <c r="W835" s="378"/>
      <c r="X835" s="378"/>
      <c r="Y835" s="378"/>
      <c r="Z835" s="378"/>
      <c r="AA835" s="378"/>
      <c r="AB835" s="378"/>
      <c r="AC835" s="378"/>
      <c r="AD835" s="378"/>
      <c r="AE835" s="378"/>
      <c r="AF835" s="378"/>
      <c r="AG835" s="378"/>
    </row>
    <row r="836">
      <c r="A836" s="378"/>
      <c r="B836" s="428"/>
      <c r="C836" s="419"/>
      <c r="D836" s="419"/>
      <c r="E836" s="419"/>
      <c r="F836" s="419"/>
      <c r="G836" s="419"/>
      <c r="H836" s="429"/>
      <c r="I836" s="376"/>
      <c r="J836" s="604"/>
      <c r="K836" s="605"/>
      <c r="L836" s="605"/>
      <c r="M836" s="605"/>
      <c r="N836" s="606"/>
      <c r="O836" s="607"/>
      <c r="P836" s="608"/>
      <c r="Q836" s="378"/>
      <c r="R836" s="378"/>
      <c r="S836" s="378"/>
      <c r="T836" s="378"/>
      <c r="U836" s="378"/>
      <c r="V836" s="378"/>
      <c r="W836" s="378"/>
      <c r="X836" s="378"/>
      <c r="Y836" s="378"/>
      <c r="Z836" s="378"/>
      <c r="AA836" s="378"/>
      <c r="AB836" s="378"/>
      <c r="AC836" s="378"/>
      <c r="AD836" s="378"/>
      <c r="AE836" s="378"/>
      <c r="AF836" s="378"/>
      <c r="AG836" s="378"/>
    </row>
    <row r="837">
      <c r="A837" s="378"/>
      <c r="B837" s="433" t="s">
        <v>712</v>
      </c>
      <c r="C837" s="434"/>
      <c r="D837" s="435"/>
      <c r="E837" s="419"/>
      <c r="F837" s="419"/>
      <c r="G837" s="419"/>
      <c r="H837" s="429"/>
      <c r="I837" s="376"/>
      <c r="J837" s="437" t="s">
        <v>712</v>
      </c>
      <c r="K837" s="609"/>
      <c r="L837" s="610"/>
      <c r="M837" s="605"/>
      <c r="N837" s="606"/>
      <c r="O837" s="607"/>
      <c r="P837" s="608"/>
      <c r="Q837" s="378"/>
      <c r="R837" s="378"/>
      <c r="S837" s="378"/>
      <c r="T837" s="378"/>
      <c r="U837" s="378"/>
      <c r="V837" s="378"/>
      <c r="W837" s="378"/>
      <c r="X837" s="378"/>
      <c r="Y837" s="378"/>
      <c r="Z837" s="378"/>
      <c r="AA837" s="378"/>
      <c r="AB837" s="378"/>
      <c r="AC837" s="378"/>
      <c r="AD837" s="378"/>
      <c r="AE837" s="378"/>
      <c r="AF837" s="378"/>
      <c r="AG837" s="378"/>
    </row>
    <row r="838">
      <c r="A838" s="378"/>
      <c r="B838" s="438"/>
      <c r="C838" s="439"/>
      <c r="D838" s="440"/>
      <c r="E838" s="419"/>
      <c r="F838" s="419"/>
      <c r="G838" s="419"/>
      <c r="H838" s="429"/>
      <c r="I838" s="376"/>
      <c r="J838" s="443"/>
      <c r="K838" s="611"/>
      <c r="L838" s="612"/>
      <c r="M838" s="605"/>
      <c r="N838" s="606"/>
      <c r="O838" s="607"/>
      <c r="P838" s="608"/>
      <c r="Q838" s="378"/>
      <c r="R838" s="378"/>
      <c r="S838" s="378"/>
      <c r="T838" s="378"/>
      <c r="U838" s="378"/>
      <c r="V838" s="378"/>
      <c r="W838" s="378"/>
      <c r="X838" s="378"/>
      <c r="Y838" s="378"/>
      <c r="Z838" s="378"/>
      <c r="AA838" s="378"/>
      <c r="AB838" s="378"/>
      <c r="AC838" s="378"/>
      <c r="AD838" s="378"/>
      <c r="AE838" s="378"/>
      <c r="AF838" s="378"/>
      <c r="AG838" s="378"/>
    </row>
    <row r="839">
      <c r="A839" s="378"/>
      <c r="B839" s="444"/>
      <c r="C839" s="434"/>
      <c r="D839" s="435"/>
      <c r="E839" s="419"/>
      <c r="F839" s="463"/>
      <c r="G839" s="463"/>
      <c r="H839" s="448"/>
      <c r="I839" s="376"/>
      <c r="J839" s="445"/>
      <c r="K839" s="609"/>
      <c r="L839" s="610"/>
      <c r="M839" s="605"/>
      <c r="N839" s="606"/>
      <c r="O839" s="607"/>
      <c r="P839" s="608"/>
      <c r="Q839" s="378"/>
      <c r="R839" s="378"/>
      <c r="S839" s="378"/>
      <c r="T839" s="378"/>
      <c r="U839" s="378"/>
      <c r="V839" s="378"/>
      <c r="W839" s="378"/>
      <c r="X839" s="378"/>
      <c r="Y839" s="378"/>
      <c r="Z839" s="378"/>
      <c r="AA839" s="378"/>
      <c r="AB839" s="378"/>
      <c r="AC839" s="378"/>
      <c r="AD839" s="378"/>
      <c r="AE839" s="378"/>
      <c r="AF839" s="378"/>
      <c r="AG839" s="378"/>
    </row>
    <row r="840">
      <c r="A840" s="378"/>
      <c r="B840" s="438" t="s">
        <v>714</v>
      </c>
      <c r="C840" s="439">
        <f>SUM(C838:C839)</f>
        <v>0</v>
      </c>
      <c r="D840" s="440"/>
      <c r="E840" s="419"/>
      <c r="F840" s="463"/>
      <c r="G840" s="463"/>
      <c r="H840" s="448"/>
      <c r="I840" s="376"/>
      <c r="J840" s="443" t="s">
        <v>714</v>
      </c>
      <c r="K840" s="611">
        <f>SUM(K838:K839)</f>
        <v>0</v>
      </c>
      <c r="L840" s="612"/>
      <c r="M840" s="605"/>
      <c r="N840" s="606"/>
      <c r="O840" s="607"/>
      <c r="P840" s="608"/>
      <c r="Q840" s="378"/>
      <c r="R840" s="378"/>
      <c r="S840" s="378"/>
      <c r="T840" s="378"/>
      <c r="U840" s="378"/>
      <c r="V840" s="378"/>
      <c r="W840" s="378"/>
      <c r="X840" s="378"/>
      <c r="Y840" s="378"/>
      <c r="Z840" s="378"/>
      <c r="AA840" s="378"/>
      <c r="AB840" s="378"/>
      <c r="AC840" s="378"/>
      <c r="AD840" s="378"/>
      <c r="AE840" s="378"/>
      <c r="AF840" s="378"/>
      <c r="AG840" s="378"/>
    </row>
    <row r="841">
      <c r="A841" s="378"/>
      <c r="B841" s="450"/>
      <c r="C841" s="451"/>
      <c r="D841" s="419"/>
      <c r="E841" s="419"/>
      <c r="F841" s="463"/>
      <c r="G841" s="463"/>
      <c r="H841" s="448"/>
      <c r="I841" s="376"/>
      <c r="J841" s="613"/>
      <c r="K841" s="614"/>
      <c r="L841" s="605"/>
      <c r="M841" s="605"/>
      <c r="N841" s="606"/>
      <c r="O841" s="607"/>
      <c r="P841" s="608"/>
      <c r="Q841" s="378"/>
      <c r="R841" s="378"/>
      <c r="S841" s="378"/>
      <c r="T841" s="378"/>
      <c r="U841" s="378"/>
      <c r="V841" s="378"/>
      <c r="W841" s="378"/>
      <c r="X841" s="378"/>
      <c r="Y841" s="378"/>
      <c r="Z841" s="378"/>
      <c r="AA841" s="378"/>
      <c r="AB841" s="378"/>
      <c r="AC841" s="378"/>
      <c r="AD841" s="378"/>
      <c r="AE841" s="378"/>
      <c r="AF841" s="378"/>
      <c r="AG841" s="378"/>
    </row>
    <row r="842">
      <c r="A842" s="378"/>
      <c r="B842" s="454" t="s">
        <v>715</v>
      </c>
      <c r="C842" s="455"/>
      <c r="D842" s="435"/>
      <c r="E842" s="419"/>
      <c r="F842" s="463"/>
      <c r="G842" s="463"/>
      <c r="H842" s="448"/>
      <c r="I842" s="376"/>
      <c r="J842" s="615" t="s">
        <v>715</v>
      </c>
      <c r="K842" s="616"/>
      <c r="L842" s="610"/>
      <c r="M842" s="605"/>
      <c r="N842" s="606"/>
      <c r="O842" s="607"/>
      <c r="P842" s="608"/>
      <c r="Q842" s="378"/>
      <c r="R842" s="378"/>
      <c r="S842" s="378"/>
      <c r="T842" s="378"/>
      <c r="U842" s="378"/>
      <c r="V842" s="378"/>
      <c r="W842" s="378"/>
      <c r="X842" s="378"/>
      <c r="Y842" s="378"/>
      <c r="Z842" s="378"/>
      <c r="AA842" s="378"/>
      <c r="AB842" s="378"/>
      <c r="AC842" s="378"/>
      <c r="AD842" s="378"/>
      <c r="AE842" s="378"/>
      <c r="AF842" s="378"/>
      <c r="AG842" s="378"/>
    </row>
    <row r="843">
      <c r="A843" s="378"/>
      <c r="B843" s="459" t="s">
        <v>716</v>
      </c>
      <c r="C843" s="460">
        <v>150.0</v>
      </c>
      <c r="D843" s="440"/>
      <c r="E843" s="419"/>
      <c r="F843" s="463"/>
      <c r="G843" s="463"/>
      <c r="H843" s="448"/>
      <c r="I843" s="376"/>
      <c r="J843" s="617"/>
      <c r="K843" s="618"/>
      <c r="L843" s="612"/>
      <c r="M843" s="605"/>
      <c r="N843" s="606"/>
      <c r="O843" s="607"/>
      <c r="P843" s="608"/>
      <c r="Q843" s="378"/>
      <c r="R843" s="378"/>
      <c r="S843" s="378"/>
      <c r="T843" s="378"/>
      <c r="U843" s="378"/>
      <c r="V843" s="378"/>
      <c r="W843" s="378"/>
      <c r="X843" s="378"/>
      <c r="Y843" s="378"/>
      <c r="Z843" s="378"/>
      <c r="AA843" s="378"/>
      <c r="AB843" s="378"/>
      <c r="AC843" s="378"/>
      <c r="AD843" s="378"/>
      <c r="AE843" s="378"/>
      <c r="AF843" s="378"/>
      <c r="AG843" s="378"/>
    </row>
    <row r="844">
      <c r="A844" s="378"/>
      <c r="B844" s="459" t="s">
        <v>717</v>
      </c>
      <c r="C844" s="460">
        <v>400.0</v>
      </c>
      <c r="D844" s="440"/>
      <c r="E844" s="419"/>
      <c r="F844" s="463"/>
      <c r="G844" s="463"/>
      <c r="H844" s="448"/>
      <c r="I844" s="376"/>
      <c r="J844" s="617"/>
      <c r="K844" s="618"/>
      <c r="L844" s="612"/>
      <c r="M844" s="605"/>
      <c r="N844" s="606"/>
      <c r="O844" s="607"/>
      <c r="P844" s="608"/>
      <c r="Q844" s="378"/>
      <c r="R844" s="378"/>
      <c r="S844" s="378"/>
      <c r="T844" s="378"/>
      <c r="U844" s="378"/>
      <c r="V844" s="378"/>
      <c r="W844" s="378"/>
      <c r="X844" s="378"/>
      <c r="Y844" s="378"/>
      <c r="Z844" s="378"/>
      <c r="AA844" s="378"/>
      <c r="AB844" s="378"/>
      <c r="AC844" s="378"/>
      <c r="AD844" s="378"/>
      <c r="AE844" s="378"/>
      <c r="AF844" s="378"/>
      <c r="AG844" s="378"/>
    </row>
    <row r="845">
      <c r="A845" s="378"/>
      <c r="B845" s="459" t="s">
        <v>718</v>
      </c>
      <c r="C845" s="460">
        <v>200.0</v>
      </c>
      <c r="D845" s="440"/>
      <c r="E845" s="419"/>
      <c r="F845" s="463"/>
      <c r="G845" s="463"/>
      <c r="H845" s="448"/>
      <c r="I845" s="376"/>
      <c r="J845" s="617"/>
      <c r="K845" s="618"/>
      <c r="L845" s="612"/>
      <c r="M845" s="605"/>
      <c r="N845" s="606"/>
      <c r="O845" s="607"/>
      <c r="P845" s="608"/>
      <c r="Q845" s="378"/>
      <c r="R845" s="378"/>
      <c r="S845" s="378"/>
      <c r="T845" s="378"/>
      <c r="U845" s="378"/>
      <c r="V845" s="378"/>
      <c r="W845" s="378"/>
      <c r="X845" s="378"/>
      <c r="Y845" s="378"/>
      <c r="Z845" s="378"/>
      <c r="AA845" s="378"/>
      <c r="AB845" s="378"/>
      <c r="AC845" s="378"/>
      <c r="AD845" s="378"/>
      <c r="AE845" s="378"/>
      <c r="AF845" s="378"/>
      <c r="AG845" s="378"/>
    </row>
    <row r="846">
      <c r="A846" s="378"/>
      <c r="B846" s="459" t="s">
        <v>656</v>
      </c>
      <c r="C846" s="460" t="str">
        <f>IFERROR(__xludf.DUMMYFUNCTION("FILTER(D1045:D1073,C1045:C1073=F827)"),"#N/A")</f>
        <v>#N/A</v>
      </c>
      <c r="D846" s="440"/>
      <c r="E846" s="419"/>
      <c r="F846" s="463"/>
      <c r="G846" s="463"/>
      <c r="H846" s="448"/>
      <c r="I846" s="376"/>
      <c r="J846" s="617"/>
      <c r="K846" s="618"/>
      <c r="L846" s="612"/>
      <c r="M846" s="605"/>
      <c r="N846" s="606"/>
      <c r="O846" s="607"/>
      <c r="P846" s="608"/>
      <c r="Q846" s="378"/>
      <c r="R846" s="378"/>
      <c r="S846" s="378"/>
      <c r="T846" s="378"/>
      <c r="U846" s="378"/>
      <c r="V846" s="378"/>
      <c r="W846" s="378"/>
      <c r="X846" s="378"/>
      <c r="Y846" s="378"/>
      <c r="Z846" s="378"/>
      <c r="AA846" s="378"/>
      <c r="AB846" s="378"/>
      <c r="AC846" s="378"/>
      <c r="AD846" s="378"/>
      <c r="AE846" s="378"/>
      <c r="AF846" s="378"/>
      <c r="AG846" s="378"/>
    </row>
    <row r="847">
      <c r="A847" s="378"/>
      <c r="B847" s="454" t="s">
        <v>903</v>
      </c>
      <c r="C847" s="537">
        <v>141.21</v>
      </c>
      <c r="D847" s="435"/>
      <c r="E847" s="419"/>
      <c r="F847" s="468" t="s">
        <v>842</v>
      </c>
      <c r="G847" s="466" t="str">
        <f>H835+C840-C852</f>
        <v>#N/A</v>
      </c>
      <c r="H847" s="211"/>
      <c r="I847" s="376"/>
      <c r="J847" s="615"/>
      <c r="K847" s="616"/>
      <c r="L847" s="610"/>
      <c r="M847" s="605"/>
      <c r="N847" s="619" t="s">
        <v>842</v>
      </c>
      <c r="O847" s="620">
        <f>P835+K840-K852</f>
        <v>2734.8945</v>
      </c>
      <c r="P847" s="211"/>
      <c r="Q847" s="378"/>
      <c r="R847" s="378"/>
      <c r="S847" s="378"/>
      <c r="T847" s="378"/>
      <c r="U847" s="378"/>
      <c r="V847" s="378"/>
      <c r="W847" s="378"/>
      <c r="X847" s="378"/>
      <c r="Y847" s="378"/>
      <c r="Z847" s="378"/>
      <c r="AA847" s="378"/>
      <c r="AB847" s="378"/>
      <c r="AC847" s="378"/>
      <c r="AD847" s="378"/>
      <c r="AE847" s="378"/>
      <c r="AF847" s="378"/>
      <c r="AG847" s="378"/>
    </row>
    <row r="848">
      <c r="A848" s="378"/>
      <c r="B848" s="464"/>
      <c r="C848" s="455"/>
      <c r="D848" s="435"/>
      <c r="E848" s="419"/>
      <c r="F848" s="469" t="s">
        <v>843</v>
      </c>
      <c r="G848" s="278"/>
      <c r="H848" s="56"/>
      <c r="I848" s="376"/>
      <c r="J848" s="615"/>
      <c r="K848" s="616"/>
      <c r="L848" s="610"/>
      <c r="M848" s="605"/>
      <c r="N848" s="621" t="s">
        <v>854</v>
      </c>
      <c r="O848" s="278"/>
      <c r="P848" s="56"/>
      <c r="Q848" s="378"/>
      <c r="R848" s="378"/>
      <c r="S848" s="378"/>
      <c r="T848" s="378"/>
      <c r="U848" s="378"/>
      <c r="V848" s="378"/>
      <c r="W848" s="378"/>
      <c r="X848" s="378"/>
      <c r="Y848" s="378"/>
      <c r="Z848" s="378"/>
      <c r="AA848" s="378"/>
      <c r="AB848" s="378"/>
      <c r="AC848" s="378"/>
      <c r="AD848" s="378"/>
      <c r="AE848" s="378"/>
      <c r="AF848" s="378"/>
      <c r="AG848" s="378"/>
    </row>
    <row r="849">
      <c r="A849" s="378"/>
      <c r="B849" s="464"/>
      <c r="C849" s="455"/>
      <c r="D849" s="435"/>
      <c r="E849" s="419"/>
      <c r="F849" s="470"/>
      <c r="G849" s="215"/>
      <c r="H849" s="64"/>
      <c r="I849" s="376"/>
      <c r="J849" s="615"/>
      <c r="K849" s="616"/>
      <c r="L849" s="610"/>
      <c r="M849" s="605"/>
      <c r="N849" s="622"/>
      <c r="O849" s="215"/>
      <c r="P849" s="64"/>
      <c r="Q849" s="378"/>
      <c r="R849" s="378"/>
      <c r="S849" s="378"/>
      <c r="T849" s="378"/>
      <c r="U849" s="378"/>
      <c r="V849" s="378"/>
      <c r="W849" s="378"/>
      <c r="X849" s="378"/>
      <c r="Y849" s="378"/>
      <c r="Z849" s="378"/>
      <c r="AA849" s="378"/>
      <c r="AB849" s="378"/>
      <c r="AC849" s="378"/>
      <c r="AD849" s="378"/>
      <c r="AE849" s="378"/>
      <c r="AF849" s="378"/>
      <c r="AG849" s="378"/>
    </row>
    <row r="850">
      <c r="A850" s="378"/>
      <c r="B850" s="464"/>
      <c r="C850" s="455"/>
      <c r="D850" s="435"/>
      <c r="E850" s="419"/>
      <c r="F850" s="419"/>
      <c r="G850" s="419"/>
      <c r="H850" s="429"/>
      <c r="I850" s="376"/>
      <c r="J850" s="615"/>
      <c r="K850" s="616"/>
      <c r="L850" s="610"/>
      <c r="M850" s="605"/>
      <c r="N850" s="606"/>
      <c r="O850" s="607"/>
      <c r="P850" s="608"/>
      <c r="Q850" s="378"/>
      <c r="R850" s="378"/>
      <c r="S850" s="378"/>
      <c r="T850" s="378"/>
      <c r="U850" s="378"/>
      <c r="V850" s="378"/>
      <c r="W850" s="378"/>
      <c r="X850" s="378"/>
      <c r="Y850" s="378"/>
      <c r="Z850" s="378"/>
      <c r="AA850" s="378"/>
      <c r="AB850" s="378"/>
      <c r="AC850" s="378"/>
      <c r="AD850" s="378"/>
      <c r="AE850" s="378"/>
      <c r="AF850" s="378"/>
      <c r="AG850" s="378"/>
    </row>
    <row r="851">
      <c r="A851" s="378"/>
      <c r="B851" s="464"/>
      <c r="C851" s="455"/>
      <c r="D851" s="435"/>
      <c r="E851" s="419"/>
      <c r="F851" s="419"/>
      <c r="G851" s="419"/>
      <c r="H851" s="429"/>
      <c r="I851" s="376"/>
      <c r="J851" s="615"/>
      <c r="K851" s="616"/>
      <c r="L851" s="610"/>
      <c r="M851" s="605"/>
      <c r="N851" s="606"/>
      <c r="O851" s="607"/>
      <c r="P851" s="608"/>
      <c r="Q851" s="378"/>
      <c r="R851" s="378"/>
      <c r="S851" s="378"/>
      <c r="T851" s="378"/>
      <c r="U851" s="378"/>
      <c r="V851" s="378"/>
      <c r="W851" s="378"/>
      <c r="X851" s="378"/>
      <c r="Y851" s="378"/>
      <c r="Z851" s="378"/>
      <c r="AA851" s="378"/>
      <c r="AB851" s="378"/>
      <c r="AC851" s="378"/>
      <c r="AD851" s="378"/>
      <c r="AE851" s="378"/>
      <c r="AF851" s="378"/>
      <c r="AG851" s="378"/>
    </row>
    <row r="852">
      <c r="A852" s="378"/>
      <c r="B852" s="454" t="s">
        <v>721</v>
      </c>
      <c r="C852" s="460" t="str">
        <f>SUM(C843:C851)</f>
        <v>#N/A</v>
      </c>
      <c r="D852" s="440"/>
      <c r="E852" s="419"/>
      <c r="F852" s="419"/>
      <c r="G852" s="419"/>
      <c r="H852" s="429"/>
      <c r="I852" s="376"/>
      <c r="J852" s="615" t="s">
        <v>721</v>
      </c>
      <c r="K852" s="618">
        <f>SUM(K843:K851)</f>
        <v>0</v>
      </c>
      <c r="L852" s="612"/>
      <c r="M852" s="605"/>
      <c r="N852" s="606"/>
      <c r="O852" s="607"/>
      <c r="P852" s="608"/>
      <c r="Q852" s="378"/>
      <c r="R852" s="378"/>
      <c r="S852" s="378"/>
      <c r="T852" s="378"/>
      <c r="U852" s="378"/>
      <c r="V852" s="378"/>
      <c r="W852" s="378"/>
      <c r="X852" s="378"/>
      <c r="Y852" s="378"/>
      <c r="Z852" s="378"/>
      <c r="AA852" s="378"/>
      <c r="AB852" s="378"/>
      <c r="AC852" s="378"/>
      <c r="AD852" s="378"/>
      <c r="AE852" s="378"/>
      <c r="AF852" s="378"/>
      <c r="AG852" s="378"/>
    </row>
    <row r="853">
      <c r="A853" s="378"/>
      <c r="B853" s="471"/>
      <c r="C853" s="472"/>
      <c r="D853" s="472"/>
      <c r="E853" s="472"/>
      <c r="F853" s="472"/>
      <c r="G853" s="472"/>
      <c r="H853" s="473"/>
      <c r="I853" s="376"/>
      <c r="J853" s="623"/>
      <c r="K853" s="624"/>
      <c r="L853" s="624"/>
      <c r="M853" s="624"/>
      <c r="N853" s="625"/>
      <c r="O853" s="626"/>
      <c r="P853" s="627"/>
      <c r="Q853" s="378"/>
      <c r="R853" s="378"/>
      <c r="S853" s="378"/>
      <c r="T853" s="378"/>
      <c r="U853" s="378"/>
      <c r="V853" s="378"/>
      <c r="W853" s="378"/>
      <c r="X853" s="378"/>
      <c r="Y853" s="378"/>
      <c r="Z853" s="378"/>
      <c r="AA853" s="378"/>
      <c r="AB853" s="378"/>
      <c r="AC853" s="378"/>
      <c r="AD853" s="378"/>
      <c r="AE853" s="378"/>
      <c r="AF853" s="378"/>
      <c r="AG853" s="378"/>
    </row>
    <row r="854">
      <c r="A854" s="378"/>
      <c r="B854" s="550"/>
      <c r="C854" s="463"/>
      <c r="D854" s="463"/>
      <c r="E854" s="463"/>
      <c r="F854" s="463"/>
      <c r="G854" s="463"/>
      <c r="H854" s="463"/>
      <c r="I854" s="376"/>
      <c r="J854" s="377"/>
      <c r="K854" s="378"/>
      <c r="L854" s="378"/>
      <c r="M854" s="378"/>
      <c r="N854" s="379"/>
      <c r="O854" s="380"/>
      <c r="P854" s="378"/>
      <c r="Q854" s="378"/>
      <c r="R854" s="378"/>
      <c r="S854" s="378"/>
      <c r="T854" s="378"/>
      <c r="U854" s="378"/>
      <c r="V854" s="378"/>
      <c r="W854" s="378"/>
      <c r="X854" s="378"/>
      <c r="Y854" s="378"/>
      <c r="Z854" s="378"/>
      <c r="AA854" s="378"/>
      <c r="AB854" s="378"/>
      <c r="AC854" s="378"/>
      <c r="AD854" s="378"/>
      <c r="AE854" s="378"/>
      <c r="AF854" s="378"/>
      <c r="AG854" s="378"/>
    </row>
    <row r="855">
      <c r="A855" s="378"/>
      <c r="B855" s="550"/>
      <c r="C855" s="463"/>
      <c r="D855" s="463"/>
      <c r="E855" s="463"/>
      <c r="F855" s="463"/>
      <c r="G855" s="463"/>
      <c r="H855" s="463"/>
      <c r="I855" s="376"/>
      <c r="J855" s="377"/>
      <c r="K855" s="378"/>
      <c r="L855" s="378"/>
      <c r="M855" s="378"/>
      <c r="N855" s="379"/>
      <c r="O855" s="380"/>
      <c r="P855" s="378"/>
      <c r="Q855" s="378"/>
      <c r="R855" s="378"/>
      <c r="S855" s="378"/>
      <c r="T855" s="378"/>
      <c r="U855" s="378"/>
      <c r="V855" s="378"/>
      <c r="W855" s="378"/>
      <c r="X855" s="378"/>
      <c r="Y855" s="378"/>
      <c r="Z855" s="378"/>
      <c r="AA855" s="378"/>
      <c r="AB855" s="378"/>
      <c r="AC855" s="378"/>
      <c r="AD855" s="378"/>
      <c r="AE855" s="378"/>
      <c r="AF855" s="378"/>
      <c r="AG855" s="378"/>
    </row>
    <row r="856">
      <c r="A856" s="378"/>
      <c r="B856" s="382"/>
      <c r="C856" s="383"/>
      <c r="D856" s="384"/>
      <c r="E856" s="385" t="s">
        <v>700</v>
      </c>
      <c r="F856" s="385" t="str">
        <f>Board!A2</f>
        <v>11.17.25-11.23.25</v>
      </c>
      <c r="G856" s="213"/>
      <c r="H856" s="211"/>
      <c r="I856" s="386">
        <v>26.0</v>
      </c>
      <c r="J856" s="583"/>
      <c r="K856" s="584"/>
      <c r="L856" s="585"/>
      <c r="M856" s="586" t="s">
        <v>700</v>
      </c>
      <c r="N856" s="587" t="str">
        <f>Board!A2</f>
        <v>11.17.25-11.23.25</v>
      </c>
      <c r="O856" s="213"/>
      <c r="P856" s="211"/>
      <c r="Q856" s="378"/>
      <c r="R856" s="389" t="s">
        <v>831</v>
      </c>
      <c r="S856" s="389" t="s">
        <v>652</v>
      </c>
      <c r="T856" s="390" t="s">
        <v>832</v>
      </c>
      <c r="U856" s="391" t="s">
        <v>833</v>
      </c>
      <c r="V856" s="389" t="s">
        <v>655</v>
      </c>
      <c r="W856" s="389" t="s">
        <v>8</v>
      </c>
      <c r="X856" s="389" t="s">
        <v>656</v>
      </c>
      <c r="Y856" s="390" t="s">
        <v>834</v>
      </c>
      <c r="Z856" s="392" t="s">
        <v>835</v>
      </c>
      <c r="AA856" s="390" t="s">
        <v>836</v>
      </c>
      <c r="AB856" s="390" t="s">
        <v>837</v>
      </c>
      <c r="AC856" s="393" t="s">
        <v>716</v>
      </c>
      <c r="AD856" s="393" t="s">
        <v>717</v>
      </c>
      <c r="AE856" s="393" t="s">
        <v>718</v>
      </c>
      <c r="AF856" s="394" t="s">
        <v>838</v>
      </c>
      <c r="AG856" s="394"/>
    </row>
    <row r="857">
      <c r="A857" s="378"/>
      <c r="B857" s="395"/>
      <c r="C857" s="372"/>
      <c r="D857" s="396"/>
      <c r="E857" s="385" t="s">
        <v>702</v>
      </c>
      <c r="F857" s="385" t="s">
        <v>664</v>
      </c>
      <c r="G857" s="213"/>
      <c r="H857" s="211"/>
      <c r="I857" s="376"/>
      <c r="J857" s="588"/>
      <c r="K857" s="589"/>
      <c r="L857" s="590"/>
      <c r="M857" s="586" t="s">
        <v>351</v>
      </c>
      <c r="N857" s="587" t="str">
        <f t="array" ref="N857">XLOOKUP(N858,Board!K:K,Board!J:J)</f>
        <v>WOODBENS JOSIL</v>
      </c>
      <c r="O857" s="213"/>
      <c r="P857" s="211"/>
      <c r="Q857" s="378"/>
      <c r="R857" s="398">
        <f>I856</f>
        <v>26</v>
      </c>
      <c r="S857" s="398">
        <f>F858</f>
        <v>9348</v>
      </c>
      <c r="T857" s="399" t="str">
        <f>G878</f>
        <v>#N/A</v>
      </c>
      <c r="U857" s="378" t="str">
        <f>N857</f>
        <v>WOODBENS JOSIL</v>
      </c>
      <c r="V857" s="380">
        <f>O878</f>
        <v>2469.85</v>
      </c>
      <c r="W857" s="399">
        <f>P866</f>
        <v>2319.85</v>
      </c>
      <c r="X857" s="399" t="str">
        <f>C877</f>
        <v>#N/A</v>
      </c>
      <c r="Y857" s="400">
        <f>N866</f>
        <v>3569</v>
      </c>
      <c r="Z857" s="378" t="str">
        <f>V858-V857</f>
        <v>#N/A</v>
      </c>
      <c r="AA857" s="378"/>
      <c r="AB857" s="378"/>
      <c r="AC857" s="401">
        <f>C874</f>
        <v>150</v>
      </c>
      <c r="AD857" s="401">
        <f>C875</f>
        <v>400</v>
      </c>
      <c r="AE857" s="401">
        <f>C876</f>
        <v>200</v>
      </c>
      <c r="AF857" s="398">
        <f>C878+C879+C880+C881+C882</f>
        <v>0</v>
      </c>
      <c r="AG857" s="398"/>
    </row>
    <row r="858">
      <c r="A858" s="378"/>
      <c r="B858" s="395"/>
      <c r="C858" s="372"/>
      <c r="D858" s="402"/>
      <c r="E858" s="385" t="s">
        <v>703</v>
      </c>
      <c r="F858" s="385">
        <v>9348.0</v>
      </c>
      <c r="G858" s="213"/>
      <c r="H858" s="211"/>
      <c r="I858" s="376"/>
      <c r="J858" s="588"/>
      <c r="K858" s="589"/>
      <c r="L858" s="591"/>
      <c r="M858" s="586" t="s">
        <v>703</v>
      </c>
      <c r="N858" s="587">
        <f>F858</f>
        <v>9348</v>
      </c>
      <c r="O858" s="213"/>
      <c r="P858" s="211"/>
      <c r="Q858" s="378"/>
      <c r="R858" s="378"/>
      <c r="S858" s="378"/>
      <c r="T858" s="378"/>
      <c r="U858" s="378" t="str">
        <f>F857</f>
        <v>Ada Fleet LLC</v>
      </c>
      <c r="V858" s="399" t="str">
        <f>G878</f>
        <v>#N/A</v>
      </c>
      <c r="W858" s="399">
        <f>H866</f>
        <v>6105</v>
      </c>
      <c r="X858" s="378"/>
      <c r="Y858" s="378"/>
      <c r="Z858" s="378"/>
      <c r="AA858" s="378"/>
      <c r="AB858" s="378"/>
      <c r="AC858" s="378"/>
      <c r="AD858" s="378"/>
      <c r="AE858" s="378"/>
      <c r="AF858" s="378"/>
      <c r="AG858" s="378"/>
    </row>
    <row r="859">
      <c r="A859" s="378"/>
      <c r="B859" s="403" t="s">
        <v>704</v>
      </c>
      <c r="C859" s="404" t="s">
        <v>5</v>
      </c>
      <c r="D859" s="405" t="s">
        <v>6</v>
      </c>
      <c r="E859" s="406" t="s">
        <v>7</v>
      </c>
      <c r="F859" s="404" t="s">
        <v>8</v>
      </c>
      <c r="G859" s="404" t="s">
        <v>706</v>
      </c>
      <c r="H859" s="404" t="s">
        <v>707</v>
      </c>
      <c r="I859" s="376"/>
      <c r="J859" s="592" t="s">
        <v>704</v>
      </c>
      <c r="K859" s="593" t="s">
        <v>5</v>
      </c>
      <c r="L859" s="594" t="s">
        <v>6</v>
      </c>
      <c r="M859" s="595" t="s">
        <v>7</v>
      </c>
      <c r="N859" s="596" t="s">
        <v>591</v>
      </c>
      <c r="O859" s="597" t="s">
        <v>839</v>
      </c>
      <c r="P859" s="593" t="s">
        <v>707</v>
      </c>
      <c r="Q859" s="378"/>
      <c r="R859" s="378"/>
      <c r="S859" s="378"/>
      <c r="T859" s="378"/>
      <c r="U859" s="378"/>
      <c r="V859" s="378"/>
      <c r="W859" s="378"/>
      <c r="X859" s="378"/>
      <c r="Y859" s="378"/>
      <c r="Z859" s="378"/>
      <c r="AA859" s="378"/>
      <c r="AB859" s="378"/>
      <c r="AC859" s="378"/>
      <c r="AD859" s="378"/>
      <c r="AE859" s="378"/>
      <c r="AF859" s="378"/>
      <c r="AG859" s="378"/>
    </row>
    <row r="860">
      <c r="A860" s="378"/>
      <c r="B860" s="555">
        <f>IFERROR(__xludf.DUMMYFUNCTION("FILTER(Board!C:G,Board!K:K=F858)"),45978.0)</f>
        <v>45978</v>
      </c>
      <c r="C860" s="404">
        <f>IFERROR(__xludf.DUMMYFUNCTION("""COMPUTED_VALUE"""),4922736.0)</f>
        <v>4922736</v>
      </c>
      <c r="D860" s="405" t="str">
        <f>IFERROR(__xludf.DUMMYFUNCTION("""COMPUTED_VALUE"""),"Weston, FL, 33331")</f>
        <v>Weston, FL, 33331</v>
      </c>
      <c r="E860" s="406" t="str">
        <f>IFERROR(__xludf.DUMMYFUNCTION("""COMPUTED_VALUE"""),"Portland, TN, 37148")</f>
        <v>Portland, TN, 37148</v>
      </c>
      <c r="F860" s="414">
        <f>IFERROR(__xludf.DUMMYFUNCTION("""COMPUTED_VALUE"""),1285.0)</f>
        <v>1285</v>
      </c>
      <c r="G860" s="413">
        <v>1.0</v>
      </c>
      <c r="H860" s="414">
        <f t="shared" ref="H860:H863" si="46">F860*G860</f>
        <v>1285</v>
      </c>
      <c r="I860" s="376"/>
      <c r="J860" s="598">
        <f>IFERROR(__xludf.DUMMYFUNCTION("FILTER(Board!C:F,Board!K:K=N858)"),45978.0)</f>
        <v>45978</v>
      </c>
      <c r="K860" s="593">
        <f>IFERROR(__xludf.DUMMYFUNCTION("""COMPUTED_VALUE"""),4922736.0)</f>
        <v>4922736</v>
      </c>
      <c r="L860" s="593" t="str">
        <f>IFERROR(__xludf.DUMMYFUNCTION("""COMPUTED_VALUE"""),"Weston, FL, 33331")</f>
        <v>Weston, FL, 33331</v>
      </c>
      <c r="M860" s="593" t="str">
        <f>IFERROR(__xludf.DUMMYFUNCTION("""COMPUTED_VALUE"""),"Portland, TN, 37148")</f>
        <v>Portland, TN, 37148</v>
      </c>
      <c r="N860" s="599">
        <f>IFERROR(__xludf.DUMMYFUNCTION("FILTER(Board!H:H,Board!K:K=N858)"),959.0)</f>
        <v>959</v>
      </c>
      <c r="O860" s="597">
        <v>0.65</v>
      </c>
      <c r="P860" s="628">
        <f t="shared" ref="P860:P863" si="47">N860*O860</f>
        <v>623.35</v>
      </c>
      <c r="Q860" s="378"/>
      <c r="R860" s="378"/>
      <c r="S860" s="378"/>
      <c r="T860" s="378"/>
      <c r="U860" s="378"/>
      <c r="V860" s="378"/>
      <c r="W860" s="378"/>
      <c r="X860" s="378"/>
      <c r="Y860" s="378"/>
      <c r="Z860" s="378"/>
      <c r="AA860" s="378"/>
      <c r="AB860" s="378"/>
      <c r="AC860" s="378"/>
      <c r="AD860" s="378"/>
      <c r="AE860" s="378"/>
      <c r="AF860" s="378"/>
      <c r="AG860" s="378"/>
    </row>
    <row r="861">
      <c r="A861" s="378"/>
      <c r="B861" s="555">
        <f>IFERROR(__xludf.DUMMYFUNCTION("""COMPUTED_VALUE"""),45980.0)</f>
        <v>45980</v>
      </c>
      <c r="C861" s="404">
        <f>IFERROR(__xludf.DUMMYFUNCTION("""COMPUTED_VALUE"""),1333390.0)</f>
        <v>1333390</v>
      </c>
      <c r="D861" s="405" t="str">
        <f>IFERROR(__xludf.DUMMYFUNCTION("""COMPUTED_VALUE"""),"Smyrna, TN, 37167")</f>
        <v>Smyrna, TN, 37167</v>
      </c>
      <c r="E861" s="406" t="str">
        <f>IFERROR(__xludf.DUMMYFUNCTION("""COMPUTED_VALUE"""),"New Baltimore, MI, 48047")</f>
        <v>New Baltimore, MI, 48047</v>
      </c>
      <c r="F861" s="414">
        <f>IFERROR(__xludf.DUMMYFUNCTION("""COMPUTED_VALUE"""),1500.0)</f>
        <v>1500</v>
      </c>
      <c r="G861" s="413">
        <v>1.0</v>
      </c>
      <c r="H861" s="414">
        <f t="shared" si="46"/>
        <v>1500</v>
      </c>
      <c r="I861" s="376"/>
      <c r="J861" s="601">
        <f>IFERROR(__xludf.DUMMYFUNCTION("""COMPUTED_VALUE"""),45980.0)</f>
        <v>45980</v>
      </c>
      <c r="K861" s="593">
        <f>IFERROR(__xludf.DUMMYFUNCTION("""COMPUTED_VALUE"""),1333390.0)</f>
        <v>1333390</v>
      </c>
      <c r="L861" s="593" t="str">
        <f>IFERROR(__xludf.DUMMYFUNCTION("""COMPUTED_VALUE"""),"Smyrna, TN, 37167")</f>
        <v>Smyrna, TN, 37167</v>
      </c>
      <c r="M861" s="593" t="str">
        <f>IFERROR(__xludf.DUMMYFUNCTION("""COMPUTED_VALUE"""),"New Baltimore, MI, 48047")</f>
        <v>New Baltimore, MI, 48047</v>
      </c>
      <c r="N861" s="599">
        <f>IFERROR(__xludf.DUMMYFUNCTION("""COMPUTED_VALUE"""),799.0)</f>
        <v>799</v>
      </c>
      <c r="O861" s="597">
        <v>0.65</v>
      </c>
      <c r="P861" s="628">
        <f t="shared" si="47"/>
        <v>519.35</v>
      </c>
      <c r="Q861" s="378"/>
      <c r="R861" s="378"/>
      <c r="S861" s="378"/>
      <c r="T861" s="378"/>
      <c r="U861" s="378"/>
      <c r="V861" s="378"/>
      <c r="W861" s="378"/>
      <c r="X861" s="378"/>
      <c r="Y861" s="378"/>
      <c r="Z861" s="378"/>
      <c r="AA861" s="378"/>
      <c r="AB861" s="378"/>
      <c r="AC861" s="378"/>
      <c r="AD861" s="378"/>
      <c r="AE861" s="378"/>
      <c r="AF861" s="378"/>
      <c r="AG861" s="378"/>
    </row>
    <row r="862">
      <c r="A862" s="378"/>
      <c r="B862" s="499">
        <f>IFERROR(__xludf.DUMMYFUNCTION("""COMPUTED_VALUE"""),45981.0)</f>
        <v>45981</v>
      </c>
      <c r="C862" s="421">
        <f>IFERROR(__xludf.DUMMYFUNCTION("""COMPUTED_VALUE"""),259927.0)</f>
        <v>259927</v>
      </c>
      <c r="D862" s="422" t="str">
        <f>IFERROR(__xludf.DUMMYFUNCTION("""COMPUTED_VALUE"""),"Pontiac, MI, 48342")</f>
        <v>Pontiac, MI, 48342</v>
      </c>
      <c r="E862" s="423" t="str">
        <f>IFERROR(__xludf.DUMMYFUNCTION("""COMPUTED_VALUE"""),"East Liberty, OH, 43319")</f>
        <v>East Liberty, OH, 43319</v>
      </c>
      <c r="F862" s="500">
        <f>IFERROR(__xludf.DUMMYFUNCTION("""COMPUTED_VALUE"""),420.0)</f>
        <v>420</v>
      </c>
      <c r="G862" s="413">
        <v>1.0</v>
      </c>
      <c r="H862" s="414">
        <f t="shared" si="46"/>
        <v>420</v>
      </c>
      <c r="I862" s="376"/>
      <c r="J862" s="601">
        <f>IFERROR(__xludf.DUMMYFUNCTION("""COMPUTED_VALUE"""),45981.0)</f>
        <v>45981</v>
      </c>
      <c r="K862" s="593">
        <f>IFERROR(__xludf.DUMMYFUNCTION("""COMPUTED_VALUE"""),259927.0)</f>
        <v>259927</v>
      </c>
      <c r="L862" s="594" t="str">
        <f>IFERROR(__xludf.DUMMYFUNCTION("""COMPUTED_VALUE"""),"Pontiac, MI, 48342")</f>
        <v>Pontiac, MI, 48342</v>
      </c>
      <c r="M862" s="595" t="str">
        <f>IFERROR(__xludf.DUMMYFUNCTION("""COMPUTED_VALUE"""),"East Liberty, OH, 43319")</f>
        <v>East Liberty, OH, 43319</v>
      </c>
      <c r="N862" s="599">
        <f>IFERROR(__xludf.DUMMYFUNCTION("""COMPUTED_VALUE"""),222.0)</f>
        <v>222</v>
      </c>
      <c r="O862" s="597">
        <v>0.65</v>
      </c>
      <c r="P862" s="628">
        <f t="shared" si="47"/>
        <v>144.3</v>
      </c>
      <c r="Q862" s="378"/>
      <c r="R862" s="378"/>
      <c r="S862" s="378"/>
      <c r="T862" s="378"/>
      <c r="U862" s="378"/>
      <c r="V862" s="378"/>
      <c r="W862" s="378"/>
      <c r="X862" s="378"/>
      <c r="Y862" s="378"/>
      <c r="Z862" s="378"/>
      <c r="AA862" s="378"/>
      <c r="AB862" s="378"/>
      <c r="AC862" s="378"/>
      <c r="AD862" s="378"/>
      <c r="AE862" s="378"/>
      <c r="AF862" s="378"/>
      <c r="AG862" s="378"/>
    </row>
    <row r="863">
      <c r="A863" s="378"/>
      <c r="B863" s="499">
        <f>IFERROR(__xludf.DUMMYFUNCTION("""COMPUTED_VALUE"""),45982.0)</f>
        <v>45982</v>
      </c>
      <c r="C863" s="421">
        <f>IFERROR(__xludf.DUMMYFUNCTION("""COMPUTED_VALUE"""),164911.0)</f>
        <v>164911</v>
      </c>
      <c r="D863" s="422" t="str">
        <f>IFERROR(__xludf.DUMMYFUNCTION("""COMPUTED_VALUE"""),"Athens, OH, 45701")</f>
        <v>Athens, OH, 45701</v>
      </c>
      <c r="E863" s="423" t="str">
        <f>IFERROR(__xludf.DUMMYFUNCTION("""COMPUTED_VALUE"""),"Aurora, CO, 80011")</f>
        <v>Aurora, CO, 80011</v>
      </c>
      <c r="F863" s="500">
        <f>IFERROR(__xludf.DUMMYFUNCTION("""COMPUTED_VALUE"""),2900.0)</f>
        <v>2900</v>
      </c>
      <c r="G863" s="413">
        <v>1.0</v>
      </c>
      <c r="H863" s="414">
        <f t="shared" si="46"/>
        <v>2900</v>
      </c>
      <c r="I863" s="376"/>
      <c r="J863" s="601">
        <f>IFERROR(__xludf.DUMMYFUNCTION("""COMPUTED_VALUE"""),45982.0)</f>
        <v>45982</v>
      </c>
      <c r="K863" s="593">
        <f>IFERROR(__xludf.DUMMYFUNCTION("""COMPUTED_VALUE"""),164911.0)</f>
        <v>164911</v>
      </c>
      <c r="L863" s="594" t="str">
        <f>IFERROR(__xludf.DUMMYFUNCTION("""COMPUTED_VALUE"""),"Athens, OH, 45701")</f>
        <v>Athens, OH, 45701</v>
      </c>
      <c r="M863" s="595" t="str">
        <f>IFERROR(__xludf.DUMMYFUNCTION("""COMPUTED_VALUE"""),"Aurora, CO, 80011")</f>
        <v>Aurora, CO, 80011</v>
      </c>
      <c r="N863" s="599">
        <f>IFERROR(__xludf.DUMMYFUNCTION("""COMPUTED_VALUE"""),1589.0)</f>
        <v>1589</v>
      </c>
      <c r="O863" s="597">
        <v>0.65</v>
      </c>
      <c r="P863" s="628">
        <f t="shared" si="47"/>
        <v>1032.85</v>
      </c>
      <c r="Q863" s="378"/>
      <c r="R863" s="378"/>
      <c r="S863" s="378"/>
      <c r="T863" s="378"/>
      <c r="U863" s="378"/>
      <c r="V863" s="378"/>
      <c r="W863" s="378"/>
      <c r="X863" s="378"/>
      <c r="Y863" s="378"/>
      <c r="Z863" s="378"/>
      <c r="AA863" s="378"/>
      <c r="AB863" s="378"/>
      <c r="AC863" s="378"/>
      <c r="AD863" s="378"/>
      <c r="AE863" s="378"/>
      <c r="AF863" s="378"/>
      <c r="AG863" s="378"/>
    </row>
    <row r="864">
      <c r="A864" s="378"/>
      <c r="B864" s="420"/>
      <c r="C864" s="421"/>
      <c r="D864" s="422"/>
      <c r="E864" s="423"/>
      <c r="F864" s="421"/>
      <c r="G864" s="413"/>
      <c r="H864" s="414"/>
      <c r="I864" s="376"/>
      <c r="J864" s="602"/>
      <c r="K864" s="593"/>
      <c r="L864" s="594"/>
      <c r="M864" s="595"/>
      <c r="N864" s="596"/>
      <c r="O864" s="597"/>
      <c r="P864" s="628"/>
      <c r="Q864" s="378"/>
      <c r="R864" s="378"/>
      <c r="S864" s="378"/>
      <c r="T864" s="378"/>
      <c r="U864" s="378"/>
      <c r="V864" s="378"/>
      <c r="W864" s="378"/>
      <c r="X864" s="378"/>
      <c r="Y864" s="378"/>
      <c r="Z864" s="378"/>
      <c r="AA864" s="378"/>
      <c r="AB864" s="378"/>
      <c r="AC864" s="378"/>
      <c r="AD864" s="378"/>
      <c r="AE864" s="378"/>
      <c r="AF864" s="378"/>
      <c r="AG864" s="378"/>
    </row>
    <row r="865">
      <c r="A865" s="378"/>
      <c r="B865" s="420"/>
      <c r="C865" s="421"/>
      <c r="D865" s="422"/>
      <c r="E865" s="423"/>
      <c r="F865" s="421"/>
      <c r="G865" s="413"/>
      <c r="H865" s="414"/>
      <c r="I865" s="376"/>
      <c r="J865" s="602"/>
      <c r="K865" s="593"/>
      <c r="L865" s="594"/>
      <c r="M865" s="595"/>
      <c r="N865" s="596"/>
      <c r="O865" s="597"/>
      <c r="P865" s="628"/>
      <c r="Q865" s="378"/>
      <c r="R865" s="378"/>
      <c r="S865" s="378"/>
      <c r="T865" s="378"/>
      <c r="U865" s="378"/>
      <c r="V865" s="378"/>
      <c r="W865" s="378"/>
      <c r="X865" s="378"/>
      <c r="Y865" s="378"/>
      <c r="Z865" s="378"/>
      <c r="AA865" s="378"/>
      <c r="AB865" s="378"/>
      <c r="AC865" s="378"/>
      <c r="AD865" s="378"/>
      <c r="AE865" s="378"/>
      <c r="AF865" s="378"/>
      <c r="AG865" s="378"/>
    </row>
    <row r="866">
      <c r="A866" s="378"/>
      <c r="B866" s="403" t="s">
        <v>711</v>
      </c>
      <c r="C866" s="224"/>
      <c r="D866" s="224"/>
      <c r="E866" s="222"/>
      <c r="F866" s="414">
        <f>SUM(F860:F865)</f>
        <v>6105</v>
      </c>
      <c r="G866" s="421"/>
      <c r="H866" s="414">
        <f>SUM(H860:H865)</f>
        <v>6105</v>
      </c>
      <c r="I866" s="376"/>
      <c r="J866" s="603" t="s">
        <v>711</v>
      </c>
      <c r="K866" s="224"/>
      <c r="L866" s="224"/>
      <c r="M866" s="222"/>
      <c r="N866" s="599">
        <f>SUM(N860:N865)</f>
        <v>3569</v>
      </c>
      <c r="O866" s="597"/>
      <c r="P866" s="628">
        <f>SUM(P860:P865)</f>
        <v>2319.85</v>
      </c>
      <c r="Q866" s="378"/>
      <c r="R866" s="378"/>
      <c r="S866" s="378"/>
      <c r="T866" s="378"/>
      <c r="U866" s="378"/>
      <c r="V866" s="378"/>
      <c r="W866" s="378"/>
      <c r="X866" s="378"/>
      <c r="Y866" s="378"/>
      <c r="Z866" s="378"/>
      <c r="AA866" s="378"/>
      <c r="AB866" s="378"/>
      <c r="AC866" s="378"/>
      <c r="AD866" s="378"/>
      <c r="AE866" s="378"/>
      <c r="AF866" s="378"/>
      <c r="AG866" s="378"/>
    </row>
    <row r="867">
      <c r="A867" s="378"/>
      <c r="B867" s="428"/>
      <c r="C867" s="419"/>
      <c r="D867" s="419"/>
      <c r="E867" s="419"/>
      <c r="F867" s="419"/>
      <c r="G867" s="419"/>
      <c r="H867" s="429"/>
      <c r="I867" s="376"/>
      <c r="J867" s="604"/>
      <c r="K867" s="605"/>
      <c r="L867" s="605"/>
      <c r="M867" s="605"/>
      <c r="N867" s="606"/>
      <c r="O867" s="607"/>
      <c r="P867" s="608"/>
      <c r="Q867" s="378"/>
      <c r="R867" s="378"/>
      <c r="S867" s="378"/>
      <c r="T867" s="378"/>
      <c r="U867" s="378"/>
      <c r="V867" s="378"/>
      <c r="W867" s="378"/>
      <c r="X867" s="378"/>
      <c r="Y867" s="378"/>
      <c r="Z867" s="378"/>
      <c r="AA867" s="378"/>
      <c r="AB867" s="378"/>
      <c r="AC867" s="378"/>
      <c r="AD867" s="378"/>
      <c r="AE867" s="378"/>
      <c r="AF867" s="378"/>
      <c r="AG867" s="378"/>
    </row>
    <row r="868">
      <c r="A868" s="378"/>
      <c r="B868" s="433" t="s">
        <v>712</v>
      </c>
      <c r="C868" s="434"/>
      <c r="D868" s="435"/>
      <c r="E868" s="419"/>
      <c r="F868" s="237">
        <v>623.35</v>
      </c>
      <c r="G868" s="365">
        <v>1.0</v>
      </c>
      <c r="H868" s="237">
        <v>623.35</v>
      </c>
      <c r="I868" s="376"/>
      <c r="J868" s="437" t="s">
        <v>712</v>
      </c>
      <c r="K868" s="609"/>
      <c r="L868" s="610"/>
      <c r="M868" s="605"/>
      <c r="N868" s="606"/>
      <c r="O868" s="607"/>
      <c r="P868" s="608"/>
      <c r="Q868" s="378"/>
      <c r="R868" s="378"/>
      <c r="S868" s="378"/>
      <c r="T868" s="378"/>
      <c r="U868" s="378"/>
      <c r="V868" s="378"/>
      <c r="W868" s="378"/>
      <c r="X868" s="378"/>
      <c r="Y868" s="378"/>
      <c r="Z868" s="378"/>
      <c r="AA868" s="378"/>
      <c r="AB868" s="378"/>
      <c r="AC868" s="378"/>
      <c r="AD868" s="378"/>
      <c r="AE868" s="378"/>
      <c r="AF868" s="378"/>
      <c r="AG868" s="378"/>
    </row>
    <row r="869">
      <c r="A869" s="378"/>
      <c r="B869" s="438" t="s">
        <v>657</v>
      </c>
      <c r="C869" s="439">
        <v>1666.65</v>
      </c>
      <c r="D869" s="440"/>
      <c r="E869" s="419"/>
      <c r="F869" s="237">
        <v>519.35</v>
      </c>
      <c r="G869" s="365">
        <v>1.0</v>
      </c>
      <c r="H869" s="237">
        <v>519.35</v>
      </c>
      <c r="I869" s="376"/>
      <c r="J869" s="443" t="s">
        <v>904</v>
      </c>
      <c r="K869" s="629" t="s">
        <v>905</v>
      </c>
      <c r="L869" s="630" t="s">
        <v>905</v>
      </c>
      <c r="M869" s="605"/>
      <c r="N869" s="606"/>
      <c r="O869" s="607"/>
      <c r="P869" s="608"/>
      <c r="Q869" s="378"/>
      <c r="R869" s="378"/>
      <c r="S869" s="378"/>
      <c r="T869" s="378"/>
      <c r="U869" s="378"/>
      <c r="V869" s="378"/>
      <c r="W869" s="378"/>
      <c r="X869" s="378"/>
      <c r="Y869" s="378"/>
      <c r="Z869" s="378"/>
      <c r="AA869" s="378"/>
      <c r="AB869" s="378"/>
      <c r="AC869" s="378"/>
      <c r="AD869" s="378"/>
      <c r="AE869" s="378"/>
      <c r="AF869" s="378"/>
      <c r="AG869" s="378"/>
    </row>
    <row r="870">
      <c r="A870" s="378"/>
      <c r="B870" s="438" t="s">
        <v>906</v>
      </c>
      <c r="C870" s="631">
        <v>150.0</v>
      </c>
      <c r="D870" s="435"/>
      <c r="E870" s="419"/>
      <c r="F870" s="237">
        <v>144.3</v>
      </c>
      <c r="G870" s="365">
        <v>1.0</v>
      </c>
      <c r="H870" s="237">
        <v>144.3</v>
      </c>
      <c r="I870" s="376"/>
      <c r="J870" s="443" t="s">
        <v>907</v>
      </c>
      <c r="K870" s="629">
        <v>150.0</v>
      </c>
      <c r="L870" s="632"/>
      <c r="M870" s="605"/>
      <c r="N870" s="606"/>
      <c r="O870" s="607"/>
      <c r="P870" s="608"/>
      <c r="Q870" s="378"/>
      <c r="R870" s="378"/>
      <c r="S870" s="378"/>
      <c r="T870" s="378"/>
      <c r="U870" s="378"/>
      <c r="V870" s="378"/>
      <c r="W870" s="378"/>
      <c r="X870" s="378"/>
      <c r="Y870" s="378"/>
      <c r="Z870" s="378"/>
      <c r="AA870" s="378"/>
      <c r="AB870" s="378"/>
      <c r="AC870" s="378"/>
      <c r="AD870" s="378"/>
      <c r="AE870" s="378"/>
      <c r="AF870" s="378"/>
      <c r="AG870" s="378"/>
    </row>
    <row r="871">
      <c r="A871" s="378"/>
      <c r="B871" s="438" t="s">
        <v>714</v>
      </c>
      <c r="C871" s="439">
        <f>SUM(C869:C870)</f>
        <v>1816.65</v>
      </c>
      <c r="D871" s="440"/>
      <c r="E871" s="419"/>
      <c r="F871" s="237">
        <v>1032.85</v>
      </c>
      <c r="G871" s="365">
        <v>1.0</v>
      </c>
      <c r="H871" s="237">
        <v>1032.85</v>
      </c>
      <c r="I871" s="376"/>
      <c r="J871" s="443" t="s">
        <v>714</v>
      </c>
      <c r="K871" s="611">
        <f>SUM(K869:K870)</f>
        <v>150</v>
      </c>
      <c r="L871" s="612"/>
      <c r="M871" s="605"/>
      <c r="N871" s="606"/>
      <c r="O871" s="607"/>
      <c r="P871" s="608"/>
      <c r="Q871" s="378"/>
      <c r="R871" s="378"/>
      <c r="S871" s="378"/>
      <c r="T871" s="378"/>
      <c r="U871" s="378"/>
      <c r="V871" s="378"/>
      <c r="W871" s="378"/>
      <c r="X871" s="378"/>
      <c r="Y871" s="378"/>
      <c r="Z871" s="378"/>
      <c r="AA871" s="378"/>
      <c r="AB871" s="378"/>
      <c r="AC871" s="378"/>
      <c r="AD871" s="378"/>
      <c r="AE871" s="378"/>
      <c r="AF871" s="378"/>
      <c r="AG871" s="378"/>
    </row>
    <row r="872">
      <c r="A872" s="378"/>
      <c r="B872" s="450"/>
      <c r="C872" s="451"/>
      <c r="D872" s="419"/>
      <c r="E872" s="419"/>
      <c r="F872" s="244"/>
      <c r="G872" s="244"/>
      <c r="H872" s="244"/>
      <c r="I872" s="376"/>
      <c r="J872" s="613"/>
      <c r="K872" s="614"/>
      <c r="L872" s="605"/>
      <c r="M872" s="605"/>
      <c r="N872" s="606"/>
      <c r="O872" s="607"/>
      <c r="P872" s="608"/>
      <c r="Q872" s="378"/>
      <c r="R872" s="378"/>
      <c r="S872" s="378"/>
      <c r="T872" s="378"/>
      <c r="U872" s="378"/>
      <c r="V872" s="378"/>
      <c r="W872" s="378"/>
      <c r="X872" s="378"/>
      <c r="Y872" s="378"/>
      <c r="Z872" s="378"/>
      <c r="AA872" s="378"/>
      <c r="AB872" s="378"/>
      <c r="AC872" s="378"/>
      <c r="AD872" s="378"/>
      <c r="AE872" s="378"/>
      <c r="AF872" s="378"/>
      <c r="AG872" s="378"/>
    </row>
    <row r="873">
      <c r="A873" s="378"/>
      <c r="B873" s="454" t="s">
        <v>715</v>
      </c>
      <c r="C873" s="455"/>
      <c r="D873" s="435"/>
      <c r="E873" s="419"/>
      <c r="F873" s="633">
        <v>2319.85</v>
      </c>
      <c r="G873" s="244"/>
      <c r="H873" s="633">
        <v>2319.85</v>
      </c>
      <c r="I873" s="376"/>
      <c r="J873" s="615" t="s">
        <v>715</v>
      </c>
      <c r="K873" s="616"/>
      <c r="L873" s="610"/>
      <c r="M873" s="605"/>
      <c r="N873" s="606"/>
      <c r="O873" s="607"/>
      <c r="P873" s="608"/>
      <c r="Q873" s="378"/>
      <c r="R873" s="378"/>
      <c r="S873" s="378"/>
      <c r="T873" s="378"/>
      <c r="U873" s="378"/>
      <c r="V873" s="378"/>
      <c r="W873" s="378"/>
      <c r="X873" s="378"/>
      <c r="Y873" s="378"/>
      <c r="Z873" s="378"/>
      <c r="AA873" s="378"/>
      <c r="AB873" s="378"/>
      <c r="AC873" s="378"/>
      <c r="AD873" s="378"/>
      <c r="AE873" s="378"/>
      <c r="AF873" s="378"/>
      <c r="AG873" s="378"/>
    </row>
    <row r="874">
      <c r="A874" s="378"/>
      <c r="B874" s="459" t="s">
        <v>716</v>
      </c>
      <c r="C874" s="460">
        <v>150.0</v>
      </c>
      <c r="D874" s="440">
        <v>0.0</v>
      </c>
      <c r="E874" s="419"/>
      <c r="F874" s="463"/>
      <c r="G874" s="463"/>
      <c r="H874" s="448"/>
      <c r="I874" s="376"/>
      <c r="J874" s="617"/>
      <c r="K874" s="618"/>
      <c r="L874" s="612"/>
      <c r="M874" s="605"/>
      <c r="N874" s="606"/>
      <c r="O874" s="607"/>
      <c r="P874" s="608"/>
      <c r="Q874" s="378"/>
      <c r="R874" s="378"/>
      <c r="S874" s="378"/>
      <c r="T874" s="378"/>
      <c r="U874" s="378"/>
      <c r="V874" s="378"/>
      <c r="W874" s="378"/>
      <c r="X874" s="378"/>
      <c r="Y874" s="378"/>
      <c r="Z874" s="378"/>
      <c r="AA874" s="378"/>
      <c r="AB874" s="378"/>
      <c r="AC874" s="378"/>
      <c r="AD874" s="378"/>
      <c r="AE874" s="378"/>
      <c r="AF874" s="378"/>
      <c r="AG874" s="378"/>
    </row>
    <row r="875">
      <c r="A875" s="378"/>
      <c r="B875" s="459" t="s">
        <v>717</v>
      </c>
      <c r="C875" s="460">
        <v>400.0</v>
      </c>
      <c r="D875" s="440">
        <v>0.0</v>
      </c>
      <c r="E875" s="419"/>
      <c r="F875" s="463"/>
      <c r="G875" s="463"/>
      <c r="H875" s="448"/>
      <c r="I875" s="376"/>
      <c r="J875" s="617"/>
      <c r="K875" s="618"/>
      <c r="L875" s="612"/>
      <c r="M875" s="605"/>
      <c r="N875" s="606"/>
      <c r="O875" s="607"/>
      <c r="P875" s="608"/>
      <c r="Q875" s="378"/>
      <c r="R875" s="378"/>
      <c r="S875" s="378"/>
      <c r="T875" s="378"/>
      <c r="U875" s="378"/>
      <c r="V875" s="378"/>
      <c r="W875" s="378"/>
      <c r="X875" s="378"/>
      <c r="Y875" s="378"/>
      <c r="Z875" s="378"/>
      <c r="AA875" s="378"/>
      <c r="AB875" s="378"/>
      <c r="AC875" s="378"/>
      <c r="AD875" s="378"/>
      <c r="AE875" s="378"/>
      <c r="AF875" s="378"/>
      <c r="AG875" s="378"/>
    </row>
    <row r="876">
      <c r="A876" s="378"/>
      <c r="B876" s="459" t="s">
        <v>718</v>
      </c>
      <c r="C876" s="460">
        <v>200.0</v>
      </c>
      <c r="D876" s="440">
        <v>0.0</v>
      </c>
      <c r="E876" s="419"/>
      <c r="F876" s="463"/>
      <c r="G876" s="463"/>
      <c r="H876" s="448"/>
      <c r="I876" s="376"/>
      <c r="J876" s="617"/>
      <c r="K876" s="618"/>
      <c r="L876" s="612"/>
      <c r="M876" s="605"/>
      <c r="N876" s="606"/>
      <c r="O876" s="607"/>
      <c r="P876" s="608"/>
      <c r="Q876" s="378"/>
      <c r="R876" s="378"/>
      <c r="S876" s="378"/>
      <c r="T876" s="378"/>
      <c r="U876" s="378"/>
      <c r="V876" s="378"/>
      <c r="W876" s="378"/>
      <c r="X876" s="378"/>
      <c r="Y876" s="378"/>
      <c r="Z876" s="378"/>
      <c r="AA876" s="378"/>
      <c r="AB876" s="378"/>
      <c r="AC876" s="378"/>
      <c r="AD876" s="378"/>
      <c r="AE876" s="378"/>
      <c r="AF876" s="378"/>
      <c r="AG876" s="378"/>
    </row>
    <row r="877">
      <c r="A877" s="378"/>
      <c r="B877" s="459" t="s">
        <v>656</v>
      </c>
      <c r="C877" s="460" t="str">
        <f>IFERROR(__xludf.DUMMYFUNCTION("FILTER(D1045:D1073,C1045:C1073=F858)"),"#N/A")</f>
        <v>#N/A</v>
      </c>
      <c r="D877" s="440">
        <v>0.0</v>
      </c>
      <c r="E877" s="419"/>
      <c r="F877" s="463"/>
      <c r="G877" s="463"/>
      <c r="H877" s="582">
        <v>4136.5</v>
      </c>
      <c r="I877" s="376"/>
      <c r="J877" s="617"/>
      <c r="K877" s="618"/>
      <c r="L877" s="612"/>
      <c r="M877" s="605"/>
      <c r="N877" s="606"/>
      <c r="O877" s="607"/>
      <c r="P877" s="608"/>
      <c r="Q877" s="378"/>
      <c r="R877" s="378"/>
      <c r="S877" s="378"/>
      <c r="T877" s="378"/>
      <c r="U877" s="378"/>
      <c r="V877" s="378"/>
      <c r="W877" s="378"/>
      <c r="X877" s="378"/>
      <c r="Y877" s="378"/>
      <c r="Z877" s="378"/>
      <c r="AA877" s="378"/>
      <c r="AB877" s="378"/>
      <c r="AC877" s="378"/>
      <c r="AD877" s="378"/>
      <c r="AE877" s="378"/>
      <c r="AF877" s="378"/>
      <c r="AG877" s="378"/>
    </row>
    <row r="878">
      <c r="A878" s="378"/>
      <c r="B878" s="464"/>
      <c r="C878" s="455"/>
      <c r="D878" s="435"/>
      <c r="E878" s="419"/>
      <c r="F878" s="468" t="s">
        <v>842</v>
      </c>
      <c r="G878" s="466" t="str">
        <f>H866+C871-C883</f>
        <v>#N/A</v>
      </c>
      <c r="H878" s="211"/>
      <c r="I878" s="376"/>
      <c r="J878" s="615"/>
      <c r="K878" s="616"/>
      <c r="L878" s="610"/>
      <c r="M878" s="605"/>
      <c r="N878" s="619" t="s">
        <v>842</v>
      </c>
      <c r="O878" s="620">
        <f>P866+K871-K883</f>
        <v>2469.85</v>
      </c>
      <c r="P878" s="211"/>
      <c r="Q878" s="378"/>
      <c r="R878" s="378"/>
      <c r="S878" s="378"/>
      <c r="T878" s="378"/>
      <c r="U878" s="378"/>
      <c r="V878" s="378"/>
      <c r="W878" s="378"/>
      <c r="X878" s="378"/>
      <c r="Y878" s="378"/>
      <c r="Z878" s="378"/>
      <c r="AA878" s="378"/>
      <c r="AB878" s="378"/>
      <c r="AC878" s="378"/>
      <c r="AD878" s="378"/>
      <c r="AE878" s="378"/>
      <c r="AF878" s="378"/>
      <c r="AG878" s="378"/>
    </row>
    <row r="879">
      <c r="A879" s="378"/>
      <c r="B879" s="464"/>
      <c r="C879" s="455"/>
      <c r="D879" s="435"/>
      <c r="E879" s="419"/>
      <c r="F879" s="469" t="s">
        <v>843</v>
      </c>
      <c r="G879" s="278"/>
      <c r="H879" s="56"/>
      <c r="I879" s="376"/>
      <c r="J879" s="615"/>
      <c r="K879" s="616"/>
      <c r="L879" s="610"/>
      <c r="M879" s="605"/>
      <c r="N879" s="621" t="s">
        <v>854</v>
      </c>
      <c r="O879" s="278"/>
      <c r="P879" s="56"/>
      <c r="Q879" s="378"/>
      <c r="R879" s="378"/>
      <c r="S879" s="378"/>
      <c r="T879" s="378"/>
      <c r="U879" s="378"/>
      <c r="V879" s="378"/>
      <c r="W879" s="378"/>
      <c r="X879" s="378"/>
      <c r="Y879" s="378"/>
      <c r="Z879" s="378"/>
      <c r="AA879" s="378"/>
      <c r="AB879" s="378"/>
      <c r="AC879" s="378"/>
      <c r="AD879" s="378"/>
      <c r="AE879" s="378"/>
      <c r="AF879" s="378"/>
      <c r="AG879" s="378"/>
    </row>
    <row r="880">
      <c r="A880" s="378"/>
      <c r="B880" s="464"/>
      <c r="C880" s="455"/>
      <c r="D880" s="435"/>
      <c r="E880" s="419"/>
      <c r="F880" s="470"/>
      <c r="G880" s="215"/>
      <c r="H880" s="64"/>
      <c r="I880" s="376"/>
      <c r="J880" s="615"/>
      <c r="K880" s="616"/>
      <c r="L880" s="610"/>
      <c r="M880" s="605"/>
      <c r="N880" s="622"/>
      <c r="O880" s="215"/>
      <c r="P880" s="64"/>
      <c r="Q880" s="378"/>
      <c r="R880" s="378"/>
      <c r="S880" s="378"/>
      <c r="T880" s="378"/>
      <c r="U880" s="378"/>
      <c r="V880" s="378"/>
      <c r="W880" s="378"/>
      <c r="X880" s="378"/>
      <c r="Y880" s="378"/>
      <c r="Z880" s="378"/>
      <c r="AA880" s="378"/>
      <c r="AB880" s="378"/>
      <c r="AC880" s="378"/>
      <c r="AD880" s="378"/>
      <c r="AE880" s="378"/>
      <c r="AF880" s="378"/>
      <c r="AG880" s="378"/>
    </row>
    <row r="881">
      <c r="A881" s="378"/>
      <c r="B881" s="464"/>
      <c r="C881" s="455"/>
      <c r="D881" s="435"/>
      <c r="E881" s="419"/>
      <c r="F881" s="419"/>
      <c r="G881" s="419"/>
      <c r="H881" s="429"/>
      <c r="I881" s="376"/>
      <c r="J881" s="615"/>
      <c r="K881" s="616"/>
      <c r="L881" s="610"/>
      <c r="M881" s="605"/>
      <c r="N881" s="606"/>
      <c r="O881" s="607"/>
      <c r="P881" s="608"/>
      <c r="Q881" s="378"/>
      <c r="R881" s="378"/>
      <c r="S881" s="378"/>
      <c r="T881" s="378"/>
      <c r="U881" s="378"/>
      <c r="V881" s="378"/>
      <c r="W881" s="378"/>
      <c r="X881" s="378"/>
      <c r="Y881" s="378"/>
      <c r="Z881" s="378"/>
      <c r="AA881" s="378"/>
      <c r="AB881" s="378"/>
      <c r="AC881" s="378"/>
      <c r="AD881" s="378"/>
      <c r="AE881" s="378"/>
      <c r="AF881" s="378"/>
      <c r="AG881" s="378"/>
    </row>
    <row r="882">
      <c r="A882" s="378"/>
      <c r="B882" s="464"/>
      <c r="C882" s="455"/>
      <c r="D882" s="435"/>
      <c r="E882" s="419"/>
      <c r="F882" s="419"/>
      <c r="G882" s="419"/>
      <c r="H882" s="429"/>
      <c r="I882" s="376"/>
      <c r="J882" s="615"/>
      <c r="K882" s="616"/>
      <c r="L882" s="610"/>
      <c r="M882" s="605"/>
      <c r="N882" s="606"/>
      <c r="O882" s="607"/>
      <c r="P882" s="608"/>
      <c r="Q882" s="378"/>
      <c r="R882" s="378"/>
      <c r="S882" s="378"/>
      <c r="T882" s="378"/>
      <c r="U882" s="378"/>
      <c r="V882" s="378"/>
      <c r="W882" s="378"/>
      <c r="X882" s="378"/>
      <c r="Y882" s="378"/>
      <c r="Z882" s="378"/>
      <c r="AA882" s="378"/>
      <c r="AB882" s="378"/>
      <c r="AC882" s="378"/>
      <c r="AD882" s="378"/>
      <c r="AE882" s="378"/>
      <c r="AF882" s="378"/>
      <c r="AG882" s="378"/>
    </row>
    <row r="883">
      <c r="A883" s="378"/>
      <c r="B883" s="454" t="s">
        <v>721</v>
      </c>
      <c r="C883" s="460" t="str">
        <f>SUM(C874:C882)</f>
        <v>#N/A</v>
      </c>
      <c r="D883" s="440"/>
      <c r="E883" s="419"/>
      <c r="F883" s="419"/>
      <c r="G883" s="419"/>
      <c r="H883" s="429"/>
      <c r="I883" s="376"/>
      <c r="J883" s="615" t="s">
        <v>721</v>
      </c>
      <c r="K883" s="618">
        <f>SUM(K874:K882)</f>
        <v>0</v>
      </c>
      <c r="L883" s="612"/>
      <c r="M883" s="605"/>
      <c r="N883" s="606"/>
      <c r="O883" s="607"/>
      <c r="P883" s="608"/>
      <c r="Q883" s="378"/>
      <c r="R883" s="378"/>
      <c r="S883" s="378"/>
      <c r="T883" s="378"/>
      <c r="U883" s="378"/>
      <c r="V883" s="378"/>
      <c r="W883" s="378"/>
      <c r="X883" s="378"/>
      <c r="Y883" s="378"/>
      <c r="Z883" s="378"/>
      <c r="AA883" s="378"/>
      <c r="AB883" s="378"/>
      <c r="AC883" s="378"/>
      <c r="AD883" s="378"/>
      <c r="AE883" s="378"/>
      <c r="AF883" s="378"/>
      <c r="AG883" s="378"/>
    </row>
    <row r="884">
      <c r="A884" s="378"/>
      <c r="B884" s="471"/>
      <c r="C884" s="472"/>
      <c r="D884" s="472"/>
      <c r="E884" s="472"/>
      <c r="F884" s="472"/>
      <c r="G884" s="472"/>
      <c r="H884" s="473"/>
      <c r="I884" s="376"/>
      <c r="J884" s="623"/>
      <c r="K884" s="624"/>
      <c r="L884" s="624"/>
      <c r="M884" s="624"/>
      <c r="N884" s="625"/>
      <c r="O884" s="626"/>
      <c r="P884" s="627"/>
      <c r="Q884" s="378"/>
      <c r="R884" s="378"/>
      <c r="S884" s="378"/>
      <c r="T884" s="378"/>
      <c r="U884" s="378"/>
      <c r="V884" s="378"/>
      <c r="W884" s="378"/>
      <c r="X884" s="378"/>
      <c r="Y884" s="378"/>
      <c r="Z884" s="378"/>
      <c r="AA884" s="378"/>
      <c r="AB884" s="378"/>
      <c r="AC884" s="378"/>
      <c r="AD884" s="378"/>
      <c r="AE884" s="378"/>
      <c r="AF884" s="378"/>
      <c r="AG884" s="378"/>
    </row>
    <row r="885">
      <c r="A885" s="378"/>
      <c r="B885" s="550"/>
      <c r="C885" s="463"/>
      <c r="D885" s="463"/>
      <c r="E885" s="463"/>
      <c r="F885" s="463"/>
      <c r="G885" s="463"/>
      <c r="H885" s="463"/>
      <c r="I885" s="376"/>
      <c r="J885" s="377"/>
      <c r="K885" s="378"/>
      <c r="L885" s="378"/>
      <c r="M885" s="378"/>
      <c r="N885" s="379"/>
      <c r="O885" s="380"/>
      <c r="P885" s="378"/>
      <c r="Q885" s="378"/>
      <c r="R885" s="378"/>
      <c r="S885" s="378"/>
      <c r="T885" s="378"/>
      <c r="U885" s="378"/>
      <c r="V885" s="378"/>
      <c r="W885" s="378"/>
      <c r="X885" s="378"/>
      <c r="Y885" s="378"/>
      <c r="Z885" s="378"/>
      <c r="AA885" s="378"/>
      <c r="AB885" s="378"/>
      <c r="AC885" s="378"/>
      <c r="AD885" s="378"/>
      <c r="AE885" s="378"/>
      <c r="AF885" s="378"/>
      <c r="AG885" s="378"/>
    </row>
    <row r="886">
      <c r="A886" s="378"/>
      <c r="B886" s="634"/>
      <c r="C886" s="635"/>
      <c r="D886" s="635"/>
      <c r="E886" s="635"/>
      <c r="F886" s="635"/>
      <c r="G886" s="635"/>
      <c r="H886" s="635"/>
      <c r="I886" s="376"/>
      <c r="J886" s="377"/>
      <c r="K886" s="378"/>
      <c r="L886" s="378"/>
      <c r="M886" s="378"/>
      <c r="N886" s="379"/>
      <c r="O886" s="380"/>
      <c r="P886" s="378"/>
      <c r="Q886" s="378"/>
      <c r="R886" s="378"/>
      <c r="S886" s="378"/>
      <c r="T886" s="378"/>
      <c r="U886" s="378"/>
      <c r="V886" s="378"/>
      <c r="W886" s="378"/>
      <c r="X886" s="378"/>
      <c r="Y886" s="378"/>
      <c r="Z886" s="378"/>
      <c r="AA886" s="378"/>
      <c r="AB886" s="378"/>
      <c r="AC886" s="378"/>
      <c r="AD886" s="378"/>
      <c r="AE886" s="378"/>
      <c r="AF886" s="378"/>
      <c r="AG886" s="378"/>
    </row>
    <row r="887">
      <c r="A887" s="378"/>
      <c r="B887" s="382"/>
      <c r="C887" s="388"/>
      <c r="D887" s="384"/>
      <c r="E887" s="385" t="s">
        <v>700</v>
      </c>
      <c r="F887" s="385" t="str">
        <f>Board!A2</f>
        <v>11.17.25-11.23.25</v>
      </c>
      <c r="G887" s="213"/>
      <c r="H887" s="211"/>
      <c r="I887" s="386">
        <v>27.0</v>
      </c>
      <c r="J887" s="583"/>
      <c r="K887" s="584"/>
      <c r="L887" s="585"/>
      <c r="M887" s="586" t="s">
        <v>700</v>
      </c>
      <c r="N887" s="587" t="str">
        <f>Board!A2</f>
        <v>11.17.25-11.23.25</v>
      </c>
      <c r="O887" s="213"/>
      <c r="P887" s="211"/>
      <c r="Q887" s="378"/>
      <c r="R887" s="389" t="s">
        <v>831</v>
      </c>
      <c r="S887" s="389" t="s">
        <v>652</v>
      </c>
      <c r="T887" s="390" t="s">
        <v>832</v>
      </c>
      <c r="U887" s="391" t="s">
        <v>833</v>
      </c>
      <c r="V887" s="389" t="s">
        <v>655</v>
      </c>
      <c r="W887" s="389" t="s">
        <v>8</v>
      </c>
      <c r="X887" s="389" t="s">
        <v>656</v>
      </c>
      <c r="Y887" s="390" t="s">
        <v>834</v>
      </c>
      <c r="Z887" s="392" t="s">
        <v>835</v>
      </c>
      <c r="AA887" s="390" t="s">
        <v>836</v>
      </c>
      <c r="AB887" s="390" t="s">
        <v>837</v>
      </c>
      <c r="AC887" s="393" t="s">
        <v>716</v>
      </c>
      <c r="AD887" s="393" t="s">
        <v>717</v>
      </c>
      <c r="AE887" s="393" t="s">
        <v>718</v>
      </c>
      <c r="AF887" s="394" t="s">
        <v>838</v>
      </c>
      <c r="AG887" s="394"/>
    </row>
    <row r="888">
      <c r="A888" s="378"/>
      <c r="B888" s="395"/>
      <c r="C888" s="372"/>
      <c r="D888" s="396"/>
      <c r="E888" s="385" t="s">
        <v>702</v>
      </c>
      <c r="F888" s="385" t="s">
        <v>673</v>
      </c>
      <c r="G888" s="213"/>
      <c r="H888" s="211"/>
      <c r="I888" s="376"/>
      <c r="J888" s="588"/>
      <c r="K888" s="589"/>
      <c r="L888" s="590"/>
      <c r="M888" s="586" t="s">
        <v>351</v>
      </c>
      <c r="N888" s="587" t="str">
        <f t="array" ref="N888">XLOOKUP(N889,Board!K:K,Board!J:J)</f>
        <v>EMMANUEL MULLER</v>
      </c>
      <c r="O888" s="213"/>
      <c r="P888" s="211"/>
      <c r="Q888" s="378"/>
      <c r="R888" s="398">
        <f>I887</f>
        <v>27</v>
      </c>
      <c r="S888" s="398">
        <f>F889</f>
        <v>9617</v>
      </c>
      <c r="T888" s="399" t="str">
        <f>G909</f>
        <v>#N/A</v>
      </c>
      <c r="U888" s="378" t="str">
        <f>N888</f>
        <v>EMMANUEL MULLER</v>
      </c>
      <c r="V888" s="380">
        <f>O909</f>
        <v>3588.65</v>
      </c>
      <c r="W888" s="399">
        <f>P897</f>
        <v>3588.65</v>
      </c>
      <c r="X888" s="399" t="str">
        <f>C908</f>
        <v>#N/A</v>
      </c>
      <c r="Y888" s="400">
        <f>N897</f>
        <v>5521</v>
      </c>
      <c r="Z888" s="378" t="str">
        <f>V889-V888</f>
        <v>#N/A</v>
      </c>
      <c r="AA888" s="378"/>
      <c r="AB888" s="378"/>
      <c r="AC888" s="401">
        <f>C905</f>
        <v>150</v>
      </c>
      <c r="AD888" s="401">
        <f>C906</f>
        <v>400</v>
      </c>
      <c r="AE888" s="401">
        <f>C907</f>
        <v>200</v>
      </c>
      <c r="AF888" s="398">
        <f>C909+C910+C911+C912+C913</f>
        <v>0</v>
      </c>
      <c r="AG888" s="398"/>
    </row>
    <row r="889">
      <c r="A889" s="378"/>
      <c r="B889" s="395"/>
      <c r="C889" s="372"/>
      <c r="D889" s="402"/>
      <c r="E889" s="385" t="s">
        <v>703</v>
      </c>
      <c r="F889" s="385">
        <v>9617.0</v>
      </c>
      <c r="G889" s="213"/>
      <c r="H889" s="211"/>
      <c r="I889" s="376"/>
      <c r="J889" s="588"/>
      <c r="K889" s="589"/>
      <c r="L889" s="591"/>
      <c r="M889" s="586" t="s">
        <v>703</v>
      </c>
      <c r="N889" s="587">
        <f>F889</f>
        <v>9617</v>
      </c>
      <c r="O889" s="213"/>
      <c r="P889" s="211"/>
      <c r="Q889" s="378"/>
      <c r="R889" s="378"/>
      <c r="S889" s="378"/>
      <c r="T889" s="378"/>
      <c r="U889" s="378" t="str">
        <f>F888</f>
        <v>Nationwide LLC</v>
      </c>
      <c r="V889" s="399" t="str">
        <f>G909</f>
        <v>#N/A</v>
      </c>
      <c r="W889" s="399">
        <f>H897</f>
        <v>9152</v>
      </c>
      <c r="X889" s="378"/>
      <c r="Y889" s="378"/>
      <c r="Z889" s="378"/>
      <c r="AA889" s="378"/>
      <c r="AB889" s="378"/>
      <c r="AC889" s="378"/>
      <c r="AD889" s="378"/>
      <c r="AE889" s="378"/>
      <c r="AF889" s="378"/>
      <c r="AG889" s="378"/>
    </row>
    <row r="890">
      <c r="A890" s="378"/>
      <c r="B890" s="403" t="s">
        <v>704</v>
      </c>
      <c r="C890" s="404" t="s">
        <v>5</v>
      </c>
      <c r="D890" s="405" t="s">
        <v>6</v>
      </c>
      <c r="E890" s="406" t="s">
        <v>7</v>
      </c>
      <c r="F890" s="404" t="s">
        <v>8</v>
      </c>
      <c r="G890" s="404" t="s">
        <v>706</v>
      </c>
      <c r="H890" s="404" t="s">
        <v>707</v>
      </c>
      <c r="I890" s="376"/>
      <c r="J890" s="592" t="s">
        <v>704</v>
      </c>
      <c r="K890" s="593" t="s">
        <v>5</v>
      </c>
      <c r="L890" s="594" t="s">
        <v>6</v>
      </c>
      <c r="M890" s="595" t="s">
        <v>7</v>
      </c>
      <c r="N890" s="596" t="s">
        <v>591</v>
      </c>
      <c r="O890" s="597" t="s">
        <v>839</v>
      </c>
      <c r="P890" s="593" t="s">
        <v>707</v>
      </c>
      <c r="Q890" s="378"/>
      <c r="R890" s="378"/>
      <c r="S890" s="378"/>
      <c r="T890" s="378"/>
      <c r="U890" s="378"/>
      <c r="V890" s="378"/>
      <c r="W890" s="378"/>
      <c r="X890" s="378"/>
      <c r="Y890" s="378"/>
      <c r="Z890" s="378"/>
      <c r="AA890" s="378"/>
      <c r="AB890" s="378"/>
      <c r="AC890" s="378"/>
      <c r="AD890" s="378"/>
      <c r="AE890" s="378"/>
      <c r="AF890" s="378"/>
      <c r="AG890" s="378"/>
    </row>
    <row r="891">
      <c r="A891" s="378"/>
      <c r="B891" s="555">
        <f>IFERROR(__xludf.DUMMYFUNCTION("FILTER(Board!C:G,Board!K:K=F889)"),45978.0)</f>
        <v>45978</v>
      </c>
      <c r="C891" s="404">
        <f>IFERROR(__xludf.DUMMYFUNCTION("""COMPUTED_VALUE"""),227339.0)</f>
        <v>227339</v>
      </c>
      <c r="D891" s="405" t="str">
        <f>IFERROR(__xludf.DUMMYFUNCTION("""COMPUTED_VALUE"""),"Waldwick, NJ, 07463")</f>
        <v>Waldwick, NJ, 07463</v>
      </c>
      <c r="E891" s="406" t="str">
        <f>IFERROR(__xludf.DUMMYFUNCTION("""COMPUTED_VALUE"""),"Selah, WA, 98942")</f>
        <v>Selah, WA, 98942</v>
      </c>
      <c r="F891" s="414">
        <f>IFERROR(__xludf.DUMMYFUNCTION("""COMPUTED_VALUE"""),5000.0)</f>
        <v>5000</v>
      </c>
      <c r="G891" s="413">
        <v>0.88</v>
      </c>
      <c r="H891" s="414">
        <f t="shared" ref="H891:H892" si="48">F891*G891</f>
        <v>4400</v>
      </c>
      <c r="I891" s="376"/>
      <c r="J891" s="598">
        <f>IFERROR(__xludf.DUMMYFUNCTION("FILTER(Board!C:F,Board!K:K=N889)"),45978.0)</f>
        <v>45978</v>
      </c>
      <c r="K891" s="593">
        <f>IFERROR(__xludf.DUMMYFUNCTION("""COMPUTED_VALUE"""),227339.0)</f>
        <v>227339</v>
      </c>
      <c r="L891" s="593" t="str">
        <f>IFERROR(__xludf.DUMMYFUNCTION("""COMPUTED_VALUE"""),"Waldwick, NJ, 07463")</f>
        <v>Waldwick, NJ, 07463</v>
      </c>
      <c r="M891" s="593" t="str">
        <f>IFERROR(__xludf.DUMMYFUNCTION("""COMPUTED_VALUE"""),"Selah, WA, 98942")</f>
        <v>Selah, WA, 98942</v>
      </c>
      <c r="N891" s="636">
        <f>IFERROR(__xludf.DUMMYFUNCTION("FILTER(Board!H:H,Board!K:K=N889)"),2811.0)</f>
        <v>2811</v>
      </c>
      <c r="O891" s="597">
        <v>0.65</v>
      </c>
      <c r="P891" s="600">
        <f t="shared" ref="P891:P894" si="49">N891*O891</f>
        <v>1827.15</v>
      </c>
      <c r="Q891" s="378"/>
      <c r="R891" s="378"/>
      <c r="S891" s="378"/>
      <c r="T891" s="378"/>
      <c r="U891" s="378"/>
      <c r="V891" s="378"/>
      <c r="W891" s="378"/>
      <c r="X891" s="378"/>
      <c r="Y891" s="378"/>
      <c r="Z891" s="378"/>
      <c r="AA891" s="378"/>
      <c r="AB891" s="378"/>
      <c r="AC891" s="378"/>
      <c r="AD891" s="378"/>
      <c r="AE891" s="378"/>
      <c r="AF891" s="378"/>
      <c r="AG891" s="378"/>
    </row>
    <row r="892">
      <c r="A892" s="378"/>
      <c r="B892" s="555">
        <f>IFERROR(__xludf.DUMMYFUNCTION("""COMPUTED_VALUE"""),45981.0)</f>
        <v>45981</v>
      </c>
      <c r="C892" s="404">
        <f>IFERROR(__xludf.DUMMYFUNCTION("""COMPUTED_VALUE"""),1.5467599E7)</f>
        <v>15467599</v>
      </c>
      <c r="D892" s="405" t="str">
        <f>IFERROR(__xludf.DUMMYFUNCTION("""COMPUTED_VALUE"""),"Yakima, WA, 98902")</f>
        <v>Yakima, WA, 98902</v>
      </c>
      <c r="E892" s="406" t="str">
        <f>IFERROR(__xludf.DUMMYFUNCTION("""COMPUTED_VALUE"""),", DE, 19720")</f>
        <v>, DE, 19720</v>
      </c>
      <c r="F892" s="414">
        <f>IFERROR(__xludf.DUMMYFUNCTION("""COMPUTED_VALUE"""),5400.0)</f>
        <v>5400</v>
      </c>
      <c r="G892" s="413">
        <v>0.88</v>
      </c>
      <c r="H892" s="414">
        <f t="shared" si="48"/>
        <v>4752</v>
      </c>
      <c r="I892" s="376"/>
      <c r="J892" s="601">
        <f>IFERROR(__xludf.DUMMYFUNCTION("""COMPUTED_VALUE"""),45981.0)</f>
        <v>45981</v>
      </c>
      <c r="K892" s="593">
        <f>IFERROR(__xludf.DUMMYFUNCTION("""COMPUTED_VALUE"""),1.5467599E7)</f>
        <v>15467599</v>
      </c>
      <c r="L892" s="593" t="str">
        <f>IFERROR(__xludf.DUMMYFUNCTION("""COMPUTED_VALUE"""),"Yakima, WA, 98902")</f>
        <v>Yakima, WA, 98902</v>
      </c>
      <c r="M892" s="593" t="str">
        <f>IFERROR(__xludf.DUMMYFUNCTION("""COMPUTED_VALUE"""),", DE, 19720")</f>
        <v>, DE, 19720</v>
      </c>
      <c r="N892" s="599">
        <f>IFERROR(__xludf.DUMMYFUNCTION("""COMPUTED_VALUE"""),2710.0)</f>
        <v>2710</v>
      </c>
      <c r="O892" s="597">
        <v>0.65</v>
      </c>
      <c r="P892" s="600">
        <f t="shared" si="49"/>
        <v>1761.5</v>
      </c>
      <c r="Q892" s="378"/>
      <c r="R892" s="378"/>
      <c r="S892" s="378"/>
      <c r="T892" s="378"/>
      <c r="U892" s="378"/>
      <c r="V892" s="378"/>
      <c r="W892" s="378"/>
      <c r="X892" s="378"/>
      <c r="Y892" s="378"/>
      <c r="Z892" s="378"/>
      <c r="AA892" s="378"/>
      <c r="AB892" s="378"/>
      <c r="AC892" s="378"/>
      <c r="AD892" s="378"/>
      <c r="AE892" s="378"/>
      <c r="AF892" s="378"/>
      <c r="AG892" s="378"/>
    </row>
    <row r="893">
      <c r="A893" s="378"/>
      <c r="B893" s="420"/>
      <c r="C893" s="421"/>
      <c r="D893" s="422"/>
      <c r="E893" s="423"/>
      <c r="F893" s="421"/>
      <c r="G893" s="413"/>
      <c r="H893" s="414"/>
      <c r="I893" s="376"/>
      <c r="J893" s="601"/>
      <c r="K893" s="593"/>
      <c r="L893" s="594"/>
      <c r="M893" s="595"/>
      <c r="N893" s="599"/>
      <c r="O893" s="597">
        <v>0.65</v>
      </c>
      <c r="P893" s="600">
        <f t="shared" si="49"/>
        <v>0</v>
      </c>
      <c r="Q893" s="378"/>
      <c r="R893" s="378"/>
      <c r="S893" s="378"/>
      <c r="T893" s="378"/>
      <c r="U893" s="378"/>
      <c r="V893" s="378"/>
      <c r="W893" s="378"/>
      <c r="X893" s="378"/>
      <c r="Y893" s="378"/>
      <c r="Z893" s="378"/>
      <c r="AA893" s="378"/>
      <c r="AB893" s="378"/>
      <c r="AC893" s="378"/>
      <c r="AD893" s="378"/>
      <c r="AE893" s="378"/>
      <c r="AF893" s="378"/>
      <c r="AG893" s="378"/>
    </row>
    <row r="894">
      <c r="A894" s="378"/>
      <c r="B894" s="420"/>
      <c r="C894" s="421"/>
      <c r="D894" s="422"/>
      <c r="E894" s="423"/>
      <c r="F894" s="421"/>
      <c r="G894" s="413"/>
      <c r="H894" s="414"/>
      <c r="I894" s="376"/>
      <c r="J894" s="601"/>
      <c r="K894" s="593"/>
      <c r="L894" s="594"/>
      <c r="M894" s="595"/>
      <c r="N894" s="599"/>
      <c r="O894" s="597">
        <v>0.65</v>
      </c>
      <c r="P894" s="600">
        <f t="shared" si="49"/>
        <v>0</v>
      </c>
      <c r="Q894" s="378"/>
      <c r="R894" s="378"/>
      <c r="S894" s="378"/>
      <c r="T894" s="378"/>
      <c r="U894" s="378"/>
      <c r="V894" s="378"/>
      <c r="W894" s="378"/>
      <c r="X894" s="378"/>
      <c r="Y894" s="378"/>
      <c r="Z894" s="378"/>
      <c r="AA894" s="378"/>
      <c r="AB894" s="378"/>
      <c r="AC894" s="378"/>
      <c r="AD894" s="378"/>
      <c r="AE894" s="378"/>
      <c r="AF894" s="378"/>
      <c r="AG894" s="378"/>
    </row>
    <row r="895">
      <c r="A895" s="378"/>
      <c r="B895" s="420"/>
      <c r="C895" s="421"/>
      <c r="D895" s="422"/>
      <c r="E895" s="423"/>
      <c r="F895" s="421"/>
      <c r="G895" s="413"/>
      <c r="H895" s="414"/>
      <c r="I895" s="376"/>
      <c r="J895" s="602"/>
      <c r="K895" s="593"/>
      <c r="L895" s="594"/>
      <c r="M895" s="595"/>
      <c r="N895" s="596"/>
      <c r="O895" s="597"/>
      <c r="P895" s="600"/>
      <c r="Q895" s="378"/>
      <c r="R895" s="378"/>
      <c r="S895" s="378"/>
      <c r="T895" s="378"/>
      <c r="U895" s="378"/>
      <c r="V895" s="378"/>
      <c r="W895" s="378"/>
      <c r="X895" s="378"/>
      <c r="Y895" s="378"/>
      <c r="Z895" s="378"/>
      <c r="AA895" s="378"/>
      <c r="AB895" s="378"/>
      <c r="AC895" s="378"/>
      <c r="AD895" s="378"/>
      <c r="AE895" s="378"/>
      <c r="AF895" s="378"/>
      <c r="AG895" s="378"/>
    </row>
    <row r="896">
      <c r="A896" s="378"/>
      <c r="B896" s="420"/>
      <c r="C896" s="421"/>
      <c r="D896" s="422"/>
      <c r="E896" s="423"/>
      <c r="F896" s="421"/>
      <c r="G896" s="413"/>
      <c r="H896" s="414"/>
      <c r="I896" s="376"/>
      <c r="J896" s="602"/>
      <c r="K896" s="593"/>
      <c r="L896" s="594"/>
      <c r="M896" s="595"/>
      <c r="N896" s="596"/>
      <c r="O896" s="597"/>
      <c r="P896" s="600"/>
      <c r="Q896" s="378"/>
      <c r="R896" s="378"/>
      <c r="S896" s="378"/>
      <c r="T896" s="378"/>
      <c r="U896" s="378"/>
      <c r="V896" s="378"/>
      <c r="W896" s="378"/>
      <c r="X896" s="378"/>
      <c r="Y896" s="378"/>
      <c r="Z896" s="378"/>
      <c r="AA896" s="378"/>
      <c r="AB896" s="378"/>
      <c r="AC896" s="378"/>
      <c r="AD896" s="378"/>
      <c r="AE896" s="378"/>
      <c r="AF896" s="378"/>
      <c r="AG896" s="378"/>
    </row>
    <row r="897">
      <c r="A897" s="378"/>
      <c r="B897" s="403" t="s">
        <v>711</v>
      </c>
      <c r="C897" s="224"/>
      <c r="D897" s="224"/>
      <c r="E897" s="222"/>
      <c r="F897" s="414">
        <f>SUM(F891:F896)</f>
        <v>10400</v>
      </c>
      <c r="G897" s="421"/>
      <c r="H897" s="414">
        <f>SUM(H891:H896)</f>
        <v>9152</v>
      </c>
      <c r="I897" s="376"/>
      <c r="J897" s="603" t="s">
        <v>711</v>
      </c>
      <c r="K897" s="224"/>
      <c r="L897" s="224"/>
      <c r="M897" s="222"/>
      <c r="N897" s="599">
        <f>SUM(N891:N896)</f>
        <v>5521</v>
      </c>
      <c r="O897" s="597"/>
      <c r="P897" s="600">
        <f>SUM(P891:P896)</f>
        <v>3588.65</v>
      </c>
      <c r="Q897" s="378"/>
      <c r="R897" s="378"/>
      <c r="S897" s="378"/>
      <c r="T897" s="378"/>
      <c r="U897" s="378"/>
      <c r="V897" s="378"/>
      <c r="W897" s="378"/>
      <c r="X897" s="378"/>
      <c r="Y897" s="378"/>
      <c r="Z897" s="378"/>
      <c r="AA897" s="378"/>
      <c r="AB897" s="378"/>
      <c r="AC897" s="378"/>
      <c r="AD897" s="378"/>
      <c r="AE897" s="378"/>
      <c r="AF897" s="378"/>
      <c r="AG897" s="378"/>
    </row>
    <row r="898">
      <c r="A898" s="378"/>
      <c r="B898" s="428"/>
      <c r="C898" s="419"/>
      <c r="D898" s="419"/>
      <c r="E898" s="419"/>
      <c r="F898" s="419"/>
      <c r="G898" s="419"/>
      <c r="H898" s="429"/>
      <c r="I898" s="376"/>
      <c r="J898" s="604"/>
      <c r="K898" s="605"/>
      <c r="L898" s="605"/>
      <c r="M898" s="605"/>
      <c r="N898" s="606"/>
      <c r="O898" s="607"/>
      <c r="P898" s="608"/>
      <c r="Q898" s="378"/>
      <c r="R898" s="378"/>
      <c r="S898" s="378"/>
      <c r="T898" s="378"/>
      <c r="U898" s="378"/>
      <c r="V898" s="378"/>
      <c r="W898" s="378"/>
      <c r="X898" s="378"/>
      <c r="Y898" s="378"/>
      <c r="Z898" s="378"/>
      <c r="AA898" s="378"/>
      <c r="AB898" s="378"/>
      <c r="AC898" s="378"/>
      <c r="AD898" s="378"/>
      <c r="AE898" s="378"/>
      <c r="AF898" s="378"/>
      <c r="AG898" s="378"/>
    </row>
    <row r="899">
      <c r="A899" s="378"/>
      <c r="B899" s="433" t="s">
        <v>712</v>
      </c>
      <c r="C899" s="434"/>
      <c r="D899" s="435"/>
      <c r="E899" s="419"/>
      <c r="F899" s="419"/>
      <c r="G899" s="419"/>
      <c r="H899" s="429"/>
      <c r="I899" s="376"/>
      <c r="J899" s="437" t="s">
        <v>712</v>
      </c>
      <c r="K899" s="609"/>
      <c r="L899" s="610"/>
      <c r="M899" s="605"/>
      <c r="N899" s="606"/>
      <c r="O899" s="607"/>
      <c r="P899" s="608"/>
      <c r="Q899" s="378"/>
      <c r="R899" s="378"/>
      <c r="S899" s="378"/>
      <c r="T899" s="378"/>
      <c r="U899" s="378"/>
      <c r="V899" s="378"/>
      <c r="W899" s="378"/>
      <c r="X899" s="378"/>
      <c r="Y899" s="378"/>
      <c r="Z899" s="378"/>
      <c r="AA899" s="378"/>
      <c r="AB899" s="378"/>
      <c r="AC899" s="378"/>
      <c r="AD899" s="378"/>
      <c r="AE899" s="378"/>
      <c r="AF899" s="378"/>
      <c r="AG899" s="378"/>
    </row>
    <row r="900">
      <c r="A900" s="378"/>
      <c r="B900" s="438"/>
      <c r="C900" s="439"/>
      <c r="D900" s="440"/>
      <c r="E900" s="419"/>
      <c r="F900" s="419"/>
      <c r="G900" s="419"/>
      <c r="H900" s="429"/>
      <c r="I900" s="376"/>
      <c r="J900" s="443"/>
      <c r="K900" s="611"/>
      <c r="L900" s="612"/>
      <c r="M900" s="605"/>
      <c r="N900" s="606"/>
      <c r="O900" s="607"/>
      <c r="P900" s="608"/>
      <c r="Q900" s="378"/>
      <c r="R900" s="378"/>
      <c r="S900" s="378"/>
      <c r="T900" s="378"/>
      <c r="U900" s="378"/>
      <c r="V900" s="378"/>
      <c r="W900" s="378"/>
      <c r="X900" s="378"/>
      <c r="Y900" s="378"/>
      <c r="Z900" s="378"/>
      <c r="AA900" s="378"/>
      <c r="AB900" s="378"/>
      <c r="AC900" s="378"/>
      <c r="AD900" s="378"/>
      <c r="AE900" s="378"/>
      <c r="AF900" s="378"/>
      <c r="AG900" s="378"/>
    </row>
    <row r="901">
      <c r="A901" s="378"/>
      <c r="B901" s="444"/>
      <c r="C901" s="434"/>
      <c r="D901" s="435"/>
      <c r="E901" s="419"/>
      <c r="F901" s="463"/>
      <c r="G901" s="463"/>
      <c r="H901" s="448"/>
      <c r="I901" s="376"/>
      <c r="J901" s="445"/>
      <c r="K901" s="609"/>
      <c r="L901" s="610"/>
      <c r="M901" s="605"/>
      <c r="N901" s="606"/>
      <c r="O901" s="607"/>
      <c r="P901" s="608"/>
      <c r="Q901" s="378"/>
      <c r="R901" s="378"/>
      <c r="S901" s="378"/>
      <c r="T901" s="378"/>
      <c r="U901" s="378"/>
      <c r="V901" s="378"/>
      <c r="W901" s="378"/>
      <c r="X901" s="378"/>
      <c r="Y901" s="378"/>
      <c r="Z901" s="378"/>
      <c r="AA901" s="378"/>
      <c r="AB901" s="378"/>
      <c r="AC901" s="378"/>
      <c r="AD901" s="378"/>
      <c r="AE901" s="378"/>
      <c r="AF901" s="378"/>
      <c r="AG901" s="378"/>
    </row>
    <row r="902">
      <c r="A902" s="378"/>
      <c r="B902" s="438" t="s">
        <v>714</v>
      </c>
      <c r="C902" s="439">
        <f>SUM(C900:C901)</f>
        <v>0</v>
      </c>
      <c r="D902" s="440"/>
      <c r="E902" s="419"/>
      <c r="F902" s="463"/>
      <c r="G902" s="463"/>
      <c r="H902" s="448"/>
      <c r="I902" s="376"/>
      <c r="J902" s="443" t="s">
        <v>714</v>
      </c>
      <c r="K902" s="611">
        <f>SUM(K900:K901)</f>
        <v>0</v>
      </c>
      <c r="L902" s="612"/>
      <c r="M902" s="605"/>
      <c r="N902" s="606"/>
      <c r="O902" s="607"/>
      <c r="P902" s="608"/>
      <c r="Q902" s="378"/>
      <c r="R902" s="378"/>
      <c r="S902" s="378"/>
      <c r="T902" s="378"/>
      <c r="U902" s="378"/>
      <c r="V902" s="378"/>
      <c r="W902" s="378"/>
      <c r="X902" s="378"/>
      <c r="Y902" s="378"/>
      <c r="Z902" s="378"/>
      <c r="AA902" s="378"/>
      <c r="AB902" s="378"/>
      <c r="AC902" s="378"/>
      <c r="AD902" s="378"/>
      <c r="AE902" s="378"/>
      <c r="AF902" s="378"/>
      <c r="AG902" s="378"/>
    </row>
    <row r="903">
      <c r="A903" s="378"/>
      <c r="B903" s="450"/>
      <c r="C903" s="451"/>
      <c r="D903" s="419"/>
      <c r="E903" s="419"/>
      <c r="F903" s="463"/>
      <c r="G903" s="463"/>
      <c r="H903" s="448"/>
      <c r="I903" s="376"/>
      <c r="J903" s="613"/>
      <c r="K903" s="614"/>
      <c r="L903" s="605"/>
      <c r="M903" s="605"/>
      <c r="N903" s="606"/>
      <c r="O903" s="607"/>
      <c r="P903" s="608"/>
      <c r="Q903" s="378"/>
      <c r="R903" s="378"/>
      <c r="S903" s="378"/>
      <c r="T903" s="378"/>
      <c r="U903" s="378"/>
      <c r="V903" s="378"/>
      <c r="W903" s="378"/>
      <c r="X903" s="378"/>
      <c r="Y903" s="378"/>
      <c r="Z903" s="378"/>
      <c r="AA903" s="378"/>
      <c r="AB903" s="378"/>
      <c r="AC903" s="378"/>
      <c r="AD903" s="378"/>
      <c r="AE903" s="378"/>
      <c r="AF903" s="378"/>
      <c r="AG903" s="378"/>
    </row>
    <row r="904">
      <c r="A904" s="378"/>
      <c r="B904" s="454" t="s">
        <v>715</v>
      </c>
      <c r="C904" s="455"/>
      <c r="D904" s="435"/>
      <c r="E904" s="419"/>
      <c r="F904" s="463"/>
      <c r="G904" s="463"/>
      <c r="H904" s="448"/>
      <c r="I904" s="376"/>
      <c r="J904" s="615" t="s">
        <v>715</v>
      </c>
      <c r="K904" s="616"/>
      <c r="L904" s="610"/>
      <c r="M904" s="605"/>
      <c r="N904" s="606"/>
      <c r="O904" s="607"/>
      <c r="P904" s="608"/>
      <c r="Q904" s="378"/>
      <c r="R904" s="378"/>
      <c r="S904" s="378"/>
      <c r="T904" s="378"/>
      <c r="U904" s="378"/>
      <c r="V904" s="378"/>
      <c r="W904" s="378"/>
      <c r="X904" s="378"/>
      <c r="Y904" s="378"/>
      <c r="Z904" s="378"/>
      <c r="AA904" s="378"/>
      <c r="AB904" s="378"/>
      <c r="AC904" s="378"/>
      <c r="AD904" s="378"/>
      <c r="AE904" s="378"/>
      <c r="AF904" s="378"/>
      <c r="AG904" s="378"/>
    </row>
    <row r="905">
      <c r="A905" s="378"/>
      <c r="B905" s="459" t="s">
        <v>716</v>
      </c>
      <c r="C905" s="460">
        <v>150.0</v>
      </c>
      <c r="D905" s="440"/>
      <c r="E905" s="419"/>
      <c r="F905" s="463"/>
      <c r="G905" s="463"/>
      <c r="H905" s="448"/>
      <c r="I905" s="376"/>
      <c r="J905" s="617"/>
      <c r="K905" s="618"/>
      <c r="L905" s="612"/>
      <c r="M905" s="605"/>
      <c r="N905" s="606"/>
      <c r="O905" s="607"/>
      <c r="P905" s="608"/>
      <c r="Q905" s="378"/>
      <c r="R905" s="378"/>
      <c r="S905" s="378"/>
      <c r="T905" s="378"/>
      <c r="U905" s="378"/>
      <c r="V905" s="378"/>
      <c r="W905" s="378"/>
      <c r="X905" s="378"/>
      <c r="Y905" s="378"/>
      <c r="Z905" s="378"/>
      <c r="AA905" s="378"/>
      <c r="AB905" s="378"/>
      <c r="AC905" s="378"/>
      <c r="AD905" s="378"/>
      <c r="AE905" s="378"/>
      <c r="AF905" s="378"/>
      <c r="AG905" s="378"/>
    </row>
    <row r="906">
      <c r="A906" s="378"/>
      <c r="B906" s="459" t="s">
        <v>717</v>
      </c>
      <c r="C906" s="460">
        <v>400.0</v>
      </c>
      <c r="D906" s="440"/>
      <c r="E906" s="419"/>
      <c r="F906" s="463"/>
      <c r="G906" s="463"/>
      <c r="H906" s="448"/>
      <c r="I906" s="376"/>
      <c r="J906" s="617"/>
      <c r="K906" s="618"/>
      <c r="L906" s="612"/>
      <c r="M906" s="605"/>
      <c r="N906" s="606"/>
      <c r="O906" s="607"/>
      <c r="P906" s="608"/>
      <c r="Q906" s="378"/>
      <c r="R906" s="378"/>
      <c r="S906" s="378"/>
      <c r="T906" s="378"/>
      <c r="U906" s="378"/>
      <c r="V906" s="378"/>
      <c r="W906" s="378"/>
      <c r="X906" s="378"/>
      <c r="Y906" s="378"/>
      <c r="Z906" s="378"/>
      <c r="AA906" s="378"/>
      <c r="AB906" s="378"/>
      <c r="AC906" s="378"/>
      <c r="AD906" s="378"/>
      <c r="AE906" s="378"/>
      <c r="AF906" s="378"/>
      <c r="AG906" s="378"/>
    </row>
    <row r="907">
      <c r="A907" s="378"/>
      <c r="B907" s="459" t="s">
        <v>718</v>
      </c>
      <c r="C907" s="460">
        <v>200.0</v>
      </c>
      <c r="D907" s="440"/>
      <c r="E907" s="419"/>
      <c r="F907" s="463"/>
      <c r="G907" s="463"/>
      <c r="H907" s="448"/>
      <c r="I907" s="376"/>
      <c r="J907" s="617"/>
      <c r="K907" s="618"/>
      <c r="L907" s="612"/>
      <c r="M907" s="605"/>
      <c r="N907" s="606"/>
      <c r="O907" s="607"/>
      <c r="P907" s="608"/>
      <c r="Q907" s="378"/>
      <c r="R907" s="378"/>
      <c r="S907" s="378"/>
      <c r="T907" s="378"/>
      <c r="U907" s="378"/>
      <c r="V907" s="378"/>
      <c r="W907" s="378"/>
      <c r="X907" s="378"/>
      <c r="Y907" s="378"/>
      <c r="Z907" s="378"/>
      <c r="AA907" s="378"/>
      <c r="AB907" s="378"/>
      <c r="AC907" s="378"/>
      <c r="AD907" s="378"/>
      <c r="AE907" s="378"/>
      <c r="AF907" s="378"/>
      <c r="AG907" s="378"/>
    </row>
    <row r="908">
      <c r="A908" s="378"/>
      <c r="B908" s="459" t="s">
        <v>656</v>
      </c>
      <c r="C908" s="460" t="str">
        <f>IFERROR(__xludf.DUMMYFUNCTION("FILTER(D1045:D1073,C1045:C1073=F889)"),"#N/A")</f>
        <v>#N/A</v>
      </c>
      <c r="D908" s="440"/>
      <c r="E908" s="419"/>
      <c r="F908" s="463"/>
      <c r="G908" s="463"/>
      <c r="H908" s="448"/>
      <c r="I908" s="376"/>
      <c r="J908" s="617"/>
      <c r="K908" s="618"/>
      <c r="L908" s="612"/>
      <c r="M908" s="605"/>
      <c r="N908" s="606"/>
      <c r="O908" s="607"/>
      <c r="P908" s="608"/>
      <c r="Q908" s="378"/>
      <c r="R908" s="378"/>
      <c r="S908" s="378"/>
      <c r="T908" s="378"/>
      <c r="U908" s="378"/>
      <c r="V908" s="378"/>
      <c r="W908" s="378"/>
      <c r="X908" s="378"/>
      <c r="Y908" s="378"/>
      <c r="Z908" s="378"/>
      <c r="AA908" s="378"/>
      <c r="AB908" s="378"/>
      <c r="AC908" s="378"/>
      <c r="AD908" s="378"/>
      <c r="AE908" s="378"/>
      <c r="AF908" s="378"/>
      <c r="AG908" s="378"/>
    </row>
    <row r="909">
      <c r="A909" s="378"/>
      <c r="B909" s="464"/>
      <c r="C909" s="455"/>
      <c r="D909" s="435"/>
      <c r="E909" s="419"/>
      <c r="F909" s="468" t="s">
        <v>842</v>
      </c>
      <c r="G909" s="466" t="str">
        <f>H897+C902-C914</f>
        <v>#N/A</v>
      </c>
      <c r="H909" s="211"/>
      <c r="I909" s="376"/>
      <c r="J909" s="615"/>
      <c r="K909" s="616"/>
      <c r="L909" s="610"/>
      <c r="M909" s="605"/>
      <c r="N909" s="619" t="s">
        <v>842</v>
      </c>
      <c r="O909" s="620">
        <f>P897+K902-K914</f>
        <v>3588.65</v>
      </c>
      <c r="P909" s="211"/>
      <c r="Q909" s="378"/>
      <c r="R909" s="378"/>
      <c r="S909" s="378"/>
      <c r="T909" s="378"/>
      <c r="U909" s="378"/>
      <c r="V909" s="378"/>
      <c r="W909" s="378"/>
      <c r="X909" s="378"/>
      <c r="Y909" s="378"/>
      <c r="Z909" s="378"/>
      <c r="AA909" s="378"/>
      <c r="AB909" s="378"/>
      <c r="AC909" s="378"/>
      <c r="AD909" s="378"/>
      <c r="AE909" s="378"/>
      <c r="AF909" s="378"/>
      <c r="AG909" s="378"/>
    </row>
    <row r="910">
      <c r="A910" s="378"/>
      <c r="B910" s="464"/>
      <c r="C910" s="455"/>
      <c r="D910" s="435"/>
      <c r="E910" s="419"/>
      <c r="F910" s="469" t="s">
        <v>843</v>
      </c>
      <c r="G910" s="278"/>
      <c r="H910" s="56"/>
      <c r="I910" s="376"/>
      <c r="J910" s="615"/>
      <c r="K910" s="616"/>
      <c r="L910" s="610"/>
      <c r="M910" s="605"/>
      <c r="N910" s="621" t="s">
        <v>854</v>
      </c>
      <c r="O910" s="278"/>
      <c r="P910" s="56"/>
      <c r="Q910" s="378"/>
      <c r="R910" s="378"/>
      <c r="S910" s="378"/>
      <c r="T910" s="378"/>
      <c r="U910" s="378"/>
      <c r="V910" s="378"/>
      <c r="W910" s="378"/>
      <c r="X910" s="378"/>
      <c r="Y910" s="378"/>
      <c r="Z910" s="378"/>
      <c r="AA910" s="378"/>
      <c r="AB910" s="378"/>
      <c r="AC910" s="378"/>
      <c r="AD910" s="378"/>
      <c r="AE910" s="378"/>
      <c r="AF910" s="378"/>
      <c r="AG910" s="378"/>
    </row>
    <row r="911">
      <c r="A911" s="378"/>
      <c r="B911" s="464"/>
      <c r="C911" s="455"/>
      <c r="D911" s="435"/>
      <c r="E911" s="419"/>
      <c r="F911" s="470"/>
      <c r="G911" s="215"/>
      <c r="H911" s="64"/>
      <c r="I911" s="376"/>
      <c r="J911" s="615"/>
      <c r="K911" s="616"/>
      <c r="L911" s="610"/>
      <c r="M911" s="605"/>
      <c r="N911" s="622"/>
      <c r="O911" s="215"/>
      <c r="P911" s="64"/>
      <c r="Q911" s="378"/>
      <c r="R911" s="378"/>
      <c r="S911" s="378"/>
      <c r="T911" s="378"/>
      <c r="U911" s="378"/>
      <c r="V911" s="378"/>
      <c r="W911" s="378"/>
      <c r="X911" s="378"/>
      <c r="Y911" s="378"/>
      <c r="Z911" s="378"/>
      <c r="AA911" s="378"/>
      <c r="AB911" s="378"/>
      <c r="AC911" s="378"/>
      <c r="AD911" s="378"/>
      <c r="AE911" s="378"/>
      <c r="AF911" s="378"/>
      <c r="AG911" s="378"/>
    </row>
    <row r="912">
      <c r="A912" s="378"/>
      <c r="B912" s="464"/>
      <c r="C912" s="455"/>
      <c r="D912" s="435"/>
      <c r="E912" s="419"/>
      <c r="F912" s="419"/>
      <c r="G912" s="419"/>
      <c r="H912" s="429"/>
      <c r="I912" s="376"/>
      <c r="J912" s="615"/>
      <c r="K912" s="616"/>
      <c r="L912" s="610"/>
      <c r="M912" s="605"/>
      <c r="N912" s="606"/>
      <c r="O912" s="607"/>
      <c r="P912" s="608"/>
      <c r="Q912" s="378"/>
      <c r="R912" s="378"/>
      <c r="S912" s="378"/>
      <c r="T912" s="378"/>
      <c r="U912" s="378"/>
      <c r="V912" s="378"/>
      <c r="W912" s="378"/>
      <c r="X912" s="378"/>
      <c r="Y912" s="378"/>
      <c r="Z912" s="378"/>
      <c r="AA912" s="378"/>
      <c r="AB912" s="378"/>
      <c r="AC912" s="378"/>
      <c r="AD912" s="378"/>
      <c r="AE912" s="378"/>
      <c r="AF912" s="378"/>
      <c r="AG912" s="378"/>
    </row>
    <row r="913">
      <c r="A913" s="378"/>
      <c r="B913" s="464"/>
      <c r="C913" s="455"/>
      <c r="D913" s="435"/>
      <c r="E913" s="419"/>
      <c r="F913" s="419"/>
      <c r="G913" s="419"/>
      <c r="H913" s="429"/>
      <c r="I913" s="376"/>
      <c r="J913" s="615"/>
      <c r="K913" s="616"/>
      <c r="L913" s="610"/>
      <c r="M913" s="605"/>
      <c r="N913" s="606"/>
      <c r="O913" s="607"/>
      <c r="P913" s="608"/>
      <c r="Q913" s="378"/>
      <c r="R913" s="378"/>
      <c r="S913" s="378"/>
      <c r="T913" s="378"/>
      <c r="U913" s="378"/>
      <c r="V913" s="378"/>
      <c r="W913" s="378"/>
      <c r="X913" s="378"/>
      <c r="Y913" s="378"/>
      <c r="Z913" s="378"/>
      <c r="AA913" s="378"/>
      <c r="AB913" s="378"/>
      <c r="AC913" s="378"/>
      <c r="AD913" s="378"/>
      <c r="AE913" s="378"/>
      <c r="AF913" s="378"/>
      <c r="AG913" s="378"/>
    </row>
    <row r="914">
      <c r="A914" s="378"/>
      <c r="B914" s="454" t="s">
        <v>721</v>
      </c>
      <c r="C914" s="460" t="str">
        <f>SUM(C905:C913)</f>
        <v>#N/A</v>
      </c>
      <c r="D914" s="440"/>
      <c r="E914" s="419"/>
      <c r="F914" s="419"/>
      <c r="G914" s="419"/>
      <c r="H914" s="429"/>
      <c r="I914" s="376"/>
      <c r="J914" s="615" t="s">
        <v>721</v>
      </c>
      <c r="K914" s="618">
        <f>SUM(K905:K913)</f>
        <v>0</v>
      </c>
      <c r="L914" s="612"/>
      <c r="M914" s="605"/>
      <c r="N914" s="606"/>
      <c r="O914" s="607"/>
      <c r="P914" s="608"/>
      <c r="Q914" s="378"/>
      <c r="R914" s="378"/>
      <c r="S914" s="378"/>
      <c r="T914" s="378"/>
      <c r="U914" s="378"/>
      <c r="V914" s="378"/>
      <c r="W914" s="378"/>
      <c r="X914" s="378"/>
      <c r="Y914" s="378"/>
      <c r="Z914" s="378"/>
      <c r="AA914" s="378"/>
      <c r="AB914" s="378"/>
      <c r="AC914" s="378"/>
      <c r="AD914" s="378"/>
      <c r="AE914" s="378"/>
      <c r="AF914" s="378"/>
      <c r="AG914" s="378"/>
    </row>
    <row r="915">
      <c r="A915" s="378"/>
      <c r="B915" s="471"/>
      <c r="C915" s="472"/>
      <c r="D915" s="472"/>
      <c r="E915" s="472"/>
      <c r="F915" s="472"/>
      <c r="G915" s="472"/>
      <c r="H915" s="473"/>
      <c r="I915" s="376"/>
      <c r="J915" s="623"/>
      <c r="K915" s="624"/>
      <c r="L915" s="624"/>
      <c r="M915" s="624"/>
      <c r="N915" s="625"/>
      <c r="O915" s="626"/>
      <c r="P915" s="627"/>
      <c r="Q915" s="378"/>
      <c r="R915" s="378"/>
      <c r="S915" s="378"/>
      <c r="T915" s="378"/>
      <c r="U915" s="378"/>
      <c r="V915" s="378"/>
      <c r="W915" s="378"/>
      <c r="X915" s="378"/>
      <c r="Y915" s="378"/>
      <c r="Z915" s="378"/>
      <c r="AA915" s="378"/>
      <c r="AB915" s="378"/>
      <c r="AC915" s="378"/>
      <c r="AD915" s="378"/>
      <c r="AE915" s="378"/>
      <c r="AF915" s="378"/>
      <c r="AG915" s="378"/>
    </row>
    <row r="916">
      <c r="A916" s="378"/>
      <c r="B916" s="477"/>
      <c r="C916" s="378"/>
      <c r="D916" s="378"/>
      <c r="E916" s="378"/>
      <c r="F916" s="378"/>
      <c r="G916" s="378"/>
      <c r="H916" s="378"/>
      <c r="I916" s="376"/>
      <c r="J916" s="377"/>
      <c r="K916" s="378"/>
      <c r="L916" s="378"/>
      <c r="M916" s="378"/>
      <c r="N916" s="379"/>
      <c r="O916" s="380"/>
      <c r="P916" s="378"/>
      <c r="Q916" s="378"/>
      <c r="R916" s="378"/>
      <c r="S916" s="378"/>
      <c r="T916" s="378"/>
      <c r="U916" s="378"/>
      <c r="V916" s="378"/>
      <c r="W916" s="378"/>
      <c r="X916" s="378"/>
      <c r="Y916" s="378"/>
      <c r="Z916" s="378"/>
      <c r="AA916" s="378"/>
      <c r="AB916" s="378"/>
      <c r="AC916" s="378"/>
      <c r="AD916" s="378"/>
      <c r="AE916" s="378"/>
      <c r="AF916" s="378"/>
      <c r="AG916" s="378"/>
    </row>
    <row r="917">
      <c r="A917" s="378"/>
      <c r="B917" s="477"/>
      <c r="C917" s="378"/>
      <c r="D917" s="378"/>
      <c r="E917" s="378"/>
      <c r="F917" s="378"/>
      <c r="G917" s="378"/>
      <c r="H917" s="378"/>
      <c r="I917" s="376"/>
      <c r="J917" s="377"/>
      <c r="K917" s="378"/>
      <c r="L917" s="378"/>
      <c r="M917" s="378"/>
      <c r="N917" s="379"/>
      <c r="O917" s="380"/>
      <c r="P917" s="378"/>
      <c r="Q917" s="378"/>
      <c r="R917" s="378"/>
      <c r="S917" s="378"/>
      <c r="T917" s="378"/>
      <c r="U917" s="378"/>
      <c r="V917" s="378"/>
      <c r="W917" s="378"/>
      <c r="X917" s="378"/>
      <c r="Y917" s="378"/>
      <c r="Z917" s="378"/>
      <c r="AA917" s="378"/>
      <c r="AB917" s="378"/>
      <c r="AC917" s="378"/>
      <c r="AD917" s="378"/>
      <c r="AE917" s="378"/>
      <c r="AF917" s="378"/>
      <c r="AG917" s="378"/>
    </row>
    <row r="918">
      <c r="A918" s="378"/>
      <c r="B918" s="382"/>
      <c r="C918" s="388"/>
      <c r="D918" s="384"/>
      <c r="E918" s="385" t="s">
        <v>700</v>
      </c>
      <c r="F918" s="385" t="str">
        <f>Board!A2</f>
        <v>11.17.25-11.23.25</v>
      </c>
      <c r="G918" s="213"/>
      <c r="H918" s="211"/>
      <c r="I918" s="386">
        <v>28.0</v>
      </c>
      <c r="J918" s="583"/>
      <c r="K918" s="637" t="s">
        <v>908</v>
      </c>
      <c r="L918" s="585"/>
      <c r="M918" s="586" t="s">
        <v>700</v>
      </c>
      <c r="N918" s="587" t="str">
        <f>Board!A2</f>
        <v>11.17.25-11.23.25</v>
      </c>
      <c r="O918" s="213"/>
      <c r="P918" s="211"/>
      <c r="Q918" s="378"/>
      <c r="R918" s="389" t="s">
        <v>831</v>
      </c>
      <c r="S918" s="389" t="s">
        <v>652</v>
      </c>
      <c r="T918" s="390" t="s">
        <v>832</v>
      </c>
      <c r="U918" s="391" t="s">
        <v>833</v>
      </c>
      <c r="V918" s="389" t="s">
        <v>655</v>
      </c>
      <c r="W918" s="389" t="s">
        <v>8</v>
      </c>
      <c r="X918" s="389" t="s">
        <v>656</v>
      </c>
      <c r="Y918" s="390" t="s">
        <v>834</v>
      </c>
      <c r="Z918" s="392" t="s">
        <v>835</v>
      </c>
      <c r="AA918" s="390" t="s">
        <v>836</v>
      </c>
      <c r="AB918" s="390" t="s">
        <v>837</v>
      </c>
      <c r="AC918" s="393" t="s">
        <v>716</v>
      </c>
      <c r="AD918" s="393" t="s">
        <v>717</v>
      </c>
      <c r="AE918" s="393" t="s">
        <v>718</v>
      </c>
      <c r="AF918" s="394" t="s">
        <v>838</v>
      </c>
      <c r="AG918" s="394"/>
    </row>
    <row r="919">
      <c r="A919" s="378"/>
      <c r="B919" s="395"/>
      <c r="C919" s="372"/>
      <c r="D919" s="396"/>
      <c r="E919" s="385" t="s">
        <v>702</v>
      </c>
      <c r="F919" s="385" t="s">
        <v>660</v>
      </c>
      <c r="G919" s="213"/>
      <c r="H919" s="211"/>
      <c r="I919" s="376"/>
      <c r="J919" s="588"/>
      <c r="K919" s="589"/>
      <c r="L919" s="590"/>
      <c r="M919" s="586" t="s">
        <v>351</v>
      </c>
      <c r="N919" s="587" t="str">
        <f t="array" ref="N919">XLOOKUP(N920,Board!K:K,Board!J:J)</f>
        <v>ROUDELINE ZEPHIRIN</v>
      </c>
      <c r="O919" s="213"/>
      <c r="P919" s="211"/>
      <c r="Q919" s="638" t="s">
        <v>909</v>
      </c>
      <c r="R919" s="398">
        <f>I918</f>
        <v>28</v>
      </c>
      <c r="S919" s="398">
        <f>F920</f>
        <v>6960</v>
      </c>
      <c r="T919" s="399" t="str">
        <f>G940</f>
        <v>#N/A</v>
      </c>
      <c r="U919" s="378" t="str">
        <f>N919</f>
        <v>ROUDELINE ZEPHIRIN</v>
      </c>
      <c r="V919" s="380">
        <f>O940</f>
        <v>5562.808</v>
      </c>
      <c r="W919" s="399">
        <f>P928</f>
        <v>946.808</v>
      </c>
      <c r="X919" s="399" t="str">
        <f>C940</f>
        <v>#N/A</v>
      </c>
      <c r="Y919" s="400">
        <f>N928</f>
        <v>1183.51</v>
      </c>
      <c r="Z919" s="378" t="str">
        <f>V920-V919</f>
        <v>#N/A</v>
      </c>
      <c r="AA919" s="378"/>
      <c r="AB919" s="378"/>
      <c r="AC919" s="401">
        <f>C937</f>
        <v>150</v>
      </c>
      <c r="AD919" s="401">
        <f>C938</f>
        <v>400</v>
      </c>
      <c r="AE919" s="401">
        <f>C939</f>
        <v>200</v>
      </c>
      <c r="AF919" s="398"/>
      <c r="AG919" s="398"/>
    </row>
    <row r="920">
      <c r="A920" s="378"/>
      <c r="B920" s="395"/>
      <c r="C920" s="372"/>
      <c r="D920" s="402"/>
      <c r="E920" s="385" t="s">
        <v>703</v>
      </c>
      <c r="F920" s="385">
        <v>6960.0</v>
      </c>
      <c r="G920" s="213"/>
      <c r="H920" s="211"/>
      <c r="I920" s="376"/>
      <c r="J920" s="588"/>
      <c r="K920" s="589"/>
      <c r="L920" s="591"/>
      <c r="M920" s="586" t="s">
        <v>703</v>
      </c>
      <c r="N920" s="639">
        <v>6960.0</v>
      </c>
      <c r="O920" s="213"/>
      <c r="P920" s="211"/>
      <c r="Q920" s="378"/>
      <c r="R920" s="378"/>
      <c r="S920" s="378"/>
      <c r="T920" s="378"/>
      <c r="U920" s="378" t="str">
        <f>F919</f>
        <v>Arba Express LLC</v>
      </c>
      <c r="V920" s="399" t="str">
        <f>G940</f>
        <v>#N/A</v>
      </c>
      <c r="W920" s="399">
        <f>H928</f>
        <v>2000</v>
      </c>
      <c r="X920" s="378"/>
      <c r="Y920" s="378"/>
      <c r="Z920" s="378"/>
      <c r="AA920" s="378"/>
      <c r="AB920" s="378"/>
      <c r="AC920" s="378"/>
      <c r="AD920" s="378"/>
      <c r="AE920" s="378"/>
      <c r="AF920" s="378"/>
      <c r="AG920" s="378"/>
    </row>
    <row r="921">
      <c r="A921" s="378"/>
      <c r="B921" s="403" t="s">
        <v>704</v>
      </c>
      <c r="C921" s="404" t="s">
        <v>5</v>
      </c>
      <c r="D921" s="405" t="s">
        <v>6</v>
      </c>
      <c r="E921" s="406" t="s">
        <v>7</v>
      </c>
      <c r="F921" s="404" t="s">
        <v>8</v>
      </c>
      <c r="G921" s="404" t="s">
        <v>706</v>
      </c>
      <c r="H921" s="404" t="s">
        <v>707</v>
      </c>
      <c r="I921" s="376"/>
      <c r="J921" s="592" t="s">
        <v>704</v>
      </c>
      <c r="K921" s="593" t="s">
        <v>5</v>
      </c>
      <c r="L921" s="594" t="s">
        <v>6</v>
      </c>
      <c r="M921" s="595" t="s">
        <v>7</v>
      </c>
      <c r="N921" s="596" t="s">
        <v>591</v>
      </c>
      <c r="O921" s="597" t="s">
        <v>839</v>
      </c>
      <c r="P921" s="593" t="s">
        <v>707</v>
      </c>
      <c r="Q921" s="378"/>
      <c r="R921" s="378"/>
      <c r="S921" s="378"/>
      <c r="T921" s="378"/>
      <c r="U921" s="378"/>
      <c r="V921" s="378"/>
      <c r="W921" s="378"/>
      <c r="X921" s="378"/>
      <c r="Y921" s="378"/>
      <c r="Z921" s="378"/>
      <c r="AA921" s="378"/>
      <c r="AB921" s="378"/>
      <c r="AC921" s="378"/>
      <c r="AD921" s="378"/>
      <c r="AE921" s="378"/>
      <c r="AF921" s="378"/>
      <c r="AG921" s="378"/>
    </row>
    <row r="922">
      <c r="A922" s="378"/>
      <c r="B922" s="555">
        <f>IFERROR(__xludf.DUMMYFUNCTION("FILTER(Board!C:G,Board!K:K=F920)"),45978.0)</f>
        <v>45978</v>
      </c>
      <c r="C922" s="404">
        <f>IFERROR(__xludf.DUMMYFUNCTION("""COMPUTED_VALUE"""),211032.0)</f>
        <v>211032</v>
      </c>
      <c r="D922" s="405" t="str">
        <f>IFERROR(__xludf.DUMMYFUNCTION("""COMPUTED_VALUE"""),"Fayetteville, NC, 28306")</f>
        <v>Fayetteville, NC, 28306</v>
      </c>
      <c r="E922" s="406" t="str">
        <f>IFERROR(__xludf.DUMMYFUNCTION("""COMPUTED_VALUE"""),", VA, 24553")</f>
        <v>, VA, 24553</v>
      </c>
      <c r="F922" s="414">
        <f>IFERROR(__xludf.DUMMYFUNCTION("""COMPUTED_VALUE"""),600.0)</f>
        <v>600</v>
      </c>
      <c r="G922" s="413">
        <v>1.0</v>
      </c>
      <c r="H922" s="414">
        <f t="shared" ref="H922:H928" si="50">F922*G922</f>
        <v>600</v>
      </c>
      <c r="I922" s="376"/>
      <c r="J922" s="598">
        <f>IFERROR(__xludf.DUMMYFUNCTION("FILTER(Board!C:F,Board!K:K=N920)"),45978.0)</f>
        <v>45978</v>
      </c>
      <c r="K922" s="593">
        <f>IFERROR(__xludf.DUMMYFUNCTION("""COMPUTED_VALUE"""),211032.0)</f>
        <v>211032</v>
      </c>
      <c r="L922" s="593" t="str">
        <f>IFERROR(__xludf.DUMMYFUNCTION("""COMPUTED_VALUE"""),"Fayetteville, NC, 28306")</f>
        <v>Fayetteville, NC, 28306</v>
      </c>
      <c r="M922" s="593" t="str">
        <f>IFERROR(__xludf.DUMMYFUNCTION("""COMPUTED_VALUE"""),", VA, 24553")</f>
        <v>, VA, 24553</v>
      </c>
      <c r="N922" s="599">
        <f>IFERROR(__xludf.DUMMYFUNCTION("FILTER(Board!H:H,Board!K:K=N920)"),496.0)</f>
        <v>496</v>
      </c>
      <c r="O922" s="640">
        <v>0.8</v>
      </c>
      <c r="P922" s="600">
        <f t="shared" ref="P922:P928" si="51">N922*O922</f>
        <v>396.8</v>
      </c>
      <c r="Q922" s="378"/>
      <c r="R922" s="378"/>
      <c r="S922" s="378"/>
      <c r="T922" s="378"/>
      <c r="U922" s="378"/>
      <c r="V922" s="378"/>
      <c r="W922" s="378"/>
      <c r="X922" s="378"/>
      <c r="Y922" s="378"/>
      <c r="Z922" s="378"/>
      <c r="AA922" s="378"/>
      <c r="AB922" s="378"/>
      <c r="AC922" s="378"/>
      <c r="AD922" s="378"/>
      <c r="AE922" s="378"/>
      <c r="AF922" s="378"/>
      <c r="AG922" s="378"/>
    </row>
    <row r="923">
      <c r="A923" s="378"/>
      <c r="B923" s="555">
        <f>IFERROR(__xludf.DUMMYFUNCTION("""COMPUTED_VALUE"""),45978.0)</f>
        <v>45978</v>
      </c>
      <c r="C923" s="404">
        <f>IFERROR(__xludf.DUMMYFUNCTION("""COMPUTED_VALUE"""),210961.0)</f>
        <v>210961</v>
      </c>
      <c r="D923" s="405" t="str">
        <f>IFERROR(__xludf.DUMMYFUNCTION("""COMPUTED_VALUE"""),"Gladstone, VA, 24553")</f>
        <v>Gladstone, VA, 24553</v>
      </c>
      <c r="E923" s="406" t="str">
        <f>IFERROR(__xludf.DUMMYFUNCTION("""COMPUTED_VALUE"""),"Clay, NY, 13088")</f>
        <v>Clay, NY, 13088</v>
      </c>
      <c r="F923" s="414">
        <f>IFERROR(__xludf.DUMMYFUNCTION("""COMPUTED_VALUE"""),1200.0)</f>
        <v>1200</v>
      </c>
      <c r="G923" s="413">
        <v>1.0</v>
      </c>
      <c r="H923" s="414">
        <f t="shared" si="50"/>
        <v>1200</v>
      </c>
      <c r="I923" s="376"/>
      <c r="J923" s="601">
        <f>IFERROR(__xludf.DUMMYFUNCTION("""COMPUTED_VALUE"""),45978.0)</f>
        <v>45978</v>
      </c>
      <c r="K923" s="593">
        <f>IFERROR(__xludf.DUMMYFUNCTION("""COMPUTED_VALUE"""),210961.0)</f>
        <v>210961</v>
      </c>
      <c r="L923" s="593" t="str">
        <f>IFERROR(__xludf.DUMMYFUNCTION("""COMPUTED_VALUE"""),"Gladstone, VA, 24553")</f>
        <v>Gladstone, VA, 24553</v>
      </c>
      <c r="M923" s="593" t="str">
        <f>IFERROR(__xludf.DUMMYFUNCTION("""COMPUTED_VALUE"""),"Clay, NY, 13088")</f>
        <v>Clay, NY, 13088</v>
      </c>
      <c r="N923" s="599">
        <f>IFERROR(__xludf.DUMMYFUNCTION("""COMPUTED_VALUE"""),523.0)</f>
        <v>523</v>
      </c>
      <c r="O923" s="640">
        <v>0.8</v>
      </c>
      <c r="P923" s="600">
        <f t="shared" si="51"/>
        <v>418.4</v>
      </c>
      <c r="Q923" s="378"/>
      <c r="R923" s="378"/>
      <c r="S923" s="378"/>
      <c r="T923" s="378"/>
      <c r="U923" s="378"/>
      <c r="V923" s="378"/>
      <c r="W923" s="378"/>
      <c r="X923" s="378"/>
      <c r="Y923" s="378"/>
      <c r="Z923" s="378"/>
      <c r="AA923" s="378"/>
      <c r="AB923" s="378"/>
      <c r="AC923" s="378"/>
      <c r="AD923" s="378"/>
      <c r="AE923" s="378"/>
      <c r="AF923" s="378"/>
      <c r="AG923" s="378"/>
    </row>
    <row r="924">
      <c r="A924" s="378"/>
      <c r="B924" s="499">
        <f>IFERROR(__xludf.DUMMYFUNCTION("""COMPUTED_VALUE"""),45979.0)</f>
        <v>45979</v>
      </c>
      <c r="C924" s="421">
        <f>IFERROR(__xludf.DUMMYFUNCTION("""COMPUTED_VALUE"""),8948393.0)</f>
        <v>8948393</v>
      </c>
      <c r="D924" s="422" t="str">
        <f>IFERROR(__xludf.DUMMYFUNCTION("""COMPUTED_VALUE"""),"Munsons Corners, NY, 13045")</f>
        <v>Munsons Corners, NY, 13045</v>
      </c>
      <c r="E924" s="423" t="str">
        <f>IFERROR(__xludf.DUMMYFUNCTION("""COMPUTED_VALUE"""),"Muscatine, IA, 52761")</f>
        <v>Muscatine, IA, 52761</v>
      </c>
      <c r="F924" s="500">
        <f>IFERROR(__xludf.DUMMYFUNCTION("""COMPUTED_VALUE"""),1800.0)</f>
        <v>1800</v>
      </c>
      <c r="G924" s="413">
        <v>1.0</v>
      </c>
      <c r="H924" s="414">
        <f t="shared" si="50"/>
        <v>1800</v>
      </c>
      <c r="I924" s="376"/>
      <c r="J924" s="601">
        <f>IFERROR(__xludf.DUMMYFUNCTION("""COMPUTED_VALUE"""),45979.0)</f>
        <v>45979</v>
      </c>
      <c r="K924" s="593">
        <f>IFERROR(__xludf.DUMMYFUNCTION("""COMPUTED_VALUE"""),8948393.0)</f>
        <v>8948393</v>
      </c>
      <c r="L924" s="594" t="str">
        <f>IFERROR(__xludf.DUMMYFUNCTION("""COMPUTED_VALUE"""),"Munsons Corners, NY, 13045")</f>
        <v>Munsons Corners, NY, 13045</v>
      </c>
      <c r="M924" s="595" t="str">
        <f>IFERROR(__xludf.DUMMYFUNCTION("""COMPUTED_VALUE"""),"Muscatine, IA, 52761")</f>
        <v>Muscatine, IA, 52761</v>
      </c>
      <c r="N924" s="599">
        <f>IFERROR(__xludf.DUMMYFUNCTION("""COMPUTED_VALUE"""),959.0)</f>
        <v>959</v>
      </c>
      <c r="O924" s="640">
        <v>0.8</v>
      </c>
      <c r="P924" s="600">
        <f t="shared" si="51"/>
        <v>767.2</v>
      </c>
      <c r="Q924" s="378"/>
      <c r="R924" s="378"/>
      <c r="S924" s="378"/>
      <c r="T924" s="378"/>
      <c r="U924" s="378"/>
      <c r="V924" s="378"/>
      <c r="W924" s="378"/>
      <c r="X924" s="378"/>
      <c r="Y924" s="378"/>
      <c r="Z924" s="378"/>
      <c r="AA924" s="378"/>
      <c r="AB924" s="378"/>
      <c r="AC924" s="378"/>
      <c r="AD924" s="378"/>
      <c r="AE924" s="378"/>
      <c r="AF924" s="378"/>
      <c r="AG924" s="378"/>
    </row>
    <row r="925">
      <c r="A925" s="378"/>
      <c r="B925" s="499">
        <f>IFERROR(__xludf.DUMMYFUNCTION("""COMPUTED_VALUE"""),45980.0)</f>
        <v>45980</v>
      </c>
      <c r="C925" s="421">
        <f>IFERROR(__xludf.DUMMYFUNCTION("""COMPUTED_VALUE"""),216982.0)</f>
        <v>216982</v>
      </c>
      <c r="D925" s="422" t="str">
        <f>IFERROR(__xludf.DUMMYFUNCTION("""COMPUTED_VALUE"""),"Forest Park, IL, 60130")</f>
        <v>Forest Park, IL, 60130</v>
      </c>
      <c r="E925" s="423" t="str">
        <f>IFERROR(__xludf.DUMMYFUNCTION("""COMPUTED_VALUE"""),"Irving, TX, 75059")</f>
        <v>Irving, TX, 75059</v>
      </c>
      <c r="F925" s="500">
        <f>IFERROR(__xludf.DUMMYFUNCTION("""COMPUTED_VALUE"""),2800.0)</f>
        <v>2800</v>
      </c>
      <c r="G925" s="413">
        <v>1.0</v>
      </c>
      <c r="H925" s="414">
        <f t="shared" si="50"/>
        <v>2800</v>
      </c>
      <c r="I925" s="376"/>
      <c r="J925" s="601">
        <f>IFERROR(__xludf.DUMMYFUNCTION("""COMPUTED_VALUE"""),45980.0)</f>
        <v>45980</v>
      </c>
      <c r="K925" s="593">
        <f>IFERROR(__xludf.DUMMYFUNCTION("""COMPUTED_VALUE"""),216982.0)</f>
        <v>216982</v>
      </c>
      <c r="L925" s="594" t="str">
        <f>IFERROR(__xludf.DUMMYFUNCTION("""COMPUTED_VALUE"""),"Forest Park, IL, 60130")</f>
        <v>Forest Park, IL, 60130</v>
      </c>
      <c r="M925" s="595" t="str">
        <f>IFERROR(__xludf.DUMMYFUNCTION("""COMPUTED_VALUE"""),"Irving, TX, 75059")</f>
        <v>Irving, TX, 75059</v>
      </c>
      <c r="N925" s="599">
        <f>IFERROR(__xludf.DUMMYFUNCTION("""COMPUTED_VALUE"""),1147.0)</f>
        <v>1147</v>
      </c>
      <c r="O925" s="640">
        <v>0.8</v>
      </c>
      <c r="P925" s="600">
        <f t="shared" si="51"/>
        <v>917.6</v>
      </c>
      <c r="Q925" s="378"/>
      <c r="R925" s="378"/>
      <c r="S925" s="378"/>
      <c r="T925" s="378"/>
      <c r="U925" s="378"/>
      <c r="V925" s="378"/>
      <c r="W925" s="378"/>
      <c r="X925" s="378"/>
      <c r="Y925" s="378"/>
      <c r="Z925" s="378"/>
      <c r="AA925" s="378"/>
      <c r="AB925" s="378"/>
      <c r="AC925" s="378"/>
      <c r="AD925" s="378"/>
      <c r="AE925" s="378"/>
      <c r="AF925" s="378"/>
      <c r="AG925" s="378"/>
    </row>
    <row r="926">
      <c r="A926" s="378"/>
      <c r="B926" s="499">
        <f>IFERROR(__xludf.DUMMYFUNCTION("""COMPUTED_VALUE"""),45981.0)</f>
        <v>45981</v>
      </c>
      <c r="C926" s="421">
        <f>IFERROR(__xludf.DUMMYFUNCTION("""COMPUTED_VALUE"""),1.5460173E7)</f>
        <v>15460173</v>
      </c>
      <c r="D926" s="422" t="str">
        <f>IFERROR(__xludf.DUMMYFUNCTION("""COMPUTED_VALUE"""),"Tyler, TX, 75702")</f>
        <v>Tyler, TX, 75702</v>
      </c>
      <c r="E926" s="423" t="str">
        <f>IFERROR(__xludf.DUMMYFUNCTION("""COMPUTED_VALUE"""),"Fredericksburg, VA, 22406")</f>
        <v>Fredericksburg, VA, 22406</v>
      </c>
      <c r="F926" s="500">
        <f>IFERROR(__xludf.DUMMYFUNCTION("""COMPUTED_VALUE"""),2300.0)</f>
        <v>2300</v>
      </c>
      <c r="G926" s="413">
        <v>1.0</v>
      </c>
      <c r="H926" s="414">
        <f t="shared" si="50"/>
        <v>2300</v>
      </c>
      <c r="I926" s="376"/>
      <c r="J926" s="601">
        <f>IFERROR(__xludf.DUMMYFUNCTION("""COMPUTED_VALUE"""),45981.0)</f>
        <v>45981</v>
      </c>
      <c r="K926" s="593">
        <f>IFERROR(__xludf.DUMMYFUNCTION("""COMPUTED_VALUE"""),1.5460173E7)</f>
        <v>15460173</v>
      </c>
      <c r="L926" s="594" t="str">
        <f>IFERROR(__xludf.DUMMYFUNCTION("""COMPUTED_VALUE"""),"Tyler, TX, 75702")</f>
        <v>Tyler, TX, 75702</v>
      </c>
      <c r="M926" s="595" t="str">
        <f>IFERROR(__xludf.DUMMYFUNCTION("""COMPUTED_VALUE"""),"Fredericksburg, VA, 22406")</f>
        <v>Fredericksburg, VA, 22406</v>
      </c>
      <c r="N926" s="599">
        <f>IFERROR(__xludf.DUMMYFUNCTION("""COMPUTED_VALUE"""),1350.0)</f>
        <v>1350</v>
      </c>
      <c r="O926" s="640">
        <v>0.8</v>
      </c>
      <c r="P926" s="600">
        <f t="shared" si="51"/>
        <v>1080</v>
      </c>
      <c r="Q926" s="378"/>
      <c r="R926" s="378"/>
      <c r="S926" s="378"/>
      <c r="T926" s="378"/>
      <c r="U926" s="378"/>
      <c r="V926" s="378"/>
      <c r="W926" s="378"/>
      <c r="X926" s="378"/>
      <c r="Y926" s="378"/>
      <c r="Z926" s="378"/>
      <c r="AA926" s="378"/>
      <c r="AB926" s="378"/>
      <c r="AC926" s="378"/>
      <c r="AD926" s="378"/>
      <c r="AE926" s="378"/>
      <c r="AF926" s="378"/>
      <c r="AG926" s="378"/>
    </row>
    <row r="927">
      <c r="A927" s="378"/>
      <c r="B927" s="499">
        <f>IFERROR(__xludf.DUMMYFUNCTION("""COMPUTED_VALUE"""),45982.0)</f>
        <v>45982</v>
      </c>
      <c r="C927" s="421">
        <f>IFERROR(__xludf.DUMMYFUNCTION("""COMPUTED_VALUE"""),5925917.0)</f>
        <v>5925917</v>
      </c>
      <c r="D927" s="422" t="str">
        <f>IFERROR(__xludf.DUMMYFUNCTION("""COMPUTED_VALUE"""),"Lynchburg, VA, 24502")</f>
        <v>Lynchburg, VA, 24502</v>
      </c>
      <c r="E927" s="423" t="str">
        <f>IFERROR(__xludf.DUMMYFUNCTION("""COMPUTED_VALUE"""),"Lakeville, MN,")</f>
        <v>Lakeville, MN,</v>
      </c>
      <c r="F927" s="500">
        <f>IFERROR(__xludf.DUMMYFUNCTION("""COMPUTED_VALUE"""),2300.0)</f>
        <v>2300</v>
      </c>
      <c r="G927" s="413">
        <v>1.0</v>
      </c>
      <c r="H927" s="414">
        <f t="shared" si="50"/>
        <v>2300</v>
      </c>
      <c r="I927" s="376"/>
      <c r="J927" s="601">
        <f>IFERROR(__xludf.DUMMYFUNCTION("""COMPUTED_VALUE"""),45982.0)</f>
        <v>45982</v>
      </c>
      <c r="K927" s="593">
        <f>IFERROR(__xludf.DUMMYFUNCTION("""COMPUTED_VALUE"""),5925917.0)</f>
        <v>5925917</v>
      </c>
      <c r="L927" s="594" t="str">
        <f>IFERROR(__xludf.DUMMYFUNCTION("""COMPUTED_VALUE"""),"Lynchburg, VA, 24502")</f>
        <v>Lynchburg, VA, 24502</v>
      </c>
      <c r="M927" s="595" t="str">
        <f>IFERROR(__xludf.DUMMYFUNCTION("""COMPUTED_VALUE"""),"Lakeville, MN,")</f>
        <v>Lakeville, MN,</v>
      </c>
      <c r="N927" s="599">
        <f>IFERROR(__xludf.DUMMYFUNCTION("""COMPUTED_VALUE"""),1295.0)</f>
        <v>1295</v>
      </c>
      <c r="O927" s="640">
        <v>0.8</v>
      </c>
      <c r="P927" s="600">
        <f t="shared" si="51"/>
        <v>1036</v>
      </c>
      <c r="Q927" s="378"/>
      <c r="R927" s="378"/>
      <c r="S927" s="378"/>
      <c r="T927" s="378"/>
      <c r="U927" s="378"/>
      <c r="V927" s="378"/>
      <c r="W927" s="378"/>
      <c r="X927" s="378"/>
      <c r="Y927" s="378"/>
      <c r="Z927" s="378"/>
      <c r="AA927" s="378"/>
      <c r="AB927" s="378"/>
      <c r="AC927" s="378"/>
      <c r="AD927" s="378"/>
      <c r="AE927" s="378"/>
      <c r="AF927" s="378"/>
      <c r="AG927" s="378"/>
    </row>
    <row r="928">
      <c r="A928" s="378"/>
      <c r="B928" s="499">
        <f>IFERROR(__xludf.DUMMYFUNCTION("""COMPUTED_VALUE"""),45983.0)</f>
        <v>45983</v>
      </c>
      <c r="C928" s="421" t="str">
        <f>IFERROR(__xludf.DUMMYFUNCTION("""COMPUTED_VALUE"""),"3937417-1")</f>
        <v>3937417-1</v>
      </c>
      <c r="D928" s="422" t="str">
        <f>IFERROR(__xludf.DUMMYFUNCTION("""COMPUTED_VALUE"""),"Lakeville, MN, 55044")</f>
        <v>Lakeville, MN, 55044</v>
      </c>
      <c r="E928" s="423" t="str">
        <f>IFERROR(__xludf.DUMMYFUNCTION("""COMPUTED_VALUE"""),"Lafayette, LA, 70508")</f>
        <v>Lafayette, LA, 70508</v>
      </c>
      <c r="F928" s="500">
        <f>IFERROR(__xludf.DUMMYFUNCTION("""COMPUTED_VALUE"""),2000.0)</f>
        <v>2000</v>
      </c>
      <c r="G928" s="413">
        <v>1.0</v>
      </c>
      <c r="H928" s="414">
        <f t="shared" si="50"/>
        <v>2000</v>
      </c>
      <c r="I928" s="376"/>
      <c r="J928" s="601">
        <f>IFERROR(__xludf.DUMMYFUNCTION("""COMPUTED_VALUE"""),45983.0)</f>
        <v>45983</v>
      </c>
      <c r="K928" s="593" t="str">
        <f>IFERROR(__xludf.DUMMYFUNCTION("""COMPUTED_VALUE"""),"3937417-1")</f>
        <v>3937417-1</v>
      </c>
      <c r="L928" s="594" t="str">
        <f>IFERROR(__xludf.DUMMYFUNCTION("""COMPUTED_VALUE"""),"Lakeville, MN, 55044")</f>
        <v>Lakeville, MN, 55044</v>
      </c>
      <c r="M928" s="595" t="str">
        <f>IFERROR(__xludf.DUMMYFUNCTION("""COMPUTED_VALUE"""),"Lafayette, LA, 70508")</f>
        <v>Lafayette, LA, 70508</v>
      </c>
      <c r="N928" s="599">
        <f>IFERROR(__xludf.DUMMYFUNCTION("""COMPUTED_VALUE"""),1183.51)</f>
        <v>1183.51</v>
      </c>
      <c r="O928" s="640">
        <v>0.8</v>
      </c>
      <c r="P928" s="600">
        <f t="shared" si="51"/>
        <v>946.808</v>
      </c>
      <c r="Q928" s="378"/>
      <c r="R928" s="378"/>
      <c r="S928" s="378"/>
      <c r="T928" s="378"/>
      <c r="U928" s="378"/>
      <c r="V928" s="378"/>
      <c r="W928" s="378"/>
      <c r="X928" s="378"/>
      <c r="Y928" s="378"/>
      <c r="Z928" s="378"/>
      <c r="AA928" s="378"/>
      <c r="AB928" s="378"/>
      <c r="AC928" s="378"/>
      <c r="AD928" s="378"/>
      <c r="AE928" s="378"/>
      <c r="AF928" s="378"/>
      <c r="AG928" s="378"/>
    </row>
    <row r="929">
      <c r="A929" s="378"/>
      <c r="B929" s="499"/>
      <c r="C929" s="421"/>
      <c r="D929" s="422"/>
      <c r="E929" s="423"/>
      <c r="F929" s="421"/>
      <c r="G929" s="413"/>
      <c r="H929" s="414"/>
      <c r="I929" s="376"/>
      <c r="J929" s="601"/>
      <c r="K929" s="593"/>
      <c r="L929" s="594"/>
      <c r="M929" s="595"/>
      <c r="N929" s="596"/>
      <c r="O929" s="597"/>
      <c r="P929" s="600"/>
      <c r="Q929" s="378"/>
      <c r="R929" s="378"/>
      <c r="S929" s="378"/>
      <c r="T929" s="378"/>
      <c r="U929" s="378"/>
      <c r="V929" s="378"/>
      <c r="W929" s="378"/>
      <c r="X929" s="378"/>
      <c r="Y929" s="378"/>
      <c r="Z929" s="378"/>
      <c r="AA929" s="378"/>
      <c r="AB929" s="378"/>
      <c r="AC929" s="378"/>
      <c r="AD929" s="378"/>
      <c r="AE929" s="378"/>
      <c r="AF929" s="378"/>
      <c r="AG929" s="378"/>
    </row>
    <row r="930">
      <c r="A930" s="378"/>
      <c r="B930" s="403" t="s">
        <v>711</v>
      </c>
      <c r="C930" s="224"/>
      <c r="D930" s="224"/>
      <c r="E930" s="222"/>
      <c r="F930" s="414">
        <f>SUM(F922:F929)</f>
        <v>13000</v>
      </c>
      <c r="G930" s="421"/>
      <c r="H930" s="414">
        <f>SUM(H922:H928)</f>
        <v>13000</v>
      </c>
      <c r="I930" s="376"/>
      <c r="J930" s="603" t="s">
        <v>711</v>
      </c>
      <c r="K930" s="224"/>
      <c r="L930" s="224"/>
      <c r="M930" s="222"/>
      <c r="N930" s="599">
        <f>SUM(N922:N928)</f>
        <v>6953.51</v>
      </c>
      <c r="O930" s="597"/>
      <c r="P930" s="600">
        <f>SUM(P922:P928)</f>
        <v>5562.808</v>
      </c>
      <c r="Q930" s="378"/>
      <c r="R930" s="378"/>
      <c r="S930" s="378"/>
      <c r="T930" s="378"/>
      <c r="U930" s="378"/>
      <c r="V930" s="378"/>
      <c r="W930" s="378"/>
      <c r="X930" s="378"/>
      <c r="Y930" s="378"/>
      <c r="Z930" s="378"/>
      <c r="AA930" s="378"/>
      <c r="AB930" s="378"/>
      <c r="AC930" s="378"/>
      <c r="AD930" s="378"/>
      <c r="AE930" s="378"/>
      <c r="AF930" s="378"/>
      <c r="AG930" s="378"/>
    </row>
    <row r="931">
      <c r="A931" s="378"/>
      <c r="B931" s="433" t="s">
        <v>712</v>
      </c>
      <c r="C931" s="434"/>
      <c r="D931" s="440"/>
      <c r="E931" s="419"/>
      <c r="F931" s="419"/>
      <c r="G931" s="419"/>
      <c r="H931" s="429"/>
      <c r="I931" s="376"/>
      <c r="J931" s="437" t="s">
        <v>712</v>
      </c>
      <c r="K931" s="609"/>
      <c r="L931" s="612"/>
      <c r="M931" s="605"/>
      <c r="N931" s="606"/>
      <c r="O931" s="607"/>
      <c r="P931" s="608"/>
      <c r="Q931" s="378"/>
      <c r="R931" s="378"/>
      <c r="S931" s="378"/>
      <c r="T931" s="378"/>
      <c r="U931" s="378"/>
      <c r="V931" s="378"/>
      <c r="W931" s="378"/>
      <c r="X931" s="378"/>
      <c r="Y931" s="378"/>
      <c r="Z931" s="378"/>
      <c r="AA931" s="378"/>
      <c r="AB931" s="378"/>
      <c r="AC931" s="378"/>
      <c r="AD931" s="378"/>
      <c r="AE931" s="378"/>
      <c r="AF931" s="378"/>
      <c r="AG931" s="378"/>
    </row>
    <row r="932">
      <c r="A932" s="378"/>
      <c r="B932" s="438"/>
      <c r="C932" s="439"/>
      <c r="D932" s="435"/>
      <c r="E932" s="419"/>
      <c r="F932" s="463"/>
      <c r="G932" s="463"/>
      <c r="H932" s="448"/>
      <c r="I932" s="376"/>
      <c r="J932" s="443"/>
      <c r="K932" s="611"/>
      <c r="L932" s="610"/>
      <c r="M932" s="605"/>
      <c r="N932" s="641">
        <f>N930/2</f>
        <v>3476.755</v>
      </c>
      <c r="O932" s="641"/>
      <c r="P932" s="642">
        <f>P930/2</f>
        <v>2781.404</v>
      </c>
      <c r="Q932" s="378"/>
      <c r="R932" s="378"/>
      <c r="S932" s="378"/>
      <c r="T932" s="378"/>
      <c r="U932" s="378"/>
      <c r="V932" s="378"/>
      <c r="W932" s="378"/>
      <c r="X932" s="378"/>
      <c r="Y932" s="378"/>
      <c r="Z932" s="378"/>
      <c r="AA932" s="378"/>
      <c r="AB932" s="378"/>
      <c r="AC932" s="378"/>
      <c r="AD932" s="378"/>
      <c r="AE932" s="378"/>
      <c r="AF932" s="378"/>
      <c r="AG932" s="378"/>
    </row>
    <row r="933">
      <c r="A933" s="378"/>
      <c r="B933" s="444"/>
      <c r="C933" s="434"/>
      <c r="D933" s="440"/>
      <c r="E933" s="419"/>
      <c r="F933" s="463"/>
      <c r="G933" s="463"/>
      <c r="H933" s="448"/>
      <c r="I933" s="376"/>
      <c r="J933" s="445"/>
      <c r="K933" s="609"/>
      <c r="L933" s="612"/>
      <c r="M933" s="605"/>
      <c r="N933" s="606"/>
      <c r="O933" s="607"/>
      <c r="P933" s="608"/>
      <c r="Q933" s="378"/>
      <c r="R933" s="378"/>
      <c r="S933" s="378"/>
      <c r="T933" s="378"/>
      <c r="U933" s="378"/>
      <c r="V933" s="378"/>
      <c r="W933" s="378"/>
      <c r="X933" s="378"/>
      <c r="Y933" s="378"/>
      <c r="Z933" s="378"/>
      <c r="AA933" s="378"/>
      <c r="AB933" s="378"/>
      <c r="AC933" s="378"/>
      <c r="AD933" s="378"/>
      <c r="AE933" s="378"/>
      <c r="AF933" s="378"/>
      <c r="AG933" s="378"/>
    </row>
    <row r="934">
      <c r="A934" s="378"/>
      <c r="B934" s="438" t="s">
        <v>714</v>
      </c>
      <c r="C934" s="439">
        <f>SUM(C932:C933)</f>
        <v>0</v>
      </c>
      <c r="D934" s="419"/>
      <c r="E934" s="419"/>
      <c r="F934" s="463"/>
      <c r="G934" s="463"/>
      <c r="H934" s="448"/>
      <c r="I934" s="376"/>
      <c r="J934" s="443" t="s">
        <v>714</v>
      </c>
      <c r="K934" s="611">
        <f>SUM(K932:K933)</f>
        <v>0</v>
      </c>
      <c r="L934" s="605"/>
      <c r="M934" s="605"/>
      <c r="N934" s="606"/>
      <c r="O934" s="607"/>
      <c r="P934" s="608"/>
      <c r="Q934" s="378"/>
      <c r="R934" s="378"/>
      <c r="S934" s="378"/>
      <c r="T934" s="378"/>
      <c r="U934" s="378"/>
      <c r="V934" s="378"/>
      <c r="W934" s="378"/>
      <c r="X934" s="378"/>
      <c r="Y934" s="378"/>
      <c r="Z934" s="378"/>
      <c r="AA934" s="378"/>
      <c r="AB934" s="378"/>
      <c r="AC934" s="378"/>
      <c r="AD934" s="378"/>
      <c r="AE934" s="378"/>
      <c r="AF934" s="378"/>
      <c r="AG934" s="378"/>
    </row>
    <row r="935">
      <c r="A935" s="378"/>
      <c r="B935" s="643"/>
      <c r="C935" s="423"/>
      <c r="D935" s="435"/>
      <c r="E935" s="419"/>
      <c r="F935" s="463"/>
      <c r="G935" s="463"/>
      <c r="H935" s="448"/>
      <c r="I935" s="376"/>
      <c r="J935" s="602"/>
      <c r="K935" s="595"/>
      <c r="L935" s="610"/>
      <c r="M935" s="605"/>
      <c r="N935" s="606"/>
      <c r="O935" s="607"/>
      <c r="P935" s="608"/>
      <c r="Q935" s="378"/>
      <c r="R935" s="378"/>
      <c r="S935" s="378"/>
      <c r="T935" s="378"/>
      <c r="U935" s="378"/>
      <c r="V935" s="378"/>
      <c r="W935" s="378"/>
      <c r="X935" s="378"/>
      <c r="Y935" s="378"/>
      <c r="Z935" s="378"/>
      <c r="AA935" s="378"/>
      <c r="AB935" s="378"/>
      <c r="AC935" s="378"/>
      <c r="AD935" s="378"/>
      <c r="AE935" s="378"/>
      <c r="AF935" s="378"/>
      <c r="AG935" s="378"/>
    </row>
    <row r="936">
      <c r="A936" s="378"/>
      <c r="B936" s="454" t="s">
        <v>715</v>
      </c>
      <c r="C936" s="455"/>
      <c r="D936" s="440"/>
      <c r="E936" s="419"/>
      <c r="F936" s="463"/>
      <c r="G936" s="463"/>
      <c r="H936" s="448"/>
      <c r="I936" s="376"/>
      <c r="J936" s="615" t="s">
        <v>715</v>
      </c>
      <c r="K936" s="616"/>
      <c r="L936" s="612"/>
      <c r="M936" s="605"/>
      <c r="N936" s="606"/>
      <c r="O936" s="607"/>
      <c r="P936" s="608"/>
      <c r="Q936" s="378"/>
      <c r="R936" s="378"/>
      <c r="S936" s="378"/>
      <c r="T936" s="378"/>
      <c r="U936" s="378"/>
      <c r="V936" s="378"/>
      <c r="W936" s="378"/>
      <c r="X936" s="378"/>
      <c r="Y936" s="378"/>
      <c r="Z936" s="378"/>
      <c r="AA936" s="378"/>
      <c r="AB936" s="378"/>
      <c r="AC936" s="378"/>
      <c r="AD936" s="378"/>
      <c r="AE936" s="378"/>
      <c r="AF936" s="378"/>
      <c r="AG936" s="378"/>
    </row>
    <row r="937">
      <c r="A937" s="378"/>
      <c r="B937" s="459" t="s">
        <v>716</v>
      </c>
      <c r="C937" s="460">
        <v>150.0</v>
      </c>
      <c r="D937" s="440"/>
      <c r="E937" s="419"/>
      <c r="F937" s="463"/>
      <c r="G937" s="463"/>
      <c r="H937" s="448"/>
      <c r="I937" s="376"/>
      <c r="J937" s="617"/>
      <c r="K937" s="618"/>
      <c r="L937" s="612"/>
      <c r="M937" s="605"/>
      <c r="N937" s="606"/>
      <c r="O937" s="607"/>
      <c r="P937" s="608"/>
      <c r="Q937" s="378"/>
      <c r="R937" s="378"/>
      <c r="S937" s="378"/>
      <c r="T937" s="378"/>
      <c r="U937" s="378"/>
      <c r="V937" s="378"/>
      <c r="W937" s="378"/>
      <c r="X937" s="378"/>
      <c r="Y937" s="378"/>
      <c r="Z937" s="378"/>
      <c r="AA937" s="378"/>
      <c r="AB937" s="378"/>
      <c r="AC937" s="378"/>
      <c r="AD937" s="378"/>
      <c r="AE937" s="378"/>
      <c r="AF937" s="378"/>
      <c r="AG937" s="378"/>
    </row>
    <row r="938">
      <c r="A938" s="378"/>
      <c r="B938" s="459" t="s">
        <v>717</v>
      </c>
      <c r="C938" s="460">
        <v>400.0</v>
      </c>
      <c r="D938" s="440"/>
      <c r="E938" s="419"/>
      <c r="F938" s="463"/>
      <c r="G938" s="463"/>
      <c r="H938" s="448"/>
      <c r="I938" s="376"/>
      <c r="J938" s="617"/>
      <c r="K938" s="618"/>
      <c r="L938" s="612"/>
      <c r="M938" s="605"/>
      <c r="N938" s="606"/>
      <c r="O938" s="607"/>
      <c r="P938" s="608"/>
      <c r="Q938" s="378"/>
      <c r="R938" s="378"/>
      <c r="S938" s="378"/>
      <c r="T938" s="378"/>
      <c r="U938" s="378"/>
      <c r="V938" s="378"/>
      <c r="W938" s="378"/>
      <c r="X938" s="378"/>
      <c r="Y938" s="378"/>
      <c r="Z938" s="378"/>
      <c r="AA938" s="378"/>
      <c r="AB938" s="378"/>
      <c r="AC938" s="378"/>
      <c r="AD938" s="378"/>
      <c r="AE938" s="378"/>
      <c r="AF938" s="378"/>
      <c r="AG938" s="378"/>
    </row>
    <row r="939">
      <c r="A939" s="378"/>
      <c r="B939" s="459" t="s">
        <v>718</v>
      </c>
      <c r="C939" s="460">
        <v>200.0</v>
      </c>
      <c r="D939" s="440"/>
      <c r="E939" s="419"/>
      <c r="F939" s="463"/>
      <c r="G939" s="463"/>
      <c r="H939" s="448"/>
      <c r="I939" s="376"/>
      <c r="J939" s="617"/>
      <c r="K939" s="618"/>
      <c r="L939" s="612"/>
      <c r="M939" s="605"/>
      <c r="N939" s="606"/>
      <c r="O939" s="607"/>
      <c r="P939" s="608"/>
      <c r="Q939" s="378"/>
      <c r="R939" s="378"/>
      <c r="S939" s="378"/>
      <c r="T939" s="378"/>
      <c r="U939" s="378"/>
      <c r="V939" s="378"/>
      <c r="W939" s="378"/>
      <c r="X939" s="378"/>
      <c r="Y939" s="378"/>
      <c r="Z939" s="378"/>
      <c r="AA939" s="378"/>
      <c r="AB939" s="378"/>
      <c r="AC939" s="378"/>
      <c r="AD939" s="378"/>
      <c r="AE939" s="378"/>
      <c r="AF939" s="378"/>
      <c r="AG939" s="378"/>
    </row>
    <row r="940">
      <c r="A940" s="378"/>
      <c r="B940" s="459" t="s">
        <v>656</v>
      </c>
      <c r="C940" s="460" t="str">
        <f>IFERROR(__xludf.DUMMYFUNCTION("FILTER(D1046:D1074,C1046:C1074=F920)"),"#N/A")</f>
        <v>#N/A</v>
      </c>
      <c r="D940" s="435"/>
      <c r="E940" s="419"/>
      <c r="F940" s="468" t="s">
        <v>842</v>
      </c>
      <c r="G940" s="466" t="str">
        <f>H930+C934-C945</f>
        <v>#N/A</v>
      </c>
      <c r="H940" s="211"/>
      <c r="I940" s="376"/>
      <c r="J940" s="617"/>
      <c r="K940" s="618"/>
      <c r="L940" s="610"/>
      <c r="M940" s="605"/>
      <c r="N940" s="619" t="s">
        <v>842</v>
      </c>
      <c r="O940" s="620">
        <f>P930+K934-K945</f>
        <v>5562.808</v>
      </c>
      <c r="P940" s="211"/>
      <c r="Q940" s="378"/>
      <c r="R940" s="378"/>
      <c r="S940" s="378"/>
      <c r="T940" s="378"/>
      <c r="U940" s="378"/>
      <c r="V940" s="378"/>
      <c r="W940" s="378"/>
      <c r="X940" s="378"/>
      <c r="Y940" s="378"/>
      <c r="Z940" s="378"/>
      <c r="AA940" s="378"/>
      <c r="AB940" s="378"/>
      <c r="AC940" s="378"/>
      <c r="AD940" s="378"/>
      <c r="AE940" s="378"/>
      <c r="AF940" s="378"/>
      <c r="AG940" s="378"/>
    </row>
    <row r="941">
      <c r="A941" s="378"/>
      <c r="B941" s="464"/>
      <c r="C941" s="455"/>
      <c r="D941" s="435"/>
      <c r="E941" s="419"/>
      <c r="F941" s="469" t="s">
        <v>843</v>
      </c>
      <c r="G941" s="278"/>
      <c r="H941" s="56"/>
      <c r="I941" s="376"/>
      <c r="J941" s="615"/>
      <c r="K941" s="616"/>
      <c r="L941" s="610"/>
      <c r="M941" s="605"/>
      <c r="N941" s="621" t="s">
        <v>854</v>
      </c>
      <c r="O941" s="278"/>
      <c r="P941" s="56"/>
      <c r="Q941" s="378"/>
      <c r="R941" s="378"/>
      <c r="S941" s="378"/>
      <c r="T941" s="378"/>
      <c r="U941" s="378"/>
      <c r="V941" s="378"/>
      <c r="W941" s="378"/>
      <c r="X941" s="378"/>
      <c r="Y941" s="378"/>
      <c r="Z941" s="378"/>
      <c r="AA941" s="378"/>
      <c r="AB941" s="378"/>
      <c r="AC941" s="378"/>
      <c r="AD941" s="378"/>
      <c r="AE941" s="378"/>
      <c r="AF941" s="378"/>
      <c r="AG941" s="378"/>
    </row>
    <row r="942">
      <c r="A942" s="378"/>
      <c r="B942" s="464"/>
      <c r="C942" s="455"/>
      <c r="D942" s="435"/>
      <c r="E942" s="419"/>
      <c r="F942" s="470"/>
      <c r="G942" s="215"/>
      <c r="H942" s="64"/>
      <c r="I942" s="376"/>
      <c r="J942" s="615"/>
      <c r="K942" s="616"/>
      <c r="L942" s="610"/>
      <c r="M942" s="605"/>
      <c r="N942" s="622"/>
      <c r="O942" s="215"/>
      <c r="P942" s="64"/>
      <c r="Q942" s="378"/>
      <c r="R942" s="378"/>
      <c r="S942" s="378"/>
      <c r="T942" s="378"/>
      <c r="U942" s="378"/>
      <c r="V942" s="378"/>
      <c r="W942" s="378"/>
      <c r="X942" s="378"/>
      <c r="Y942" s="378"/>
      <c r="Z942" s="378"/>
      <c r="AA942" s="378"/>
      <c r="AB942" s="378"/>
      <c r="AC942" s="378"/>
      <c r="AD942" s="378"/>
      <c r="AE942" s="378"/>
      <c r="AF942" s="378"/>
      <c r="AG942" s="378"/>
    </row>
    <row r="943">
      <c r="A943" s="378"/>
      <c r="B943" s="464"/>
      <c r="C943" s="455"/>
      <c r="D943" s="435"/>
      <c r="E943" s="419"/>
      <c r="F943" s="419"/>
      <c r="G943" s="419"/>
      <c r="H943" s="429"/>
      <c r="I943" s="376"/>
      <c r="J943" s="615"/>
      <c r="K943" s="616"/>
      <c r="L943" s="610"/>
      <c r="M943" s="605"/>
      <c r="N943" s="606"/>
      <c r="O943" s="607"/>
      <c r="P943" s="608"/>
      <c r="Q943" s="378"/>
      <c r="R943" s="378"/>
      <c r="S943" s="378"/>
      <c r="T943" s="378"/>
      <c r="U943" s="378"/>
      <c r="V943" s="378"/>
      <c r="W943" s="378"/>
      <c r="X943" s="378"/>
      <c r="Y943" s="378"/>
      <c r="Z943" s="378"/>
      <c r="AA943" s="378"/>
      <c r="AB943" s="378"/>
      <c r="AC943" s="378"/>
      <c r="AD943" s="378"/>
      <c r="AE943" s="378"/>
      <c r="AF943" s="378"/>
      <c r="AG943" s="378"/>
    </row>
    <row r="944">
      <c r="A944" s="378"/>
      <c r="B944" s="464"/>
      <c r="C944" s="455"/>
      <c r="D944" s="435"/>
      <c r="E944" s="419"/>
      <c r="F944" s="419"/>
      <c r="G944" s="419"/>
      <c r="H944" s="429"/>
      <c r="I944" s="376"/>
      <c r="J944" s="615"/>
      <c r="K944" s="616"/>
      <c r="L944" s="610"/>
      <c r="M944" s="605"/>
      <c r="N944" s="606"/>
      <c r="O944" s="607"/>
      <c r="P944" s="608"/>
      <c r="Q944" s="378"/>
      <c r="R944" s="378"/>
      <c r="S944" s="378"/>
      <c r="T944" s="378"/>
      <c r="U944" s="378"/>
      <c r="V944" s="378"/>
      <c r="W944" s="378"/>
      <c r="X944" s="378"/>
      <c r="Y944" s="378"/>
      <c r="Z944" s="378"/>
      <c r="AA944" s="378"/>
      <c r="AB944" s="378"/>
      <c r="AC944" s="378"/>
      <c r="AD944" s="378"/>
      <c r="AE944" s="378"/>
      <c r="AF944" s="378"/>
      <c r="AG944" s="378"/>
    </row>
    <row r="945">
      <c r="A945" s="378"/>
      <c r="B945" s="454" t="s">
        <v>721</v>
      </c>
      <c r="C945" s="460" t="str">
        <f>SUM(C937:C944)</f>
        <v>#N/A</v>
      </c>
      <c r="D945" s="440"/>
      <c r="E945" s="419"/>
      <c r="F945" s="419"/>
      <c r="G945" s="419"/>
      <c r="H945" s="429"/>
      <c r="I945" s="376"/>
      <c r="J945" s="615" t="s">
        <v>721</v>
      </c>
      <c r="K945" s="618">
        <f>SUM(K937:K944)</f>
        <v>0</v>
      </c>
      <c r="L945" s="612"/>
      <c r="M945" s="605"/>
      <c r="N945" s="606"/>
      <c r="O945" s="607"/>
      <c r="P945" s="608"/>
      <c r="Q945" s="378"/>
      <c r="R945" s="378"/>
      <c r="S945" s="378"/>
      <c r="T945" s="378"/>
      <c r="U945" s="378"/>
      <c r="V945" s="378"/>
      <c r="W945" s="378"/>
      <c r="X945" s="378"/>
      <c r="Y945" s="378"/>
      <c r="Z945" s="378"/>
      <c r="AA945" s="378"/>
      <c r="AB945" s="378"/>
      <c r="AC945" s="378"/>
      <c r="AD945" s="378"/>
      <c r="AE945" s="378"/>
      <c r="AF945" s="378"/>
      <c r="AG945" s="378"/>
    </row>
    <row r="946">
      <c r="A946" s="378"/>
      <c r="B946" s="471"/>
      <c r="C946" s="472"/>
      <c r="D946" s="472"/>
      <c r="E946" s="472"/>
      <c r="F946" s="472"/>
      <c r="G946" s="472"/>
      <c r="H946" s="473"/>
      <c r="I946" s="376"/>
      <c r="J946" s="623"/>
      <c r="K946" s="624"/>
      <c r="L946" s="624"/>
      <c r="M946" s="624"/>
      <c r="N946" s="625"/>
      <c r="O946" s="626"/>
      <c r="P946" s="627"/>
      <c r="Q946" s="378"/>
      <c r="R946" s="378"/>
      <c r="S946" s="378"/>
      <c r="T946" s="378"/>
      <c r="U946" s="378"/>
      <c r="V946" s="378"/>
      <c r="W946" s="378"/>
      <c r="X946" s="378"/>
      <c r="Y946" s="378"/>
      <c r="Z946" s="378"/>
      <c r="AA946" s="378"/>
      <c r="AB946" s="378"/>
      <c r="AC946" s="378"/>
      <c r="AD946" s="378"/>
      <c r="AE946" s="378"/>
      <c r="AF946" s="378"/>
      <c r="AG946" s="378"/>
    </row>
    <row r="947">
      <c r="A947" s="378"/>
      <c r="B947" s="477"/>
      <c r="C947" s="378"/>
      <c r="D947" s="378"/>
      <c r="E947" s="378"/>
      <c r="F947" s="378"/>
      <c r="G947" s="378"/>
      <c r="H947" s="378"/>
      <c r="I947" s="376"/>
      <c r="J947" s="377"/>
      <c r="K947" s="378"/>
      <c r="L947" s="378"/>
      <c r="M947" s="378"/>
      <c r="N947" s="379"/>
      <c r="O947" s="380"/>
      <c r="P947" s="378"/>
      <c r="Q947" s="378"/>
      <c r="R947" s="378"/>
      <c r="S947" s="378"/>
      <c r="T947" s="378"/>
      <c r="U947" s="378"/>
      <c r="V947" s="378"/>
      <c r="W947" s="378"/>
      <c r="X947" s="378"/>
      <c r="Y947" s="378"/>
      <c r="Z947" s="378"/>
      <c r="AA947" s="378"/>
      <c r="AB947" s="378"/>
      <c r="AC947" s="378"/>
      <c r="AD947" s="378"/>
      <c r="AE947" s="378"/>
      <c r="AF947" s="378"/>
      <c r="AG947" s="378"/>
    </row>
    <row r="948">
      <c r="A948" s="378"/>
      <c r="B948" s="477"/>
      <c r="C948" s="378"/>
      <c r="D948" s="378"/>
      <c r="E948" s="378"/>
      <c r="F948" s="378"/>
      <c r="G948" s="378"/>
      <c r="H948" s="378"/>
      <c r="I948" s="376"/>
      <c r="J948" s="377"/>
      <c r="K948" s="378"/>
      <c r="L948" s="378"/>
      <c r="M948" s="378"/>
      <c r="N948" s="379"/>
      <c r="O948" s="380"/>
      <c r="P948" s="378"/>
      <c r="Q948" s="378"/>
      <c r="R948" s="378"/>
      <c r="S948" s="378"/>
      <c r="T948" s="378"/>
      <c r="U948" s="378"/>
      <c r="V948" s="378"/>
      <c r="W948" s="378"/>
      <c r="X948" s="378"/>
      <c r="Y948" s="378"/>
      <c r="Z948" s="378"/>
      <c r="AA948" s="378"/>
      <c r="AB948" s="378"/>
      <c r="AC948" s="378"/>
      <c r="AD948" s="378"/>
      <c r="AE948" s="378"/>
      <c r="AF948" s="378"/>
      <c r="AG948" s="378"/>
    </row>
    <row r="949">
      <c r="A949" s="378"/>
      <c r="B949" s="382"/>
      <c r="C949" s="479"/>
      <c r="D949" s="384"/>
      <c r="E949" s="385" t="s">
        <v>700</v>
      </c>
      <c r="F949" s="385" t="str">
        <f>Board!A2</f>
        <v>11.17.25-11.23.25</v>
      </c>
      <c r="G949" s="213"/>
      <c r="H949" s="211"/>
      <c r="I949" s="386">
        <v>29.0</v>
      </c>
      <c r="J949" s="387"/>
      <c r="K949" s="479"/>
      <c r="L949" s="384"/>
      <c r="M949" s="385" t="s">
        <v>700</v>
      </c>
      <c r="N949" s="385" t="str">
        <f>Board!A2</f>
        <v>11.17.25-11.23.25</v>
      </c>
      <c r="O949" s="213"/>
      <c r="P949" s="211"/>
      <c r="Q949" s="378"/>
      <c r="R949" s="389" t="s">
        <v>831</v>
      </c>
      <c r="S949" s="389" t="s">
        <v>652</v>
      </c>
      <c r="T949" s="390" t="s">
        <v>832</v>
      </c>
      <c r="U949" s="391" t="s">
        <v>833</v>
      </c>
      <c r="V949" s="389" t="s">
        <v>655</v>
      </c>
      <c r="W949" s="389" t="s">
        <v>8</v>
      </c>
      <c r="X949" s="389" t="s">
        <v>656</v>
      </c>
      <c r="Y949" s="390" t="s">
        <v>834</v>
      </c>
      <c r="Z949" s="392" t="s">
        <v>835</v>
      </c>
      <c r="AA949" s="390" t="s">
        <v>836</v>
      </c>
      <c r="AB949" s="390" t="s">
        <v>837</v>
      </c>
      <c r="AC949" s="393" t="s">
        <v>716</v>
      </c>
      <c r="AD949" s="393" t="s">
        <v>717</v>
      </c>
      <c r="AE949" s="393" t="s">
        <v>718</v>
      </c>
      <c r="AF949" s="394" t="s">
        <v>838</v>
      </c>
      <c r="AG949" s="394"/>
    </row>
    <row r="950">
      <c r="A950" s="378"/>
      <c r="B950" s="395"/>
      <c r="C950" s="372"/>
      <c r="D950" s="396"/>
      <c r="E950" s="385" t="s">
        <v>702</v>
      </c>
      <c r="F950" s="644"/>
      <c r="G950" s="213"/>
      <c r="H950" s="211"/>
      <c r="I950" s="376"/>
      <c r="J950" s="397"/>
      <c r="K950" s="372"/>
      <c r="L950" s="396"/>
      <c r="M950" s="385" t="s">
        <v>351</v>
      </c>
      <c r="N950" s="385"/>
      <c r="O950" s="213"/>
      <c r="P950" s="211"/>
      <c r="Q950" s="378"/>
      <c r="R950" s="398">
        <f>I949</f>
        <v>29</v>
      </c>
      <c r="S950" s="398" t="str">
        <f>F951</f>
        <v/>
      </c>
      <c r="T950" s="399" t="str">
        <f>G971</f>
        <v>#N/A</v>
      </c>
      <c r="U950" s="378" t="str">
        <f>N950</f>
        <v/>
      </c>
      <c r="V950" s="380" t="str">
        <f>O971</f>
        <v>#REF!</v>
      </c>
      <c r="W950" s="399" t="str">
        <f>P959</f>
        <v>#REF!</v>
      </c>
      <c r="X950" s="399" t="str">
        <f>C970</f>
        <v>#N/A</v>
      </c>
      <c r="Y950" s="378" t="str">
        <f>N959</f>
        <v>#REF!</v>
      </c>
      <c r="Z950" s="378" t="str">
        <f>V951-V950</f>
        <v>#N/A</v>
      </c>
      <c r="AA950" s="378"/>
      <c r="AB950" s="378"/>
      <c r="AC950" s="401" t="str">
        <f>C967</f>
        <v/>
      </c>
      <c r="AD950" s="401" t="str">
        <f>C968</f>
        <v/>
      </c>
      <c r="AE950" s="401" t="str">
        <f>C969</f>
        <v/>
      </c>
      <c r="AF950" s="398">
        <f>C971+C972+C973+C974+C975</f>
        <v>0</v>
      </c>
      <c r="AG950" s="398"/>
    </row>
    <row r="951">
      <c r="A951" s="378"/>
      <c r="B951" s="395"/>
      <c r="C951" s="372"/>
      <c r="D951" s="402"/>
      <c r="E951" s="385" t="s">
        <v>703</v>
      </c>
      <c r="F951" s="385"/>
      <c r="G951" s="213"/>
      <c r="H951" s="211"/>
      <c r="I951" s="376"/>
      <c r="J951" s="397"/>
      <c r="K951" s="372"/>
      <c r="L951" s="402"/>
      <c r="M951" s="385" t="s">
        <v>703</v>
      </c>
      <c r="N951" s="385"/>
      <c r="O951" s="213"/>
      <c r="P951" s="211"/>
      <c r="Q951" s="378"/>
      <c r="R951" s="378"/>
      <c r="S951" s="378"/>
      <c r="T951" s="378"/>
      <c r="U951" s="378" t="str">
        <f>F950</f>
        <v/>
      </c>
      <c r="V951" s="399" t="str">
        <f>G971</f>
        <v>#N/A</v>
      </c>
      <c r="W951" s="399">
        <f>H959</f>
        <v>0</v>
      </c>
      <c r="X951" s="378"/>
      <c r="Y951" s="378"/>
      <c r="Z951" s="378"/>
      <c r="AA951" s="378"/>
      <c r="AB951" s="378"/>
      <c r="AC951" s="378"/>
      <c r="AD951" s="378"/>
      <c r="AE951" s="378"/>
      <c r="AF951" s="378"/>
      <c r="AG951" s="378"/>
    </row>
    <row r="952">
      <c r="A952" s="378"/>
      <c r="B952" s="403" t="s">
        <v>704</v>
      </c>
      <c r="C952" s="404" t="s">
        <v>5</v>
      </c>
      <c r="D952" s="405" t="s">
        <v>6</v>
      </c>
      <c r="E952" s="406" t="s">
        <v>7</v>
      </c>
      <c r="F952" s="404" t="s">
        <v>8</v>
      </c>
      <c r="G952" s="404" t="s">
        <v>706</v>
      </c>
      <c r="H952" s="404" t="s">
        <v>707</v>
      </c>
      <c r="I952" s="376"/>
      <c r="J952" s="407" t="s">
        <v>704</v>
      </c>
      <c r="K952" s="404" t="s">
        <v>5</v>
      </c>
      <c r="L952" s="405" t="s">
        <v>6</v>
      </c>
      <c r="M952" s="406" t="s">
        <v>7</v>
      </c>
      <c r="N952" s="404" t="s">
        <v>591</v>
      </c>
      <c r="O952" s="408" t="s">
        <v>708</v>
      </c>
      <c r="P952" s="404" t="s">
        <v>707</v>
      </c>
      <c r="Q952" s="378"/>
      <c r="R952" s="378"/>
      <c r="S952" s="378"/>
      <c r="T952" s="378"/>
      <c r="U952" s="378"/>
      <c r="V952" s="378"/>
      <c r="W952" s="378"/>
      <c r="X952" s="378"/>
      <c r="Y952" s="378"/>
      <c r="Z952" s="378"/>
      <c r="AA952" s="378"/>
      <c r="AB952" s="378"/>
      <c r="AC952" s="378"/>
      <c r="AD952" s="378"/>
      <c r="AE952" s="378"/>
      <c r="AF952" s="378"/>
      <c r="AG952" s="378"/>
    </row>
    <row r="953">
      <c r="A953" s="378"/>
      <c r="B953" s="555" t="str">
        <f>IFERROR(__xludf.DUMMYFUNCTION("FILTER(Board!C:G,Board!K:K=F951)"),"#REF!")</f>
        <v>#REF!</v>
      </c>
      <c r="C953" s="404"/>
      <c r="D953" s="405"/>
      <c r="E953" s="406"/>
      <c r="F953" s="414"/>
      <c r="G953" s="413">
        <v>0.88</v>
      </c>
      <c r="H953" s="414">
        <f>F953*G953</f>
        <v>0</v>
      </c>
      <c r="I953" s="376"/>
      <c r="J953" s="645" t="str">
        <f>IFERROR(__xludf.DUMMYFUNCTION("FILTER(Board!C:F,Board!K:K=N951)"),"#REF!")</f>
        <v>#REF!</v>
      </c>
      <c r="K953" s="404"/>
      <c r="L953" s="405"/>
      <c r="M953" s="406"/>
      <c r="N953" s="426" t="str">
        <f>IFERROR(__xludf.DUMMYFUNCTION("FILTER(Board!H:H,Board!K:K=N951)"),"#REF!")</f>
        <v>#REF!</v>
      </c>
      <c r="O953" s="408">
        <v>0.65</v>
      </c>
      <c r="P953" s="414" t="str">
        <f>N953*O953</f>
        <v>#REF!</v>
      </c>
      <c r="Q953" s="378"/>
      <c r="R953" s="378"/>
      <c r="S953" s="378"/>
      <c r="T953" s="378"/>
      <c r="U953" s="378"/>
      <c r="V953" s="378"/>
      <c r="W953" s="378"/>
      <c r="X953" s="378"/>
      <c r="Y953" s="378"/>
      <c r="Z953" s="378"/>
      <c r="AA953" s="378"/>
      <c r="AB953" s="378"/>
      <c r="AC953" s="378"/>
      <c r="AD953" s="378"/>
      <c r="AE953" s="378"/>
      <c r="AF953" s="378"/>
      <c r="AG953" s="378"/>
    </row>
    <row r="954">
      <c r="A954" s="378"/>
      <c r="B954" s="555"/>
      <c r="C954" s="404"/>
      <c r="D954" s="405"/>
      <c r="E954" s="406"/>
      <c r="F954" s="414"/>
      <c r="G954" s="413"/>
      <c r="H954" s="414"/>
      <c r="I954" s="376"/>
      <c r="J954" s="645"/>
      <c r="K954" s="404"/>
      <c r="L954" s="405"/>
      <c r="M954" s="406"/>
      <c r="N954" s="404"/>
      <c r="O954" s="408"/>
      <c r="P954" s="414"/>
      <c r="Q954" s="378"/>
      <c r="R954" s="378"/>
      <c r="S954" s="378"/>
      <c r="T954" s="378"/>
      <c r="U954" s="378"/>
      <c r="V954" s="378"/>
      <c r="W954" s="378"/>
      <c r="X954" s="378"/>
      <c r="Y954" s="378"/>
      <c r="Z954" s="378"/>
      <c r="AA954" s="378"/>
      <c r="AB954" s="378"/>
      <c r="AC954" s="378"/>
      <c r="AD954" s="378"/>
      <c r="AE954" s="378"/>
      <c r="AF954" s="378"/>
      <c r="AG954" s="378"/>
    </row>
    <row r="955">
      <c r="A955" s="378"/>
      <c r="B955" s="420"/>
      <c r="C955" s="421"/>
      <c r="D955" s="422"/>
      <c r="E955" s="423"/>
      <c r="F955" s="421"/>
      <c r="G955" s="413"/>
      <c r="H955" s="414"/>
      <c r="I955" s="376"/>
      <c r="J955" s="424"/>
      <c r="K955" s="421"/>
      <c r="L955" s="422"/>
      <c r="M955" s="423"/>
      <c r="N955" s="425"/>
      <c r="O955" s="408"/>
      <c r="P955" s="414"/>
      <c r="Q955" s="378"/>
      <c r="R955" s="378"/>
      <c r="S955" s="378"/>
      <c r="T955" s="378"/>
      <c r="U955" s="378"/>
      <c r="V955" s="378"/>
      <c r="W955" s="378"/>
      <c r="X955" s="378"/>
      <c r="Y955" s="378"/>
      <c r="Z955" s="378"/>
      <c r="AA955" s="378"/>
      <c r="AB955" s="378"/>
      <c r="AC955" s="378"/>
      <c r="AD955" s="378"/>
      <c r="AE955" s="378"/>
      <c r="AF955" s="378"/>
      <c r="AG955" s="378"/>
    </row>
    <row r="956">
      <c r="A956" s="378"/>
      <c r="B956" s="420"/>
      <c r="C956" s="421"/>
      <c r="D956" s="422"/>
      <c r="E956" s="423"/>
      <c r="F956" s="421"/>
      <c r="G956" s="413"/>
      <c r="H956" s="414"/>
      <c r="I956" s="376"/>
      <c r="J956" s="424"/>
      <c r="K956" s="421"/>
      <c r="L956" s="422"/>
      <c r="M956" s="423"/>
      <c r="N956" s="425"/>
      <c r="O956" s="408"/>
      <c r="P956" s="414"/>
      <c r="Q956" s="378"/>
      <c r="R956" s="378"/>
      <c r="S956" s="378"/>
      <c r="T956" s="378"/>
      <c r="U956" s="378"/>
      <c r="V956" s="378"/>
      <c r="W956" s="378"/>
      <c r="X956" s="378"/>
      <c r="Y956" s="378"/>
      <c r="Z956" s="378"/>
      <c r="AA956" s="378"/>
      <c r="AB956" s="378"/>
      <c r="AC956" s="378"/>
      <c r="AD956" s="378"/>
      <c r="AE956" s="378"/>
      <c r="AF956" s="378"/>
      <c r="AG956" s="378"/>
    </row>
    <row r="957">
      <c r="A957" s="378"/>
      <c r="B957" s="420"/>
      <c r="C957" s="421"/>
      <c r="D957" s="422"/>
      <c r="E957" s="423"/>
      <c r="F957" s="421"/>
      <c r="G957" s="413"/>
      <c r="H957" s="414"/>
      <c r="I957" s="376"/>
      <c r="J957" s="424"/>
      <c r="K957" s="421"/>
      <c r="L957" s="422"/>
      <c r="M957" s="423"/>
      <c r="N957" s="425"/>
      <c r="O957" s="408"/>
      <c r="P957" s="414"/>
      <c r="Q957" s="378"/>
      <c r="R957" s="378"/>
      <c r="S957" s="378"/>
      <c r="T957" s="378"/>
      <c r="U957" s="378"/>
      <c r="V957" s="378"/>
      <c r="W957" s="378"/>
      <c r="X957" s="378"/>
      <c r="Y957" s="378"/>
      <c r="Z957" s="378"/>
      <c r="AA957" s="378"/>
      <c r="AB957" s="378"/>
      <c r="AC957" s="378"/>
      <c r="AD957" s="378"/>
      <c r="AE957" s="378"/>
      <c r="AF957" s="378"/>
      <c r="AG957" s="378"/>
    </row>
    <row r="958">
      <c r="A958" s="378"/>
      <c r="B958" s="420"/>
      <c r="C958" s="421"/>
      <c r="D958" s="422"/>
      <c r="E958" s="423"/>
      <c r="F958" s="421"/>
      <c r="G958" s="413"/>
      <c r="H958" s="414"/>
      <c r="I958" s="376"/>
      <c r="J958" s="424"/>
      <c r="K958" s="421"/>
      <c r="L958" s="422"/>
      <c r="M958" s="423"/>
      <c r="N958" s="425"/>
      <c r="O958" s="408"/>
      <c r="P958" s="414"/>
      <c r="Q958" s="378"/>
      <c r="R958" s="378"/>
      <c r="S958" s="378"/>
      <c r="T958" s="378"/>
      <c r="U958" s="378"/>
      <c r="V958" s="378"/>
      <c r="W958" s="378"/>
      <c r="X958" s="378"/>
      <c r="Y958" s="378"/>
      <c r="Z958" s="378"/>
      <c r="AA958" s="378"/>
      <c r="AB958" s="378"/>
      <c r="AC958" s="378"/>
      <c r="AD958" s="378"/>
      <c r="AE958" s="378"/>
      <c r="AF958" s="378"/>
      <c r="AG958" s="378"/>
    </row>
    <row r="959">
      <c r="A959" s="378"/>
      <c r="B959" s="403" t="s">
        <v>711</v>
      </c>
      <c r="C959" s="224"/>
      <c r="D959" s="224"/>
      <c r="E959" s="222"/>
      <c r="F959" s="414">
        <f>SUM(F953:F958)</f>
        <v>0</v>
      </c>
      <c r="G959" s="421"/>
      <c r="H959" s="414">
        <f>SUM(H953:H958)</f>
        <v>0</v>
      </c>
      <c r="I959" s="376"/>
      <c r="J959" s="407" t="s">
        <v>711</v>
      </c>
      <c r="K959" s="224"/>
      <c r="L959" s="224"/>
      <c r="M959" s="222"/>
      <c r="N959" s="404" t="str">
        <f>SUM(N953:N958)</f>
        <v>#REF!</v>
      </c>
      <c r="O959" s="427"/>
      <c r="P959" s="414" t="str">
        <f>SUM(P953:P958)</f>
        <v>#REF!</v>
      </c>
      <c r="Q959" s="378"/>
      <c r="R959" s="378"/>
      <c r="S959" s="378"/>
      <c r="T959" s="378"/>
      <c r="U959" s="378"/>
      <c r="V959" s="378"/>
      <c r="W959" s="378"/>
      <c r="X959" s="378"/>
      <c r="Y959" s="378"/>
      <c r="Z959" s="378"/>
      <c r="AA959" s="378"/>
      <c r="AB959" s="378"/>
      <c r="AC959" s="378"/>
      <c r="AD959" s="378"/>
      <c r="AE959" s="378"/>
      <c r="AF959" s="378"/>
      <c r="AG959" s="378"/>
    </row>
    <row r="960">
      <c r="A960" s="378"/>
      <c r="B960" s="428"/>
      <c r="C960" s="419"/>
      <c r="D960" s="419"/>
      <c r="E960" s="419"/>
      <c r="F960" s="419"/>
      <c r="G960" s="419"/>
      <c r="H960" s="429"/>
      <c r="I960" s="376"/>
      <c r="J960" s="430"/>
      <c r="K960" s="419"/>
      <c r="L960" s="419"/>
      <c r="M960" s="419"/>
      <c r="N960" s="431"/>
      <c r="O960" s="432"/>
      <c r="P960" s="429"/>
      <c r="Q960" s="378"/>
      <c r="R960" s="378"/>
      <c r="S960" s="378"/>
      <c r="T960" s="378"/>
      <c r="U960" s="378"/>
      <c r="V960" s="378"/>
      <c r="W960" s="378"/>
      <c r="X960" s="378"/>
      <c r="Y960" s="378"/>
      <c r="Z960" s="378"/>
      <c r="AA960" s="378"/>
      <c r="AB960" s="378"/>
      <c r="AC960" s="378"/>
      <c r="AD960" s="378"/>
      <c r="AE960" s="378"/>
      <c r="AF960" s="378"/>
      <c r="AG960" s="378"/>
    </row>
    <row r="961">
      <c r="A961" s="378"/>
      <c r="B961" s="433" t="s">
        <v>712</v>
      </c>
      <c r="C961" s="434"/>
      <c r="D961" s="435"/>
      <c r="E961" s="419"/>
      <c r="F961" s="419"/>
      <c r="G961" s="419"/>
      <c r="H961" s="429"/>
      <c r="I961" s="376"/>
      <c r="J961" s="437" t="s">
        <v>712</v>
      </c>
      <c r="K961" s="434"/>
      <c r="L961" s="435"/>
      <c r="M961" s="419"/>
      <c r="N961" s="431"/>
      <c r="O961" s="432"/>
      <c r="P961" s="429"/>
      <c r="Q961" s="378"/>
      <c r="R961" s="378"/>
      <c r="S961" s="378"/>
      <c r="T961" s="378"/>
      <c r="U961" s="378"/>
      <c r="V961" s="378"/>
      <c r="W961" s="378"/>
      <c r="X961" s="378"/>
      <c r="Y961" s="378"/>
      <c r="Z961" s="378"/>
      <c r="AA961" s="378"/>
      <c r="AB961" s="378"/>
      <c r="AC961" s="378"/>
      <c r="AD961" s="378"/>
      <c r="AE961" s="378"/>
      <c r="AF961" s="378"/>
      <c r="AG961" s="378"/>
    </row>
    <row r="962">
      <c r="A962" s="378"/>
      <c r="B962" s="438" t="s">
        <v>713</v>
      </c>
      <c r="C962" s="439"/>
      <c r="D962" s="440"/>
      <c r="E962" s="419"/>
      <c r="F962" s="419"/>
      <c r="G962" s="419"/>
      <c r="H962" s="429"/>
      <c r="I962" s="376"/>
      <c r="J962" s="443"/>
      <c r="K962" s="439"/>
      <c r="L962" s="440"/>
      <c r="M962" s="419"/>
      <c r="N962" s="431"/>
      <c r="O962" s="432"/>
      <c r="P962" s="429"/>
      <c r="Q962" s="378"/>
      <c r="R962" s="378"/>
      <c r="S962" s="378"/>
      <c r="T962" s="378"/>
      <c r="U962" s="378"/>
      <c r="V962" s="378"/>
      <c r="W962" s="378"/>
      <c r="X962" s="378"/>
      <c r="Y962" s="378"/>
      <c r="Z962" s="378"/>
      <c r="AA962" s="378"/>
      <c r="AB962" s="378"/>
      <c r="AC962" s="378"/>
      <c r="AD962" s="378"/>
      <c r="AE962" s="378"/>
      <c r="AF962" s="378"/>
      <c r="AG962" s="378"/>
    </row>
    <row r="963">
      <c r="A963" s="378"/>
      <c r="B963" s="444"/>
      <c r="C963" s="434"/>
      <c r="D963" s="435"/>
      <c r="E963" s="419"/>
      <c r="F963" s="463"/>
      <c r="G963" s="463"/>
      <c r="H963" s="448"/>
      <c r="I963" s="376"/>
      <c r="J963" s="445"/>
      <c r="K963" s="434"/>
      <c r="L963" s="435"/>
      <c r="M963" s="419"/>
      <c r="N963" s="446"/>
      <c r="O963" s="447"/>
      <c r="P963" s="448"/>
      <c r="Q963" s="378"/>
      <c r="R963" s="378"/>
      <c r="S963" s="378"/>
      <c r="T963" s="378"/>
      <c r="U963" s="378"/>
      <c r="V963" s="378"/>
      <c r="W963" s="378"/>
      <c r="X963" s="378"/>
      <c r="Y963" s="378"/>
      <c r="Z963" s="378"/>
      <c r="AA963" s="378"/>
      <c r="AB963" s="378"/>
      <c r="AC963" s="378"/>
      <c r="AD963" s="378"/>
      <c r="AE963" s="378"/>
      <c r="AF963" s="378"/>
      <c r="AG963" s="378"/>
    </row>
    <row r="964">
      <c r="A964" s="378"/>
      <c r="B964" s="438" t="s">
        <v>714</v>
      </c>
      <c r="C964" s="439">
        <f>SUM(C962:C963)</f>
        <v>0</v>
      </c>
      <c r="D964" s="440"/>
      <c r="E964" s="419"/>
      <c r="F964" s="463"/>
      <c r="G964" s="463"/>
      <c r="H964" s="448"/>
      <c r="I964" s="376"/>
      <c r="J964" s="443" t="s">
        <v>714</v>
      </c>
      <c r="K964" s="439">
        <f>SUM(K962:K963)</f>
        <v>0</v>
      </c>
      <c r="L964" s="440"/>
      <c r="M964" s="419"/>
      <c r="N964" s="446"/>
      <c r="O964" s="447"/>
      <c r="P964" s="448"/>
      <c r="Q964" s="378"/>
      <c r="R964" s="378"/>
      <c r="S964" s="378"/>
      <c r="T964" s="378"/>
      <c r="U964" s="378"/>
      <c r="V964" s="378"/>
      <c r="W964" s="378"/>
      <c r="X964" s="378"/>
      <c r="Y964" s="378"/>
      <c r="Z964" s="378"/>
      <c r="AA964" s="378"/>
      <c r="AB964" s="378"/>
      <c r="AC964" s="378"/>
      <c r="AD964" s="378"/>
      <c r="AE964" s="378"/>
      <c r="AF964" s="378"/>
      <c r="AG964" s="378"/>
    </row>
    <row r="965">
      <c r="A965" s="378"/>
      <c r="B965" s="450"/>
      <c r="C965" s="451"/>
      <c r="D965" s="419"/>
      <c r="E965" s="419"/>
      <c r="F965" s="463"/>
      <c r="G965" s="463"/>
      <c r="H965" s="448"/>
      <c r="I965" s="376"/>
      <c r="J965" s="535"/>
      <c r="K965" s="451"/>
      <c r="L965" s="419"/>
      <c r="M965" s="419"/>
      <c r="N965" s="446"/>
      <c r="O965" s="447"/>
      <c r="P965" s="448"/>
      <c r="Q965" s="378"/>
      <c r="R965" s="378"/>
      <c r="S965" s="378"/>
      <c r="T965" s="378"/>
      <c r="U965" s="378"/>
      <c r="V965" s="378"/>
      <c r="W965" s="378"/>
      <c r="X965" s="378"/>
      <c r="Y965" s="378"/>
      <c r="Z965" s="378"/>
      <c r="AA965" s="378"/>
      <c r="AB965" s="378"/>
      <c r="AC965" s="378"/>
      <c r="AD965" s="378"/>
      <c r="AE965" s="378"/>
      <c r="AF965" s="378"/>
      <c r="AG965" s="378"/>
    </row>
    <row r="966">
      <c r="A966" s="378"/>
      <c r="B966" s="454" t="s">
        <v>715</v>
      </c>
      <c r="C966" s="455"/>
      <c r="D966" s="435"/>
      <c r="E966" s="419"/>
      <c r="F966" s="463"/>
      <c r="G966" s="463"/>
      <c r="H966" s="448"/>
      <c r="I966" s="376"/>
      <c r="J966" s="458" t="s">
        <v>715</v>
      </c>
      <c r="K966" s="455"/>
      <c r="L966" s="435"/>
      <c r="M966" s="419"/>
      <c r="N966" s="446"/>
      <c r="O966" s="447"/>
      <c r="P966" s="448"/>
      <c r="Q966" s="378"/>
      <c r="R966" s="378"/>
      <c r="S966" s="378"/>
      <c r="T966" s="378"/>
      <c r="U966" s="378"/>
      <c r="V966" s="378"/>
      <c r="W966" s="378"/>
      <c r="X966" s="378"/>
      <c r="Y966" s="378"/>
      <c r="Z966" s="378"/>
      <c r="AA966" s="378"/>
      <c r="AB966" s="378"/>
      <c r="AC966" s="378"/>
      <c r="AD966" s="378"/>
      <c r="AE966" s="378"/>
      <c r="AF966" s="378"/>
      <c r="AG966" s="378"/>
    </row>
    <row r="967">
      <c r="A967" s="378"/>
      <c r="B967" s="459" t="s">
        <v>716</v>
      </c>
      <c r="C967" s="460"/>
      <c r="D967" s="440"/>
      <c r="E967" s="419"/>
      <c r="F967" s="463"/>
      <c r="G967" s="463"/>
      <c r="H967" s="448"/>
      <c r="I967" s="376"/>
      <c r="J967" s="462"/>
      <c r="K967" s="460"/>
      <c r="L967" s="440"/>
      <c r="M967" s="419"/>
      <c r="N967" s="446"/>
      <c r="O967" s="447"/>
      <c r="P967" s="448"/>
      <c r="Q967" s="378"/>
      <c r="R967" s="378"/>
      <c r="S967" s="378"/>
      <c r="T967" s="378"/>
      <c r="U967" s="378"/>
      <c r="V967" s="378"/>
      <c r="W967" s="378"/>
      <c r="X967" s="378"/>
      <c r="Y967" s="378"/>
      <c r="Z967" s="378"/>
      <c r="AA967" s="378"/>
      <c r="AB967" s="378"/>
      <c r="AC967" s="378"/>
      <c r="AD967" s="378"/>
      <c r="AE967" s="378"/>
      <c r="AF967" s="378"/>
      <c r="AG967" s="378"/>
    </row>
    <row r="968">
      <c r="A968" s="378"/>
      <c r="B968" s="459" t="s">
        <v>717</v>
      </c>
      <c r="C968" s="460"/>
      <c r="D968" s="440"/>
      <c r="E968" s="419"/>
      <c r="F968" s="463"/>
      <c r="G968" s="463"/>
      <c r="H968" s="448"/>
      <c r="I968" s="376"/>
      <c r="J968" s="462"/>
      <c r="K968" s="460"/>
      <c r="L968" s="440"/>
      <c r="M968" s="419"/>
      <c r="N968" s="446"/>
      <c r="O968" s="447"/>
      <c r="P968" s="448"/>
      <c r="Q968" s="378"/>
      <c r="R968" s="378"/>
      <c r="S968" s="378"/>
      <c r="T968" s="378"/>
      <c r="U968" s="378"/>
      <c r="V968" s="378"/>
      <c r="W968" s="378"/>
      <c r="X968" s="378"/>
      <c r="Y968" s="378"/>
      <c r="Z968" s="378"/>
      <c r="AA968" s="378"/>
      <c r="AB968" s="378"/>
      <c r="AC968" s="378"/>
      <c r="AD968" s="378"/>
      <c r="AE968" s="378"/>
      <c r="AF968" s="378"/>
      <c r="AG968" s="378"/>
    </row>
    <row r="969">
      <c r="A969" s="378"/>
      <c r="B969" s="459" t="s">
        <v>718</v>
      </c>
      <c r="C969" s="460"/>
      <c r="D969" s="440"/>
      <c r="E969" s="419"/>
      <c r="F969" s="463"/>
      <c r="G969" s="463"/>
      <c r="H969" s="448"/>
      <c r="I969" s="376"/>
      <c r="J969" s="462"/>
      <c r="K969" s="460"/>
      <c r="L969" s="440"/>
      <c r="M969" s="419"/>
      <c r="N969" s="446"/>
      <c r="O969" s="447"/>
      <c r="P969" s="448"/>
      <c r="Q969" s="378"/>
      <c r="R969" s="378"/>
      <c r="S969" s="378"/>
      <c r="T969" s="378"/>
      <c r="U969" s="378"/>
      <c r="V969" s="378"/>
      <c r="W969" s="378"/>
      <c r="X969" s="378"/>
      <c r="Y969" s="378"/>
      <c r="Z969" s="378"/>
      <c r="AA969" s="378"/>
      <c r="AB969" s="378"/>
      <c r="AC969" s="378"/>
      <c r="AD969" s="378"/>
      <c r="AE969" s="378"/>
      <c r="AF969" s="378"/>
      <c r="AG969" s="378"/>
    </row>
    <row r="970">
      <c r="A970" s="378"/>
      <c r="B970" s="459" t="s">
        <v>656</v>
      </c>
      <c r="C970" s="460" t="str">
        <f>IFERROR(__xludf.DUMMYFUNCTION("FILTER(D1045:D1073,C1045:C1073=F951)"),"#N/A")</f>
        <v>#N/A</v>
      </c>
      <c r="D970" s="440"/>
      <c r="E970" s="419"/>
      <c r="F970" s="463"/>
      <c r="G970" s="463"/>
      <c r="H970" s="448"/>
      <c r="I970" s="376"/>
      <c r="J970" s="462"/>
      <c r="K970" s="460"/>
      <c r="L970" s="440"/>
      <c r="M970" s="419"/>
      <c r="N970" s="446"/>
      <c r="O970" s="447"/>
      <c r="P970" s="448"/>
      <c r="Q970" s="378"/>
      <c r="R970" s="378"/>
      <c r="S970" s="378"/>
      <c r="T970" s="378"/>
      <c r="U970" s="378"/>
      <c r="V970" s="378"/>
      <c r="W970" s="378"/>
      <c r="X970" s="378"/>
      <c r="Y970" s="378"/>
      <c r="Z970" s="378"/>
      <c r="AA970" s="378"/>
      <c r="AB970" s="378"/>
      <c r="AC970" s="378"/>
      <c r="AD970" s="378"/>
      <c r="AE970" s="378"/>
      <c r="AF970" s="378"/>
      <c r="AG970" s="378"/>
    </row>
    <row r="971">
      <c r="A971" s="378"/>
      <c r="B971" s="464"/>
      <c r="C971" s="455"/>
      <c r="D971" s="435"/>
      <c r="E971" s="419"/>
      <c r="F971" s="468" t="s">
        <v>842</v>
      </c>
      <c r="G971" s="466" t="str">
        <f>H959+C964-C976</f>
        <v>#N/A</v>
      </c>
      <c r="H971" s="211"/>
      <c r="I971" s="376"/>
      <c r="J971" s="467"/>
      <c r="K971" s="455"/>
      <c r="L971" s="435"/>
      <c r="M971" s="419"/>
      <c r="N971" s="568" t="s">
        <v>910</v>
      </c>
      <c r="O971" s="539" t="str">
        <f>P959+K964-K976</f>
        <v>#REF!</v>
      </c>
      <c r="P971" s="211"/>
      <c r="Q971" s="378"/>
      <c r="R971" s="378"/>
      <c r="S971" s="378"/>
      <c r="T971" s="378"/>
      <c r="U971" s="378"/>
      <c r="V971" s="378"/>
      <c r="W971" s="378"/>
      <c r="X971" s="378"/>
      <c r="Y971" s="378"/>
      <c r="Z971" s="378"/>
      <c r="AA971" s="378"/>
      <c r="AB971" s="378"/>
      <c r="AC971" s="378"/>
      <c r="AD971" s="378"/>
      <c r="AE971" s="378"/>
      <c r="AF971" s="378"/>
      <c r="AG971" s="378"/>
    </row>
    <row r="972">
      <c r="A972" s="378"/>
      <c r="B972" s="464"/>
      <c r="C972" s="455"/>
      <c r="D972" s="435"/>
      <c r="E972" s="419"/>
      <c r="F972" s="469" t="s">
        <v>843</v>
      </c>
      <c r="G972" s="278"/>
      <c r="H972" s="56"/>
      <c r="I972" s="376"/>
      <c r="J972" s="467"/>
      <c r="K972" s="455"/>
      <c r="L972" s="435"/>
      <c r="M972" s="419"/>
      <c r="N972" s="55"/>
      <c r="O972" s="278"/>
      <c r="P972" s="56"/>
      <c r="Q972" s="378"/>
      <c r="R972" s="378"/>
      <c r="S972" s="378"/>
      <c r="T972" s="378"/>
      <c r="U972" s="378"/>
      <c r="V972" s="378"/>
      <c r="W972" s="378"/>
      <c r="X972" s="378"/>
      <c r="Y972" s="378"/>
      <c r="Z972" s="378"/>
      <c r="AA972" s="378"/>
      <c r="AB972" s="378"/>
      <c r="AC972" s="378"/>
      <c r="AD972" s="378"/>
      <c r="AE972" s="378"/>
      <c r="AF972" s="378"/>
      <c r="AG972" s="378"/>
    </row>
    <row r="973">
      <c r="A973" s="378"/>
      <c r="B973" s="464"/>
      <c r="C973" s="455"/>
      <c r="D973" s="435"/>
      <c r="E973" s="419"/>
      <c r="F973" s="470"/>
      <c r="G973" s="215"/>
      <c r="H973" s="64"/>
      <c r="I973" s="376"/>
      <c r="J973" s="467"/>
      <c r="K973" s="455"/>
      <c r="L973" s="435"/>
      <c r="M973" s="419"/>
      <c r="N973" s="60"/>
      <c r="O973" s="215"/>
      <c r="P973" s="64"/>
      <c r="Q973" s="378"/>
      <c r="R973" s="378"/>
      <c r="S973" s="378"/>
      <c r="T973" s="378"/>
      <c r="U973" s="378"/>
      <c r="V973" s="378"/>
      <c r="W973" s="378"/>
      <c r="X973" s="378"/>
      <c r="Y973" s="378"/>
      <c r="Z973" s="378"/>
      <c r="AA973" s="378"/>
      <c r="AB973" s="378"/>
      <c r="AC973" s="378"/>
      <c r="AD973" s="378"/>
      <c r="AE973" s="378"/>
      <c r="AF973" s="378"/>
      <c r="AG973" s="378"/>
    </row>
    <row r="974">
      <c r="A974" s="378"/>
      <c r="B974" s="464"/>
      <c r="C974" s="455"/>
      <c r="D974" s="435"/>
      <c r="E974" s="419"/>
      <c r="F974" s="419"/>
      <c r="G974" s="419"/>
      <c r="H974" s="429"/>
      <c r="I974" s="376"/>
      <c r="J974" s="467"/>
      <c r="K974" s="455"/>
      <c r="L974" s="435"/>
      <c r="M974" s="419"/>
      <c r="N974" s="431"/>
      <c r="O974" s="432"/>
      <c r="P974" s="429"/>
      <c r="Q974" s="378"/>
      <c r="R974" s="378"/>
      <c r="S974" s="378"/>
      <c r="T974" s="378"/>
      <c r="U974" s="378"/>
      <c r="V974" s="378"/>
      <c r="W974" s="378"/>
      <c r="X974" s="378"/>
      <c r="Y974" s="378"/>
      <c r="Z974" s="378"/>
      <c r="AA974" s="378"/>
      <c r="AB974" s="378"/>
      <c r="AC974" s="378"/>
      <c r="AD974" s="378"/>
      <c r="AE974" s="378"/>
      <c r="AF974" s="378"/>
      <c r="AG974" s="378"/>
    </row>
    <row r="975">
      <c r="A975" s="378"/>
      <c r="B975" s="464"/>
      <c r="C975" s="455"/>
      <c r="D975" s="435"/>
      <c r="E975" s="419"/>
      <c r="F975" s="419"/>
      <c r="G975" s="419"/>
      <c r="H975" s="429"/>
      <c r="I975" s="376"/>
      <c r="J975" s="467"/>
      <c r="K975" s="455"/>
      <c r="L975" s="435"/>
      <c r="M975" s="419"/>
      <c r="N975" s="431"/>
      <c r="O975" s="432"/>
      <c r="P975" s="429"/>
      <c r="Q975" s="378"/>
      <c r="R975" s="378"/>
      <c r="S975" s="378"/>
      <c r="T975" s="378"/>
      <c r="U975" s="378"/>
      <c r="V975" s="378"/>
      <c r="W975" s="378"/>
      <c r="X975" s="378"/>
      <c r="Y975" s="378"/>
      <c r="Z975" s="378"/>
      <c r="AA975" s="378"/>
      <c r="AB975" s="378"/>
      <c r="AC975" s="378"/>
      <c r="AD975" s="378"/>
      <c r="AE975" s="378"/>
      <c r="AF975" s="378"/>
      <c r="AG975" s="378"/>
    </row>
    <row r="976">
      <c r="A976" s="378"/>
      <c r="B976" s="454" t="s">
        <v>721</v>
      </c>
      <c r="C976" s="460" t="str">
        <f>SUM(C967:C975)</f>
        <v>#N/A</v>
      </c>
      <c r="D976" s="440"/>
      <c r="E976" s="419"/>
      <c r="F976" s="419"/>
      <c r="G976" s="419"/>
      <c r="H976" s="429"/>
      <c r="I976" s="376"/>
      <c r="J976" s="458" t="s">
        <v>721</v>
      </c>
      <c r="K976" s="460">
        <f>SUM(K967:K975)</f>
        <v>0</v>
      </c>
      <c r="L976" s="440"/>
      <c r="M976" s="419"/>
      <c r="N976" s="431"/>
      <c r="O976" s="432"/>
      <c r="P976" s="429"/>
      <c r="Q976" s="378"/>
      <c r="R976" s="378"/>
      <c r="S976" s="378"/>
      <c r="T976" s="378"/>
      <c r="U976" s="378"/>
      <c r="V976" s="378"/>
      <c r="W976" s="378"/>
      <c r="X976" s="378"/>
      <c r="Y976" s="378"/>
      <c r="Z976" s="378"/>
      <c r="AA976" s="378"/>
      <c r="AB976" s="378"/>
      <c r="AC976" s="378"/>
      <c r="AD976" s="378"/>
      <c r="AE976" s="378"/>
      <c r="AF976" s="378"/>
      <c r="AG976" s="378"/>
    </row>
    <row r="977">
      <c r="A977" s="378"/>
      <c r="B977" s="471"/>
      <c r="C977" s="472"/>
      <c r="D977" s="472"/>
      <c r="E977" s="472"/>
      <c r="F977" s="472"/>
      <c r="G977" s="472"/>
      <c r="H977" s="473"/>
      <c r="I977" s="376"/>
      <c r="J977" s="474"/>
      <c r="K977" s="472"/>
      <c r="L977" s="472"/>
      <c r="M977" s="472"/>
      <c r="N977" s="475"/>
      <c r="O977" s="476"/>
      <c r="P977" s="473"/>
      <c r="Q977" s="378"/>
      <c r="R977" s="378"/>
      <c r="S977" s="378"/>
      <c r="T977" s="378"/>
      <c r="U977" s="378"/>
      <c r="V977" s="378"/>
      <c r="W977" s="378"/>
      <c r="X977" s="378"/>
      <c r="Y977" s="378"/>
      <c r="Z977" s="378"/>
      <c r="AA977" s="378"/>
      <c r="AB977" s="378"/>
      <c r="AC977" s="378"/>
      <c r="AD977" s="378"/>
      <c r="AE977" s="378"/>
      <c r="AF977" s="378"/>
      <c r="AG977" s="378"/>
    </row>
    <row r="978">
      <c r="A978" s="378"/>
      <c r="B978" s="477"/>
      <c r="C978" s="378"/>
      <c r="D978" s="378"/>
      <c r="E978" s="378"/>
      <c r="F978" s="378"/>
      <c r="G978" s="378"/>
      <c r="H978" s="378"/>
      <c r="I978" s="376"/>
      <c r="J978" s="377"/>
      <c r="K978" s="378"/>
      <c r="L978" s="378"/>
      <c r="M978" s="378"/>
      <c r="N978" s="379"/>
      <c r="O978" s="380"/>
      <c r="P978" s="378"/>
      <c r="Q978" s="378"/>
    </row>
    <row r="979">
      <c r="A979" s="378"/>
      <c r="B979" s="477"/>
      <c r="C979" s="378"/>
      <c r="D979" s="378"/>
      <c r="E979" s="378"/>
      <c r="F979" s="378"/>
      <c r="G979" s="378"/>
      <c r="H979" s="378"/>
      <c r="I979" s="376"/>
      <c r="J979" s="377"/>
      <c r="K979" s="378"/>
      <c r="L979" s="378"/>
      <c r="M979" s="378"/>
      <c r="N979" s="379"/>
      <c r="O979" s="380"/>
      <c r="P979" s="378"/>
      <c r="Q979" s="398"/>
    </row>
    <row r="980">
      <c r="A980" s="378"/>
      <c r="B980" s="382"/>
      <c r="C980" s="383"/>
      <c r="D980" s="384"/>
      <c r="E980" s="385" t="s">
        <v>700</v>
      </c>
      <c r="F980" s="385" t="str">
        <f>Board!A2</f>
        <v>11.17.25-11.23.25</v>
      </c>
      <c r="G980" s="213"/>
      <c r="H980" s="211"/>
      <c r="I980" s="386">
        <v>30.0</v>
      </c>
      <c r="J980" s="387"/>
      <c r="K980" s="388"/>
      <c r="L980" s="384"/>
      <c r="M980" s="385" t="s">
        <v>700</v>
      </c>
      <c r="N980" s="385" t="str">
        <f>Board!A33</f>
        <v>11.17.25-11.23.25</v>
      </c>
      <c r="O980" s="213"/>
      <c r="P980" s="211"/>
      <c r="Q980" s="378"/>
      <c r="R980" s="389" t="s">
        <v>831</v>
      </c>
      <c r="S980" s="389" t="s">
        <v>652</v>
      </c>
      <c r="T980" s="390" t="s">
        <v>832</v>
      </c>
      <c r="U980" s="391" t="s">
        <v>833</v>
      </c>
      <c r="V980" s="389" t="s">
        <v>655</v>
      </c>
      <c r="W980" s="389" t="s">
        <v>8</v>
      </c>
      <c r="X980" s="389" t="s">
        <v>656</v>
      </c>
      <c r="Y980" s="390" t="s">
        <v>834</v>
      </c>
      <c r="Z980" s="392" t="s">
        <v>835</v>
      </c>
      <c r="AA980" s="390" t="s">
        <v>836</v>
      </c>
      <c r="AB980" s="390" t="s">
        <v>837</v>
      </c>
      <c r="AC980" s="393" t="s">
        <v>716</v>
      </c>
      <c r="AD980" s="393" t="s">
        <v>717</v>
      </c>
      <c r="AE980" s="393" t="s">
        <v>718</v>
      </c>
      <c r="AF980" s="394" t="s">
        <v>838</v>
      </c>
      <c r="AG980" s="394"/>
    </row>
    <row r="981">
      <c r="A981" s="378"/>
      <c r="B981" s="395"/>
      <c r="C981" s="372"/>
      <c r="D981" s="396"/>
      <c r="E981" s="385" t="s">
        <v>702</v>
      </c>
      <c r="F981" s="385" t="s">
        <v>911</v>
      </c>
      <c r="G981" s="213"/>
      <c r="H981" s="211"/>
      <c r="I981" s="376"/>
      <c r="J981" s="397"/>
      <c r="K981" s="372"/>
      <c r="L981" s="396"/>
      <c r="M981" s="385" t="s">
        <v>351</v>
      </c>
      <c r="N981" s="385" t="s">
        <v>630</v>
      </c>
      <c r="O981" s="213"/>
      <c r="P981" s="211"/>
      <c r="Q981" s="398"/>
      <c r="R981" s="398">
        <f>I980</f>
        <v>30</v>
      </c>
      <c r="S981" s="398">
        <f>F982</f>
        <v>913</v>
      </c>
      <c r="T981" s="399">
        <f>G1002</f>
        <v>3800</v>
      </c>
      <c r="U981" s="378" t="str">
        <f>N981</f>
        <v>Jeremy Potter</v>
      </c>
      <c r="V981" s="380">
        <f>O1002</f>
        <v>1221.35</v>
      </c>
      <c r="W981" s="399">
        <f>P990</f>
        <v>1221.35</v>
      </c>
      <c r="X981" s="399">
        <f>C1001</f>
        <v>569.53</v>
      </c>
      <c r="Y981" s="400">
        <f>N990</f>
        <v>1879</v>
      </c>
      <c r="Z981" s="399">
        <f>V982-V981</f>
        <v>2578.65</v>
      </c>
      <c r="AA981" s="378"/>
      <c r="AB981" s="378"/>
      <c r="AC981" s="401" t="str">
        <f>C998</f>
        <v/>
      </c>
      <c r="AD981" s="401" t="str">
        <f>C999</f>
        <v/>
      </c>
      <c r="AE981" s="401" t="str">
        <f>C1000</f>
        <v/>
      </c>
      <c r="AF981" s="401">
        <f>C1002+C1003+C1004+C1005+C1006</f>
        <v>493.28</v>
      </c>
      <c r="AG981" s="398"/>
    </row>
    <row r="982">
      <c r="A982" s="378"/>
      <c r="B982" s="395"/>
      <c r="C982" s="372"/>
      <c r="D982" s="402"/>
      <c r="E982" s="385" t="s">
        <v>703</v>
      </c>
      <c r="F982" s="385">
        <v>913.0</v>
      </c>
      <c r="G982" s="213"/>
      <c r="H982" s="211"/>
      <c r="I982" s="376"/>
      <c r="J982" s="397"/>
      <c r="K982" s="372"/>
      <c r="L982" s="402"/>
      <c r="M982" s="385" t="s">
        <v>703</v>
      </c>
      <c r="N982" s="385">
        <v>913.0</v>
      </c>
      <c r="O982" s="213"/>
      <c r="P982" s="211"/>
      <c r="Q982" s="378"/>
      <c r="R982" s="378"/>
      <c r="S982" s="378"/>
      <c r="T982" s="378"/>
      <c r="U982" s="378" t="str">
        <f>F981</f>
        <v>Perli Ovio LLC</v>
      </c>
      <c r="V982" s="399">
        <f>G1002</f>
        <v>3800</v>
      </c>
      <c r="W982" s="399">
        <f>H990</f>
        <v>3800</v>
      </c>
      <c r="X982" s="378"/>
      <c r="Y982" s="378"/>
      <c r="Z982" s="378"/>
      <c r="AA982" s="378"/>
      <c r="AB982" s="378"/>
      <c r="AC982" s="378"/>
      <c r="AD982" s="378"/>
      <c r="AE982" s="378"/>
      <c r="AF982" s="378"/>
      <c r="AG982" s="378"/>
    </row>
    <row r="983">
      <c r="A983" s="378"/>
      <c r="B983" s="403" t="s">
        <v>704</v>
      </c>
      <c r="C983" s="404" t="s">
        <v>5</v>
      </c>
      <c r="D983" s="405" t="s">
        <v>6</v>
      </c>
      <c r="E983" s="406" t="s">
        <v>7</v>
      </c>
      <c r="F983" s="404" t="s">
        <v>8</v>
      </c>
      <c r="G983" s="404" t="s">
        <v>706</v>
      </c>
      <c r="H983" s="404" t="s">
        <v>707</v>
      </c>
      <c r="I983" s="376"/>
      <c r="J983" s="407" t="s">
        <v>704</v>
      </c>
      <c r="K983" s="404" t="s">
        <v>5</v>
      </c>
      <c r="L983" s="405" t="s">
        <v>6</v>
      </c>
      <c r="M983" s="406" t="s">
        <v>7</v>
      </c>
      <c r="N983" s="404" t="s">
        <v>591</v>
      </c>
      <c r="O983" s="408" t="s">
        <v>708</v>
      </c>
      <c r="P983" s="404" t="s">
        <v>707</v>
      </c>
      <c r="Q983" s="398"/>
    </row>
    <row r="984">
      <c r="A984" s="378"/>
      <c r="B984" s="555">
        <f>IFERROR(__xludf.DUMMYFUNCTION("FILTER(Board!C:G,Board!K:K=F982)"),45982.0)</f>
        <v>45982</v>
      </c>
      <c r="C984" s="404">
        <f>IFERROR(__xludf.DUMMYFUNCTION("""COMPUTED_VALUE"""),1054.0)</f>
        <v>1054</v>
      </c>
      <c r="D984" s="405" t="str">
        <f>IFERROR(__xludf.DUMMYFUNCTION("""COMPUTED_VALUE"""),"La Junta, CO, 81050")</f>
        <v>La Junta, CO, 81050</v>
      </c>
      <c r="E984" s="406" t="str">
        <f>IFERROR(__xludf.DUMMYFUNCTION("""COMPUTED_VALUE"""),"La Junta, CO, 81050")</f>
        <v>La Junta, CO, 81050</v>
      </c>
      <c r="F984" s="417">
        <f>IFERROR(__xludf.DUMMYFUNCTION("""COMPUTED_VALUE"""),3800.0)</f>
        <v>3800</v>
      </c>
      <c r="G984" s="413">
        <v>1.0</v>
      </c>
      <c r="H984" s="414">
        <f>F984*G984</f>
        <v>3800</v>
      </c>
      <c r="I984" s="376"/>
      <c r="J984" s="645">
        <f>IFERROR(__xludf.DUMMYFUNCTION("FILTER(Board!C:F,Board!K:K=N982)"),45982.0)</f>
        <v>45982</v>
      </c>
      <c r="K984" s="404">
        <f>IFERROR(__xludf.DUMMYFUNCTION("""COMPUTED_VALUE"""),1054.0)</f>
        <v>1054</v>
      </c>
      <c r="L984" s="405" t="str">
        <f>IFERROR(__xludf.DUMMYFUNCTION("""COMPUTED_VALUE"""),"La Junta, CO, 81050")</f>
        <v>La Junta, CO, 81050</v>
      </c>
      <c r="M984" s="406" t="str">
        <f>IFERROR(__xludf.DUMMYFUNCTION("""COMPUTED_VALUE"""),"La Junta, CO, 81050")</f>
        <v>La Junta, CO, 81050</v>
      </c>
      <c r="N984" s="426">
        <f>IFERROR(__xludf.DUMMYFUNCTION("FILTER(Board!H:H,Board!K:K=N982)"),1879.0)</f>
        <v>1879</v>
      </c>
      <c r="O984" s="408">
        <v>0.65</v>
      </c>
      <c r="P984" s="417">
        <f>N984*O984</f>
        <v>1221.35</v>
      </c>
      <c r="Q984" s="378"/>
    </row>
    <row r="985">
      <c r="A985" s="378"/>
      <c r="B985" s="555"/>
      <c r="C985" s="404"/>
      <c r="D985" s="405"/>
      <c r="E985" s="406"/>
      <c r="F985" s="414"/>
      <c r="G985" s="413"/>
      <c r="H985" s="414"/>
      <c r="I985" s="376"/>
      <c r="J985" s="645"/>
      <c r="K985" s="404"/>
      <c r="L985" s="405"/>
      <c r="M985" s="406"/>
      <c r="N985" s="404"/>
      <c r="O985" s="408"/>
      <c r="P985" s="414"/>
      <c r="Q985" s="398"/>
    </row>
    <row r="986">
      <c r="A986" s="378"/>
      <c r="B986" s="420"/>
      <c r="C986" s="421"/>
      <c r="D986" s="422"/>
      <c r="E986" s="423"/>
      <c r="F986" s="421"/>
      <c r="G986" s="413"/>
      <c r="H986" s="414"/>
      <c r="I986" s="376"/>
      <c r="J986" s="424"/>
      <c r="K986" s="421"/>
      <c r="L986" s="422"/>
      <c r="M986" s="423"/>
      <c r="N986" s="425"/>
      <c r="O986" s="408"/>
      <c r="P986" s="414"/>
      <c r="Q986" s="378"/>
    </row>
    <row r="987">
      <c r="A987" s="378"/>
      <c r="B987" s="420"/>
      <c r="C987" s="421"/>
      <c r="D987" s="422"/>
      <c r="E987" s="423"/>
      <c r="F987" s="421"/>
      <c r="G987" s="413"/>
      <c r="H987" s="414"/>
      <c r="I987" s="376"/>
      <c r="J987" s="424"/>
      <c r="K987" s="421"/>
      <c r="L987" s="422"/>
      <c r="M987" s="423"/>
      <c r="N987" s="425"/>
      <c r="O987" s="408"/>
      <c r="P987" s="414"/>
      <c r="Q987" s="398"/>
    </row>
    <row r="988">
      <c r="A988" s="378"/>
      <c r="B988" s="420"/>
      <c r="C988" s="421"/>
      <c r="D988" s="422"/>
      <c r="E988" s="423"/>
      <c r="F988" s="421"/>
      <c r="G988" s="413"/>
      <c r="H988" s="414"/>
      <c r="I988" s="376"/>
      <c r="J988" s="424"/>
      <c r="K988" s="421"/>
      <c r="L988" s="422"/>
      <c r="M988" s="423"/>
      <c r="N988" s="425"/>
      <c r="O988" s="408"/>
      <c r="P988" s="414"/>
      <c r="Q988" s="378"/>
    </row>
    <row r="989">
      <c r="A989" s="378"/>
      <c r="B989" s="420"/>
      <c r="C989" s="421"/>
      <c r="D989" s="422"/>
      <c r="E989" s="423"/>
      <c r="F989" s="421"/>
      <c r="G989" s="413"/>
      <c r="H989" s="414"/>
      <c r="I989" s="376"/>
      <c r="J989" s="424"/>
      <c r="K989" s="421"/>
      <c r="L989" s="422"/>
      <c r="M989" s="423"/>
      <c r="N989" s="425"/>
      <c r="O989" s="408"/>
      <c r="P989" s="414"/>
      <c r="Q989" s="378"/>
    </row>
    <row r="990">
      <c r="A990" s="378"/>
      <c r="B990" s="403" t="s">
        <v>711</v>
      </c>
      <c r="C990" s="224"/>
      <c r="D990" s="224"/>
      <c r="E990" s="222"/>
      <c r="F990" s="414">
        <f>SUM(F984:F989)</f>
        <v>3800</v>
      </c>
      <c r="G990" s="421"/>
      <c r="H990" s="414">
        <f>SUM(H984:H989)</f>
        <v>3800</v>
      </c>
      <c r="I990" s="376"/>
      <c r="J990" s="407" t="s">
        <v>711</v>
      </c>
      <c r="K990" s="224"/>
      <c r="L990" s="224"/>
      <c r="M990" s="222"/>
      <c r="N990" s="426">
        <f>SUM(N984:N989)</f>
        <v>1879</v>
      </c>
      <c r="O990" s="427"/>
      <c r="P990" s="414">
        <f>SUM(P984:P989)</f>
        <v>1221.35</v>
      </c>
      <c r="Q990" s="378"/>
    </row>
    <row r="991">
      <c r="A991" s="378"/>
      <c r="B991" s="428"/>
      <c r="C991" s="419"/>
      <c r="D991" s="419"/>
      <c r="E991" s="419"/>
      <c r="F991" s="419"/>
      <c r="G991" s="419"/>
      <c r="H991" s="429"/>
      <c r="I991" s="376"/>
      <c r="J991" s="430"/>
      <c r="K991" s="419"/>
      <c r="L991" s="419"/>
      <c r="M991" s="419"/>
      <c r="N991" s="431"/>
      <c r="O991" s="432"/>
      <c r="P991" s="429"/>
      <c r="Q991" s="378"/>
    </row>
    <row r="992">
      <c r="A992" s="378"/>
      <c r="B992" s="433" t="s">
        <v>712</v>
      </c>
      <c r="C992" s="434"/>
      <c r="D992" s="435"/>
      <c r="E992" s="419"/>
      <c r="F992" s="441">
        <v>1221.35</v>
      </c>
      <c r="G992" s="442">
        <v>1.0</v>
      </c>
      <c r="H992" s="441">
        <v>1221.35</v>
      </c>
      <c r="I992" s="376"/>
      <c r="J992" s="437" t="s">
        <v>712</v>
      </c>
      <c r="K992" s="434"/>
      <c r="L992" s="435"/>
      <c r="M992" s="419"/>
      <c r="N992" s="431"/>
      <c r="O992" s="432"/>
      <c r="P992" s="429"/>
      <c r="Q992" s="378"/>
    </row>
    <row r="993">
      <c r="A993" s="378"/>
      <c r="B993" s="438" t="s">
        <v>912</v>
      </c>
      <c r="C993" s="439"/>
      <c r="D993" s="646" t="s">
        <v>913</v>
      </c>
      <c r="E993" s="419"/>
      <c r="F993" s="449"/>
      <c r="G993" s="442">
        <v>1.0</v>
      </c>
      <c r="H993" s="441">
        <v>0.0</v>
      </c>
      <c r="I993" s="376"/>
      <c r="J993" s="443"/>
      <c r="K993" s="439"/>
      <c r="L993" s="440"/>
      <c r="M993" s="419"/>
      <c r="N993" s="431"/>
      <c r="O993" s="432"/>
      <c r="P993" s="429"/>
      <c r="Q993" s="378"/>
    </row>
    <row r="994">
      <c r="A994" s="378"/>
      <c r="B994" s="444"/>
      <c r="C994" s="434"/>
      <c r="D994" s="435"/>
      <c r="E994" s="419"/>
      <c r="F994" s="449"/>
      <c r="G994" s="442">
        <v>1.0</v>
      </c>
      <c r="H994" s="441">
        <v>0.0</v>
      </c>
      <c r="I994" s="376"/>
      <c r="J994" s="445"/>
      <c r="K994" s="434"/>
      <c r="L994" s="435"/>
      <c r="M994" s="419"/>
      <c r="N994" s="446"/>
      <c r="O994" s="447"/>
      <c r="P994" s="448"/>
      <c r="Q994" s="378"/>
    </row>
    <row r="995">
      <c r="A995" s="378"/>
      <c r="B995" s="438" t="s">
        <v>714</v>
      </c>
      <c r="C995" s="439">
        <f>SUM(C993:C994)</f>
        <v>0</v>
      </c>
      <c r="D995" s="440"/>
      <c r="E995" s="419"/>
      <c r="F995" s="449"/>
      <c r="G995" s="442">
        <v>1.0</v>
      </c>
      <c r="H995" s="441">
        <v>0.0</v>
      </c>
      <c r="I995" s="376"/>
      <c r="J995" s="443" t="s">
        <v>714</v>
      </c>
      <c r="K995" s="439">
        <f>SUM(K993:K994)</f>
        <v>0</v>
      </c>
      <c r="L995" s="440"/>
      <c r="M995" s="419"/>
      <c r="N995" s="446"/>
      <c r="O995" s="447"/>
      <c r="P995" s="448"/>
      <c r="Q995" s="378"/>
    </row>
    <row r="996">
      <c r="A996" s="378"/>
      <c r="B996" s="450"/>
      <c r="C996" s="451"/>
      <c r="D996" s="419"/>
      <c r="E996" s="419"/>
      <c r="F996" s="463"/>
      <c r="G996" s="463"/>
      <c r="H996" s="448"/>
      <c r="I996" s="376"/>
      <c r="J996" s="535"/>
      <c r="K996" s="451"/>
      <c r="L996" s="419"/>
      <c r="M996" s="419"/>
      <c r="N996" s="446"/>
      <c r="O996" s="447"/>
      <c r="P996" s="448"/>
      <c r="Q996" s="378"/>
    </row>
    <row r="997">
      <c r="A997" s="378"/>
      <c r="B997" s="454" t="s">
        <v>715</v>
      </c>
      <c r="C997" s="455"/>
      <c r="D997" s="435"/>
      <c r="E997" s="419"/>
      <c r="F997" s="463"/>
      <c r="G997" s="463"/>
      <c r="H997" s="448"/>
      <c r="I997" s="376"/>
      <c r="J997" s="458" t="s">
        <v>715</v>
      </c>
      <c r="K997" s="455"/>
      <c r="L997" s="435"/>
      <c r="M997" s="419"/>
      <c r="N997" s="446"/>
      <c r="O997" s="447"/>
      <c r="P997" s="448"/>
      <c r="Q997" s="378"/>
    </row>
    <row r="998">
      <c r="A998" s="378"/>
      <c r="B998" s="459" t="s">
        <v>716</v>
      </c>
      <c r="C998" s="460"/>
      <c r="D998" s="440"/>
      <c r="E998" s="419"/>
      <c r="F998" s="463"/>
      <c r="G998" s="463"/>
      <c r="H998" s="448"/>
      <c r="I998" s="376"/>
      <c r="J998" s="462"/>
      <c r="K998" s="460"/>
      <c r="L998" s="440"/>
      <c r="M998" s="419"/>
      <c r="N998" s="446"/>
      <c r="O998" s="447"/>
      <c r="P998" s="448"/>
      <c r="Q998" s="378"/>
    </row>
    <row r="999">
      <c r="A999" s="378"/>
      <c r="B999" s="459" t="s">
        <v>717</v>
      </c>
      <c r="C999" s="460"/>
      <c r="D999" s="440"/>
      <c r="E999" s="419"/>
      <c r="F999" s="463"/>
      <c r="G999" s="463"/>
      <c r="H999" s="448"/>
      <c r="I999" s="376"/>
      <c r="J999" s="462"/>
      <c r="K999" s="460"/>
      <c r="L999" s="440"/>
      <c r="M999" s="419"/>
      <c r="N999" s="446"/>
      <c r="O999" s="447"/>
      <c r="P999" s="448"/>
      <c r="Q999" s="378"/>
    </row>
    <row r="1000">
      <c r="A1000" s="378"/>
      <c r="B1000" s="459" t="s">
        <v>718</v>
      </c>
      <c r="C1000" s="460"/>
      <c r="D1000" s="440"/>
      <c r="E1000" s="419"/>
      <c r="F1000" s="463"/>
      <c r="G1000" s="463"/>
      <c r="H1000" s="448"/>
      <c r="I1000" s="376"/>
      <c r="J1000" s="462"/>
      <c r="K1000" s="460"/>
      <c r="L1000" s="440"/>
      <c r="M1000" s="419"/>
      <c r="N1000" s="446"/>
      <c r="O1000" s="447"/>
      <c r="P1000" s="448"/>
      <c r="Q1000" s="378"/>
    </row>
    <row r="1001">
      <c r="A1001" s="378"/>
      <c r="B1001" s="459" t="s">
        <v>656</v>
      </c>
      <c r="C1001" s="460">
        <f>IFERROR(__xludf.DUMMYFUNCTION("FILTER(D1046:D1074,C1046:C1074=F982)"),569.53)</f>
        <v>569.53</v>
      </c>
      <c r="D1001" s="440"/>
      <c r="E1001" s="419"/>
      <c r="F1001" s="463"/>
      <c r="G1001" s="463"/>
      <c r="H1001" s="448"/>
      <c r="I1001" s="376"/>
      <c r="J1001" s="462"/>
      <c r="K1001" s="460"/>
      <c r="L1001" s="440"/>
      <c r="M1001" s="419"/>
      <c r="N1001" s="446"/>
      <c r="O1001" s="447"/>
      <c r="P1001" s="448"/>
      <c r="Q1001" s="378"/>
    </row>
    <row r="1002">
      <c r="A1002" s="378"/>
      <c r="B1002" s="464"/>
      <c r="C1002" s="994">
        <f>IFERROR(__xludf.DUMMYFUNCTION("""COMPUTED_VALUE"""),493.28)</f>
        <v>493.28</v>
      </c>
      <c r="D1002" s="435"/>
      <c r="E1002" s="419"/>
      <c r="F1002" s="468" t="s">
        <v>842</v>
      </c>
      <c r="G1002" s="466">
        <f>H990+C995-C1007</f>
        <v>3800</v>
      </c>
      <c r="H1002" s="211"/>
      <c r="I1002" s="376"/>
      <c r="J1002" s="467"/>
      <c r="K1002" s="455"/>
      <c r="L1002" s="435"/>
      <c r="M1002" s="419"/>
      <c r="N1002" s="568" t="s">
        <v>910</v>
      </c>
      <c r="O1002" s="539">
        <f>P990+K995-K1007</f>
        <v>1221.35</v>
      </c>
      <c r="P1002" s="211"/>
      <c r="Q1002" s="378"/>
    </row>
    <row r="1003">
      <c r="A1003" s="378"/>
      <c r="B1003" s="464"/>
      <c r="C1003" s="455"/>
      <c r="D1003" s="435"/>
      <c r="E1003" s="419"/>
      <c r="F1003" s="469" t="s">
        <v>843</v>
      </c>
      <c r="G1003" s="278"/>
      <c r="H1003" s="56"/>
      <c r="I1003" s="376"/>
      <c r="J1003" s="467"/>
      <c r="K1003" s="455"/>
      <c r="L1003" s="435"/>
      <c r="M1003" s="419"/>
      <c r="N1003" s="55"/>
      <c r="O1003" s="278"/>
      <c r="P1003" s="56"/>
      <c r="Q1003" s="378"/>
    </row>
    <row r="1004">
      <c r="A1004" s="378"/>
      <c r="B1004" s="464"/>
      <c r="C1004" s="455"/>
      <c r="D1004" s="435"/>
      <c r="E1004" s="419"/>
      <c r="F1004" s="470"/>
      <c r="G1004" s="215"/>
      <c r="H1004" s="64"/>
      <c r="I1004" s="376"/>
      <c r="J1004" s="467"/>
      <c r="K1004" s="455"/>
      <c r="L1004" s="435"/>
      <c r="M1004" s="419"/>
      <c r="N1004" s="60"/>
      <c r="O1004" s="215"/>
      <c r="P1004" s="64"/>
      <c r="Q1004" s="378"/>
    </row>
    <row r="1005">
      <c r="A1005" s="378"/>
      <c r="B1005" s="464"/>
      <c r="C1005" s="455"/>
      <c r="D1005" s="435"/>
      <c r="E1005" s="419"/>
      <c r="F1005" s="419"/>
      <c r="G1005" s="419"/>
      <c r="H1005" s="429"/>
      <c r="I1005" s="376"/>
      <c r="J1005" s="467"/>
      <c r="K1005" s="455"/>
      <c r="L1005" s="435"/>
      <c r="M1005" s="419"/>
      <c r="N1005" s="431"/>
      <c r="O1005" s="432"/>
      <c r="P1005" s="429"/>
      <c r="Q1005" s="378"/>
    </row>
    <row r="1006">
      <c r="A1006" s="378"/>
      <c r="B1006" s="464"/>
      <c r="C1006" s="455"/>
      <c r="D1006" s="435"/>
      <c r="E1006" s="419"/>
      <c r="F1006" s="419"/>
      <c r="G1006" s="419"/>
      <c r="H1006" s="429"/>
      <c r="I1006" s="376"/>
      <c r="J1006" s="467"/>
      <c r="K1006" s="455"/>
      <c r="L1006" s="435"/>
      <c r="M1006" s="419"/>
      <c r="N1006" s="431"/>
      <c r="O1006" s="432"/>
      <c r="P1006" s="429"/>
      <c r="Q1006" s="378"/>
    </row>
    <row r="1007">
      <c r="A1007" s="378"/>
      <c r="B1007" s="454" t="s">
        <v>721</v>
      </c>
      <c r="C1007" s="460"/>
      <c r="D1007" s="440"/>
      <c r="E1007" s="419"/>
      <c r="F1007" s="419"/>
      <c r="G1007" s="419"/>
      <c r="H1007" s="429"/>
      <c r="I1007" s="376"/>
      <c r="J1007" s="458" t="s">
        <v>721</v>
      </c>
      <c r="K1007" s="460">
        <f>SUM(K998:K1006)</f>
        <v>0</v>
      </c>
      <c r="L1007" s="440"/>
      <c r="M1007" s="419"/>
      <c r="N1007" s="431"/>
      <c r="O1007" s="432"/>
      <c r="P1007" s="429"/>
      <c r="Q1007" s="378"/>
    </row>
    <row r="1008">
      <c r="A1008" s="378"/>
      <c r="B1008" s="471"/>
      <c r="C1008" s="472"/>
      <c r="D1008" s="472"/>
      <c r="E1008" s="472"/>
      <c r="F1008" s="472"/>
      <c r="G1008" s="472"/>
      <c r="H1008" s="473"/>
      <c r="I1008" s="376"/>
      <c r="J1008" s="474"/>
      <c r="K1008" s="472"/>
      <c r="L1008" s="472"/>
      <c r="M1008" s="472"/>
      <c r="N1008" s="475"/>
      <c r="O1008" s="476"/>
      <c r="P1008" s="473"/>
      <c r="Q1008" s="378"/>
    </row>
    <row r="1009">
      <c r="A1009" s="378"/>
      <c r="B1009" s="477"/>
      <c r="C1009" s="378"/>
      <c r="D1009" s="378"/>
      <c r="E1009" s="378"/>
      <c r="F1009" s="378"/>
      <c r="G1009" s="378"/>
      <c r="H1009" s="378"/>
      <c r="I1009" s="376"/>
      <c r="J1009" s="377"/>
      <c r="K1009" s="378"/>
      <c r="L1009" s="378"/>
      <c r="M1009" s="378"/>
      <c r="N1009" s="379"/>
      <c r="O1009" s="380"/>
      <c r="P1009" s="378"/>
      <c r="Q1009" s="378"/>
    </row>
    <row r="1010">
      <c r="A1010" s="378"/>
      <c r="B1010" s="477"/>
      <c r="C1010" s="378"/>
      <c r="D1010" s="378"/>
      <c r="E1010" s="378"/>
      <c r="F1010" s="378"/>
      <c r="G1010" s="378"/>
      <c r="H1010" s="378"/>
      <c r="I1010" s="376"/>
      <c r="J1010" s="377"/>
      <c r="K1010" s="378"/>
      <c r="L1010" s="378"/>
      <c r="M1010" s="378"/>
      <c r="N1010" s="379"/>
      <c r="O1010" s="380"/>
      <c r="P1010" s="378"/>
      <c r="Q1010" s="378"/>
    </row>
    <row r="1011">
      <c r="A1011" s="378"/>
      <c r="B1011" s="382"/>
      <c r="C1011" s="479"/>
      <c r="D1011" s="384"/>
      <c r="E1011" s="385" t="s">
        <v>700</v>
      </c>
      <c r="F1011" s="385" t="str">
        <f>Board!A2</f>
        <v>11.17.25-11.23.25</v>
      </c>
      <c r="G1011" s="213"/>
      <c r="H1011" s="211"/>
      <c r="I1011" s="386">
        <v>31.0</v>
      </c>
      <c r="J1011" s="377"/>
      <c r="K1011" s="378"/>
      <c r="L1011" s="378"/>
      <c r="M1011" s="378"/>
      <c r="N1011" s="379"/>
      <c r="O1011" s="380"/>
      <c r="P1011" s="378"/>
      <c r="Q1011" s="378"/>
      <c r="R1011" s="389" t="s">
        <v>831</v>
      </c>
      <c r="S1011" s="389" t="s">
        <v>652</v>
      </c>
      <c r="T1011" s="390" t="s">
        <v>832</v>
      </c>
      <c r="U1011" s="391" t="s">
        <v>833</v>
      </c>
      <c r="V1011" s="389" t="s">
        <v>655</v>
      </c>
      <c r="W1011" s="389" t="s">
        <v>8</v>
      </c>
      <c r="X1011" s="389" t="s">
        <v>656</v>
      </c>
      <c r="Y1011" s="390" t="s">
        <v>834</v>
      </c>
      <c r="Z1011" s="392" t="s">
        <v>835</v>
      </c>
      <c r="AA1011" s="390" t="s">
        <v>836</v>
      </c>
      <c r="AB1011" s="390" t="s">
        <v>837</v>
      </c>
      <c r="AC1011" s="393" t="s">
        <v>716</v>
      </c>
      <c r="AD1011" s="393" t="s">
        <v>717</v>
      </c>
      <c r="AE1011" s="393" t="s">
        <v>718</v>
      </c>
      <c r="AF1011" s="394" t="s">
        <v>838</v>
      </c>
      <c r="AG1011" s="394"/>
    </row>
    <row r="1012">
      <c r="A1012" s="378"/>
      <c r="B1012" s="395"/>
      <c r="C1012" s="372"/>
      <c r="D1012" s="396"/>
      <c r="E1012" s="385" t="s">
        <v>702</v>
      </c>
      <c r="F1012" s="385"/>
      <c r="G1012" s="213"/>
      <c r="H1012" s="211"/>
      <c r="I1012" s="376"/>
      <c r="J1012" s="377"/>
      <c r="K1012" s="378"/>
      <c r="L1012" s="378"/>
      <c r="M1012" s="378"/>
      <c r="N1012" s="379"/>
      <c r="O1012" s="380"/>
      <c r="P1012" s="378"/>
      <c r="Q1012" s="378"/>
      <c r="R1012" s="398">
        <f>I1011</f>
        <v>31</v>
      </c>
      <c r="S1012" s="398" t="str">
        <f>F1013</f>
        <v/>
      </c>
      <c r="T1012" s="399" t="str">
        <f>G1033</f>
        <v/>
      </c>
      <c r="U1012" s="378" t="str">
        <f>N1012</f>
        <v/>
      </c>
      <c r="V1012" s="380" t="str">
        <f>O1033</f>
        <v/>
      </c>
      <c r="W1012" s="378" t="str">
        <f>P1021</f>
        <v/>
      </c>
      <c r="X1012" s="399" t="str">
        <f>C1032</f>
        <v/>
      </c>
      <c r="Y1012" s="378" t="str">
        <f>N1021</f>
        <v/>
      </c>
      <c r="Z1012" s="399">
        <f>V1013-V1012</f>
        <v>0</v>
      </c>
      <c r="AA1012" s="378"/>
      <c r="AB1012" s="378"/>
      <c r="AC1012" s="401" t="str">
        <f>C1029</f>
        <v/>
      </c>
      <c r="AD1012" s="401" t="str">
        <f>C1030</f>
        <v/>
      </c>
      <c r="AE1012" s="401" t="str">
        <f>C1031</f>
        <v/>
      </c>
      <c r="AF1012" s="398">
        <f>C1033+C1034+C1035+C1036+C1037</f>
        <v>0</v>
      </c>
      <c r="AG1012" s="398"/>
    </row>
    <row r="1013">
      <c r="A1013" s="378"/>
      <c r="B1013" s="395"/>
      <c r="C1013" s="372"/>
      <c r="D1013" s="402"/>
      <c r="E1013" s="385" t="s">
        <v>703</v>
      </c>
      <c r="F1013" s="385"/>
      <c r="G1013" s="213"/>
      <c r="H1013" s="211"/>
      <c r="I1013" s="376"/>
      <c r="J1013" s="377"/>
      <c r="K1013" s="378"/>
      <c r="L1013" s="378"/>
      <c r="M1013" s="378"/>
      <c r="N1013" s="379"/>
      <c r="O1013" s="380"/>
      <c r="P1013" s="378"/>
      <c r="Q1013" s="378"/>
      <c r="R1013" s="378"/>
      <c r="S1013" s="378"/>
      <c r="T1013" s="378"/>
      <c r="U1013" s="378" t="str">
        <f>F1012</f>
        <v/>
      </c>
      <c r="V1013" s="399" t="str">
        <f>G1033</f>
        <v/>
      </c>
      <c r="W1013" s="399" t="str">
        <f>H1021</f>
        <v/>
      </c>
      <c r="X1013" s="378"/>
      <c r="Y1013" s="378"/>
      <c r="Z1013" s="378"/>
      <c r="AA1013" s="378"/>
      <c r="AB1013" s="378"/>
      <c r="AC1013" s="378"/>
      <c r="AD1013" s="378"/>
      <c r="AE1013" s="378"/>
      <c r="AF1013" s="378"/>
      <c r="AG1013" s="378"/>
    </row>
    <row r="1014">
      <c r="A1014" s="378"/>
      <c r="B1014" s="403" t="s">
        <v>704</v>
      </c>
      <c r="C1014" s="404" t="s">
        <v>5</v>
      </c>
      <c r="D1014" s="405" t="s">
        <v>6</v>
      </c>
      <c r="E1014" s="406" t="s">
        <v>7</v>
      </c>
      <c r="F1014" s="404" t="s">
        <v>8</v>
      </c>
      <c r="G1014" s="404" t="s">
        <v>706</v>
      </c>
      <c r="H1014" s="404" t="s">
        <v>707</v>
      </c>
      <c r="I1014" s="376"/>
      <c r="J1014" s="377"/>
      <c r="K1014" s="378"/>
      <c r="L1014" s="378"/>
      <c r="M1014" s="378"/>
      <c r="N1014" s="379"/>
      <c r="O1014" s="380"/>
      <c r="P1014" s="378"/>
      <c r="Q1014" s="378"/>
    </row>
    <row r="1015">
      <c r="A1015" s="378"/>
      <c r="B1015" s="555" t="str">
        <f>IFERROR(__xludf.DUMMYFUNCTION("FILTER(Board!C:G,Board!K:K=F1013)"),"#REF!")</f>
        <v>#REF!</v>
      </c>
      <c r="C1015" s="404"/>
      <c r="D1015" s="405"/>
      <c r="E1015" s="406"/>
      <c r="F1015" s="414"/>
      <c r="G1015" s="413"/>
      <c r="H1015" s="414"/>
      <c r="I1015" s="376"/>
      <c r="J1015" s="377"/>
      <c r="K1015" s="378"/>
      <c r="L1015" s="378"/>
      <c r="M1015" s="378"/>
      <c r="N1015" s="379"/>
      <c r="O1015" s="380"/>
      <c r="P1015" s="378"/>
      <c r="Q1015" s="378"/>
    </row>
    <row r="1016">
      <c r="A1016" s="378"/>
      <c r="B1016" s="555"/>
      <c r="C1016" s="404"/>
      <c r="D1016" s="405"/>
      <c r="E1016" s="406"/>
      <c r="F1016" s="414"/>
      <c r="G1016" s="413"/>
      <c r="H1016" s="414"/>
      <c r="I1016" s="376"/>
      <c r="J1016" s="377"/>
      <c r="K1016" s="378"/>
      <c r="L1016" s="378"/>
      <c r="M1016" s="378"/>
      <c r="N1016" s="379"/>
      <c r="O1016" s="380"/>
      <c r="P1016" s="378"/>
      <c r="Q1016" s="378"/>
    </row>
    <row r="1017">
      <c r="A1017" s="378"/>
      <c r="B1017" s="420"/>
      <c r="C1017" s="421"/>
      <c r="D1017" s="422"/>
      <c r="E1017" s="423"/>
      <c r="F1017" s="421"/>
      <c r="G1017" s="413"/>
      <c r="H1017" s="414"/>
      <c r="I1017" s="376"/>
      <c r="J1017" s="377"/>
      <c r="K1017" s="378"/>
      <c r="L1017" s="378"/>
      <c r="M1017" s="378"/>
      <c r="N1017" s="379"/>
      <c r="O1017" s="380"/>
      <c r="P1017" s="378"/>
      <c r="Q1017" s="378"/>
    </row>
    <row r="1018">
      <c r="A1018" s="378"/>
      <c r="B1018" s="420"/>
      <c r="C1018" s="421"/>
      <c r="D1018" s="422"/>
      <c r="E1018" s="423"/>
      <c r="F1018" s="421"/>
      <c r="G1018" s="413"/>
      <c r="H1018" s="414"/>
      <c r="I1018" s="376"/>
      <c r="J1018" s="377"/>
      <c r="K1018" s="378"/>
      <c r="L1018" s="378"/>
      <c r="M1018" s="378"/>
      <c r="N1018" s="379"/>
      <c r="O1018" s="380"/>
      <c r="P1018" s="378"/>
      <c r="Q1018" s="378"/>
    </row>
    <row r="1019">
      <c r="A1019" s="378"/>
      <c r="B1019" s="420"/>
      <c r="C1019" s="421"/>
      <c r="D1019" s="422"/>
      <c r="E1019" s="423"/>
      <c r="F1019" s="421"/>
      <c r="G1019" s="413"/>
      <c r="H1019" s="414"/>
      <c r="I1019" s="376"/>
      <c r="J1019" s="377"/>
      <c r="K1019" s="378"/>
      <c r="L1019" s="378"/>
      <c r="M1019" s="378"/>
      <c r="N1019" s="379"/>
      <c r="O1019" s="380"/>
      <c r="P1019" s="378"/>
      <c r="Q1019" s="378"/>
    </row>
    <row r="1020">
      <c r="A1020" s="378"/>
      <c r="B1020" s="420"/>
      <c r="C1020" s="421"/>
      <c r="D1020" s="422"/>
      <c r="E1020" s="423"/>
      <c r="F1020" s="421"/>
      <c r="G1020" s="413"/>
      <c r="H1020" s="414"/>
      <c r="I1020" s="376"/>
      <c r="J1020" s="377"/>
      <c r="K1020" s="378"/>
      <c r="L1020" s="378"/>
      <c r="M1020" s="378"/>
      <c r="N1020" s="379"/>
      <c r="O1020" s="380"/>
      <c r="P1020" s="378"/>
      <c r="Q1020" s="378"/>
    </row>
    <row r="1021">
      <c r="A1021" s="378"/>
      <c r="B1021" s="403" t="s">
        <v>711</v>
      </c>
      <c r="C1021" s="224"/>
      <c r="D1021" s="224"/>
      <c r="E1021" s="222"/>
      <c r="F1021" s="414"/>
      <c r="G1021" s="421"/>
      <c r="H1021" s="414"/>
      <c r="I1021" s="376"/>
      <c r="J1021" s="377"/>
      <c r="K1021" s="378"/>
      <c r="L1021" s="378"/>
      <c r="M1021" s="378"/>
      <c r="N1021" s="379"/>
      <c r="O1021" s="380"/>
      <c r="P1021" s="378"/>
      <c r="Q1021" s="378"/>
    </row>
    <row r="1022">
      <c r="A1022" s="378"/>
      <c r="B1022" s="428"/>
      <c r="C1022" s="419"/>
      <c r="D1022" s="419"/>
      <c r="E1022" s="419"/>
      <c r="F1022" s="419"/>
      <c r="G1022" s="419"/>
      <c r="H1022" s="429"/>
      <c r="I1022" s="376"/>
      <c r="J1022" s="377"/>
      <c r="K1022" s="378"/>
      <c r="L1022" s="378"/>
      <c r="M1022" s="378"/>
      <c r="N1022" s="379"/>
      <c r="O1022" s="380"/>
      <c r="P1022" s="378"/>
      <c r="Q1022" s="378"/>
    </row>
    <row r="1023">
      <c r="A1023" s="378"/>
      <c r="B1023" s="433" t="s">
        <v>712</v>
      </c>
      <c r="C1023" s="434"/>
      <c r="D1023" s="435"/>
      <c r="E1023" s="419"/>
      <c r="F1023" s="419"/>
      <c r="G1023" s="419"/>
      <c r="H1023" s="429"/>
      <c r="I1023" s="376"/>
      <c r="J1023" s="377"/>
      <c r="K1023" s="378"/>
      <c r="L1023" s="378"/>
      <c r="M1023" s="378"/>
      <c r="N1023" s="379"/>
      <c r="O1023" s="380"/>
      <c r="P1023" s="378"/>
      <c r="Q1023" s="378"/>
    </row>
    <row r="1024">
      <c r="A1024" s="378"/>
      <c r="B1024" s="438" t="s">
        <v>713</v>
      </c>
      <c r="C1024" s="439"/>
      <c r="D1024" s="440"/>
      <c r="E1024" s="419"/>
      <c r="F1024" s="419"/>
      <c r="G1024" s="419"/>
      <c r="H1024" s="429"/>
      <c r="I1024" s="376"/>
      <c r="J1024" s="377"/>
      <c r="K1024" s="378"/>
      <c r="L1024" s="378"/>
      <c r="M1024" s="378"/>
      <c r="N1024" s="379"/>
      <c r="O1024" s="380"/>
      <c r="P1024" s="378"/>
      <c r="Q1024" s="378"/>
    </row>
    <row r="1025">
      <c r="A1025" s="378"/>
      <c r="B1025" s="444"/>
      <c r="C1025" s="434"/>
      <c r="D1025" s="435"/>
      <c r="E1025" s="419"/>
      <c r="F1025" s="463"/>
      <c r="G1025" s="463"/>
      <c r="H1025" s="448"/>
      <c r="I1025" s="376"/>
      <c r="J1025" s="377"/>
      <c r="K1025" s="378"/>
      <c r="L1025" s="378"/>
      <c r="M1025" s="378"/>
      <c r="N1025" s="379"/>
      <c r="O1025" s="380"/>
      <c r="P1025" s="378"/>
      <c r="Q1025" s="378"/>
    </row>
    <row r="1026">
      <c r="A1026" s="378"/>
      <c r="B1026" s="438" t="s">
        <v>714</v>
      </c>
      <c r="C1026" s="439"/>
      <c r="D1026" s="440"/>
      <c r="E1026" s="419"/>
      <c r="F1026" s="463"/>
      <c r="G1026" s="463"/>
      <c r="H1026" s="448"/>
      <c r="I1026" s="376"/>
      <c r="J1026" s="377"/>
      <c r="K1026" s="378"/>
      <c r="L1026" s="378"/>
      <c r="M1026" s="378"/>
      <c r="N1026" s="379"/>
      <c r="O1026" s="380"/>
      <c r="P1026" s="378"/>
      <c r="Q1026" s="378"/>
    </row>
    <row r="1027">
      <c r="A1027" s="378"/>
      <c r="B1027" s="450"/>
      <c r="C1027" s="451"/>
      <c r="D1027" s="419"/>
      <c r="E1027" s="419"/>
      <c r="F1027" s="463"/>
      <c r="G1027" s="463"/>
      <c r="H1027" s="448"/>
      <c r="I1027" s="376"/>
      <c r="J1027" s="377"/>
      <c r="K1027" s="378"/>
      <c r="L1027" s="378"/>
      <c r="M1027" s="378"/>
      <c r="N1027" s="379"/>
      <c r="O1027" s="380"/>
      <c r="P1027" s="378"/>
      <c r="Q1027" s="378"/>
    </row>
    <row r="1028">
      <c r="A1028" s="378"/>
      <c r="B1028" s="454" t="s">
        <v>715</v>
      </c>
      <c r="C1028" s="455"/>
      <c r="D1028" s="435"/>
      <c r="E1028" s="419"/>
      <c r="F1028" s="463"/>
      <c r="G1028" s="463"/>
      <c r="H1028" s="448"/>
      <c r="I1028" s="376"/>
      <c r="J1028" s="377"/>
      <c r="K1028" s="378"/>
      <c r="L1028" s="378"/>
      <c r="M1028" s="378"/>
      <c r="N1028" s="379"/>
      <c r="O1028" s="380"/>
      <c r="P1028" s="378"/>
      <c r="Q1028" s="378"/>
    </row>
    <row r="1029">
      <c r="A1029" s="378"/>
      <c r="B1029" s="459" t="s">
        <v>716</v>
      </c>
      <c r="C1029" s="460"/>
      <c r="D1029" s="440"/>
      <c r="E1029" s="419"/>
      <c r="F1029" s="463"/>
      <c r="G1029" s="463"/>
      <c r="H1029" s="448"/>
      <c r="I1029" s="376"/>
      <c r="J1029" s="377"/>
      <c r="K1029" s="378"/>
      <c r="L1029" s="378"/>
      <c r="M1029" s="378"/>
      <c r="N1029" s="379"/>
      <c r="O1029" s="380"/>
      <c r="P1029" s="378"/>
      <c r="Q1029" s="378"/>
    </row>
    <row r="1030">
      <c r="A1030" s="378"/>
      <c r="B1030" s="459" t="s">
        <v>717</v>
      </c>
      <c r="C1030" s="460"/>
      <c r="D1030" s="440"/>
      <c r="E1030" s="419"/>
      <c r="F1030" s="463"/>
      <c r="G1030" s="463"/>
      <c r="H1030" s="448"/>
      <c r="I1030" s="376"/>
      <c r="J1030" s="377"/>
      <c r="K1030" s="378"/>
      <c r="L1030" s="378"/>
      <c r="M1030" s="378"/>
      <c r="N1030" s="379"/>
      <c r="O1030" s="380"/>
      <c r="P1030" s="378"/>
      <c r="Q1030" s="378"/>
    </row>
    <row r="1031">
      <c r="A1031" s="378"/>
      <c r="B1031" s="459" t="s">
        <v>718</v>
      </c>
      <c r="C1031" s="460"/>
      <c r="D1031" s="440"/>
      <c r="E1031" s="419"/>
      <c r="F1031" s="463"/>
      <c r="G1031" s="463"/>
      <c r="H1031" s="448"/>
      <c r="I1031" s="376"/>
      <c r="J1031" s="377"/>
      <c r="K1031" s="378"/>
      <c r="L1031" s="378"/>
      <c r="M1031" s="378"/>
      <c r="N1031" s="379"/>
      <c r="O1031" s="380"/>
      <c r="P1031" s="378"/>
      <c r="Q1031" s="378"/>
    </row>
    <row r="1032">
      <c r="A1032" s="378"/>
      <c r="B1032" s="459" t="s">
        <v>656</v>
      </c>
      <c r="C1032" s="460"/>
      <c r="D1032" s="440"/>
      <c r="E1032" s="419"/>
      <c r="F1032" s="463"/>
      <c r="G1032" s="463"/>
      <c r="H1032" s="448"/>
      <c r="I1032" s="376"/>
      <c r="J1032" s="377"/>
      <c r="K1032" s="378"/>
      <c r="L1032" s="378"/>
      <c r="M1032" s="378"/>
      <c r="N1032" s="379"/>
      <c r="O1032" s="380"/>
      <c r="P1032" s="378"/>
      <c r="Q1032" s="378"/>
    </row>
    <row r="1033">
      <c r="A1033" s="378"/>
      <c r="B1033" s="464"/>
      <c r="C1033" s="455"/>
      <c r="D1033" s="435"/>
      <c r="E1033" s="419"/>
      <c r="F1033" s="468" t="s">
        <v>842</v>
      </c>
      <c r="G1033" s="564"/>
      <c r="H1033" s="211"/>
      <c r="I1033" s="376"/>
      <c r="J1033" s="377"/>
      <c r="K1033" s="378"/>
      <c r="L1033" s="378"/>
      <c r="M1033" s="378"/>
      <c r="N1033" s="379"/>
      <c r="O1033" s="380"/>
      <c r="P1033" s="378"/>
      <c r="Q1033" s="378"/>
    </row>
    <row r="1034">
      <c r="A1034" s="378"/>
      <c r="B1034" s="464"/>
      <c r="C1034" s="455"/>
      <c r="D1034" s="435"/>
      <c r="E1034" s="419"/>
      <c r="F1034" s="469" t="s">
        <v>843</v>
      </c>
      <c r="G1034" s="278"/>
      <c r="H1034" s="56"/>
      <c r="I1034" s="376"/>
      <c r="J1034" s="377"/>
      <c r="K1034" s="378"/>
      <c r="L1034" s="378"/>
      <c r="M1034" s="378"/>
      <c r="N1034" s="379"/>
      <c r="O1034" s="380"/>
      <c r="P1034" s="378"/>
      <c r="Q1034" s="378"/>
    </row>
    <row r="1035">
      <c r="A1035" s="378"/>
      <c r="B1035" s="464"/>
      <c r="C1035" s="455"/>
      <c r="D1035" s="435"/>
      <c r="E1035" s="419"/>
      <c r="F1035" s="470"/>
      <c r="G1035" s="215"/>
      <c r="H1035" s="64"/>
      <c r="I1035" s="376"/>
      <c r="J1035" s="377"/>
      <c r="K1035" s="378"/>
      <c r="L1035" s="378"/>
      <c r="M1035" s="378"/>
      <c r="N1035" s="379"/>
      <c r="O1035" s="380"/>
      <c r="P1035" s="378"/>
      <c r="Q1035" s="378"/>
    </row>
    <row r="1036">
      <c r="A1036" s="378"/>
      <c r="B1036" s="464"/>
      <c r="C1036" s="455"/>
      <c r="D1036" s="435"/>
      <c r="E1036" s="419"/>
      <c r="F1036" s="419"/>
      <c r="G1036" s="419"/>
      <c r="H1036" s="429"/>
      <c r="I1036" s="376"/>
      <c r="J1036" s="377"/>
      <c r="K1036" s="378"/>
      <c r="L1036" s="378"/>
      <c r="M1036" s="378"/>
      <c r="N1036" s="379"/>
      <c r="O1036" s="380"/>
      <c r="P1036" s="378"/>
      <c r="Q1036" s="378"/>
    </row>
    <row r="1037">
      <c r="A1037" s="378"/>
      <c r="B1037" s="464"/>
      <c r="C1037" s="455"/>
      <c r="D1037" s="435"/>
      <c r="E1037" s="419"/>
      <c r="F1037" s="419"/>
      <c r="G1037" s="419"/>
      <c r="H1037" s="429"/>
      <c r="I1037" s="376"/>
      <c r="J1037" s="377"/>
      <c r="K1037" s="378"/>
      <c r="L1037" s="378"/>
      <c r="M1037" s="378"/>
      <c r="N1037" s="379"/>
      <c r="O1037" s="380"/>
      <c r="P1037" s="378"/>
      <c r="Q1037" s="378"/>
      <c r="R1037" s="378"/>
      <c r="S1037" s="378"/>
      <c r="T1037" s="378"/>
      <c r="U1037" s="378"/>
      <c r="V1037" s="378"/>
      <c r="W1037" s="378"/>
      <c r="X1037" s="378"/>
      <c r="Y1037" s="378"/>
      <c r="Z1037" s="378"/>
      <c r="AA1037" s="378"/>
      <c r="AB1037" s="378"/>
      <c r="AC1037" s="378"/>
      <c r="AD1037" s="378"/>
      <c r="AE1037" s="378"/>
      <c r="AF1037" s="378"/>
      <c r="AG1037" s="378"/>
    </row>
    <row r="1038">
      <c r="A1038" s="378"/>
      <c r="B1038" s="454" t="s">
        <v>721</v>
      </c>
      <c r="C1038" s="460"/>
      <c r="D1038" s="440"/>
      <c r="E1038" s="419"/>
      <c r="F1038" s="419"/>
      <c r="G1038" s="419"/>
      <c r="H1038" s="429"/>
      <c r="I1038" s="376"/>
      <c r="J1038" s="377"/>
      <c r="K1038" s="378"/>
      <c r="L1038" s="378"/>
      <c r="M1038" s="378"/>
      <c r="N1038" s="379"/>
      <c r="O1038" s="380"/>
      <c r="P1038" s="378"/>
      <c r="Q1038" s="378"/>
    </row>
    <row r="1039">
      <c r="A1039" s="378"/>
      <c r="B1039" s="471"/>
      <c r="C1039" s="472"/>
      <c r="D1039" s="472"/>
      <c r="E1039" s="472"/>
      <c r="F1039" s="472"/>
      <c r="G1039" s="472"/>
      <c r="H1039" s="473"/>
      <c r="I1039" s="376"/>
      <c r="J1039" s="377"/>
      <c r="K1039" s="378"/>
      <c r="L1039" s="378"/>
      <c r="M1039" s="378"/>
      <c r="N1039" s="379"/>
      <c r="O1039" s="380"/>
      <c r="P1039" s="378"/>
      <c r="Q1039" s="378"/>
    </row>
    <row r="1040">
      <c r="A1040" s="378"/>
      <c r="B1040" s="477"/>
      <c r="C1040" s="378"/>
      <c r="D1040" s="378"/>
      <c r="E1040" s="378"/>
      <c r="F1040" s="378"/>
      <c r="G1040" s="378"/>
      <c r="H1040" s="378"/>
      <c r="I1040" s="376"/>
      <c r="J1040" s="377"/>
      <c r="K1040" s="378"/>
      <c r="L1040" s="378"/>
      <c r="M1040" s="378"/>
      <c r="N1040" s="379"/>
      <c r="O1040" s="380"/>
      <c r="P1040" s="378"/>
      <c r="Q1040" s="378"/>
    </row>
    <row r="1041">
      <c r="A1041" s="378"/>
      <c r="B1041" s="477"/>
      <c r="C1041" s="378"/>
      <c r="D1041" s="378"/>
      <c r="E1041" s="378"/>
      <c r="F1041" s="378"/>
      <c r="G1041" s="378"/>
      <c r="H1041" s="378"/>
      <c r="I1041" s="376"/>
      <c r="J1041" s="376"/>
      <c r="K1041" s="376"/>
      <c r="L1041" s="376"/>
      <c r="M1041" s="376"/>
      <c r="N1041" s="376"/>
      <c r="O1041" s="376"/>
      <c r="P1041" s="376"/>
      <c r="Q1041" s="376"/>
      <c r="R1041" s="647" t="s">
        <v>831</v>
      </c>
      <c r="S1041" s="647" t="s">
        <v>652</v>
      </c>
      <c r="T1041" s="648" t="s">
        <v>832</v>
      </c>
      <c r="U1041" s="649" t="s">
        <v>833</v>
      </c>
      <c r="V1041" s="647" t="s">
        <v>655</v>
      </c>
      <c r="W1041" s="647" t="s">
        <v>8</v>
      </c>
      <c r="X1041" s="647" t="s">
        <v>656</v>
      </c>
      <c r="Y1041" s="648" t="s">
        <v>834</v>
      </c>
      <c r="Z1041" s="650" t="s">
        <v>835</v>
      </c>
      <c r="AA1041" s="648" t="s">
        <v>836</v>
      </c>
      <c r="AB1041" s="648" t="s">
        <v>837</v>
      </c>
      <c r="AC1041" s="651" t="s">
        <v>716</v>
      </c>
      <c r="AD1041" s="651" t="s">
        <v>717</v>
      </c>
      <c r="AE1041" s="651" t="s">
        <v>718</v>
      </c>
      <c r="AF1041" s="394" t="s">
        <v>838</v>
      </c>
      <c r="AG1041" s="394"/>
    </row>
    <row r="1042">
      <c r="A1042" s="378"/>
      <c r="B1042" s="477"/>
      <c r="C1042" s="378"/>
      <c r="D1042" s="378"/>
      <c r="E1042" s="378"/>
      <c r="F1042" s="378"/>
      <c r="G1042" s="378"/>
      <c r="H1042" s="378"/>
      <c r="I1042" s="376"/>
      <c r="J1042" s="376"/>
      <c r="K1042" s="376"/>
      <c r="L1042" s="376"/>
      <c r="M1042" s="376"/>
      <c r="N1042" s="376"/>
      <c r="O1042" s="376"/>
      <c r="P1042" s="376"/>
      <c r="Q1042" s="376"/>
      <c r="R1042" s="652">
        <f t="shared" ref="R1042:AF1042" si="52">R82</f>
        <v>1</v>
      </c>
      <c r="S1042" s="653">
        <f t="shared" si="52"/>
        <v>427</v>
      </c>
      <c r="T1042" s="654">
        <f t="shared" si="52"/>
        <v>1535.1</v>
      </c>
      <c r="U1042" s="653" t="str">
        <f t="shared" si="52"/>
        <v>VICTOR DEMCHENKO</v>
      </c>
      <c r="V1042" s="654">
        <f t="shared" si="52"/>
        <v>1155.7</v>
      </c>
      <c r="W1042" s="654">
        <f t="shared" si="52"/>
        <v>1155.7</v>
      </c>
      <c r="X1042" s="654">
        <f t="shared" si="52"/>
        <v>470.15</v>
      </c>
      <c r="Y1042" s="655">
        <f t="shared" si="52"/>
        <v>1778</v>
      </c>
      <c r="Z1042" s="654">
        <f t="shared" si="52"/>
        <v>379.4</v>
      </c>
      <c r="AA1042" s="653" t="str">
        <f t="shared" si="52"/>
        <v/>
      </c>
      <c r="AB1042" s="653" t="str">
        <f t="shared" si="52"/>
        <v/>
      </c>
      <c r="AC1042" s="654" t="str">
        <f t="shared" si="52"/>
        <v/>
      </c>
      <c r="AD1042" s="654" t="str">
        <f t="shared" si="52"/>
        <v/>
      </c>
      <c r="AE1042" s="654" t="str">
        <f t="shared" si="52"/>
        <v/>
      </c>
      <c r="AF1042" s="654">
        <f t="shared" si="52"/>
        <v>1394.75</v>
      </c>
      <c r="AG1042" s="656"/>
    </row>
    <row r="1043">
      <c r="A1043" s="378"/>
      <c r="B1043" s="657" t="s">
        <v>1467</v>
      </c>
      <c r="E1043" s="378"/>
      <c r="F1043" s="378"/>
      <c r="G1043" s="378"/>
      <c r="H1043" s="378"/>
      <c r="I1043" s="376"/>
      <c r="J1043" s="376"/>
      <c r="K1043" s="376"/>
      <c r="L1043" s="376"/>
      <c r="M1043" s="376"/>
      <c r="N1043" s="376"/>
      <c r="O1043" s="376"/>
      <c r="P1043" s="376"/>
      <c r="Q1043" s="376"/>
      <c r="R1043" s="658"/>
      <c r="S1043" s="659"/>
      <c r="T1043" s="659"/>
      <c r="U1043" s="659" t="str">
        <f t="shared" ref="U1043:W1043" si="53">U83</f>
        <v>Ada Fleet LLC</v>
      </c>
      <c r="V1043" s="660">
        <f t="shared" si="53"/>
        <v>1535.1</v>
      </c>
      <c r="W1043" s="660">
        <f t="shared" si="53"/>
        <v>3400</v>
      </c>
      <c r="X1043" s="659"/>
      <c r="Y1043" s="659"/>
      <c r="Z1043" s="659"/>
      <c r="AA1043" s="659"/>
      <c r="AB1043" s="659"/>
      <c r="AC1043" s="659"/>
      <c r="AD1043" s="659"/>
      <c r="AE1043" s="659"/>
      <c r="AF1043" s="659"/>
      <c r="AG1043" s="661"/>
    </row>
    <row r="1044">
      <c r="A1044" s="378"/>
      <c r="B1044" s="995" t="s">
        <v>915</v>
      </c>
      <c r="C1044" s="995" t="s">
        <v>916</v>
      </c>
      <c r="D1044" s="995" t="s">
        <v>1468</v>
      </c>
      <c r="G1044" s="378"/>
      <c r="H1044" s="378"/>
      <c r="I1044" s="376"/>
      <c r="J1044" s="376"/>
      <c r="K1044" s="376"/>
      <c r="L1044" s="376"/>
      <c r="M1044" s="376"/>
      <c r="N1044" s="376"/>
      <c r="O1044" s="376"/>
      <c r="P1044" s="376"/>
      <c r="Q1044" s="376"/>
      <c r="R1044" s="652">
        <f t="shared" ref="R1044:T1044" si="54">R113</f>
        <v>2</v>
      </c>
      <c r="S1044" s="653">
        <f t="shared" si="54"/>
        <v>6643</v>
      </c>
      <c r="T1044" s="654" t="str">
        <f t="shared" si="54"/>
        <v>#N/A</v>
      </c>
      <c r="U1044" s="653"/>
      <c r="V1044" s="665" t="str">
        <f t="shared" ref="V1044:X1044" si="55">V113</f>
        <v/>
      </c>
      <c r="W1044" s="654" t="str">
        <f t="shared" si="55"/>
        <v/>
      </c>
      <c r="X1044" s="654" t="str">
        <f t="shared" si="55"/>
        <v>#N/A</v>
      </c>
      <c r="Y1044" s="653"/>
      <c r="Z1044" s="653" t="str">
        <f t="shared" ref="Z1044:AF1044" si="56">Z113</f>
        <v>#N/A</v>
      </c>
      <c r="AA1044" s="653" t="str">
        <f t="shared" si="56"/>
        <v/>
      </c>
      <c r="AB1044" s="653" t="str">
        <f t="shared" si="56"/>
        <v/>
      </c>
      <c r="AC1044" s="654">
        <f t="shared" si="56"/>
        <v>150</v>
      </c>
      <c r="AD1044" s="654">
        <f t="shared" si="56"/>
        <v>400</v>
      </c>
      <c r="AE1044" s="654" t="str">
        <f t="shared" si="56"/>
        <v/>
      </c>
      <c r="AF1044" s="653">
        <f t="shared" si="56"/>
        <v>0</v>
      </c>
      <c r="AG1044" s="656"/>
    </row>
    <row r="1045">
      <c r="A1045" s="378"/>
      <c r="B1045" s="996" t="s">
        <v>917</v>
      </c>
      <c r="C1045" s="996">
        <v>427.0</v>
      </c>
      <c r="D1045" s="997">
        <v>470.15</v>
      </c>
      <c r="G1045" s="378"/>
      <c r="H1045" s="378"/>
      <c r="I1045" s="376"/>
      <c r="J1045" s="386" t="s">
        <v>919</v>
      </c>
      <c r="K1045" s="376"/>
      <c r="L1045" s="376"/>
      <c r="M1045" s="376"/>
      <c r="N1045" s="376"/>
      <c r="O1045" s="376"/>
      <c r="P1045" s="376"/>
      <c r="Q1045" s="376"/>
      <c r="R1045" s="658"/>
      <c r="S1045" s="659"/>
      <c r="T1045" s="659"/>
      <c r="U1045" s="659" t="str">
        <f t="shared" ref="U1045:AF1045" si="57">U114</f>
        <v>FERHAT BAL</v>
      </c>
      <c r="V1045" s="660" t="str">
        <f t="shared" si="57"/>
        <v>#N/A</v>
      </c>
      <c r="W1045" s="660">
        <f t="shared" si="57"/>
        <v>4796</v>
      </c>
      <c r="X1045" s="659" t="str">
        <f t="shared" si="57"/>
        <v/>
      </c>
      <c r="Y1045" s="659" t="str">
        <f t="shared" si="57"/>
        <v/>
      </c>
      <c r="Z1045" s="659" t="str">
        <f t="shared" si="57"/>
        <v/>
      </c>
      <c r="AA1045" s="659" t="str">
        <f t="shared" si="57"/>
        <v/>
      </c>
      <c r="AB1045" s="659" t="str">
        <f t="shared" si="57"/>
        <v/>
      </c>
      <c r="AC1045" s="659" t="str">
        <f t="shared" si="57"/>
        <v/>
      </c>
      <c r="AD1045" s="659" t="str">
        <f t="shared" si="57"/>
        <v/>
      </c>
      <c r="AE1045" s="659" t="str">
        <f t="shared" si="57"/>
        <v/>
      </c>
      <c r="AF1045" s="659" t="str">
        <f t="shared" si="57"/>
        <v/>
      </c>
      <c r="AG1045" s="661"/>
    </row>
    <row r="1046">
      <c r="A1046" s="378"/>
      <c r="B1046" s="996" t="s">
        <v>917</v>
      </c>
      <c r="C1046" s="996">
        <v>427.0</v>
      </c>
      <c r="D1046" s="997">
        <v>781.64</v>
      </c>
      <c r="F1046" s="670">
        <v>689.0</v>
      </c>
      <c r="G1046" s="378"/>
      <c r="H1046" s="378"/>
      <c r="I1046" s="376"/>
      <c r="J1046" s="386" t="s">
        <v>921</v>
      </c>
      <c r="K1046" s="376"/>
      <c r="L1046" s="376"/>
      <c r="M1046" s="376"/>
      <c r="N1046" s="376"/>
      <c r="O1046" s="376"/>
      <c r="P1046" s="376"/>
      <c r="Q1046" s="376"/>
      <c r="R1046" s="671">
        <v>3.0</v>
      </c>
      <c r="S1046" s="653">
        <f t="shared" ref="S1046:S1047" si="59">S144</f>
        <v>515</v>
      </c>
      <c r="T1046" s="654"/>
      <c r="U1046" s="653" t="str">
        <f t="shared" ref="U1046:AF1046" si="58">U144</f>
        <v>LOUIS JUSTE EMMANUEL</v>
      </c>
      <c r="V1046" s="665">
        <f t="shared" si="58"/>
        <v>269.8</v>
      </c>
      <c r="W1046" s="654">
        <f t="shared" si="58"/>
        <v>685.2</v>
      </c>
      <c r="X1046" s="654" t="str">
        <f t="shared" si="58"/>
        <v>#N/A</v>
      </c>
      <c r="Y1046" s="655">
        <f t="shared" si="58"/>
        <v>1142</v>
      </c>
      <c r="Z1046" s="653" t="str">
        <f t="shared" si="58"/>
        <v>#N/A</v>
      </c>
      <c r="AA1046" s="653" t="str">
        <f t="shared" si="58"/>
        <v/>
      </c>
      <c r="AB1046" s="653" t="str">
        <f t="shared" si="58"/>
        <v/>
      </c>
      <c r="AC1046" s="654">
        <f t="shared" si="58"/>
        <v>100</v>
      </c>
      <c r="AD1046" s="654">
        <f t="shared" si="58"/>
        <v>400</v>
      </c>
      <c r="AE1046" s="654">
        <f t="shared" si="58"/>
        <v>0</v>
      </c>
      <c r="AF1046" s="665">
        <f t="shared" si="58"/>
        <v>3807.711667</v>
      </c>
      <c r="AG1046" s="656"/>
    </row>
    <row r="1047">
      <c r="A1047" s="378"/>
      <c r="B1047" s="996" t="s">
        <v>917</v>
      </c>
      <c r="C1047" s="996">
        <v>427.0</v>
      </c>
      <c r="D1047" s="997">
        <v>613.11</v>
      </c>
      <c r="E1047" s="672"/>
      <c r="F1047" s="669" t="s">
        <v>923</v>
      </c>
      <c r="G1047" s="378"/>
      <c r="H1047" s="378"/>
      <c r="I1047" s="376"/>
      <c r="J1047" s="376"/>
      <c r="K1047" s="376"/>
      <c r="L1047" s="376"/>
      <c r="M1047" s="376"/>
      <c r="N1047" s="376"/>
      <c r="O1047" s="376"/>
      <c r="P1047" s="376"/>
      <c r="Q1047" s="376"/>
      <c r="R1047" s="658"/>
      <c r="S1047" s="659" t="str">
        <f t="shared" si="59"/>
        <v/>
      </c>
      <c r="T1047" s="659" t="str">
        <f t="shared" ref="T1047:U1047" si="60">T145</f>
        <v/>
      </c>
      <c r="U1047" s="659" t="str">
        <f t="shared" si="60"/>
        <v>Velox Limo LLC</v>
      </c>
      <c r="V1047" s="659"/>
      <c r="W1047" s="660">
        <f t="shared" ref="W1047:AA1047" si="61">W145</f>
        <v>0</v>
      </c>
      <c r="X1047" s="659" t="str">
        <f t="shared" si="61"/>
        <v/>
      </c>
      <c r="Y1047" s="659" t="str">
        <f t="shared" si="61"/>
        <v/>
      </c>
      <c r="Z1047" s="659" t="str">
        <f t="shared" si="61"/>
        <v/>
      </c>
      <c r="AA1047" s="659" t="str">
        <f t="shared" si="61"/>
        <v/>
      </c>
      <c r="AB1047" s="673">
        <v>-328.24</v>
      </c>
      <c r="AC1047" s="659" t="str">
        <f t="shared" ref="AC1047:AF1047" si="62">AC145</f>
        <v/>
      </c>
      <c r="AD1047" s="659" t="str">
        <f t="shared" si="62"/>
        <v/>
      </c>
      <c r="AE1047" s="659" t="str">
        <f t="shared" si="62"/>
        <v/>
      </c>
      <c r="AF1047" s="659" t="str">
        <f t="shared" si="62"/>
        <v/>
      </c>
      <c r="AG1047" s="661"/>
    </row>
    <row r="1048">
      <c r="A1048" s="378"/>
      <c r="B1048" s="996" t="s">
        <v>1469</v>
      </c>
      <c r="C1048" s="996">
        <v>659.0</v>
      </c>
      <c r="D1048" s="997">
        <v>481.74</v>
      </c>
      <c r="G1048" s="378"/>
      <c r="H1048" s="378"/>
      <c r="I1048" s="376"/>
      <c r="J1048" s="376"/>
      <c r="K1048" s="376"/>
      <c r="L1048" s="376"/>
      <c r="M1048" s="376"/>
      <c r="N1048" s="376"/>
      <c r="O1048" s="376"/>
      <c r="P1048" s="376"/>
      <c r="Q1048" s="376"/>
      <c r="R1048" s="671">
        <v>4.0</v>
      </c>
      <c r="S1048" s="653">
        <f t="shared" ref="S1048:AF1048" si="63">S176</f>
        <v>659</v>
      </c>
      <c r="T1048" s="654">
        <f t="shared" si="63"/>
        <v>4075.234</v>
      </c>
      <c r="U1048" s="653" t="str">
        <f t="shared" si="63"/>
        <v>GLADIMY JULME</v>
      </c>
      <c r="V1048" s="665">
        <f t="shared" si="63"/>
        <v>3125.85</v>
      </c>
      <c r="W1048" s="654">
        <f t="shared" si="63"/>
        <v>3125.85</v>
      </c>
      <c r="X1048" s="654">
        <f t="shared" si="63"/>
        <v>481.74</v>
      </c>
      <c r="Y1048" s="655">
        <f t="shared" si="63"/>
        <v>4809</v>
      </c>
      <c r="Z1048" s="654">
        <f t="shared" si="63"/>
        <v>949.384</v>
      </c>
      <c r="AA1048" s="653" t="str">
        <f t="shared" si="63"/>
        <v/>
      </c>
      <c r="AB1048" s="653" t="str">
        <f t="shared" si="63"/>
        <v/>
      </c>
      <c r="AC1048" s="654">
        <f t="shared" si="63"/>
        <v>150</v>
      </c>
      <c r="AD1048" s="654">
        <f t="shared" si="63"/>
        <v>400</v>
      </c>
      <c r="AE1048" s="654">
        <f t="shared" si="63"/>
        <v>200</v>
      </c>
      <c r="AF1048" s="654">
        <f t="shared" si="63"/>
        <v>1652.77</v>
      </c>
      <c r="AG1048" s="656"/>
    </row>
    <row r="1049">
      <c r="A1049" s="378"/>
      <c r="B1049" s="996" t="s">
        <v>920</v>
      </c>
      <c r="C1049" s="996">
        <v>659.0</v>
      </c>
      <c r="D1049" s="997">
        <v>365.92</v>
      </c>
      <c r="E1049" s="672"/>
      <c r="F1049" s="669" t="s">
        <v>927</v>
      </c>
      <c r="G1049" s="378"/>
      <c r="H1049" s="378"/>
      <c r="I1049" s="376"/>
      <c r="J1049" s="376"/>
      <c r="K1049" s="376"/>
      <c r="L1049" s="376"/>
      <c r="M1049" s="376"/>
      <c r="N1049" s="376"/>
      <c r="O1049" s="376"/>
      <c r="P1049" s="376"/>
      <c r="Q1049" s="376"/>
      <c r="R1049" s="658"/>
      <c r="S1049" s="659"/>
      <c r="T1049" s="659"/>
      <c r="U1049" s="659" t="str">
        <f t="shared" ref="U1049:AF1049" si="64">U177</f>
        <v>EDT Logistics LLC</v>
      </c>
      <c r="V1049" s="660">
        <f t="shared" si="64"/>
        <v>4075.234</v>
      </c>
      <c r="W1049" s="660">
        <f t="shared" si="64"/>
        <v>6959.744</v>
      </c>
      <c r="X1049" s="659" t="str">
        <f t="shared" si="64"/>
        <v/>
      </c>
      <c r="Y1049" s="659" t="str">
        <f t="shared" si="64"/>
        <v/>
      </c>
      <c r="Z1049" s="659" t="str">
        <f t="shared" si="64"/>
        <v/>
      </c>
      <c r="AA1049" s="659" t="str">
        <f t="shared" si="64"/>
        <v/>
      </c>
      <c r="AB1049" s="659" t="str">
        <f t="shared" si="64"/>
        <v/>
      </c>
      <c r="AC1049" s="659" t="str">
        <f t="shared" si="64"/>
        <v/>
      </c>
      <c r="AD1049" s="659" t="str">
        <f t="shared" si="64"/>
        <v/>
      </c>
      <c r="AE1049" s="659" t="str">
        <f t="shared" si="64"/>
        <v/>
      </c>
      <c r="AF1049" s="659" t="str">
        <f t="shared" si="64"/>
        <v/>
      </c>
      <c r="AG1049" s="661"/>
    </row>
    <row r="1050">
      <c r="A1050" s="378"/>
      <c r="B1050" s="996" t="s">
        <v>920</v>
      </c>
      <c r="C1050" s="996">
        <v>659.0</v>
      </c>
      <c r="D1050" s="997">
        <v>778.2</v>
      </c>
      <c r="G1050" s="378"/>
      <c r="H1050" s="378"/>
      <c r="I1050" s="376"/>
      <c r="J1050" s="376"/>
      <c r="K1050" s="376"/>
      <c r="L1050" s="376"/>
      <c r="M1050" s="376"/>
      <c r="N1050" s="376"/>
      <c r="O1050" s="376"/>
      <c r="P1050" s="376"/>
      <c r="Q1050" s="376"/>
      <c r="R1050" s="671">
        <v>5.0</v>
      </c>
      <c r="S1050" s="653">
        <f t="shared" ref="S1050:AF1050" si="65">S207</f>
        <v>997</v>
      </c>
      <c r="T1050" s="654" t="str">
        <f t="shared" si="65"/>
        <v>#REF!</v>
      </c>
      <c r="U1050" s="653" t="str">
        <f t="shared" si="65"/>
        <v>Marco Cayo Cayo</v>
      </c>
      <c r="V1050" s="665">
        <f t="shared" si="65"/>
        <v>2519.4</v>
      </c>
      <c r="W1050" s="654">
        <f t="shared" si="65"/>
        <v>2519.4</v>
      </c>
      <c r="X1050" s="654" t="str">
        <f t="shared" si="65"/>
        <v>#REF!</v>
      </c>
      <c r="Y1050" s="655">
        <f t="shared" si="65"/>
        <v>3876</v>
      </c>
      <c r="Z1050" s="653" t="str">
        <f t="shared" si="65"/>
        <v>#REF!</v>
      </c>
      <c r="AA1050" s="653" t="str">
        <f t="shared" si="65"/>
        <v/>
      </c>
      <c r="AB1050" s="653" t="str">
        <f t="shared" si="65"/>
        <v/>
      </c>
      <c r="AC1050" s="654">
        <f t="shared" si="65"/>
        <v>150</v>
      </c>
      <c r="AD1050" s="654">
        <f t="shared" si="65"/>
        <v>400</v>
      </c>
      <c r="AE1050" s="654">
        <f t="shared" si="65"/>
        <v>200</v>
      </c>
      <c r="AF1050" s="665">
        <f t="shared" si="65"/>
        <v>215</v>
      </c>
      <c r="AG1050" s="656"/>
    </row>
    <row r="1051">
      <c r="A1051" s="378"/>
      <c r="B1051" s="996" t="s">
        <v>920</v>
      </c>
      <c r="C1051" s="996">
        <v>659.0</v>
      </c>
      <c r="D1051" s="997">
        <v>508.65</v>
      </c>
      <c r="G1051" s="378"/>
      <c r="H1051" s="378"/>
      <c r="I1051" s="376"/>
      <c r="J1051" s="376"/>
      <c r="K1051" s="376"/>
      <c r="L1051" s="376"/>
      <c r="M1051" s="376"/>
      <c r="N1051" s="376"/>
      <c r="O1051" s="376"/>
      <c r="P1051" s="376"/>
      <c r="Q1051" s="376"/>
      <c r="R1051" s="658"/>
      <c r="S1051" s="659"/>
      <c r="T1051" s="659"/>
      <c r="U1051" s="659" t="str">
        <f t="shared" ref="U1051:AF1051" si="66">U208</f>
        <v>Careway Logistics LLC</v>
      </c>
      <c r="V1051" s="660" t="str">
        <f t="shared" si="66"/>
        <v>#REF!</v>
      </c>
      <c r="W1051" s="660">
        <f t="shared" si="66"/>
        <v>6336</v>
      </c>
      <c r="X1051" s="659" t="str">
        <f t="shared" si="66"/>
        <v/>
      </c>
      <c r="Y1051" s="659" t="str">
        <f t="shared" si="66"/>
        <v/>
      </c>
      <c r="Z1051" s="659" t="str">
        <f t="shared" si="66"/>
        <v/>
      </c>
      <c r="AA1051" s="659" t="str">
        <f t="shared" si="66"/>
        <v/>
      </c>
      <c r="AB1051" s="659" t="str">
        <f t="shared" si="66"/>
        <v/>
      </c>
      <c r="AC1051" s="659" t="str">
        <f t="shared" si="66"/>
        <v/>
      </c>
      <c r="AD1051" s="659" t="str">
        <f t="shared" si="66"/>
        <v/>
      </c>
      <c r="AE1051" s="659" t="str">
        <f t="shared" si="66"/>
        <v/>
      </c>
      <c r="AF1051" s="659" t="str">
        <f t="shared" si="66"/>
        <v/>
      </c>
      <c r="AG1051" s="661"/>
    </row>
    <row r="1052">
      <c r="A1052" s="378"/>
      <c r="B1052" s="996" t="s">
        <v>1470</v>
      </c>
      <c r="C1052" s="996">
        <v>913.0</v>
      </c>
      <c r="D1052" s="997">
        <v>569.53</v>
      </c>
      <c r="F1052" s="670">
        <v>515.0</v>
      </c>
      <c r="G1052" s="378"/>
      <c r="H1052" s="378"/>
      <c r="I1052" s="376"/>
      <c r="J1052" s="376"/>
      <c r="K1052" s="376"/>
      <c r="L1052" s="376"/>
      <c r="M1052" s="376"/>
      <c r="N1052" s="376"/>
      <c r="O1052" s="376"/>
      <c r="P1052" s="376"/>
      <c r="Q1052" s="376"/>
      <c r="R1052" s="671">
        <v>6.0</v>
      </c>
      <c r="S1052" s="653">
        <f t="shared" ref="S1052:AF1052" si="67">S238</f>
        <v>1002</v>
      </c>
      <c r="T1052" s="654" t="str">
        <f t="shared" si="67"/>
        <v>#N/A</v>
      </c>
      <c r="U1052" s="653" t="str">
        <f t="shared" si="67"/>
        <v>NICOLAS PAULA</v>
      </c>
      <c r="V1052" s="665">
        <f t="shared" si="67"/>
        <v>2291.9</v>
      </c>
      <c r="W1052" s="654">
        <f t="shared" si="67"/>
        <v>2291.9</v>
      </c>
      <c r="X1052" s="654" t="str">
        <f t="shared" si="67"/>
        <v>#N/A</v>
      </c>
      <c r="Y1052" s="655">
        <f t="shared" si="67"/>
        <v>3526</v>
      </c>
      <c r="Z1052" s="653" t="str">
        <f t="shared" si="67"/>
        <v>#N/A</v>
      </c>
      <c r="AA1052" s="653" t="str">
        <f t="shared" si="67"/>
        <v/>
      </c>
      <c r="AB1052" s="653" t="str">
        <f t="shared" si="67"/>
        <v/>
      </c>
      <c r="AC1052" s="654" t="str">
        <f t="shared" si="67"/>
        <v/>
      </c>
      <c r="AD1052" s="654" t="str">
        <f t="shared" si="67"/>
        <v/>
      </c>
      <c r="AE1052" s="654" t="str">
        <f t="shared" si="67"/>
        <v/>
      </c>
      <c r="AF1052" s="653">
        <f t="shared" si="67"/>
        <v>0</v>
      </c>
      <c r="AG1052" s="656"/>
    </row>
    <row r="1053">
      <c r="A1053" s="378"/>
      <c r="B1053" s="996" t="s">
        <v>1470</v>
      </c>
      <c r="C1053" s="996">
        <v>913.0</v>
      </c>
      <c r="D1053" s="997">
        <v>493.28</v>
      </c>
      <c r="G1053" s="378"/>
      <c r="H1053" s="378"/>
      <c r="I1053" s="376"/>
      <c r="J1053" s="376"/>
      <c r="K1053" s="376"/>
      <c r="L1053" s="376"/>
      <c r="M1053" s="376"/>
      <c r="N1053" s="376"/>
      <c r="O1053" s="376"/>
      <c r="P1053" s="376"/>
      <c r="Q1053" s="376"/>
      <c r="R1053" s="658"/>
      <c r="S1053" s="659"/>
      <c r="T1053" s="659"/>
      <c r="U1053" s="659" t="str">
        <f t="shared" ref="U1053:AF1053" si="68">U239</f>
        <v>Rivershore</v>
      </c>
      <c r="V1053" s="660" t="str">
        <f t="shared" si="68"/>
        <v>#N/A</v>
      </c>
      <c r="W1053" s="660">
        <f t="shared" si="68"/>
        <v>6065.84</v>
      </c>
      <c r="X1053" s="659" t="str">
        <f t="shared" si="68"/>
        <v/>
      </c>
      <c r="Y1053" s="659" t="str">
        <f t="shared" si="68"/>
        <v/>
      </c>
      <c r="Z1053" s="659" t="str">
        <f t="shared" si="68"/>
        <v/>
      </c>
      <c r="AA1053" s="659" t="str">
        <f t="shared" si="68"/>
        <v/>
      </c>
      <c r="AB1053" s="659" t="str">
        <f t="shared" si="68"/>
        <v/>
      </c>
      <c r="AC1053" s="659" t="str">
        <f t="shared" si="68"/>
        <v/>
      </c>
      <c r="AD1053" s="659" t="str">
        <f t="shared" si="68"/>
        <v/>
      </c>
      <c r="AE1053" s="659" t="str">
        <f t="shared" si="68"/>
        <v/>
      </c>
      <c r="AF1053" s="659" t="str">
        <f t="shared" si="68"/>
        <v/>
      </c>
      <c r="AG1053" s="661"/>
    </row>
    <row r="1054">
      <c r="A1054" s="378"/>
      <c r="B1054" s="996" t="s">
        <v>924</v>
      </c>
      <c r="C1054" s="996">
        <v>997.0</v>
      </c>
      <c r="D1054" s="997">
        <v>493.5</v>
      </c>
      <c r="F1054" s="675">
        <v>5490.0</v>
      </c>
      <c r="G1054" s="378"/>
      <c r="H1054" s="378"/>
      <c r="I1054" s="376"/>
      <c r="J1054" s="376"/>
      <c r="K1054" s="376"/>
      <c r="L1054" s="376"/>
      <c r="M1054" s="376"/>
      <c r="N1054" s="376"/>
      <c r="O1054" s="376"/>
      <c r="P1054" s="376"/>
      <c r="Q1054" s="376"/>
      <c r="R1054" s="671">
        <v>7.0</v>
      </c>
      <c r="S1054" s="653">
        <f t="shared" ref="S1054:AF1054" si="69">S269</f>
        <v>2316</v>
      </c>
      <c r="T1054" s="654">
        <f t="shared" si="69"/>
        <v>2492.93</v>
      </c>
      <c r="U1054" s="653" t="str">
        <f t="shared" si="69"/>
        <v>WILLIAMSON MONCHERY</v>
      </c>
      <c r="V1054" s="665">
        <f t="shared" si="69"/>
        <v>2366.65</v>
      </c>
      <c r="W1054" s="654">
        <f t="shared" si="69"/>
        <v>2366.65</v>
      </c>
      <c r="X1054" s="654">
        <f t="shared" si="69"/>
        <v>653.68</v>
      </c>
      <c r="Y1054" s="655">
        <f t="shared" si="69"/>
        <v>3641</v>
      </c>
      <c r="Z1054" s="654">
        <f t="shared" si="69"/>
        <v>126.28</v>
      </c>
      <c r="AA1054" s="653" t="str">
        <f t="shared" si="69"/>
        <v/>
      </c>
      <c r="AB1054" s="653" t="str">
        <f t="shared" si="69"/>
        <v/>
      </c>
      <c r="AC1054" s="654">
        <f t="shared" si="69"/>
        <v>150</v>
      </c>
      <c r="AD1054" s="654">
        <f t="shared" si="69"/>
        <v>400</v>
      </c>
      <c r="AE1054" s="654">
        <f t="shared" si="69"/>
        <v>200</v>
      </c>
      <c r="AF1054" s="654">
        <f t="shared" si="69"/>
        <v>2075.95</v>
      </c>
      <c r="AG1054" s="656"/>
    </row>
    <row r="1055">
      <c r="A1055" s="378"/>
      <c r="B1055" s="996" t="s">
        <v>924</v>
      </c>
      <c r="C1055" s="996">
        <v>997.0</v>
      </c>
      <c r="D1055" s="997">
        <v>395.02</v>
      </c>
      <c r="G1055" s="378"/>
      <c r="H1055" s="378"/>
      <c r="I1055" s="376"/>
      <c r="J1055" s="376"/>
      <c r="K1055" s="376"/>
      <c r="L1055" s="376"/>
      <c r="M1055" s="376"/>
      <c r="N1055" s="376"/>
      <c r="O1055" s="376"/>
      <c r="P1055" s="376"/>
      <c r="Q1055" s="376"/>
      <c r="R1055" s="658"/>
      <c r="S1055" s="659"/>
      <c r="T1055" s="659"/>
      <c r="U1055" s="659" t="str">
        <f t="shared" ref="U1055:AF1055" si="70">U270</f>
        <v>Skyhill LLC</v>
      </c>
      <c r="V1055" s="660">
        <f t="shared" si="70"/>
        <v>2492.93</v>
      </c>
      <c r="W1055" s="660">
        <f t="shared" si="70"/>
        <v>5972.56</v>
      </c>
      <c r="X1055" s="659" t="str">
        <f t="shared" si="70"/>
        <v/>
      </c>
      <c r="Y1055" s="659" t="str">
        <f t="shared" si="70"/>
        <v/>
      </c>
      <c r="Z1055" s="659" t="str">
        <f t="shared" si="70"/>
        <v/>
      </c>
      <c r="AA1055" s="659" t="str">
        <f t="shared" si="70"/>
        <v/>
      </c>
      <c r="AB1055" s="659" t="str">
        <f t="shared" si="70"/>
        <v/>
      </c>
      <c r="AC1055" s="659" t="str">
        <f t="shared" si="70"/>
        <v/>
      </c>
      <c r="AD1055" s="659" t="str">
        <f t="shared" si="70"/>
        <v/>
      </c>
      <c r="AE1055" s="659" t="str">
        <f t="shared" si="70"/>
        <v/>
      </c>
      <c r="AF1055" s="659" t="str">
        <f t="shared" si="70"/>
        <v/>
      </c>
      <c r="AG1055" s="661"/>
    </row>
    <row r="1056">
      <c r="A1056" s="378"/>
      <c r="B1056" s="996" t="s">
        <v>924</v>
      </c>
      <c r="C1056" s="996">
        <v>997.0</v>
      </c>
      <c r="D1056" s="997">
        <v>431.74</v>
      </c>
      <c r="G1056" s="378"/>
      <c r="H1056" s="378"/>
      <c r="I1056" s="376"/>
      <c r="J1056" s="376"/>
      <c r="K1056" s="376"/>
      <c r="L1056" s="376"/>
      <c r="M1056" s="376"/>
      <c r="N1056" s="376"/>
      <c r="O1056" s="376"/>
      <c r="P1056" s="376"/>
      <c r="Q1056" s="376"/>
      <c r="R1056" s="671">
        <v>8.0</v>
      </c>
      <c r="S1056" s="653">
        <f t="shared" ref="S1056:AF1056" si="71">S300</f>
        <v>2516</v>
      </c>
      <c r="T1056" s="654" t="str">
        <f t="shared" si="71"/>
        <v>#REF!</v>
      </c>
      <c r="U1056" s="653" t="str">
        <f t="shared" si="71"/>
        <v>RICHARD FLORESTAL</v>
      </c>
      <c r="V1056" s="665">
        <f t="shared" si="71"/>
        <v>2239.9</v>
      </c>
      <c r="W1056" s="654">
        <f t="shared" si="71"/>
        <v>2077.4</v>
      </c>
      <c r="X1056" s="654" t="str">
        <f t="shared" si="71"/>
        <v>#REF!</v>
      </c>
      <c r="Y1056" s="655">
        <f t="shared" si="71"/>
        <v>3196</v>
      </c>
      <c r="Z1056" s="653" t="str">
        <f t="shared" si="71"/>
        <v>#REF!</v>
      </c>
      <c r="AA1056" s="653" t="str">
        <f t="shared" si="71"/>
        <v/>
      </c>
      <c r="AB1056" s="653" t="str">
        <f t="shared" si="71"/>
        <v/>
      </c>
      <c r="AC1056" s="654">
        <f t="shared" si="71"/>
        <v>150</v>
      </c>
      <c r="AD1056" s="654">
        <f t="shared" si="71"/>
        <v>400</v>
      </c>
      <c r="AE1056" s="654">
        <f t="shared" si="71"/>
        <v>200</v>
      </c>
      <c r="AF1056" s="665">
        <f t="shared" si="71"/>
        <v>1477.56</v>
      </c>
      <c r="AG1056" s="656"/>
    </row>
    <row r="1057">
      <c r="A1057" s="378"/>
      <c r="B1057" s="996" t="s">
        <v>924</v>
      </c>
      <c r="C1057" s="996">
        <v>997.0</v>
      </c>
      <c r="D1057" s="997">
        <v>410.9</v>
      </c>
      <c r="G1057" s="378"/>
      <c r="H1057" s="378"/>
      <c r="I1057" s="376"/>
      <c r="J1057" s="376"/>
      <c r="K1057" s="376"/>
      <c r="L1057" s="376"/>
      <c r="M1057" s="376"/>
      <c r="N1057" s="376"/>
      <c r="O1057" s="376"/>
      <c r="P1057" s="376"/>
      <c r="Q1057" s="376"/>
      <c r="R1057" s="658"/>
      <c r="S1057" s="659"/>
      <c r="T1057" s="659"/>
      <c r="U1057" s="659" t="str">
        <f t="shared" ref="U1057:AF1057" si="72">U301</f>
        <v>Careway Logistics LLC</v>
      </c>
      <c r="V1057" s="660" t="str">
        <f t="shared" si="72"/>
        <v>#REF!</v>
      </c>
      <c r="W1057" s="660">
        <f t="shared" si="72"/>
        <v>5456</v>
      </c>
      <c r="X1057" s="659" t="str">
        <f t="shared" si="72"/>
        <v/>
      </c>
      <c r="Y1057" s="659" t="str">
        <f t="shared" si="72"/>
        <v/>
      </c>
      <c r="Z1057" s="659" t="str">
        <f t="shared" si="72"/>
        <v/>
      </c>
      <c r="AA1057" s="659" t="str">
        <f t="shared" si="72"/>
        <v/>
      </c>
      <c r="AB1057" s="659" t="str">
        <f t="shared" si="72"/>
        <v/>
      </c>
      <c r="AC1057" s="659" t="str">
        <f t="shared" si="72"/>
        <v/>
      </c>
      <c r="AD1057" s="659" t="str">
        <f t="shared" si="72"/>
        <v/>
      </c>
      <c r="AE1057" s="659" t="str">
        <f t="shared" si="72"/>
        <v/>
      </c>
      <c r="AF1057" s="659" t="str">
        <f t="shared" si="72"/>
        <v/>
      </c>
      <c r="AG1057" s="661"/>
    </row>
    <row r="1058">
      <c r="A1058" s="378"/>
      <c r="B1058" s="996" t="s">
        <v>1471</v>
      </c>
      <c r="C1058" s="996">
        <v>2316.0</v>
      </c>
      <c r="D1058" s="997">
        <v>653.68</v>
      </c>
      <c r="F1058" s="675">
        <v>8479.0</v>
      </c>
      <c r="G1058" s="378"/>
      <c r="H1058" s="378"/>
      <c r="I1058" s="376"/>
      <c r="J1058" s="376"/>
      <c r="K1058" s="376"/>
      <c r="L1058" s="376"/>
      <c r="M1058" s="376"/>
      <c r="N1058" s="376"/>
      <c r="O1058" s="376"/>
      <c r="P1058" s="376"/>
      <c r="Q1058" s="376"/>
      <c r="R1058" s="671">
        <v>9.0</v>
      </c>
      <c r="S1058" s="653">
        <f t="shared" ref="S1058:AF1058" si="73">S331</f>
        <v>2675</v>
      </c>
      <c r="T1058" s="654" t="str">
        <f t="shared" si="73"/>
        <v>#REF!</v>
      </c>
      <c r="U1058" s="653" t="str">
        <f t="shared" si="73"/>
        <v>WILLIE HAMPTON ANDERSON</v>
      </c>
      <c r="V1058" s="665">
        <f t="shared" si="73"/>
        <v>3199.35</v>
      </c>
      <c r="W1058" s="654">
        <f t="shared" si="73"/>
        <v>3249.35</v>
      </c>
      <c r="X1058" s="654" t="str">
        <f t="shared" si="73"/>
        <v>#REF!</v>
      </c>
      <c r="Y1058" s="655">
        <f t="shared" si="73"/>
        <v>4999</v>
      </c>
      <c r="Z1058" s="653" t="str">
        <f t="shared" si="73"/>
        <v>#REF!</v>
      </c>
      <c r="AA1058" s="653" t="str">
        <f t="shared" si="73"/>
        <v/>
      </c>
      <c r="AB1058" s="653" t="str">
        <f t="shared" si="73"/>
        <v/>
      </c>
      <c r="AC1058" s="654">
        <f t="shared" si="73"/>
        <v>100</v>
      </c>
      <c r="AD1058" s="654">
        <f t="shared" si="73"/>
        <v>400</v>
      </c>
      <c r="AE1058" s="654">
        <f t="shared" si="73"/>
        <v>200</v>
      </c>
      <c r="AF1058" s="665">
        <f t="shared" si="73"/>
        <v>300</v>
      </c>
      <c r="AG1058" s="656"/>
    </row>
    <row r="1059">
      <c r="A1059" s="378"/>
      <c r="B1059" s="996" t="s">
        <v>1471</v>
      </c>
      <c r="C1059" s="996">
        <v>2316.0</v>
      </c>
      <c r="D1059" s="997">
        <v>747.81</v>
      </c>
      <c r="G1059" s="378"/>
      <c r="H1059" s="378"/>
      <c r="I1059" s="376"/>
      <c r="J1059" s="376"/>
      <c r="K1059" s="376"/>
      <c r="L1059" s="376"/>
      <c r="M1059" s="376"/>
      <c r="N1059" s="376"/>
      <c r="O1059" s="376"/>
      <c r="P1059" s="376"/>
      <c r="Q1059" s="376"/>
      <c r="R1059" s="658"/>
      <c r="S1059" s="659"/>
      <c r="T1059" s="659"/>
      <c r="U1059" s="659" t="str">
        <f t="shared" ref="U1059:AF1059" si="74">U332</f>
        <v>Besa Transport LLC</v>
      </c>
      <c r="V1059" s="660" t="str">
        <f t="shared" si="74"/>
        <v>#REF!</v>
      </c>
      <c r="W1059" s="660">
        <f t="shared" si="74"/>
        <v>9042</v>
      </c>
      <c r="X1059" s="659" t="str">
        <f t="shared" si="74"/>
        <v/>
      </c>
      <c r="Y1059" s="659" t="str">
        <f t="shared" si="74"/>
        <v/>
      </c>
      <c r="Z1059" s="659" t="str">
        <f t="shared" si="74"/>
        <v/>
      </c>
      <c r="AA1059" s="659" t="str">
        <f t="shared" si="74"/>
        <v/>
      </c>
      <c r="AB1059" s="659" t="str">
        <f t="shared" si="74"/>
        <v/>
      </c>
      <c r="AC1059" s="659" t="str">
        <f t="shared" si="74"/>
        <v/>
      </c>
      <c r="AD1059" s="659" t="str">
        <f t="shared" si="74"/>
        <v/>
      </c>
      <c r="AE1059" s="659" t="str">
        <f t="shared" si="74"/>
        <v/>
      </c>
      <c r="AF1059" s="659" t="str">
        <f t="shared" si="74"/>
        <v/>
      </c>
      <c r="AG1059" s="661"/>
    </row>
    <row r="1060">
      <c r="A1060" s="378"/>
      <c r="B1060" s="996" t="s">
        <v>1471</v>
      </c>
      <c r="C1060" s="996">
        <v>2316.0</v>
      </c>
      <c r="D1060" s="997">
        <v>47.32</v>
      </c>
      <c r="G1060" s="378"/>
      <c r="H1060" s="378"/>
      <c r="I1060" s="376"/>
      <c r="J1060" s="376"/>
      <c r="K1060" s="376"/>
      <c r="L1060" s="376"/>
      <c r="M1060" s="376"/>
      <c r="N1060" s="376"/>
      <c r="O1060" s="376"/>
      <c r="P1060" s="376"/>
      <c r="Q1060" s="376"/>
      <c r="R1060" s="671">
        <v>10.0</v>
      </c>
      <c r="S1060" s="653">
        <f t="shared" ref="S1060:AF1060" si="75">S362</f>
        <v>2693</v>
      </c>
      <c r="T1060" s="654" t="str">
        <f t="shared" si="75"/>
        <v>#REF!</v>
      </c>
      <c r="U1060" s="653" t="str">
        <f t="shared" si="75"/>
        <v>JOSEPH JOSEPH HYVENS</v>
      </c>
      <c r="V1060" s="665">
        <f t="shared" si="75"/>
        <v>2114.75</v>
      </c>
      <c r="W1060" s="654">
        <f t="shared" si="75"/>
        <v>1764.75</v>
      </c>
      <c r="X1060" s="654" t="str">
        <f t="shared" si="75"/>
        <v>#REF!</v>
      </c>
      <c r="Y1060" s="655">
        <f t="shared" si="75"/>
        <v>2715</v>
      </c>
      <c r="Z1060" s="653" t="str">
        <f t="shared" si="75"/>
        <v>#REF!</v>
      </c>
      <c r="AA1060" s="653" t="str">
        <f t="shared" si="75"/>
        <v/>
      </c>
      <c r="AB1060" s="653" t="str">
        <f t="shared" si="75"/>
        <v/>
      </c>
      <c r="AC1060" s="654">
        <f t="shared" si="75"/>
        <v>150</v>
      </c>
      <c r="AD1060" s="654">
        <f t="shared" si="75"/>
        <v>400</v>
      </c>
      <c r="AE1060" s="654">
        <f t="shared" si="75"/>
        <v>200</v>
      </c>
      <c r="AF1060" s="665">
        <f t="shared" si="75"/>
        <v>612.98</v>
      </c>
      <c r="AG1060" s="656"/>
    </row>
    <row r="1061">
      <c r="A1061" s="378"/>
      <c r="B1061" s="996" t="s">
        <v>1471</v>
      </c>
      <c r="C1061" s="996">
        <v>2316.0</v>
      </c>
      <c r="D1061" s="997">
        <v>638.39</v>
      </c>
      <c r="E1061" s="672"/>
      <c r="F1061" s="669" t="s">
        <v>940</v>
      </c>
      <c r="G1061" s="378"/>
      <c r="H1061" s="378"/>
      <c r="I1061" s="376"/>
      <c r="J1061" s="376"/>
      <c r="K1061" s="376"/>
      <c r="L1061" s="376"/>
      <c r="M1061" s="376"/>
      <c r="N1061" s="376"/>
      <c r="O1061" s="376"/>
      <c r="P1061" s="376"/>
      <c r="Q1061" s="376"/>
      <c r="R1061" s="658"/>
      <c r="S1061" s="659"/>
      <c r="T1061" s="659"/>
      <c r="U1061" s="659" t="str">
        <f t="shared" ref="U1061:AF1061" si="76">U363</f>
        <v>US Ela Logistics LLC</v>
      </c>
      <c r="V1061" s="660" t="str">
        <f t="shared" si="76"/>
        <v>#REF!</v>
      </c>
      <c r="W1061" s="660">
        <f t="shared" si="76"/>
        <v>5456</v>
      </c>
      <c r="X1061" s="659" t="str">
        <f t="shared" si="76"/>
        <v/>
      </c>
      <c r="Y1061" s="659" t="str">
        <f t="shared" si="76"/>
        <v/>
      </c>
      <c r="Z1061" s="659" t="str">
        <f t="shared" si="76"/>
        <v/>
      </c>
      <c r="AA1061" s="659" t="str">
        <f t="shared" si="76"/>
        <v/>
      </c>
      <c r="AB1061" s="659" t="str">
        <f t="shared" si="76"/>
        <v/>
      </c>
      <c r="AC1061" s="659" t="str">
        <f t="shared" si="76"/>
        <v/>
      </c>
      <c r="AD1061" s="659" t="str">
        <f t="shared" si="76"/>
        <v/>
      </c>
      <c r="AE1061" s="659" t="str">
        <f t="shared" si="76"/>
        <v/>
      </c>
      <c r="AF1061" s="659" t="str">
        <f t="shared" si="76"/>
        <v/>
      </c>
      <c r="AG1061" s="661"/>
    </row>
    <row r="1062">
      <c r="A1062" s="378"/>
      <c r="B1062" s="996" t="s">
        <v>1471</v>
      </c>
      <c r="C1062" s="996">
        <v>2316.0</v>
      </c>
      <c r="D1062" s="997">
        <v>642.43</v>
      </c>
      <c r="E1062" s="672"/>
      <c r="F1062" s="676" t="s">
        <v>942</v>
      </c>
      <c r="G1062" s="398">
        <v>5490.0</v>
      </c>
      <c r="H1062" s="398"/>
      <c r="I1062" s="376"/>
      <c r="J1062" s="376"/>
      <c r="K1062" s="376"/>
      <c r="L1062" s="376"/>
      <c r="M1062" s="376"/>
      <c r="N1062" s="376"/>
      <c r="O1062" s="376"/>
      <c r="P1062" s="376"/>
      <c r="Q1062" s="376"/>
      <c r="R1062" s="671">
        <v>11.0</v>
      </c>
      <c r="S1062" s="653">
        <f t="shared" ref="S1062:AF1062" si="77">S393</f>
        <v>2774</v>
      </c>
      <c r="T1062" s="654" t="str">
        <f t="shared" si="77"/>
        <v>#N/A</v>
      </c>
      <c r="U1062" s="653" t="str">
        <f t="shared" si="77"/>
        <v>Christopher Elliot Nunez</v>
      </c>
      <c r="V1062" s="665">
        <f t="shared" si="77"/>
        <v>1882.4</v>
      </c>
      <c r="W1062" s="654">
        <f t="shared" si="77"/>
        <v>1882.4</v>
      </c>
      <c r="X1062" s="654" t="str">
        <f t="shared" si="77"/>
        <v>#N/A</v>
      </c>
      <c r="Y1062" s="655">
        <f t="shared" si="77"/>
        <v>2896</v>
      </c>
      <c r="Z1062" s="653" t="str">
        <f t="shared" si="77"/>
        <v>#N/A</v>
      </c>
      <c r="AA1062" s="653" t="str">
        <f t="shared" si="77"/>
        <v/>
      </c>
      <c r="AB1062" s="653" t="str">
        <f t="shared" si="77"/>
        <v/>
      </c>
      <c r="AC1062" s="654">
        <f t="shared" si="77"/>
        <v>150</v>
      </c>
      <c r="AD1062" s="654">
        <f t="shared" si="77"/>
        <v>400</v>
      </c>
      <c r="AE1062" s="654">
        <f t="shared" si="77"/>
        <v>200</v>
      </c>
      <c r="AF1062" s="665">
        <f t="shared" si="77"/>
        <v>564.3</v>
      </c>
      <c r="AG1062" s="656"/>
    </row>
    <row r="1063">
      <c r="A1063" s="378"/>
      <c r="B1063" s="996" t="s">
        <v>929</v>
      </c>
      <c r="C1063" s="996">
        <v>2516.0</v>
      </c>
      <c r="D1063" s="997">
        <v>491.67</v>
      </c>
      <c r="E1063" s="672"/>
      <c r="F1063" s="676" t="s">
        <v>944</v>
      </c>
      <c r="G1063" s="398">
        <v>8479.0</v>
      </c>
      <c r="H1063" s="378"/>
      <c r="I1063" s="376"/>
      <c r="J1063" s="386" t="s">
        <v>918</v>
      </c>
      <c r="K1063" s="376"/>
      <c r="L1063" s="376"/>
      <c r="M1063" s="376"/>
      <c r="N1063" s="376"/>
      <c r="O1063" s="376"/>
      <c r="P1063" s="376"/>
      <c r="Q1063" s="376"/>
      <c r="R1063" s="658"/>
      <c r="S1063" s="659"/>
      <c r="T1063" s="659"/>
      <c r="U1063" s="659" t="str">
        <f t="shared" ref="U1063:AF1063" si="78">U394</f>
        <v>EDT Logistics LLC</v>
      </c>
      <c r="V1063" s="660" t="str">
        <f t="shared" si="78"/>
        <v>#N/A</v>
      </c>
      <c r="W1063" s="660">
        <f t="shared" si="78"/>
        <v>4576</v>
      </c>
      <c r="X1063" s="659" t="str">
        <f t="shared" si="78"/>
        <v/>
      </c>
      <c r="Y1063" s="659" t="str">
        <f t="shared" si="78"/>
        <v/>
      </c>
      <c r="Z1063" s="659" t="str">
        <f t="shared" si="78"/>
        <v/>
      </c>
      <c r="AA1063" s="659" t="str">
        <f t="shared" si="78"/>
        <v/>
      </c>
      <c r="AB1063" s="659" t="str">
        <f t="shared" si="78"/>
        <v/>
      </c>
      <c r="AC1063" s="659" t="str">
        <f t="shared" si="78"/>
        <v/>
      </c>
      <c r="AD1063" s="659" t="str">
        <f t="shared" si="78"/>
        <v/>
      </c>
      <c r="AE1063" s="659" t="str">
        <f t="shared" si="78"/>
        <v/>
      </c>
      <c r="AF1063" s="659" t="str">
        <f t="shared" si="78"/>
        <v/>
      </c>
      <c r="AG1063" s="661"/>
    </row>
    <row r="1064">
      <c r="A1064" s="378"/>
      <c r="B1064" s="996" t="s">
        <v>1472</v>
      </c>
      <c r="C1064" s="996">
        <v>2516.0</v>
      </c>
      <c r="D1064" s="997">
        <v>255.5</v>
      </c>
      <c r="E1064" s="672"/>
      <c r="F1064" s="669" t="s">
        <v>946</v>
      </c>
      <c r="G1064" s="378"/>
      <c r="H1064" s="378"/>
      <c r="I1064" s="376"/>
      <c r="J1064" s="376"/>
      <c r="K1064" s="376"/>
      <c r="L1064" s="376"/>
      <c r="M1064" s="376"/>
      <c r="N1064" s="376"/>
      <c r="O1064" s="376"/>
      <c r="P1064" s="376"/>
      <c r="Q1064" s="376"/>
      <c r="R1064" s="671">
        <v>12.0</v>
      </c>
      <c r="S1064" s="653">
        <f t="shared" ref="S1064:AF1064" si="79">S424</f>
        <v>2890</v>
      </c>
      <c r="T1064" s="654" t="str">
        <f t="shared" si="79"/>
        <v>#N/A</v>
      </c>
      <c r="U1064" s="653" t="str">
        <f t="shared" si="79"/>
        <v>KESNY METELUS</v>
      </c>
      <c r="V1064" s="665">
        <f t="shared" si="79"/>
        <v>2996.5</v>
      </c>
      <c r="W1064" s="654">
        <f t="shared" si="79"/>
        <v>2996.5</v>
      </c>
      <c r="X1064" s="654" t="str">
        <f t="shared" si="79"/>
        <v>#N/A</v>
      </c>
      <c r="Y1064" s="655">
        <f t="shared" si="79"/>
        <v>4610</v>
      </c>
      <c r="Z1064" s="653" t="str">
        <f t="shared" si="79"/>
        <v>#N/A</v>
      </c>
      <c r="AA1064" s="653" t="str">
        <f t="shared" si="79"/>
        <v/>
      </c>
      <c r="AB1064" s="653" t="str">
        <f t="shared" si="79"/>
        <v/>
      </c>
      <c r="AC1064" s="654">
        <f t="shared" si="79"/>
        <v>150</v>
      </c>
      <c r="AD1064" s="654">
        <f t="shared" si="79"/>
        <v>400</v>
      </c>
      <c r="AE1064" s="654">
        <f t="shared" si="79"/>
        <v>200</v>
      </c>
      <c r="AF1064" s="653">
        <f t="shared" si="79"/>
        <v>0</v>
      </c>
      <c r="AG1064" s="656"/>
    </row>
    <row r="1065">
      <c r="A1065" s="378"/>
      <c r="B1065" s="996" t="s">
        <v>931</v>
      </c>
      <c r="C1065" s="996">
        <v>2675.0</v>
      </c>
      <c r="D1065" s="997">
        <v>822.87</v>
      </c>
      <c r="E1065" s="672"/>
      <c r="F1065" s="669" t="s">
        <v>948</v>
      </c>
      <c r="G1065" s="378"/>
      <c r="H1065" s="378"/>
      <c r="I1065" s="376"/>
      <c r="J1065" s="376"/>
      <c r="K1065" s="376"/>
      <c r="L1065" s="376"/>
      <c r="M1065" s="376"/>
      <c r="N1065" s="376"/>
      <c r="O1065" s="376"/>
      <c r="P1065" s="376"/>
      <c r="Q1065" s="376"/>
      <c r="R1065" s="658"/>
      <c r="S1065" s="659"/>
      <c r="T1065" s="659"/>
      <c r="U1065" s="659" t="str">
        <f t="shared" ref="U1065:AF1065" si="80">U425</f>
        <v>Skyhill LLC</v>
      </c>
      <c r="V1065" s="660" t="str">
        <f t="shared" si="80"/>
        <v>#N/A</v>
      </c>
      <c r="W1065" s="660">
        <f t="shared" si="80"/>
        <v>8360</v>
      </c>
      <c r="X1065" s="659" t="str">
        <f t="shared" si="80"/>
        <v/>
      </c>
      <c r="Y1065" s="659" t="str">
        <f t="shared" si="80"/>
        <v/>
      </c>
      <c r="Z1065" s="659" t="str">
        <f t="shared" si="80"/>
        <v/>
      </c>
      <c r="AA1065" s="659" t="str">
        <f t="shared" si="80"/>
        <v/>
      </c>
      <c r="AB1065" s="659" t="str">
        <f t="shared" si="80"/>
        <v/>
      </c>
      <c r="AC1065" s="659" t="str">
        <f t="shared" si="80"/>
        <v/>
      </c>
      <c r="AD1065" s="659" t="str">
        <f t="shared" si="80"/>
        <v/>
      </c>
      <c r="AE1065" s="659" t="str">
        <f t="shared" si="80"/>
        <v/>
      </c>
      <c r="AF1065" s="659" t="str">
        <f t="shared" si="80"/>
        <v/>
      </c>
      <c r="AG1065" s="661"/>
    </row>
    <row r="1066">
      <c r="A1066" s="378"/>
      <c r="B1066" s="996" t="s">
        <v>931</v>
      </c>
      <c r="C1066" s="996">
        <v>2675.0</v>
      </c>
      <c r="D1066" s="997">
        <v>449.3</v>
      </c>
      <c r="E1066" s="672"/>
      <c r="F1066" s="669" t="s">
        <v>950</v>
      </c>
      <c r="G1066" s="378"/>
      <c r="H1066" s="378"/>
      <c r="I1066" s="376"/>
      <c r="J1066" s="376"/>
      <c r="K1066" s="376"/>
      <c r="L1066" s="376"/>
      <c r="M1066" s="376"/>
      <c r="N1066" s="376"/>
      <c r="O1066" s="376"/>
      <c r="P1066" s="376"/>
      <c r="Q1066" s="376"/>
      <c r="R1066" s="671">
        <v>13.0</v>
      </c>
      <c r="S1066" s="653">
        <f t="shared" ref="S1066:AF1066" si="81">S455</f>
        <v>2932</v>
      </c>
      <c r="T1066" s="654" t="str">
        <f t="shared" si="81"/>
        <v>#N/A</v>
      </c>
      <c r="U1066" s="653" t="str">
        <f t="shared" si="81"/>
        <v>Ben Bellah Beliscar</v>
      </c>
      <c r="V1066" s="665">
        <f t="shared" si="81"/>
        <v>2839.2</v>
      </c>
      <c r="W1066" s="654">
        <f t="shared" si="81"/>
        <v>2839.2</v>
      </c>
      <c r="X1066" s="654" t="str">
        <f t="shared" si="81"/>
        <v>#N/A</v>
      </c>
      <c r="Y1066" s="655">
        <f t="shared" si="81"/>
        <v>4368</v>
      </c>
      <c r="Z1066" s="653" t="str">
        <f t="shared" si="81"/>
        <v>#N/A</v>
      </c>
      <c r="AA1066" s="653" t="str">
        <f t="shared" si="81"/>
        <v/>
      </c>
      <c r="AB1066" s="653" t="str">
        <f t="shared" si="81"/>
        <v/>
      </c>
      <c r="AC1066" s="654">
        <f t="shared" si="81"/>
        <v>150</v>
      </c>
      <c r="AD1066" s="654">
        <f t="shared" si="81"/>
        <v>400</v>
      </c>
      <c r="AE1066" s="654">
        <f t="shared" si="81"/>
        <v>200</v>
      </c>
      <c r="AF1066" s="665">
        <f t="shared" si="81"/>
        <v>1174.09</v>
      </c>
      <c r="AG1066" s="656"/>
    </row>
    <row r="1067">
      <c r="A1067" s="378"/>
      <c r="B1067" s="996" t="s">
        <v>931</v>
      </c>
      <c r="C1067" s="996">
        <v>2675.0</v>
      </c>
      <c r="D1067" s="997">
        <v>773.91</v>
      </c>
      <c r="G1067" s="378"/>
      <c r="H1067" s="378"/>
      <c r="I1067" s="376"/>
      <c r="J1067" s="376"/>
      <c r="K1067" s="376"/>
      <c r="L1067" s="376"/>
      <c r="M1067" s="376"/>
      <c r="N1067" s="376"/>
      <c r="O1067" s="376"/>
      <c r="P1067" s="376"/>
      <c r="Q1067" s="376"/>
      <c r="R1067" s="658"/>
      <c r="S1067" s="659"/>
      <c r="T1067" s="659"/>
      <c r="U1067" s="659" t="str">
        <f t="shared" ref="U1067:AF1067" si="82">U456</f>
        <v>EDT Logistics LLC</v>
      </c>
      <c r="V1067" s="660" t="str">
        <f t="shared" si="82"/>
        <v>#N/A</v>
      </c>
      <c r="W1067" s="660">
        <f t="shared" si="82"/>
        <v>8184</v>
      </c>
      <c r="X1067" s="659" t="str">
        <f t="shared" si="82"/>
        <v/>
      </c>
      <c r="Y1067" s="659" t="str">
        <f t="shared" si="82"/>
        <v/>
      </c>
      <c r="Z1067" s="659" t="str">
        <f t="shared" si="82"/>
        <v/>
      </c>
      <c r="AA1067" s="659" t="str">
        <f t="shared" si="82"/>
        <v/>
      </c>
      <c r="AB1067" s="659" t="str">
        <f t="shared" si="82"/>
        <v/>
      </c>
      <c r="AC1067" s="659" t="str">
        <f t="shared" si="82"/>
        <v/>
      </c>
      <c r="AD1067" s="659" t="str">
        <f t="shared" si="82"/>
        <v/>
      </c>
      <c r="AE1067" s="659" t="str">
        <f t="shared" si="82"/>
        <v/>
      </c>
      <c r="AF1067" s="659" t="str">
        <f t="shared" si="82"/>
        <v/>
      </c>
      <c r="AG1067" s="661"/>
    </row>
    <row r="1068">
      <c r="A1068" s="378"/>
      <c r="B1068" s="996" t="s">
        <v>932</v>
      </c>
      <c r="C1068" s="996">
        <v>2693.0</v>
      </c>
      <c r="D1068" s="997">
        <v>570.7</v>
      </c>
      <c r="G1068" s="378"/>
      <c r="H1068" s="378"/>
      <c r="I1068" s="376"/>
      <c r="J1068" s="376"/>
      <c r="K1068" s="376"/>
      <c r="L1068" s="376"/>
      <c r="M1068" s="376"/>
      <c r="N1068" s="376"/>
      <c r="O1068" s="376"/>
      <c r="P1068" s="376"/>
      <c r="Q1068" s="376"/>
      <c r="R1068" s="671">
        <v>14.0</v>
      </c>
      <c r="S1068" s="653">
        <f t="shared" ref="S1068:AG1068" si="83">S486</f>
        <v>3301</v>
      </c>
      <c r="T1068" s="654" t="str">
        <f t="shared" si="83"/>
        <v>#N/A</v>
      </c>
      <c r="U1068" s="653" t="str">
        <f t="shared" si="83"/>
        <v>YVENSO BOSQUET</v>
      </c>
      <c r="V1068" s="665">
        <f t="shared" si="83"/>
        <v>2468.72359</v>
      </c>
      <c r="W1068" s="654">
        <f t="shared" si="83"/>
        <v>3274.7</v>
      </c>
      <c r="X1068" s="654" t="str">
        <f t="shared" si="83"/>
        <v>#N/A</v>
      </c>
      <c r="Y1068" s="655">
        <f t="shared" si="83"/>
        <v>5038</v>
      </c>
      <c r="Z1068" s="653" t="str">
        <f t="shared" si="83"/>
        <v>#N/A</v>
      </c>
      <c r="AA1068" s="653" t="str">
        <f t="shared" si="83"/>
        <v/>
      </c>
      <c r="AB1068" s="653" t="str">
        <f t="shared" si="83"/>
        <v/>
      </c>
      <c r="AC1068" s="654">
        <f t="shared" si="83"/>
        <v>150</v>
      </c>
      <c r="AD1068" s="654">
        <f t="shared" si="83"/>
        <v>400</v>
      </c>
      <c r="AE1068" s="654">
        <f t="shared" si="83"/>
        <v>200</v>
      </c>
      <c r="AF1068" s="665">
        <f t="shared" si="83"/>
        <v>411.5</v>
      </c>
      <c r="AG1068" s="653" t="str">
        <f t="shared" si="83"/>
        <v/>
      </c>
    </row>
    <row r="1069">
      <c r="A1069" s="378"/>
      <c r="B1069" s="996" t="s">
        <v>932</v>
      </c>
      <c r="C1069" s="996">
        <v>2693.0</v>
      </c>
      <c r="D1069" s="997">
        <v>335.23</v>
      </c>
      <c r="G1069" s="378"/>
      <c r="H1069" s="378"/>
      <c r="I1069" s="376"/>
      <c r="J1069" s="376"/>
      <c r="K1069" s="376"/>
      <c r="L1069" s="376"/>
      <c r="M1069" s="376"/>
      <c r="N1069" s="376"/>
      <c r="O1069" s="376"/>
      <c r="P1069" s="376"/>
      <c r="Q1069" s="376"/>
      <c r="R1069" s="658"/>
      <c r="S1069" s="659"/>
      <c r="T1069" s="659"/>
      <c r="U1069" s="659" t="str">
        <f t="shared" ref="U1069:AF1069" si="84">U487</f>
        <v>Beycan LLC</v>
      </c>
      <c r="V1069" s="660" t="str">
        <f t="shared" si="84"/>
        <v>#N/A</v>
      </c>
      <c r="W1069" s="660">
        <f t="shared" si="84"/>
        <v>8793.84</v>
      </c>
      <c r="X1069" s="659" t="str">
        <f t="shared" si="84"/>
        <v/>
      </c>
      <c r="Y1069" s="659" t="str">
        <f t="shared" si="84"/>
        <v/>
      </c>
      <c r="Z1069" s="659" t="str">
        <f t="shared" si="84"/>
        <v/>
      </c>
      <c r="AA1069" s="659" t="str">
        <f t="shared" si="84"/>
        <v/>
      </c>
      <c r="AB1069" s="659" t="str">
        <f t="shared" si="84"/>
        <v/>
      </c>
      <c r="AC1069" s="659" t="str">
        <f t="shared" si="84"/>
        <v/>
      </c>
      <c r="AD1069" s="659" t="str">
        <f t="shared" si="84"/>
        <v/>
      </c>
      <c r="AE1069" s="659" t="str">
        <f t="shared" si="84"/>
        <v/>
      </c>
      <c r="AF1069" s="659" t="str">
        <f t="shared" si="84"/>
        <v/>
      </c>
      <c r="AG1069" s="661"/>
    </row>
    <row r="1070">
      <c r="A1070" s="378"/>
      <c r="B1070" s="996" t="s">
        <v>932</v>
      </c>
      <c r="C1070" s="996">
        <v>2693.0</v>
      </c>
      <c r="D1070" s="997">
        <v>673.59</v>
      </c>
      <c r="G1070" s="378"/>
      <c r="H1070" s="378"/>
      <c r="I1070" s="376"/>
      <c r="J1070" s="376"/>
      <c r="K1070" s="376"/>
      <c r="L1070" s="376"/>
      <c r="M1070" s="376"/>
      <c r="N1070" s="376"/>
      <c r="O1070" s="376"/>
      <c r="P1070" s="376"/>
      <c r="Q1070" s="376"/>
      <c r="R1070" s="671">
        <v>15.0</v>
      </c>
      <c r="S1070" s="653">
        <f t="shared" ref="S1070:AG1070" si="85">S517</f>
        <v>3403</v>
      </c>
      <c r="T1070" s="654" t="str">
        <f t="shared" si="85"/>
        <v>#N/A</v>
      </c>
      <c r="U1070" s="653" t="str">
        <f t="shared" si="85"/>
        <v>ANTOINE EMMANUEL</v>
      </c>
      <c r="V1070" s="665">
        <f t="shared" si="85"/>
        <v>3312</v>
      </c>
      <c r="W1070" s="654">
        <f t="shared" si="85"/>
        <v>3312</v>
      </c>
      <c r="X1070" s="654" t="str">
        <f t="shared" si="85"/>
        <v>#N/A</v>
      </c>
      <c r="Y1070" s="655">
        <f t="shared" si="85"/>
        <v>5520</v>
      </c>
      <c r="Z1070" s="653" t="str">
        <f t="shared" si="85"/>
        <v>#N/A</v>
      </c>
      <c r="AA1070" s="653" t="str">
        <f t="shared" si="85"/>
        <v/>
      </c>
      <c r="AB1070" s="653" t="str">
        <f t="shared" si="85"/>
        <v/>
      </c>
      <c r="AC1070" s="654">
        <f t="shared" si="85"/>
        <v>150</v>
      </c>
      <c r="AD1070" s="654">
        <f t="shared" si="85"/>
        <v>400</v>
      </c>
      <c r="AE1070" s="654">
        <f t="shared" si="85"/>
        <v>200</v>
      </c>
      <c r="AF1070" s="665">
        <f t="shared" si="85"/>
        <v>1450.54</v>
      </c>
      <c r="AG1070" s="653" t="str">
        <f t="shared" si="85"/>
        <v/>
      </c>
    </row>
    <row r="1071">
      <c r="A1071" s="378"/>
      <c r="B1071" s="996" t="s">
        <v>1473</v>
      </c>
      <c r="C1071" s="996">
        <v>2693.0</v>
      </c>
      <c r="D1071" s="997">
        <v>377.96</v>
      </c>
      <c r="G1071" s="378"/>
      <c r="H1071" s="378"/>
      <c r="I1071" s="376"/>
      <c r="J1071" s="376"/>
      <c r="K1071" s="376"/>
      <c r="L1071" s="376"/>
      <c r="M1071" s="376"/>
      <c r="N1071" s="376"/>
      <c r="O1071" s="376"/>
      <c r="P1071" s="376"/>
      <c r="Q1071" s="376"/>
      <c r="R1071" s="658"/>
      <c r="S1071" s="659"/>
      <c r="T1071" s="659"/>
      <c r="U1071" s="659" t="str">
        <f t="shared" ref="U1071:AF1071" si="86">U518</f>
        <v>US Ela Logistics LLC</v>
      </c>
      <c r="V1071" s="660" t="str">
        <f t="shared" si="86"/>
        <v>#N/A</v>
      </c>
      <c r="W1071" s="660">
        <f t="shared" si="86"/>
        <v>9438</v>
      </c>
      <c r="X1071" s="659" t="str">
        <f t="shared" si="86"/>
        <v/>
      </c>
      <c r="Y1071" s="659" t="str">
        <f t="shared" si="86"/>
        <v/>
      </c>
      <c r="Z1071" s="659" t="str">
        <f t="shared" si="86"/>
        <v/>
      </c>
      <c r="AA1071" s="659" t="str">
        <f t="shared" si="86"/>
        <v/>
      </c>
      <c r="AB1071" s="659" t="str">
        <f t="shared" si="86"/>
        <v/>
      </c>
      <c r="AC1071" s="659" t="str">
        <f t="shared" si="86"/>
        <v/>
      </c>
      <c r="AD1071" s="659" t="str">
        <f t="shared" si="86"/>
        <v/>
      </c>
      <c r="AE1071" s="659" t="str">
        <f t="shared" si="86"/>
        <v/>
      </c>
      <c r="AF1071" s="659" t="str">
        <f t="shared" si="86"/>
        <v/>
      </c>
      <c r="AG1071" s="661"/>
    </row>
    <row r="1072">
      <c r="A1072" s="378"/>
      <c r="B1072" s="996" t="s">
        <v>1473</v>
      </c>
      <c r="C1072" s="996">
        <v>2693.0</v>
      </c>
      <c r="D1072" s="997">
        <v>538.18</v>
      </c>
      <c r="G1072" s="378"/>
      <c r="H1072" s="378"/>
      <c r="I1072" s="376"/>
      <c r="J1072" s="376"/>
      <c r="K1072" s="376"/>
      <c r="L1072" s="376"/>
      <c r="M1072" s="376"/>
      <c r="N1072" s="376"/>
      <c r="O1072" s="376"/>
      <c r="P1072" s="376"/>
      <c r="Q1072" s="376"/>
      <c r="R1072" s="671">
        <v>16.0</v>
      </c>
      <c r="S1072" s="653">
        <f t="shared" ref="S1072:AE1072" si="87">S548</f>
        <v>3819</v>
      </c>
      <c r="T1072" s="654" t="str">
        <f t="shared" si="87"/>
        <v>#N/A</v>
      </c>
      <c r="U1072" s="653" t="str">
        <f t="shared" si="87"/>
        <v>MICHEL PATRICK</v>
      </c>
      <c r="V1072" s="665">
        <f t="shared" si="87"/>
        <v>2189.85</v>
      </c>
      <c r="W1072" s="654">
        <f t="shared" si="87"/>
        <v>2189.85</v>
      </c>
      <c r="X1072" s="654" t="str">
        <f t="shared" si="87"/>
        <v>#N/A</v>
      </c>
      <c r="Y1072" s="655">
        <f t="shared" si="87"/>
        <v>3369</v>
      </c>
      <c r="Z1072" s="653" t="str">
        <f t="shared" si="87"/>
        <v>#N/A</v>
      </c>
      <c r="AA1072" s="653" t="str">
        <f t="shared" si="87"/>
        <v/>
      </c>
      <c r="AB1072" s="653" t="str">
        <f t="shared" si="87"/>
        <v/>
      </c>
      <c r="AC1072" s="654">
        <f t="shared" si="87"/>
        <v>150</v>
      </c>
      <c r="AD1072" s="654">
        <f t="shared" si="87"/>
        <v>400</v>
      </c>
      <c r="AE1072" s="654">
        <f t="shared" si="87"/>
        <v>200</v>
      </c>
      <c r="AF1072" s="653"/>
      <c r="AG1072" s="656"/>
    </row>
    <row r="1073">
      <c r="A1073" s="378"/>
      <c r="B1073" s="996" t="s">
        <v>1473</v>
      </c>
      <c r="C1073" s="996">
        <v>2693.0</v>
      </c>
      <c r="D1073" s="997">
        <v>369.95</v>
      </c>
      <c r="G1073" s="378"/>
      <c r="H1073" s="378"/>
      <c r="I1073" s="376"/>
      <c r="J1073" s="376"/>
      <c r="K1073" s="376"/>
      <c r="L1073" s="376"/>
      <c r="M1073" s="376"/>
      <c r="N1073" s="376"/>
      <c r="O1073" s="376"/>
      <c r="P1073" s="376"/>
      <c r="Q1073" s="376"/>
      <c r="R1073" s="658"/>
      <c r="S1073" s="659"/>
      <c r="T1073" s="659"/>
      <c r="U1073" s="659" t="str">
        <f t="shared" ref="U1073:AE1073" si="88">U549</f>
        <v>Ada Fleet LLC</v>
      </c>
      <c r="V1073" s="660" t="str">
        <f t="shared" si="88"/>
        <v>#N/A</v>
      </c>
      <c r="W1073" s="660">
        <f t="shared" si="88"/>
        <v>8404</v>
      </c>
      <c r="X1073" s="659" t="str">
        <f t="shared" si="88"/>
        <v/>
      </c>
      <c r="Y1073" s="659" t="str">
        <f t="shared" si="88"/>
        <v/>
      </c>
      <c r="Z1073" s="659" t="str">
        <f t="shared" si="88"/>
        <v/>
      </c>
      <c r="AA1073" s="659" t="str">
        <f t="shared" si="88"/>
        <v/>
      </c>
      <c r="AB1073" s="659" t="str">
        <f t="shared" si="88"/>
        <v/>
      </c>
      <c r="AC1073" s="659" t="str">
        <f t="shared" si="88"/>
        <v/>
      </c>
      <c r="AD1073" s="659" t="str">
        <f t="shared" si="88"/>
        <v/>
      </c>
      <c r="AE1073" s="659" t="str">
        <f t="shared" si="88"/>
        <v/>
      </c>
      <c r="AF1073" s="659"/>
      <c r="AG1073" s="661"/>
    </row>
    <row r="1074">
      <c r="A1074" s="378"/>
      <c r="B1074" s="996" t="s">
        <v>1474</v>
      </c>
      <c r="C1074" s="996">
        <v>2774.0</v>
      </c>
      <c r="D1074" s="996">
        <v>436.09</v>
      </c>
      <c r="G1074" s="378"/>
      <c r="H1074" s="378"/>
      <c r="I1074" s="376"/>
      <c r="J1074" s="376"/>
      <c r="K1074" s="376"/>
      <c r="L1074" s="376"/>
      <c r="M1074" s="376"/>
      <c r="N1074" s="376"/>
      <c r="O1074" s="376"/>
      <c r="P1074" s="376"/>
      <c r="Q1074" s="376"/>
      <c r="R1074" s="671">
        <v>17.0</v>
      </c>
      <c r="S1074" s="653">
        <f t="shared" ref="S1074:AG1074" si="89">S579</f>
        <v>5490</v>
      </c>
      <c r="T1074" s="654" t="str">
        <f t="shared" si="89"/>
        <v>#N/A</v>
      </c>
      <c r="U1074" s="653" t="str">
        <f t="shared" si="89"/>
        <v>FENEL EDME</v>
      </c>
      <c r="V1074" s="665">
        <f t="shared" si="89"/>
        <v>1467.7</v>
      </c>
      <c r="W1074" s="654">
        <f t="shared" si="89"/>
        <v>1467.7</v>
      </c>
      <c r="X1074" s="654" t="str">
        <f t="shared" si="89"/>
        <v>#N/A</v>
      </c>
      <c r="Y1074" s="655">
        <f t="shared" si="89"/>
        <v>2258</v>
      </c>
      <c r="Z1074" s="653" t="str">
        <f t="shared" si="89"/>
        <v>#N/A</v>
      </c>
      <c r="AA1074" s="653" t="str">
        <f t="shared" si="89"/>
        <v/>
      </c>
      <c r="AB1074" s="653" t="str">
        <f t="shared" si="89"/>
        <v/>
      </c>
      <c r="AC1074" s="654">
        <f t="shared" si="89"/>
        <v>0</v>
      </c>
      <c r="AD1074" s="654">
        <f t="shared" si="89"/>
        <v>0</v>
      </c>
      <c r="AE1074" s="654">
        <f t="shared" si="89"/>
        <v>0</v>
      </c>
      <c r="AF1074" s="665">
        <f t="shared" si="89"/>
        <v>150</v>
      </c>
      <c r="AG1074" s="653" t="str">
        <f t="shared" si="89"/>
        <v/>
      </c>
    </row>
    <row r="1075">
      <c r="A1075" s="378"/>
      <c r="B1075" s="996" t="s">
        <v>1474</v>
      </c>
      <c r="C1075" s="996">
        <v>2774.0</v>
      </c>
      <c r="D1075" s="996">
        <v>475.23</v>
      </c>
      <c r="E1075" s="378"/>
      <c r="F1075" s="378"/>
      <c r="G1075" s="378"/>
      <c r="H1075" s="378"/>
      <c r="I1075" s="376"/>
      <c r="J1075" s="376"/>
      <c r="K1075" s="376"/>
      <c r="L1075" s="376"/>
      <c r="M1075" s="376"/>
      <c r="N1075" s="376"/>
      <c r="O1075" s="376"/>
      <c r="P1075" s="376"/>
      <c r="Q1075" s="376"/>
      <c r="R1075" s="658"/>
      <c r="S1075" s="659"/>
      <c r="T1075" s="659"/>
      <c r="U1075" s="659" t="str">
        <f t="shared" ref="U1075:AG1075" si="90">U580</f>
        <v>Cey&amp;Cey LLC</v>
      </c>
      <c r="V1075" s="660" t="str">
        <f t="shared" si="90"/>
        <v>#N/A</v>
      </c>
      <c r="W1075" s="660">
        <f t="shared" si="90"/>
        <v>4488</v>
      </c>
      <c r="X1075" s="659" t="str">
        <f t="shared" si="90"/>
        <v/>
      </c>
      <c r="Y1075" s="659" t="str">
        <f t="shared" si="90"/>
        <v/>
      </c>
      <c r="Z1075" s="659" t="str">
        <f t="shared" si="90"/>
        <v/>
      </c>
      <c r="AA1075" s="659" t="str">
        <f t="shared" si="90"/>
        <v/>
      </c>
      <c r="AB1075" s="659" t="str">
        <f t="shared" si="90"/>
        <v/>
      </c>
      <c r="AC1075" s="659" t="str">
        <f t="shared" si="90"/>
        <v/>
      </c>
      <c r="AD1075" s="659" t="str">
        <f t="shared" si="90"/>
        <v/>
      </c>
      <c r="AE1075" s="659" t="str">
        <f t="shared" si="90"/>
        <v/>
      </c>
      <c r="AF1075" s="659" t="str">
        <f t="shared" si="90"/>
        <v/>
      </c>
      <c r="AG1075" s="659" t="str">
        <f t="shared" si="90"/>
        <v/>
      </c>
    </row>
    <row r="1076">
      <c r="A1076" s="378"/>
      <c r="B1076" s="996" t="s">
        <v>1475</v>
      </c>
      <c r="C1076" s="996">
        <v>2890.0</v>
      </c>
      <c r="D1076" s="996">
        <v>669.33</v>
      </c>
      <c r="E1076" s="378"/>
      <c r="F1076" s="378"/>
      <c r="G1076" s="378"/>
      <c r="H1076" s="378"/>
      <c r="I1076" s="376"/>
      <c r="J1076" s="376"/>
      <c r="K1076" s="376"/>
      <c r="L1076" s="376"/>
      <c r="M1076" s="376"/>
      <c r="N1076" s="376"/>
      <c r="O1076" s="376"/>
      <c r="P1076" s="376"/>
      <c r="Q1076" s="376"/>
      <c r="R1076" s="671">
        <v>18.0</v>
      </c>
      <c r="S1076" s="653">
        <f>S610</f>
        <v>6813</v>
      </c>
      <c r="T1076" s="653"/>
      <c r="U1076" s="653" t="str">
        <f t="shared" ref="U1076:AF1076" si="91">U610</f>
        <v>Lawrence Daniel Martin</v>
      </c>
      <c r="V1076" s="665">
        <f t="shared" si="91"/>
        <v>1663.35</v>
      </c>
      <c r="W1076" s="654">
        <f t="shared" si="91"/>
        <v>1663.35</v>
      </c>
      <c r="X1076" s="654" t="str">
        <f t="shared" si="91"/>
        <v>#N/A</v>
      </c>
      <c r="Y1076" s="655">
        <f t="shared" si="91"/>
        <v>2559</v>
      </c>
      <c r="Z1076" s="654" t="str">
        <f t="shared" si="91"/>
        <v>#N/A</v>
      </c>
      <c r="AA1076" s="653" t="str">
        <f t="shared" si="91"/>
        <v/>
      </c>
      <c r="AB1076" s="653" t="str">
        <f t="shared" si="91"/>
        <v/>
      </c>
      <c r="AC1076" s="654">
        <f t="shared" si="91"/>
        <v>0</v>
      </c>
      <c r="AD1076" s="654">
        <f t="shared" si="91"/>
        <v>0</v>
      </c>
      <c r="AE1076" s="654">
        <f t="shared" si="91"/>
        <v>0</v>
      </c>
      <c r="AF1076" s="653">
        <f t="shared" si="91"/>
        <v>0</v>
      </c>
      <c r="AG1076" s="653"/>
    </row>
    <row r="1077">
      <c r="A1077" s="378"/>
      <c r="B1077" s="996" t="s">
        <v>934</v>
      </c>
      <c r="C1077" s="996">
        <v>2890.0</v>
      </c>
      <c r="D1077" s="996">
        <v>404.7</v>
      </c>
      <c r="E1077" s="378"/>
      <c r="F1077" s="398" t="s">
        <v>958</v>
      </c>
      <c r="G1077" s="378"/>
      <c r="H1077" s="378"/>
      <c r="I1077" s="376"/>
      <c r="J1077" s="376"/>
      <c r="K1077" s="376"/>
      <c r="L1077" s="376"/>
      <c r="M1077" s="376"/>
      <c r="N1077" s="376"/>
      <c r="O1077" s="376"/>
      <c r="P1077" s="376"/>
      <c r="Q1077" s="376"/>
      <c r="R1077" s="658"/>
      <c r="S1077" s="659"/>
      <c r="T1077" s="659"/>
      <c r="U1077" s="659" t="str">
        <f>U611</f>
        <v>Cey &amp; Cey LLC</v>
      </c>
      <c r="V1077" s="660"/>
      <c r="W1077" s="660">
        <f t="shared" ref="W1077:Z1077" si="92">W611</f>
        <v>5368</v>
      </c>
      <c r="X1077" s="659" t="str">
        <f t="shared" si="92"/>
        <v/>
      </c>
      <c r="Y1077" s="659" t="str">
        <f t="shared" si="92"/>
        <v/>
      </c>
      <c r="Z1077" s="659" t="str">
        <f t="shared" si="92"/>
        <v/>
      </c>
      <c r="AA1077" s="673">
        <v>-695.5</v>
      </c>
      <c r="AB1077" s="659" t="str">
        <f t="shared" ref="AB1077:AF1077" si="93">AB611</f>
        <v/>
      </c>
      <c r="AC1077" s="659" t="str">
        <f t="shared" si="93"/>
        <v/>
      </c>
      <c r="AD1077" s="659" t="str">
        <f t="shared" si="93"/>
        <v/>
      </c>
      <c r="AE1077" s="659" t="str">
        <f t="shared" si="93"/>
        <v/>
      </c>
      <c r="AF1077" s="659" t="str">
        <f t="shared" si="93"/>
        <v/>
      </c>
      <c r="AG1077" s="659"/>
    </row>
    <row r="1078">
      <c r="A1078" s="378"/>
      <c r="B1078" s="996" t="s">
        <v>934</v>
      </c>
      <c r="C1078" s="996">
        <v>2890.0</v>
      </c>
      <c r="D1078" s="996">
        <v>20.37</v>
      </c>
      <c r="E1078" s="378"/>
      <c r="F1078" s="378"/>
      <c r="G1078" s="378"/>
      <c r="H1078" s="378"/>
      <c r="I1078" s="376"/>
      <c r="J1078" s="376"/>
      <c r="K1078" s="376"/>
      <c r="L1078" s="376"/>
      <c r="M1078" s="376"/>
      <c r="N1078" s="376"/>
      <c r="O1078" s="376"/>
      <c r="P1078" s="376"/>
      <c r="Q1078" s="376"/>
      <c r="R1078" s="671">
        <v>19.0</v>
      </c>
      <c r="S1078" s="653">
        <f t="shared" ref="S1078:AF1078" si="94">S641</f>
        <v>7048</v>
      </c>
      <c r="T1078" s="654" t="str">
        <f t="shared" si="94"/>
        <v>#N/A</v>
      </c>
      <c r="U1078" s="653" t="str">
        <f t="shared" si="94"/>
        <v>DAGBOLEN ISA</v>
      </c>
      <c r="V1078" s="665">
        <f t="shared" si="94"/>
        <v>3003.8</v>
      </c>
      <c r="W1078" s="654">
        <f t="shared" si="94"/>
        <v>2928.8</v>
      </c>
      <c r="X1078" s="654" t="str">
        <f t="shared" si="94"/>
        <v>#N/A</v>
      </c>
      <c r="Y1078" s="655">
        <f t="shared" si="94"/>
        <v>4184</v>
      </c>
      <c r="Z1078" s="653" t="str">
        <f t="shared" si="94"/>
        <v>#N/A</v>
      </c>
      <c r="AA1078" s="653" t="str">
        <f t="shared" si="94"/>
        <v/>
      </c>
      <c r="AB1078" s="653" t="str">
        <f t="shared" si="94"/>
        <v/>
      </c>
      <c r="AC1078" s="654">
        <f t="shared" si="94"/>
        <v>150</v>
      </c>
      <c r="AD1078" s="654">
        <f t="shared" si="94"/>
        <v>400</v>
      </c>
      <c r="AE1078" s="654">
        <f t="shared" si="94"/>
        <v>200</v>
      </c>
      <c r="AF1078" s="665">
        <f t="shared" si="94"/>
        <v>3720.72</v>
      </c>
      <c r="AG1078" s="656"/>
    </row>
    <row r="1079">
      <c r="A1079" s="378"/>
      <c r="B1079" s="996" t="s">
        <v>936</v>
      </c>
      <c r="C1079" s="996">
        <v>3301.0</v>
      </c>
      <c r="D1079" s="996">
        <v>394.98</v>
      </c>
      <c r="E1079" s="378"/>
      <c r="F1079" s="378"/>
      <c r="G1079" s="378"/>
      <c r="H1079" s="378"/>
      <c r="I1079" s="376"/>
      <c r="J1079" s="376"/>
      <c r="K1079" s="376"/>
      <c r="L1079" s="376"/>
      <c r="M1079" s="376"/>
      <c r="N1079" s="376"/>
      <c r="O1079" s="376"/>
      <c r="P1079" s="376"/>
      <c r="Q1079" s="376"/>
      <c r="R1079" s="658"/>
      <c r="S1079" s="659"/>
      <c r="T1079" s="659"/>
      <c r="U1079" s="659" t="str">
        <f t="shared" ref="U1079:AF1079" si="95">U642</f>
        <v>Arba Express LLC</v>
      </c>
      <c r="V1079" s="660" t="str">
        <f t="shared" si="95"/>
        <v>#N/A</v>
      </c>
      <c r="W1079" s="660">
        <f t="shared" si="95"/>
        <v>8950</v>
      </c>
      <c r="X1079" s="659" t="str">
        <f t="shared" si="95"/>
        <v/>
      </c>
      <c r="Y1079" s="659" t="str">
        <f t="shared" si="95"/>
        <v/>
      </c>
      <c r="Z1079" s="659" t="str">
        <f t="shared" si="95"/>
        <v/>
      </c>
      <c r="AA1079" s="659" t="str">
        <f t="shared" si="95"/>
        <v/>
      </c>
      <c r="AB1079" s="659" t="str">
        <f t="shared" si="95"/>
        <v/>
      </c>
      <c r="AC1079" s="659" t="str">
        <f t="shared" si="95"/>
        <v/>
      </c>
      <c r="AD1079" s="659" t="str">
        <f t="shared" si="95"/>
        <v/>
      </c>
      <c r="AE1079" s="659" t="str">
        <f t="shared" si="95"/>
        <v/>
      </c>
      <c r="AF1079" s="659" t="str">
        <f t="shared" si="95"/>
        <v/>
      </c>
      <c r="AG1079" s="661"/>
    </row>
    <row r="1080">
      <c r="A1080" s="378"/>
      <c r="B1080" s="996" t="s">
        <v>936</v>
      </c>
      <c r="C1080" s="996">
        <v>3301.0</v>
      </c>
      <c r="D1080" s="996">
        <v>554.22</v>
      </c>
      <c r="E1080" s="378"/>
      <c r="F1080" s="378"/>
      <c r="G1080" s="378"/>
      <c r="H1080" s="378"/>
      <c r="I1080" s="376"/>
      <c r="J1080" s="376"/>
      <c r="K1080" s="376"/>
      <c r="L1080" s="376"/>
      <c r="M1080" s="376"/>
      <c r="N1080" s="376"/>
      <c r="O1080" s="376"/>
      <c r="P1080" s="376"/>
      <c r="Q1080" s="376"/>
      <c r="R1080" s="671">
        <v>20.0</v>
      </c>
      <c r="S1080" s="653">
        <f t="shared" ref="S1080:AF1080" si="96">S672</f>
        <v>7265</v>
      </c>
      <c r="T1080" s="654" t="str">
        <f t="shared" si="96"/>
        <v>#N/A</v>
      </c>
      <c r="U1080" s="653" t="str">
        <f t="shared" si="96"/>
        <v>BENCHIKA DOLL</v>
      </c>
      <c r="V1080" s="665">
        <f t="shared" si="96"/>
        <v>2609.1</v>
      </c>
      <c r="W1080" s="654">
        <f t="shared" si="96"/>
        <v>2609.1</v>
      </c>
      <c r="X1080" s="654" t="str">
        <f t="shared" si="96"/>
        <v>#N/A</v>
      </c>
      <c r="Y1080" s="655">
        <f t="shared" si="96"/>
        <v>4014</v>
      </c>
      <c r="Z1080" s="653" t="str">
        <f t="shared" si="96"/>
        <v>#N/A</v>
      </c>
      <c r="AA1080" s="653" t="str">
        <f t="shared" si="96"/>
        <v/>
      </c>
      <c r="AB1080" s="653" t="str">
        <f t="shared" si="96"/>
        <v/>
      </c>
      <c r="AC1080" s="654" t="str">
        <f t="shared" si="96"/>
        <v/>
      </c>
      <c r="AD1080" s="654" t="str">
        <f t="shared" si="96"/>
        <v/>
      </c>
      <c r="AE1080" s="654" t="str">
        <f t="shared" si="96"/>
        <v/>
      </c>
      <c r="AF1080" s="653">
        <f t="shared" si="96"/>
        <v>0</v>
      </c>
      <c r="AG1080" s="656"/>
    </row>
    <row r="1081">
      <c r="A1081" s="378"/>
      <c r="B1081" s="996" t="s">
        <v>936</v>
      </c>
      <c r="C1081" s="996">
        <v>3301.0</v>
      </c>
      <c r="D1081" s="996">
        <v>325.3</v>
      </c>
      <c r="E1081" s="378"/>
      <c r="F1081" s="378"/>
      <c r="G1081" s="378"/>
      <c r="H1081" s="378"/>
      <c r="I1081" s="376"/>
      <c r="J1081" s="376"/>
      <c r="K1081" s="376"/>
      <c r="L1081" s="376"/>
      <c r="M1081" s="376"/>
      <c r="N1081" s="376"/>
      <c r="O1081" s="376"/>
      <c r="P1081" s="376"/>
      <c r="Q1081" s="376"/>
      <c r="R1081" s="658"/>
      <c r="S1081" s="659"/>
      <c r="T1081" s="659"/>
      <c r="U1081" s="659" t="str">
        <f t="shared" ref="U1081:AF1081" si="97">U673</f>
        <v>Ada Fleet LLC</v>
      </c>
      <c r="V1081" s="660" t="str">
        <f t="shared" si="97"/>
        <v>#N/A</v>
      </c>
      <c r="W1081" s="660">
        <f t="shared" si="97"/>
        <v>9100</v>
      </c>
      <c r="X1081" s="659" t="str">
        <f t="shared" si="97"/>
        <v/>
      </c>
      <c r="Y1081" s="659" t="str">
        <f t="shared" si="97"/>
        <v/>
      </c>
      <c r="Z1081" s="659" t="str">
        <f t="shared" si="97"/>
        <v/>
      </c>
      <c r="AA1081" s="659" t="str">
        <f t="shared" si="97"/>
        <v/>
      </c>
      <c r="AB1081" s="659" t="str">
        <f t="shared" si="97"/>
        <v/>
      </c>
      <c r="AC1081" s="659" t="str">
        <f t="shared" si="97"/>
        <v/>
      </c>
      <c r="AD1081" s="659" t="str">
        <f t="shared" si="97"/>
        <v/>
      </c>
      <c r="AE1081" s="659" t="str">
        <f t="shared" si="97"/>
        <v/>
      </c>
      <c r="AF1081" s="659" t="str">
        <f t="shared" si="97"/>
        <v/>
      </c>
      <c r="AG1081" s="661"/>
    </row>
    <row r="1082">
      <c r="A1082" s="378"/>
      <c r="B1082" s="996" t="s">
        <v>936</v>
      </c>
      <c r="C1082" s="996">
        <v>3301.0</v>
      </c>
      <c r="D1082" s="996">
        <v>386.41</v>
      </c>
      <c r="E1082" s="378"/>
      <c r="F1082" s="378"/>
      <c r="G1082" s="378"/>
      <c r="H1082" s="378"/>
      <c r="I1082" s="376"/>
      <c r="J1082" s="376"/>
      <c r="K1082" s="376"/>
      <c r="L1082" s="376"/>
      <c r="M1082" s="376"/>
      <c r="N1082" s="376"/>
      <c r="O1082" s="376"/>
      <c r="P1082" s="376"/>
      <c r="Q1082" s="376"/>
      <c r="R1082" s="671">
        <v>21.0</v>
      </c>
      <c r="S1082" s="653">
        <f>S703</f>
        <v>7352</v>
      </c>
      <c r="T1082" s="653"/>
      <c r="U1082" s="653" t="str">
        <f t="shared" ref="U1082:AF1082" si="98">U703</f>
        <v>JEAN SONNY</v>
      </c>
      <c r="V1082" s="665">
        <f t="shared" si="98"/>
        <v>933.4</v>
      </c>
      <c r="W1082" s="654">
        <f t="shared" si="98"/>
        <v>933.4</v>
      </c>
      <c r="X1082" s="654" t="str">
        <f t="shared" si="98"/>
        <v>#N/A</v>
      </c>
      <c r="Y1082" s="655">
        <f t="shared" si="98"/>
        <v>1436</v>
      </c>
      <c r="Z1082" s="653" t="str">
        <f t="shared" si="98"/>
        <v>#N/A</v>
      </c>
      <c r="AA1082" s="653" t="str">
        <f t="shared" si="98"/>
        <v/>
      </c>
      <c r="AB1082" s="653" t="str">
        <f t="shared" si="98"/>
        <v/>
      </c>
      <c r="AC1082" s="654">
        <f t="shared" si="98"/>
        <v>150</v>
      </c>
      <c r="AD1082" s="654">
        <f t="shared" si="98"/>
        <v>400</v>
      </c>
      <c r="AE1082" s="654">
        <f t="shared" si="98"/>
        <v>200</v>
      </c>
      <c r="AF1082" s="665">
        <f t="shared" si="98"/>
        <v>1407.14</v>
      </c>
      <c r="AG1082" s="656"/>
    </row>
    <row r="1083">
      <c r="A1083" s="378"/>
      <c r="B1083" s="996" t="s">
        <v>936</v>
      </c>
      <c r="C1083" s="996">
        <v>3301.0</v>
      </c>
      <c r="D1083" s="996">
        <v>346.38</v>
      </c>
      <c r="E1083" s="378"/>
      <c r="F1083" s="378"/>
      <c r="G1083" s="378"/>
      <c r="H1083" s="378"/>
      <c r="I1083" s="376"/>
      <c r="J1083" s="376"/>
      <c r="K1083" s="376"/>
      <c r="L1083" s="376"/>
      <c r="M1083" s="376"/>
      <c r="N1083" s="376"/>
      <c r="O1083" s="376"/>
      <c r="P1083" s="376"/>
      <c r="Q1083" s="376"/>
      <c r="R1083" s="658"/>
      <c r="S1083" s="659"/>
      <c r="T1083" s="659"/>
      <c r="U1083" s="659" t="str">
        <f>U704</f>
        <v>Careway Logistics LLC</v>
      </c>
      <c r="V1083" s="659"/>
      <c r="W1083" s="660">
        <f t="shared" ref="W1083:Z1083" si="99">W704</f>
        <v>1716</v>
      </c>
      <c r="X1083" s="659" t="str">
        <f t="shared" si="99"/>
        <v/>
      </c>
      <c r="Y1083" s="659" t="str">
        <f t="shared" si="99"/>
        <v/>
      </c>
      <c r="Z1083" s="659" t="str">
        <f t="shared" si="99"/>
        <v/>
      </c>
      <c r="AA1083" s="673">
        <v>-1385.34</v>
      </c>
      <c r="AB1083" s="659" t="str">
        <f t="shared" ref="AB1083:AF1083" si="100">AB704</f>
        <v/>
      </c>
      <c r="AC1083" s="659" t="str">
        <f t="shared" si="100"/>
        <v/>
      </c>
      <c r="AD1083" s="659" t="str">
        <f t="shared" si="100"/>
        <v/>
      </c>
      <c r="AE1083" s="659" t="str">
        <f t="shared" si="100"/>
        <v/>
      </c>
      <c r="AF1083" s="659" t="str">
        <f t="shared" si="100"/>
        <v/>
      </c>
      <c r="AG1083" s="661"/>
    </row>
    <row r="1084">
      <c r="A1084" s="378"/>
      <c r="B1084" s="996" t="s">
        <v>1476</v>
      </c>
      <c r="C1084" s="996">
        <v>3403.0</v>
      </c>
      <c r="D1084" s="996">
        <v>483.58</v>
      </c>
      <c r="E1084" s="378"/>
      <c r="F1084" s="378"/>
      <c r="G1084" s="378"/>
      <c r="H1084" s="378"/>
      <c r="I1084" s="376"/>
      <c r="J1084" s="376"/>
      <c r="K1084" s="376"/>
      <c r="L1084" s="376"/>
      <c r="M1084" s="376"/>
      <c r="N1084" s="376"/>
      <c r="O1084" s="376"/>
      <c r="P1084" s="376"/>
      <c r="Q1084" s="376"/>
      <c r="R1084" s="671">
        <v>22.0</v>
      </c>
      <c r="S1084" s="653">
        <f>S734</f>
        <v>7607</v>
      </c>
      <c r="T1084" s="653"/>
      <c r="U1084" s="653" t="str">
        <f t="shared" ref="U1084:AE1084" si="101">U734</f>
        <v>MARVIN CREARY</v>
      </c>
      <c r="V1084" s="665">
        <f t="shared" si="101"/>
        <v>1381.25</v>
      </c>
      <c r="W1084" s="654">
        <f t="shared" si="101"/>
        <v>1381.25</v>
      </c>
      <c r="X1084" s="654" t="str">
        <f t="shared" si="101"/>
        <v>#N/A</v>
      </c>
      <c r="Y1084" s="655">
        <f t="shared" si="101"/>
        <v>2125</v>
      </c>
      <c r="Z1084" s="653" t="str">
        <f t="shared" si="101"/>
        <v>#N/A</v>
      </c>
      <c r="AA1084" s="653" t="str">
        <f t="shared" si="101"/>
        <v/>
      </c>
      <c r="AB1084" s="653" t="str">
        <f t="shared" si="101"/>
        <v/>
      </c>
      <c r="AC1084" s="654">
        <f t="shared" si="101"/>
        <v>100</v>
      </c>
      <c r="AD1084" s="654">
        <f t="shared" si="101"/>
        <v>400</v>
      </c>
      <c r="AE1084" s="654">
        <f t="shared" si="101"/>
        <v>200</v>
      </c>
      <c r="AF1084" s="653"/>
      <c r="AG1084" s="656"/>
    </row>
    <row r="1085">
      <c r="A1085" s="378"/>
      <c r="B1085" s="996" t="s">
        <v>938</v>
      </c>
      <c r="C1085" s="996">
        <v>3819.0</v>
      </c>
      <c r="D1085" s="996">
        <v>344.43</v>
      </c>
      <c r="E1085" s="378"/>
      <c r="F1085" s="378"/>
      <c r="G1085" s="378"/>
      <c r="H1085" s="378"/>
      <c r="I1085" s="376"/>
      <c r="J1085" s="376"/>
      <c r="K1085" s="376"/>
      <c r="L1085" s="376"/>
      <c r="M1085" s="376"/>
      <c r="N1085" s="376"/>
      <c r="O1085" s="376"/>
      <c r="P1085" s="376"/>
      <c r="Q1085" s="376"/>
      <c r="R1085" s="658"/>
      <c r="S1085" s="659"/>
      <c r="T1085" s="659"/>
      <c r="U1085" s="659" t="str">
        <f>U735</f>
        <v>NZD Transport LLC</v>
      </c>
      <c r="V1085" s="659"/>
      <c r="W1085" s="660">
        <f t="shared" ref="W1085:Z1085" si="102">W735</f>
        <v>3168</v>
      </c>
      <c r="X1085" s="659" t="str">
        <f t="shared" si="102"/>
        <v/>
      </c>
      <c r="Y1085" s="659" t="str">
        <f t="shared" si="102"/>
        <v/>
      </c>
      <c r="Z1085" s="659" t="str">
        <f t="shared" si="102"/>
        <v/>
      </c>
      <c r="AA1085" s="673">
        <v>-519.19</v>
      </c>
      <c r="AB1085" s="659" t="str">
        <f t="shared" ref="AB1085:AE1085" si="103">AB735</f>
        <v/>
      </c>
      <c r="AC1085" s="659" t="str">
        <f t="shared" si="103"/>
        <v/>
      </c>
      <c r="AD1085" s="659" t="str">
        <f t="shared" si="103"/>
        <v/>
      </c>
      <c r="AE1085" s="659" t="str">
        <f t="shared" si="103"/>
        <v/>
      </c>
      <c r="AF1085" s="659"/>
      <c r="AG1085" s="661"/>
    </row>
    <row r="1086">
      <c r="A1086" s="378"/>
      <c r="B1086" s="996" t="s">
        <v>938</v>
      </c>
      <c r="C1086" s="996">
        <v>3819.0</v>
      </c>
      <c r="D1086" s="996">
        <v>433.77</v>
      </c>
      <c r="E1086" s="378"/>
      <c r="F1086" s="378"/>
      <c r="G1086" s="378"/>
      <c r="H1086" s="378"/>
      <c r="I1086" s="376"/>
      <c r="J1086" s="376"/>
      <c r="K1086" s="376"/>
      <c r="L1086" s="376"/>
      <c r="M1086" s="376"/>
      <c r="N1086" s="376"/>
      <c r="O1086" s="376"/>
      <c r="P1086" s="376"/>
      <c r="Q1086" s="376"/>
      <c r="R1086" s="671">
        <v>23.0</v>
      </c>
      <c r="S1086" s="653">
        <f t="shared" ref="S1086:AG1086" si="104">S764</f>
        <v>7807</v>
      </c>
      <c r="T1086" s="654" t="str">
        <f t="shared" si="104"/>
        <v>#N/A</v>
      </c>
      <c r="U1086" s="653" t="str">
        <f t="shared" si="104"/>
        <v>TOUSSAINT BESANTO</v>
      </c>
      <c r="V1086" s="665">
        <f t="shared" si="104"/>
        <v>1921.4</v>
      </c>
      <c r="W1086" s="654">
        <f t="shared" si="104"/>
        <v>1921.4</v>
      </c>
      <c r="X1086" s="654" t="str">
        <f t="shared" si="104"/>
        <v>#N/A</v>
      </c>
      <c r="Y1086" s="655">
        <f t="shared" si="104"/>
        <v>2956</v>
      </c>
      <c r="Z1086" s="653" t="str">
        <f t="shared" si="104"/>
        <v>#N/A</v>
      </c>
      <c r="AA1086" s="653" t="str">
        <f t="shared" si="104"/>
        <v/>
      </c>
      <c r="AB1086" s="653" t="str">
        <f t="shared" si="104"/>
        <v/>
      </c>
      <c r="AC1086" s="654" t="str">
        <f t="shared" si="104"/>
        <v/>
      </c>
      <c r="AD1086" s="654" t="str">
        <f t="shared" si="104"/>
        <v/>
      </c>
      <c r="AE1086" s="654" t="str">
        <f t="shared" si="104"/>
        <v/>
      </c>
      <c r="AF1086" s="653">
        <f t="shared" si="104"/>
        <v>0</v>
      </c>
      <c r="AG1086" s="653" t="str">
        <f t="shared" si="104"/>
        <v/>
      </c>
    </row>
    <row r="1087">
      <c r="A1087" s="378"/>
      <c r="B1087" s="996" t="s">
        <v>938</v>
      </c>
      <c r="C1087" s="996">
        <v>3819.0</v>
      </c>
      <c r="D1087" s="996">
        <v>333.62</v>
      </c>
      <c r="E1087" s="378"/>
      <c r="F1087" s="378"/>
      <c r="G1087" s="378"/>
      <c r="H1087" s="378"/>
      <c r="I1087" s="376"/>
      <c r="J1087" s="376"/>
      <c r="K1087" s="376"/>
      <c r="L1087" s="376"/>
      <c r="M1087" s="376"/>
      <c r="N1087" s="376"/>
      <c r="O1087" s="376"/>
      <c r="P1087" s="376"/>
      <c r="Q1087" s="376"/>
      <c r="R1087" s="658"/>
      <c r="S1087" s="659"/>
      <c r="T1087" s="659"/>
      <c r="U1087" s="659" t="str">
        <f t="shared" ref="U1087:AF1087" si="105">U765</f>
        <v>KOMO Logistics LLC</v>
      </c>
      <c r="V1087" s="660" t="str">
        <f t="shared" si="105"/>
        <v>#N/A</v>
      </c>
      <c r="W1087" s="660">
        <f t="shared" si="105"/>
        <v>4147.44</v>
      </c>
      <c r="X1087" s="659" t="str">
        <f t="shared" si="105"/>
        <v/>
      </c>
      <c r="Y1087" s="659" t="str">
        <f t="shared" si="105"/>
        <v/>
      </c>
      <c r="Z1087" s="659" t="str">
        <f t="shared" si="105"/>
        <v/>
      </c>
      <c r="AA1087" s="659" t="str">
        <f t="shared" si="105"/>
        <v/>
      </c>
      <c r="AB1087" s="659" t="str">
        <f t="shared" si="105"/>
        <v/>
      </c>
      <c r="AC1087" s="659" t="str">
        <f t="shared" si="105"/>
        <v/>
      </c>
      <c r="AD1087" s="659" t="str">
        <f t="shared" si="105"/>
        <v/>
      </c>
      <c r="AE1087" s="659" t="str">
        <f t="shared" si="105"/>
        <v/>
      </c>
      <c r="AF1087" s="659" t="str">
        <f t="shared" si="105"/>
        <v/>
      </c>
      <c r="AG1087" s="661"/>
    </row>
    <row r="1088">
      <c r="A1088" s="378"/>
      <c r="B1088" s="996" t="s">
        <v>939</v>
      </c>
      <c r="C1088" s="996">
        <v>3866.0</v>
      </c>
      <c r="D1088" s="996">
        <v>643.82</v>
      </c>
      <c r="E1088" s="378"/>
      <c r="F1088" s="378"/>
      <c r="G1088" s="378"/>
      <c r="H1088" s="378"/>
      <c r="I1088" s="376"/>
      <c r="J1088" s="376"/>
      <c r="K1088" s="376"/>
      <c r="L1088" s="376"/>
      <c r="M1088" s="376"/>
      <c r="N1088" s="376"/>
      <c r="O1088" s="376"/>
      <c r="P1088" s="376"/>
      <c r="Q1088" s="376"/>
      <c r="R1088" s="671">
        <v>24.0</v>
      </c>
      <c r="S1088" s="653">
        <f>S795</f>
        <v>8479</v>
      </c>
      <c r="T1088" s="653"/>
      <c r="U1088" s="653" t="str">
        <f t="shared" ref="U1088:Z1088" si="106">U795</f>
        <v>Kimberly Monique Sowell</v>
      </c>
      <c r="V1088" s="665">
        <f t="shared" si="106"/>
        <v>725.4</v>
      </c>
      <c r="W1088" s="654">
        <f t="shared" si="106"/>
        <v>432.9</v>
      </c>
      <c r="X1088" s="654" t="str">
        <f t="shared" si="106"/>
        <v>#N/A</v>
      </c>
      <c r="Y1088" s="655">
        <f t="shared" si="106"/>
        <v>666</v>
      </c>
      <c r="Z1088" s="653" t="str">
        <f t="shared" si="106"/>
        <v>#N/A</v>
      </c>
      <c r="AA1088" s="680">
        <v>-156.79</v>
      </c>
      <c r="AB1088" s="653" t="str">
        <f t="shared" ref="AB1088:AG1088" si="107">AB795</f>
        <v/>
      </c>
      <c r="AC1088" s="654">
        <f t="shared" si="107"/>
        <v>150</v>
      </c>
      <c r="AD1088" s="654">
        <f t="shared" si="107"/>
        <v>400</v>
      </c>
      <c r="AE1088" s="654">
        <f t="shared" si="107"/>
        <v>0</v>
      </c>
      <c r="AF1088" s="665">
        <f t="shared" si="107"/>
        <v>899.62</v>
      </c>
      <c r="AG1088" s="653" t="str">
        <f t="shared" si="107"/>
        <v/>
      </c>
    </row>
    <row r="1089">
      <c r="A1089" s="378"/>
      <c r="B1089" s="996" t="s">
        <v>939</v>
      </c>
      <c r="C1089" s="996">
        <v>3866.0</v>
      </c>
      <c r="D1089" s="996">
        <v>784.55</v>
      </c>
      <c r="E1089" s="378"/>
      <c r="F1089" s="378"/>
      <c r="G1089" s="378"/>
      <c r="H1089" s="378"/>
      <c r="I1089" s="376"/>
      <c r="J1089" s="376"/>
      <c r="K1089" s="376"/>
      <c r="L1089" s="376"/>
      <c r="M1089" s="376"/>
      <c r="N1089" s="376"/>
      <c r="O1089" s="376"/>
      <c r="P1089" s="376"/>
      <c r="Q1089" s="376"/>
      <c r="R1089" s="658"/>
      <c r="S1089" s="659"/>
      <c r="T1089" s="659"/>
      <c r="U1089" s="659" t="str">
        <f t="shared" ref="U1089:AG1089" si="108">U796</f>
        <v>Fwziyes Place LLC Boss Trucking Equipment LLC</v>
      </c>
      <c r="V1089" s="660" t="str">
        <f t="shared" si="108"/>
        <v>#N/A</v>
      </c>
      <c r="W1089" s="660">
        <f t="shared" si="108"/>
        <v>1188</v>
      </c>
      <c r="X1089" s="659" t="str">
        <f t="shared" si="108"/>
        <v/>
      </c>
      <c r="Y1089" s="659" t="str">
        <f t="shared" si="108"/>
        <v/>
      </c>
      <c r="Z1089" s="659" t="str">
        <f t="shared" si="108"/>
        <v/>
      </c>
      <c r="AA1089" s="659" t="str">
        <f t="shared" si="108"/>
        <v/>
      </c>
      <c r="AB1089" s="659" t="str">
        <f t="shared" si="108"/>
        <v/>
      </c>
      <c r="AC1089" s="659" t="str">
        <f t="shared" si="108"/>
        <v/>
      </c>
      <c r="AD1089" s="659" t="str">
        <f t="shared" si="108"/>
        <v/>
      </c>
      <c r="AE1089" s="659" t="str">
        <f t="shared" si="108"/>
        <v/>
      </c>
      <c r="AF1089" s="659" t="str">
        <f t="shared" si="108"/>
        <v/>
      </c>
      <c r="AG1089" s="659" t="str">
        <f t="shared" si="108"/>
        <v/>
      </c>
    </row>
    <row r="1090">
      <c r="A1090" s="378"/>
      <c r="B1090" s="996" t="s">
        <v>939</v>
      </c>
      <c r="C1090" s="996">
        <v>3866.0</v>
      </c>
      <c r="D1090" s="996">
        <v>656.89</v>
      </c>
      <c r="E1090" s="378"/>
      <c r="F1090" s="378"/>
      <c r="G1090" s="378"/>
      <c r="H1090" s="378"/>
      <c r="I1090" s="376"/>
      <c r="J1090" s="376"/>
      <c r="K1090" s="376"/>
      <c r="L1090" s="376"/>
      <c r="M1090" s="376"/>
      <c r="N1090" s="376"/>
      <c r="O1090" s="376"/>
      <c r="P1090" s="376"/>
      <c r="Q1090" s="376"/>
      <c r="R1090" s="671">
        <v>25.0</v>
      </c>
      <c r="S1090" s="653">
        <f t="shared" ref="S1090:AF1090" si="109">S826</f>
        <v>9334</v>
      </c>
      <c r="T1090" s="654" t="str">
        <f t="shared" si="109"/>
        <v>#N/A</v>
      </c>
      <c r="U1090" s="653" t="str">
        <f t="shared" si="109"/>
        <v>Bellane Stender</v>
      </c>
      <c r="V1090" s="665">
        <f t="shared" si="109"/>
        <v>2734.8945</v>
      </c>
      <c r="W1090" s="654">
        <f t="shared" si="109"/>
        <v>2734.8945</v>
      </c>
      <c r="X1090" s="654" t="str">
        <f t="shared" si="109"/>
        <v>#N/A</v>
      </c>
      <c r="Y1090" s="655">
        <f t="shared" si="109"/>
        <v>4207.53</v>
      </c>
      <c r="Z1090" s="654" t="str">
        <f t="shared" si="109"/>
        <v>#N/A</v>
      </c>
      <c r="AA1090" s="653" t="str">
        <f t="shared" si="109"/>
        <v/>
      </c>
      <c r="AB1090" s="653" t="str">
        <f t="shared" si="109"/>
        <v/>
      </c>
      <c r="AC1090" s="654">
        <f t="shared" si="109"/>
        <v>150</v>
      </c>
      <c r="AD1090" s="654">
        <f t="shared" si="109"/>
        <v>400</v>
      </c>
      <c r="AE1090" s="654">
        <f t="shared" si="109"/>
        <v>200</v>
      </c>
      <c r="AF1090" s="665">
        <f t="shared" si="109"/>
        <v>141.21</v>
      </c>
      <c r="AG1090" s="653"/>
    </row>
    <row r="1091">
      <c r="A1091" s="378"/>
      <c r="B1091" s="996" t="s">
        <v>941</v>
      </c>
      <c r="C1091" s="996">
        <v>3881.0</v>
      </c>
      <c r="D1091" s="996">
        <v>537.76</v>
      </c>
      <c r="E1091" s="378"/>
      <c r="F1091" s="378"/>
      <c r="G1091" s="378"/>
      <c r="H1091" s="378"/>
      <c r="I1091" s="376"/>
      <c r="J1091" s="376"/>
      <c r="K1091" s="376"/>
      <c r="L1091" s="376"/>
      <c r="M1091" s="376"/>
      <c r="N1091" s="376"/>
      <c r="O1091" s="376"/>
      <c r="P1091" s="376"/>
      <c r="Q1091" s="376"/>
      <c r="R1091" s="658"/>
      <c r="S1091" s="659"/>
      <c r="T1091" s="659"/>
      <c r="U1091" s="659" t="str">
        <f t="shared" ref="U1091:AG1091" si="110">U827</f>
        <v>Neta Globbal Logistics LLC</v>
      </c>
      <c r="V1091" s="660" t="str">
        <f t="shared" si="110"/>
        <v>#N/A</v>
      </c>
      <c r="W1091" s="660">
        <f t="shared" si="110"/>
        <v>6776</v>
      </c>
      <c r="X1091" s="659" t="str">
        <f t="shared" si="110"/>
        <v/>
      </c>
      <c r="Y1091" s="659" t="str">
        <f t="shared" si="110"/>
        <v/>
      </c>
      <c r="Z1091" s="659" t="str">
        <f t="shared" si="110"/>
        <v/>
      </c>
      <c r="AA1091" s="659" t="str">
        <f t="shared" si="110"/>
        <v/>
      </c>
      <c r="AB1091" s="659" t="str">
        <f t="shared" si="110"/>
        <v/>
      </c>
      <c r="AC1091" s="659" t="str">
        <f t="shared" si="110"/>
        <v/>
      </c>
      <c r="AD1091" s="659" t="str">
        <f t="shared" si="110"/>
        <v/>
      </c>
      <c r="AE1091" s="659" t="str">
        <f t="shared" si="110"/>
        <v/>
      </c>
      <c r="AF1091" s="659" t="str">
        <f t="shared" si="110"/>
        <v/>
      </c>
      <c r="AG1091" s="659" t="str">
        <f t="shared" si="110"/>
        <v/>
      </c>
    </row>
    <row r="1092">
      <c r="A1092" s="378"/>
      <c r="B1092" s="996" t="s">
        <v>941</v>
      </c>
      <c r="C1092" s="996">
        <v>3881.0</v>
      </c>
      <c r="D1092" s="996">
        <v>1050.11</v>
      </c>
      <c r="E1092" s="378"/>
      <c r="F1092" s="378"/>
      <c r="G1092" s="378"/>
      <c r="H1092" s="378"/>
      <c r="I1092" s="376"/>
      <c r="J1092" s="376"/>
      <c r="K1092" s="376"/>
      <c r="L1092" s="376"/>
      <c r="M1092" s="376"/>
      <c r="N1092" s="376"/>
      <c r="O1092" s="376"/>
      <c r="P1092" s="376"/>
      <c r="Q1092" s="376"/>
      <c r="R1092" s="671">
        <v>26.0</v>
      </c>
      <c r="S1092" s="653">
        <f t="shared" ref="S1092:AF1092" si="111">S857</f>
        <v>9348</v>
      </c>
      <c r="T1092" s="654" t="str">
        <f t="shared" si="111"/>
        <v>#N/A</v>
      </c>
      <c r="U1092" s="653" t="str">
        <f t="shared" si="111"/>
        <v>WOODBENS JOSIL</v>
      </c>
      <c r="V1092" s="665">
        <f t="shared" si="111"/>
        <v>2469.85</v>
      </c>
      <c r="W1092" s="654">
        <f t="shared" si="111"/>
        <v>2319.85</v>
      </c>
      <c r="X1092" s="654" t="str">
        <f t="shared" si="111"/>
        <v>#N/A</v>
      </c>
      <c r="Y1092" s="655">
        <f t="shared" si="111"/>
        <v>3569</v>
      </c>
      <c r="Z1092" s="653" t="str">
        <f t="shared" si="111"/>
        <v>#N/A</v>
      </c>
      <c r="AA1092" s="653" t="str">
        <f t="shared" si="111"/>
        <v/>
      </c>
      <c r="AB1092" s="653" t="str">
        <f t="shared" si="111"/>
        <v/>
      </c>
      <c r="AC1092" s="654">
        <f t="shared" si="111"/>
        <v>150</v>
      </c>
      <c r="AD1092" s="654">
        <f t="shared" si="111"/>
        <v>400</v>
      </c>
      <c r="AE1092" s="654">
        <f t="shared" si="111"/>
        <v>200</v>
      </c>
      <c r="AF1092" s="653">
        <f t="shared" si="111"/>
        <v>0</v>
      </c>
      <c r="AG1092" s="656"/>
    </row>
    <row r="1093">
      <c r="A1093" s="378"/>
      <c r="B1093" s="996" t="s">
        <v>941</v>
      </c>
      <c r="C1093" s="996">
        <v>3881.0</v>
      </c>
      <c r="D1093" s="996">
        <v>522.33</v>
      </c>
      <c r="E1093" s="378"/>
      <c r="F1093" s="378"/>
      <c r="G1093" s="378"/>
      <c r="H1093" s="378"/>
      <c r="I1093" s="376"/>
      <c r="J1093" s="376"/>
      <c r="K1093" s="376"/>
      <c r="L1093" s="376"/>
      <c r="M1093" s="376"/>
      <c r="N1093" s="376"/>
      <c r="O1093" s="376"/>
      <c r="P1093" s="376"/>
      <c r="Q1093" s="376"/>
      <c r="R1093" s="658"/>
      <c r="S1093" s="659"/>
      <c r="T1093" s="659"/>
      <c r="U1093" s="659" t="str">
        <f t="shared" ref="U1093:AF1093" si="112">U858</f>
        <v>Ada Fleet LLC</v>
      </c>
      <c r="V1093" s="660" t="str">
        <f t="shared" si="112"/>
        <v>#N/A</v>
      </c>
      <c r="W1093" s="660">
        <f t="shared" si="112"/>
        <v>6105</v>
      </c>
      <c r="X1093" s="659" t="str">
        <f t="shared" si="112"/>
        <v/>
      </c>
      <c r="Y1093" s="659" t="str">
        <f t="shared" si="112"/>
        <v/>
      </c>
      <c r="Z1093" s="659" t="str">
        <f t="shared" si="112"/>
        <v/>
      </c>
      <c r="AA1093" s="659" t="str">
        <f t="shared" si="112"/>
        <v/>
      </c>
      <c r="AB1093" s="659" t="str">
        <f t="shared" si="112"/>
        <v/>
      </c>
      <c r="AC1093" s="659" t="str">
        <f t="shared" si="112"/>
        <v/>
      </c>
      <c r="AD1093" s="659" t="str">
        <f t="shared" si="112"/>
        <v/>
      </c>
      <c r="AE1093" s="659" t="str">
        <f t="shared" si="112"/>
        <v/>
      </c>
      <c r="AF1093" s="659" t="str">
        <f t="shared" si="112"/>
        <v/>
      </c>
      <c r="AG1093" s="661"/>
    </row>
    <row r="1094">
      <c r="A1094" s="378"/>
      <c r="B1094" s="996" t="s">
        <v>943</v>
      </c>
      <c r="C1094" s="996">
        <v>6338.0</v>
      </c>
      <c r="D1094" s="996">
        <v>330.28</v>
      </c>
      <c r="E1094" s="378"/>
      <c r="F1094" s="378"/>
      <c r="G1094" s="378"/>
      <c r="H1094" s="378"/>
      <c r="I1094" s="376"/>
      <c r="J1094" s="376"/>
      <c r="K1094" s="376"/>
      <c r="L1094" s="376"/>
      <c r="M1094" s="376"/>
      <c r="N1094" s="376"/>
      <c r="O1094" s="376"/>
      <c r="P1094" s="376"/>
      <c r="Q1094" s="376"/>
      <c r="R1094" s="671">
        <v>27.0</v>
      </c>
      <c r="S1094" s="653">
        <f t="shared" ref="S1094:AF1094" si="113">S888</f>
        <v>9617</v>
      </c>
      <c r="T1094" s="654" t="str">
        <f t="shared" si="113"/>
        <v>#N/A</v>
      </c>
      <c r="U1094" s="653" t="str">
        <f t="shared" si="113"/>
        <v>EMMANUEL MULLER</v>
      </c>
      <c r="V1094" s="665">
        <f t="shared" si="113"/>
        <v>3588.65</v>
      </c>
      <c r="W1094" s="654">
        <f t="shared" si="113"/>
        <v>3588.65</v>
      </c>
      <c r="X1094" s="654" t="str">
        <f t="shared" si="113"/>
        <v>#N/A</v>
      </c>
      <c r="Y1094" s="655">
        <f t="shared" si="113"/>
        <v>5521</v>
      </c>
      <c r="Z1094" s="653" t="str">
        <f t="shared" si="113"/>
        <v>#N/A</v>
      </c>
      <c r="AA1094" s="653" t="str">
        <f t="shared" si="113"/>
        <v/>
      </c>
      <c r="AB1094" s="653" t="str">
        <f t="shared" si="113"/>
        <v/>
      </c>
      <c r="AC1094" s="654">
        <f t="shared" si="113"/>
        <v>150</v>
      </c>
      <c r="AD1094" s="654">
        <f t="shared" si="113"/>
        <v>400</v>
      </c>
      <c r="AE1094" s="654">
        <f t="shared" si="113"/>
        <v>200</v>
      </c>
      <c r="AF1094" s="653">
        <f t="shared" si="113"/>
        <v>0</v>
      </c>
      <c r="AG1094" s="656"/>
    </row>
    <row r="1095">
      <c r="A1095" s="378"/>
      <c r="B1095" s="996" t="s">
        <v>1477</v>
      </c>
      <c r="C1095" s="996">
        <v>6338.0</v>
      </c>
      <c r="D1095" s="996">
        <v>595.98</v>
      </c>
      <c r="E1095" s="378"/>
      <c r="F1095" s="378"/>
      <c r="G1095" s="378"/>
      <c r="H1095" s="378"/>
      <c r="I1095" s="376"/>
      <c r="J1095" s="376"/>
      <c r="K1095" s="376"/>
      <c r="L1095" s="376"/>
      <c r="M1095" s="376"/>
      <c r="N1095" s="376"/>
      <c r="O1095" s="376"/>
      <c r="P1095" s="376"/>
      <c r="Q1095" s="376"/>
      <c r="R1095" s="658"/>
      <c r="S1095" s="659"/>
      <c r="T1095" s="659"/>
      <c r="U1095" s="659" t="str">
        <f t="shared" ref="U1095:AF1095" si="114">U889</f>
        <v>Nationwide LLC</v>
      </c>
      <c r="V1095" s="660" t="str">
        <f t="shared" si="114"/>
        <v>#N/A</v>
      </c>
      <c r="W1095" s="660">
        <f t="shared" si="114"/>
        <v>9152</v>
      </c>
      <c r="X1095" s="659" t="str">
        <f t="shared" si="114"/>
        <v/>
      </c>
      <c r="Y1095" s="659" t="str">
        <f t="shared" si="114"/>
        <v/>
      </c>
      <c r="Z1095" s="659" t="str">
        <f t="shared" si="114"/>
        <v/>
      </c>
      <c r="AA1095" s="659" t="str">
        <f t="shared" si="114"/>
        <v/>
      </c>
      <c r="AB1095" s="659" t="str">
        <f t="shared" si="114"/>
        <v/>
      </c>
      <c r="AC1095" s="659" t="str">
        <f t="shared" si="114"/>
        <v/>
      </c>
      <c r="AD1095" s="659" t="str">
        <f t="shared" si="114"/>
        <v/>
      </c>
      <c r="AE1095" s="659" t="str">
        <f t="shared" si="114"/>
        <v/>
      </c>
      <c r="AF1095" s="659" t="str">
        <f t="shared" si="114"/>
        <v/>
      </c>
      <c r="AG1095" s="661"/>
    </row>
    <row r="1096">
      <c r="A1096" s="378"/>
      <c r="B1096" s="996" t="s">
        <v>1478</v>
      </c>
      <c r="C1096" s="996">
        <v>6339.0</v>
      </c>
      <c r="D1096" s="996">
        <v>651.92</v>
      </c>
      <c r="E1096" s="378"/>
      <c r="F1096" s="378"/>
      <c r="G1096" s="378"/>
      <c r="H1096" s="378"/>
      <c r="I1096" s="376"/>
      <c r="J1096" s="376"/>
      <c r="K1096" s="376"/>
      <c r="L1096" s="376"/>
      <c r="M1096" s="376"/>
      <c r="N1096" s="376"/>
      <c r="O1096" s="376"/>
      <c r="P1096" s="376"/>
      <c r="Q1096" s="376"/>
      <c r="R1096" s="671">
        <v>28.0</v>
      </c>
      <c r="S1096" s="653">
        <f t="shared" ref="S1096:AG1096" si="115">S919</f>
        <v>6960</v>
      </c>
      <c r="T1096" s="654" t="str">
        <f t="shared" si="115"/>
        <v>#N/A</v>
      </c>
      <c r="U1096" s="653" t="str">
        <f t="shared" si="115"/>
        <v>ROUDELINE ZEPHIRIN</v>
      </c>
      <c r="V1096" s="665">
        <f t="shared" si="115"/>
        <v>5562.808</v>
      </c>
      <c r="W1096" s="654">
        <f t="shared" si="115"/>
        <v>946.808</v>
      </c>
      <c r="X1096" s="654" t="str">
        <f t="shared" si="115"/>
        <v>#N/A</v>
      </c>
      <c r="Y1096" s="655">
        <f t="shared" si="115"/>
        <v>1183.51</v>
      </c>
      <c r="Z1096" s="654" t="str">
        <f t="shared" si="115"/>
        <v>#N/A</v>
      </c>
      <c r="AA1096" s="653" t="str">
        <f t="shared" si="115"/>
        <v/>
      </c>
      <c r="AB1096" s="653" t="str">
        <f t="shared" si="115"/>
        <v/>
      </c>
      <c r="AC1096" s="654">
        <f t="shared" si="115"/>
        <v>150</v>
      </c>
      <c r="AD1096" s="654">
        <f t="shared" si="115"/>
        <v>400</v>
      </c>
      <c r="AE1096" s="654">
        <f t="shared" si="115"/>
        <v>200</v>
      </c>
      <c r="AF1096" s="653" t="str">
        <f t="shared" si="115"/>
        <v/>
      </c>
      <c r="AG1096" s="656" t="str">
        <f t="shared" si="115"/>
        <v/>
      </c>
    </row>
    <row r="1097">
      <c r="A1097" s="378"/>
      <c r="B1097" s="996" t="s">
        <v>1478</v>
      </c>
      <c r="C1097" s="996">
        <v>6339.0</v>
      </c>
      <c r="D1097" s="996">
        <v>382.36</v>
      </c>
      <c r="E1097" s="378"/>
      <c r="F1097" s="378"/>
      <c r="G1097" s="378"/>
      <c r="H1097" s="378"/>
      <c r="I1097" s="376"/>
      <c r="J1097" s="376"/>
      <c r="K1097" s="376"/>
      <c r="L1097" s="376"/>
      <c r="M1097" s="376"/>
      <c r="N1097" s="376"/>
      <c r="O1097" s="376"/>
      <c r="P1097" s="376"/>
      <c r="Q1097" s="376"/>
      <c r="R1097" s="658"/>
      <c r="S1097" s="659"/>
      <c r="T1097" s="659"/>
      <c r="U1097" s="659" t="str">
        <f t="shared" ref="U1097:AG1097" si="116">U920</f>
        <v>Arba Express LLC</v>
      </c>
      <c r="V1097" s="660" t="str">
        <f t="shared" si="116"/>
        <v>#N/A</v>
      </c>
      <c r="W1097" s="660">
        <f t="shared" si="116"/>
        <v>2000</v>
      </c>
      <c r="X1097" s="659" t="str">
        <f t="shared" si="116"/>
        <v/>
      </c>
      <c r="Y1097" s="659" t="str">
        <f t="shared" si="116"/>
        <v/>
      </c>
      <c r="Z1097" s="659" t="str">
        <f t="shared" si="116"/>
        <v/>
      </c>
      <c r="AA1097" s="659" t="str">
        <f t="shared" si="116"/>
        <v/>
      </c>
      <c r="AB1097" s="659" t="str">
        <f t="shared" si="116"/>
        <v/>
      </c>
      <c r="AC1097" s="659" t="str">
        <f t="shared" si="116"/>
        <v/>
      </c>
      <c r="AD1097" s="659" t="str">
        <f t="shared" si="116"/>
        <v/>
      </c>
      <c r="AE1097" s="659" t="str">
        <f t="shared" si="116"/>
        <v/>
      </c>
      <c r="AF1097" s="659" t="str">
        <f t="shared" si="116"/>
        <v/>
      </c>
      <c r="AG1097" s="661" t="str">
        <f t="shared" si="116"/>
        <v/>
      </c>
    </row>
    <row r="1098">
      <c r="A1098" s="378"/>
      <c r="B1098" s="996" t="s">
        <v>1479</v>
      </c>
      <c r="C1098" s="996">
        <v>6339.0</v>
      </c>
      <c r="D1098" s="996">
        <v>169.82</v>
      </c>
      <c r="E1098" s="378"/>
      <c r="F1098" s="378"/>
      <c r="G1098" s="378"/>
      <c r="H1098" s="378"/>
      <c r="I1098" s="376"/>
      <c r="J1098" s="376"/>
      <c r="K1098" s="376"/>
      <c r="L1098" s="376"/>
      <c r="M1098" s="376"/>
      <c r="N1098" s="376"/>
      <c r="O1098" s="376"/>
      <c r="P1098" s="376"/>
      <c r="Q1098" s="376"/>
      <c r="R1098" s="671">
        <v>29.0</v>
      </c>
      <c r="S1098" s="653" t="str">
        <f>S950</f>
        <v/>
      </c>
      <c r="T1098" s="653"/>
      <c r="U1098" s="653" t="str">
        <f t="shared" ref="U1098:U1099" si="118">U950</f>
        <v/>
      </c>
      <c r="V1098" s="665"/>
      <c r="W1098" s="654"/>
      <c r="X1098" s="654"/>
      <c r="Y1098" s="655"/>
      <c r="Z1098" s="654"/>
      <c r="AA1098" s="653" t="str">
        <f t="shared" ref="AA1098:AG1098" si="117">AA950</f>
        <v/>
      </c>
      <c r="AB1098" s="653" t="str">
        <f t="shared" si="117"/>
        <v/>
      </c>
      <c r="AC1098" s="654" t="str">
        <f t="shared" si="117"/>
        <v/>
      </c>
      <c r="AD1098" s="654" t="str">
        <f t="shared" si="117"/>
        <v/>
      </c>
      <c r="AE1098" s="654" t="str">
        <f t="shared" si="117"/>
        <v/>
      </c>
      <c r="AF1098" s="653">
        <f t="shared" si="117"/>
        <v>0</v>
      </c>
      <c r="AG1098" s="656" t="str">
        <f t="shared" si="117"/>
        <v/>
      </c>
    </row>
    <row r="1099">
      <c r="A1099" s="378"/>
      <c r="B1099" s="996" t="s">
        <v>1478</v>
      </c>
      <c r="C1099" s="996">
        <v>6339.0</v>
      </c>
      <c r="D1099" s="996">
        <v>696.12</v>
      </c>
      <c r="E1099" s="378"/>
      <c r="F1099" s="378"/>
      <c r="G1099" s="378"/>
      <c r="H1099" s="378"/>
      <c r="I1099" s="376"/>
      <c r="J1099" s="376"/>
      <c r="K1099" s="376"/>
      <c r="L1099" s="376"/>
      <c r="M1099" s="376"/>
      <c r="N1099" s="376"/>
      <c r="O1099" s="376"/>
      <c r="P1099" s="376"/>
      <c r="Q1099" s="376"/>
      <c r="R1099" s="658"/>
      <c r="S1099" s="659"/>
      <c r="T1099" s="659"/>
      <c r="U1099" s="659" t="str">
        <f t="shared" si="118"/>
        <v/>
      </c>
      <c r="V1099" s="660"/>
      <c r="W1099" s="660">
        <f t="shared" ref="W1099:AG1099" si="119">W951</f>
        <v>0</v>
      </c>
      <c r="X1099" s="659" t="str">
        <f t="shared" si="119"/>
        <v/>
      </c>
      <c r="Y1099" s="659" t="str">
        <f t="shared" si="119"/>
        <v/>
      </c>
      <c r="Z1099" s="659" t="str">
        <f t="shared" si="119"/>
        <v/>
      </c>
      <c r="AA1099" s="659" t="str">
        <f t="shared" si="119"/>
        <v/>
      </c>
      <c r="AB1099" s="659" t="str">
        <f t="shared" si="119"/>
        <v/>
      </c>
      <c r="AC1099" s="659" t="str">
        <f t="shared" si="119"/>
        <v/>
      </c>
      <c r="AD1099" s="659" t="str">
        <f t="shared" si="119"/>
        <v/>
      </c>
      <c r="AE1099" s="659" t="str">
        <f t="shared" si="119"/>
        <v/>
      </c>
      <c r="AF1099" s="659" t="str">
        <f t="shared" si="119"/>
        <v/>
      </c>
      <c r="AG1099" s="661" t="str">
        <f t="shared" si="119"/>
        <v/>
      </c>
    </row>
    <row r="1100">
      <c r="A1100" s="378"/>
      <c r="B1100" s="996" t="s">
        <v>945</v>
      </c>
      <c r="C1100" s="996">
        <v>6643.0</v>
      </c>
      <c r="D1100" s="996">
        <v>325.51</v>
      </c>
      <c r="E1100" s="378"/>
      <c r="F1100" s="378"/>
      <c r="G1100" s="378"/>
      <c r="H1100" s="378"/>
      <c r="I1100" s="376"/>
      <c r="J1100" s="376"/>
      <c r="K1100" s="376"/>
      <c r="L1100" s="376"/>
      <c r="M1100" s="376"/>
      <c r="N1100" s="376"/>
      <c r="O1100" s="376"/>
      <c r="P1100" s="376"/>
      <c r="Q1100" s="376"/>
      <c r="R1100" s="671">
        <v>30.0</v>
      </c>
      <c r="S1100" s="653">
        <f t="shared" ref="S1100:AG1100" si="120">S981</f>
        <v>913</v>
      </c>
      <c r="T1100" s="654">
        <f t="shared" si="120"/>
        <v>3800</v>
      </c>
      <c r="U1100" s="653" t="str">
        <f t="shared" si="120"/>
        <v>Jeremy Potter</v>
      </c>
      <c r="V1100" s="665">
        <f t="shared" si="120"/>
        <v>1221.35</v>
      </c>
      <c r="W1100" s="654">
        <f t="shared" si="120"/>
        <v>1221.35</v>
      </c>
      <c r="X1100" s="654">
        <f t="shared" si="120"/>
        <v>569.53</v>
      </c>
      <c r="Y1100" s="655">
        <f t="shared" si="120"/>
        <v>1879</v>
      </c>
      <c r="Z1100" s="654">
        <f t="shared" si="120"/>
        <v>2578.65</v>
      </c>
      <c r="AA1100" s="654" t="str">
        <f t="shared" si="120"/>
        <v/>
      </c>
      <c r="AB1100" s="654" t="str">
        <f t="shared" si="120"/>
        <v/>
      </c>
      <c r="AC1100" s="654" t="str">
        <f t="shared" si="120"/>
        <v/>
      </c>
      <c r="AD1100" s="654" t="str">
        <f t="shared" si="120"/>
        <v/>
      </c>
      <c r="AE1100" s="654" t="str">
        <f t="shared" si="120"/>
        <v/>
      </c>
      <c r="AF1100" s="654">
        <f t="shared" si="120"/>
        <v>493.28</v>
      </c>
      <c r="AG1100" s="654" t="str">
        <f t="shared" si="120"/>
        <v/>
      </c>
    </row>
    <row r="1101">
      <c r="A1101" s="378"/>
      <c r="B1101" s="996" t="s">
        <v>945</v>
      </c>
      <c r="C1101" s="996">
        <v>6643.0</v>
      </c>
      <c r="D1101" s="996">
        <v>288.48</v>
      </c>
      <c r="E1101" s="378"/>
      <c r="F1101" s="378"/>
      <c r="G1101" s="378"/>
      <c r="H1101" s="378"/>
      <c r="I1101" s="376"/>
      <c r="J1101" s="376"/>
      <c r="K1101" s="376"/>
      <c r="L1101" s="376"/>
      <c r="M1101" s="376"/>
      <c r="N1101" s="376"/>
      <c r="O1101" s="376"/>
      <c r="P1101" s="376"/>
      <c r="Q1101" s="376"/>
      <c r="R1101" s="681"/>
      <c r="S1101" s="682"/>
      <c r="T1101" s="682"/>
      <c r="U1101" s="659" t="str">
        <f t="shared" ref="U1101:AG1101" si="121">U982</f>
        <v>Perli Ovio LLC</v>
      </c>
      <c r="V1101" s="660">
        <f t="shared" si="121"/>
        <v>3800</v>
      </c>
      <c r="W1101" s="660">
        <f t="shared" si="121"/>
        <v>3800</v>
      </c>
      <c r="X1101" s="659" t="str">
        <f t="shared" si="121"/>
        <v/>
      </c>
      <c r="Y1101" s="659" t="str">
        <f t="shared" si="121"/>
        <v/>
      </c>
      <c r="Z1101" s="659" t="str">
        <f t="shared" si="121"/>
        <v/>
      </c>
      <c r="AA1101" s="659" t="str">
        <f t="shared" si="121"/>
        <v/>
      </c>
      <c r="AB1101" s="659" t="str">
        <f t="shared" si="121"/>
        <v/>
      </c>
      <c r="AC1101" s="659" t="str">
        <f t="shared" si="121"/>
        <v/>
      </c>
      <c r="AD1101" s="659" t="str">
        <f t="shared" si="121"/>
        <v/>
      </c>
      <c r="AE1101" s="659" t="str">
        <f t="shared" si="121"/>
        <v/>
      </c>
      <c r="AF1101" s="659" t="str">
        <f t="shared" si="121"/>
        <v/>
      </c>
      <c r="AG1101" s="661" t="str">
        <f t="shared" si="121"/>
        <v/>
      </c>
    </row>
    <row r="1102">
      <c r="A1102" s="378"/>
      <c r="B1102" s="996" t="s">
        <v>945</v>
      </c>
      <c r="C1102" s="996">
        <v>6643.0</v>
      </c>
      <c r="D1102" s="996">
        <v>481.0</v>
      </c>
      <c r="E1102" s="378"/>
      <c r="F1102" s="378"/>
      <c r="G1102" s="378"/>
      <c r="H1102" s="378"/>
      <c r="I1102" s="376"/>
      <c r="J1102" s="376"/>
      <c r="K1102" s="376"/>
      <c r="L1102" s="376"/>
      <c r="M1102" s="376"/>
      <c r="N1102" s="376"/>
      <c r="O1102" s="376"/>
      <c r="P1102" s="376"/>
      <c r="Q1102" s="376"/>
      <c r="R1102" s="376"/>
      <c r="S1102" s="376"/>
      <c r="T1102" s="376" t="str">
        <f>SUM(T1042:T1101)</f>
        <v>#N/A</v>
      </c>
      <c r="U1102" s="376"/>
      <c r="V1102" s="376"/>
      <c r="W1102" s="376"/>
      <c r="X1102" s="376" t="str">
        <f t="shared" ref="X1102:AG1102" si="122">SUM(X1042:X1101)</f>
        <v>#N/A</v>
      </c>
      <c r="Y1102" s="684">
        <f t="shared" si="122"/>
        <v>92041.04</v>
      </c>
      <c r="Z1102" s="376" t="str">
        <f t="shared" si="122"/>
        <v>#N/A</v>
      </c>
      <c r="AA1102" s="376">
        <f t="shared" si="122"/>
        <v>-2756.82</v>
      </c>
      <c r="AB1102" s="376">
        <f t="shared" si="122"/>
        <v>-328.24</v>
      </c>
      <c r="AC1102" s="683">
        <f t="shared" si="122"/>
        <v>3150</v>
      </c>
      <c r="AD1102" s="683">
        <f t="shared" si="122"/>
        <v>8800</v>
      </c>
      <c r="AE1102" s="683">
        <f t="shared" si="122"/>
        <v>3800</v>
      </c>
      <c r="AF1102" s="683">
        <f t="shared" si="122"/>
        <v>21949.12167</v>
      </c>
      <c r="AG1102" s="376">
        <f t="shared" si="122"/>
        <v>0</v>
      </c>
    </row>
    <row r="1103">
      <c r="A1103" s="378"/>
      <c r="B1103" s="996" t="s">
        <v>945</v>
      </c>
      <c r="C1103" s="996">
        <v>6643.0</v>
      </c>
      <c r="D1103" s="996">
        <v>324.45</v>
      </c>
      <c r="E1103" s="378"/>
      <c r="F1103" s="378"/>
      <c r="G1103" s="378"/>
      <c r="H1103" s="378"/>
      <c r="I1103" s="376"/>
      <c r="J1103" s="376"/>
      <c r="K1103" s="376"/>
      <c r="L1103" s="376"/>
      <c r="M1103" s="376"/>
      <c r="N1103" s="376"/>
      <c r="O1103" s="376"/>
      <c r="P1103" s="376"/>
      <c r="Q1103" s="376"/>
      <c r="R1103" s="376"/>
      <c r="S1103" s="376"/>
      <c r="T1103" s="376"/>
      <c r="U1103" s="376"/>
      <c r="V1103" s="376"/>
      <c r="W1103" s="376"/>
      <c r="X1103" s="376"/>
      <c r="Y1103" s="376"/>
      <c r="Z1103" s="376"/>
      <c r="AA1103" s="376"/>
      <c r="AB1103" s="376"/>
      <c r="AC1103" s="376"/>
      <c r="AD1103" s="376"/>
      <c r="AE1103" s="376"/>
      <c r="AF1103" s="376"/>
      <c r="AG1103" s="376"/>
    </row>
    <row r="1104">
      <c r="A1104" s="378"/>
      <c r="B1104" s="996" t="s">
        <v>945</v>
      </c>
      <c r="C1104" s="996">
        <v>6643.0</v>
      </c>
      <c r="D1104" s="996">
        <v>243.78</v>
      </c>
      <c r="E1104" s="378"/>
      <c r="F1104" s="378"/>
      <c r="G1104" s="378"/>
      <c r="H1104" s="378"/>
      <c r="I1104" s="376"/>
      <c r="J1104" s="376"/>
      <c r="K1104" s="376"/>
      <c r="L1104" s="376"/>
      <c r="M1104" s="376"/>
      <c r="N1104" s="376"/>
      <c r="O1104" s="376"/>
      <c r="P1104" s="376"/>
      <c r="Q1104" s="376"/>
      <c r="R1104" s="376"/>
      <c r="S1104" s="376"/>
      <c r="T1104" s="376"/>
      <c r="U1104" s="376"/>
      <c r="V1104" s="376"/>
      <c r="W1104" s="376"/>
      <c r="X1104" s="376"/>
      <c r="Y1104" s="376"/>
      <c r="Z1104" s="376"/>
      <c r="AA1104" s="376"/>
      <c r="AB1104" s="376"/>
      <c r="AC1104" s="376"/>
      <c r="AD1104" s="376"/>
      <c r="AE1104" s="376"/>
      <c r="AF1104" s="376"/>
      <c r="AG1104" s="376"/>
    </row>
    <row r="1105">
      <c r="A1105" s="378"/>
      <c r="B1105" s="996" t="s">
        <v>947</v>
      </c>
      <c r="C1105" s="996">
        <v>6813.0</v>
      </c>
      <c r="D1105" s="996">
        <v>449.7</v>
      </c>
      <c r="E1105" s="378"/>
      <c r="F1105" s="378"/>
      <c r="G1105" s="378"/>
      <c r="H1105" s="378"/>
      <c r="I1105" s="376"/>
      <c r="J1105" s="376"/>
      <c r="K1105" s="376"/>
      <c r="L1105" s="376"/>
      <c r="M1105" s="376"/>
      <c r="N1105" s="376"/>
      <c r="O1105" s="376"/>
      <c r="P1105" s="376"/>
      <c r="Q1105" s="376"/>
      <c r="R1105" s="376"/>
      <c r="S1105" s="376"/>
      <c r="T1105" s="376"/>
      <c r="U1105" s="376"/>
      <c r="V1105" s="376"/>
      <c r="W1105" s="376"/>
      <c r="X1105" s="376"/>
      <c r="Y1105" s="376"/>
      <c r="Z1105" s="376"/>
      <c r="AA1105" s="376"/>
      <c r="AB1105" s="376"/>
      <c r="AC1105" s="376"/>
      <c r="AD1105" s="376"/>
      <c r="AE1105" s="376"/>
      <c r="AF1105" s="376"/>
      <c r="AG1105" s="376"/>
    </row>
    <row r="1106">
      <c r="A1106" s="378"/>
      <c r="B1106" s="996" t="s">
        <v>947</v>
      </c>
      <c r="C1106" s="996">
        <v>6813.0</v>
      </c>
      <c r="D1106" s="996">
        <v>555.12</v>
      </c>
      <c r="E1106" s="378"/>
      <c r="F1106" s="378"/>
      <c r="G1106" s="378"/>
      <c r="H1106" s="378"/>
      <c r="I1106" s="376"/>
      <c r="J1106" s="376"/>
      <c r="K1106" s="376"/>
      <c r="L1106" s="376"/>
      <c r="M1106" s="376"/>
      <c r="N1106" s="376"/>
      <c r="O1106" s="376"/>
      <c r="P1106" s="376"/>
      <c r="Q1106" s="376"/>
      <c r="R1106" s="376"/>
      <c r="S1106" s="376"/>
      <c r="T1106" s="376"/>
      <c r="U1106" s="376"/>
      <c r="V1106" s="376"/>
      <c r="W1106" s="376"/>
      <c r="X1106" s="376"/>
      <c r="Y1106" s="376"/>
      <c r="Z1106" s="376"/>
      <c r="AA1106" s="376"/>
      <c r="AB1106" s="376"/>
      <c r="AC1106" s="376"/>
      <c r="AD1106" s="376"/>
      <c r="AE1106" s="376"/>
      <c r="AF1106" s="376"/>
      <c r="AG1106" s="376"/>
    </row>
    <row r="1107">
      <c r="A1107" s="378"/>
      <c r="B1107" s="996" t="s">
        <v>949</v>
      </c>
      <c r="C1107" s="996">
        <v>6960.0</v>
      </c>
      <c r="D1107" s="996">
        <v>625.12</v>
      </c>
      <c r="E1107" s="378"/>
      <c r="F1107" s="378"/>
      <c r="G1107" s="378"/>
      <c r="H1107" s="378"/>
      <c r="I1107" s="376"/>
      <c r="J1107" s="376"/>
      <c r="K1107" s="376"/>
      <c r="L1107" s="376"/>
      <c r="M1107" s="376"/>
      <c r="N1107" s="376"/>
      <c r="O1107" s="376"/>
      <c r="P1107" s="376"/>
      <c r="Q1107" s="376"/>
      <c r="R1107" s="376"/>
      <c r="S1107" s="376"/>
      <c r="T1107" s="376"/>
      <c r="U1107" s="376"/>
      <c r="V1107" s="376"/>
      <c r="W1107" s="376"/>
      <c r="X1107" s="376"/>
      <c r="Y1107" s="376"/>
      <c r="Z1107" s="376"/>
      <c r="AA1107" s="376"/>
      <c r="AB1107" s="376"/>
      <c r="AC1107" s="376"/>
      <c r="AD1107" s="376"/>
      <c r="AE1107" s="376"/>
      <c r="AF1107" s="376"/>
      <c r="AG1107" s="376"/>
    </row>
    <row r="1108">
      <c r="A1108" s="378"/>
      <c r="B1108" s="996" t="s">
        <v>1480</v>
      </c>
      <c r="C1108" s="996">
        <v>7048.0</v>
      </c>
      <c r="D1108" s="996">
        <v>606.42</v>
      </c>
      <c r="E1108" s="378"/>
      <c r="F1108" s="378"/>
      <c r="G1108" s="378"/>
      <c r="H1108" s="378"/>
      <c r="I1108" s="376"/>
      <c r="J1108" s="376"/>
      <c r="K1108" s="376"/>
      <c r="L1108" s="376"/>
      <c r="M1108" s="376"/>
      <c r="N1108" s="376"/>
      <c r="O1108" s="376"/>
      <c r="P1108" s="376"/>
      <c r="Q1108" s="376"/>
      <c r="R1108" s="376"/>
      <c r="S1108" s="376"/>
      <c r="T1108" s="376"/>
      <c r="U1108" s="376"/>
      <c r="V1108" s="376"/>
      <c r="W1108" s="376"/>
      <c r="X1108" s="376"/>
      <c r="Y1108" s="376"/>
      <c r="Z1108" s="376"/>
      <c r="AA1108" s="376"/>
      <c r="AB1108" s="376"/>
      <c r="AC1108" s="376"/>
      <c r="AD1108" s="376"/>
      <c r="AE1108" s="376"/>
      <c r="AF1108" s="376"/>
      <c r="AG1108" s="376"/>
    </row>
    <row r="1109">
      <c r="A1109" s="378"/>
      <c r="B1109" s="996" t="s">
        <v>1480</v>
      </c>
      <c r="C1109" s="996">
        <v>7048.0</v>
      </c>
      <c r="D1109" s="996">
        <v>613.11</v>
      </c>
      <c r="E1109" s="378"/>
      <c r="F1109" s="378"/>
      <c r="G1109" s="378"/>
      <c r="H1109" s="378"/>
      <c r="I1109" s="376"/>
      <c r="J1109" s="376"/>
      <c r="K1109" s="376"/>
      <c r="L1109" s="376"/>
      <c r="M1109" s="376"/>
      <c r="N1109" s="376"/>
      <c r="O1109" s="376"/>
      <c r="P1109" s="376"/>
      <c r="Q1109" s="376"/>
      <c r="R1109" s="376"/>
      <c r="S1109" s="376"/>
      <c r="T1109" s="376"/>
      <c r="U1109" s="376"/>
      <c r="V1109" s="376"/>
      <c r="W1109" s="376"/>
      <c r="X1109" s="376"/>
      <c r="Y1109" s="376"/>
      <c r="Z1109" s="376"/>
      <c r="AA1109" s="376"/>
      <c r="AB1109" s="376"/>
      <c r="AC1109" s="376"/>
      <c r="AD1109" s="376"/>
      <c r="AE1109" s="376"/>
      <c r="AF1109" s="376"/>
      <c r="AG1109" s="376"/>
    </row>
    <row r="1110">
      <c r="A1110" s="378"/>
      <c r="B1110" s="996" t="s">
        <v>1481</v>
      </c>
      <c r="C1110" s="996">
        <v>7265.0</v>
      </c>
      <c r="D1110" s="996">
        <v>613.08</v>
      </c>
      <c r="E1110" s="378"/>
      <c r="F1110" s="378"/>
      <c r="G1110" s="378"/>
      <c r="H1110" s="378"/>
      <c r="I1110" s="376"/>
      <c r="J1110" s="376"/>
      <c r="K1110" s="376"/>
      <c r="L1110" s="376"/>
      <c r="M1110" s="376"/>
      <c r="N1110" s="376"/>
      <c r="O1110" s="376"/>
      <c r="P1110" s="376"/>
      <c r="Q1110" s="376"/>
      <c r="R1110" s="376"/>
      <c r="S1110" s="376"/>
      <c r="T1110" s="376"/>
      <c r="U1110" s="376"/>
      <c r="V1110" s="376"/>
      <c r="W1110" s="376"/>
      <c r="X1110" s="376"/>
      <c r="Y1110" s="376"/>
      <c r="Z1110" s="376"/>
      <c r="AA1110" s="376"/>
      <c r="AB1110" s="376"/>
      <c r="AC1110" s="376"/>
      <c r="AD1110" s="376"/>
      <c r="AE1110" s="376"/>
      <c r="AF1110" s="376"/>
      <c r="AG1110" s="376"/>
    </row>
    <row r="1111">
      <c r="A1111" s="378"/>
      <c r="B1111" s="996" t="s">
        <v>1481</v>
      </c>
      <c r="C1111" s="996">
        <v>7265.0</v>
      </c>
      <c r="D1111" s="996">
        <v>612.23</v>
      </c>
      <c r="E1111" s="378"/>
      <c r="F1111" s="378"/>
      <c r="G1111" s="378"/>
      <c r="H1111" s="378"/>
      <c r="I1111" s="376"/>
      <c r="J1111" s="376"/>
      <c r="K1111" s="376"/>
      <c r="L1111" s="376"/>
      <c r="M1111" s="376"/>
      <c r="N1111" s="376"/>
      <c r="O1111" s="376"/>
      <c r="P1111" s="376"/>
      <c r="Q1111" s="376"/>
      <c r="R1111" s="376"/>
      <c r="S1111" s="376"/>
      <c r="T1111" s="376"/>
      <c r="U1111" s="376"/>
      <c r="V1111" s="376"/>
      <c r="W1111" s="376"/>
      <c r="X1111" s="376"/>
      <c r="Y1111" s="376"/>
      <c r="Z1111" s="376"/>
      <c r="AA1111" s="376"/>
      <c r="AB1111" s="376"/>
      <c r="AC1111" s="376"/>
      <c r="AD1111" s="376"/>
      <c r="AE1111" s="376"/>
      <c r="AF1111" s="376"/>
      <c r="AG1111" s="376"/>
    </row>
    <row r="1112">
      <c r="A1112" s="378"/>
      <c r="B1112" s="996" t="s">
        <v>952</v>
      </c>
      <c r="C1112" s="996">
        <v>7265.0</v>
      </c>
      <c r="D1112" s="996">
        <v>224.77</v>
      </c>
      <c r="E1112" s="378"/>
      <c r="F1112" s="378"/>
      <c r="G1112" s="378"/>
      <c r="H1112" s="378"/>
      <c r="I1112" s="376"/>
      <c r="J1112" s="376"/>
      <c r="K1112" s="376"/>
      <c r="L1112" s="376"/>
      <c r="M1112" s="376"/>
      <c r="N1112" s="376"/>
      <c r="O1112" s="376"/>
      <c r="P1112" s="376"/>
      <c r="Q1112" s="376"/>
      <c r="R1112" s="376"/>
      <c r="S1112" s="376"/>
      <c r="T1112" s="376"/>
      <c r="U1112" s="376"/>
      <c r="V1112" s="376"/>
      <c r="W1112" s="376"/>
      <c r="X1112" s="376"/>
      <c r="Y1112" s="376"/>
      <c r="Z1112" s="376"/>
      <c r="AA1112" s="376"/>
      <c r="AB1112" s="376"/>
      <c r="AC1112" s="376"/>
      <c r="AD1112" s="376"/>
      <c r="AE1112" s="376"/>
      <c r="AF1112" s="376"/>
      <c r="AG1112" s="376"/>
    </row>
    <row r="1113">
      <c r="A1113" s="378"/>
      <c r="B1113" s="996" t="s">
        <v>953</v>
      </c>
      <c r="C1113" s="996">
        <v>7352.0</v>
      </c>
      <c r="D1113" s="996">
        <v>267.5</v>
      </c>
      <c r="E1113" s="378"/>
      <c r="F1113" s="378"/>
      <c r="G1113" s="378"/>
      <c r="H1113" s="378"/>
      <c r="I1113" s="376"/>
      <c r="J1113" s="376"/>
      <c r="K1113" s="376"/>
      <c r="L1113" s="376"/>
      <c r="M1113" s="376"/>
      <c r="N1113" s="376"/>
      <c r="O1113" s="376"/>
      <c r="P1113" s="376"/>
      <c r="Q1113" s="376"/>
      <c r="R1113" s="376"/>
      <c r="S1113" s="376"/>
      <c r="T1113" s="376"/>
      <c r="U1113" s="376"/>
      <c r="V1113" s="376"/>
      <c r="W1113" s="376"/>
      <c r="X1113" s="376"/>
      <c r="Y1113" s="376"/>
      <c r="Z1113" s="376"/>
      <c r="AA1113" s="376"/>
      <c r="AB1113" s="376"/>
      <c r="AC1113" s="376"/>
      <c r="AD1113" s="376"/>
      <c r="AE1113" s="376"/>
      <c r="AF1113" s="376"/>
      <c r="AG1113" s="376"/>
    </row>
    <row r="1114">
      <c r="A1114" s="378"/>
      <c r="B1114" s="996" t="s">
        <v>953</v>
      </c>
      <c r="C1114" s="996">
        <v>7352.0</v>
      </c>
      <c r="D1114" s="996">
        <v>609.68</v>
      </c>
      <c r="E1114" s="378"/>
      <c r="F1114" s="378"/>
      <c r="G1114" s="378"/>
      <c r="H1114" s="378"/>
      <c r="I1114" s="376"/>
      <c r="J1114" s="376"/>
      <c r="K1114" s="376"/>
      <c r="L1114" s="376"/>
      <c r="M1114" s="376"/>
      <c r="N1114" s="376"/>
      <c r="O1114" s="376"/>
      <c r="P1114" s="376"/>
      <c r="Q1114" s="376"/>
      <c r="R1114" s="376"/>
      <c r="S1114" s="376"/>
      <c r="T1114" s="376"/>
      <c r="U1114" s="376"/>
      <c r="V1114" s="376"/>
      <c r="W1114" s="376"/>
      <c r="X1114" s="376"/>
      <c r="Y1114" s="376"/>
      <c r="Z1114" s="376"/>
      <c r="AA1114" s="376"/>
      <c r="AB1114" s="376"/>
      <c r="AC1114" s="376"/>
      <c r="AD1114" s="376"/>
      <c r="AE1114" s="376"/>
      <c r="AF1114" s="376"/>
      <c r="AG1114" s="376"/>
    </row>
    <row r="1115">
      <c r="A1115" s="378"/>
      <c r="B1115" s="996" t="s">
        <v>953</v>
      </c>
      <c r="C1115" s="996">
        <v>7352.0</v>
      </c>
      <c r="D1115" s="996">
        <v>595.88</v>
      </c>
      <c r="E1115" s="378"/>
      <c r="F1115" s="378"/>
      <c r="G1115" s="378"/>
      <c r="H1115" s="378"/>
      <c r="I1115" s="376"/>
      <c r="J1115" s="376"/>
      <c r="K1115" s="376"/>
      <c r="L1115" s="376"/>
      <c r="M1115" s="376"/>
      <c r="N1115" s="376"/>
      <c r="O1115" s="376"/>
      <c r="P1115" s="376"/>
      <c r="Q1115" s="376"/>
      <c r="R1115" s="376"/>
      <c r="S1115" s="376"/>
      <c r="T1115" s="376"/>
      <c r="U1115" s="376"/>
      <c r="V1115" s="376"/>
      <c r="W1115" s="376"/>
      <c r="X1115" s="376"/>
      <c r="Y1115" s="376"/>
      <c r="Z1115" s="376"/>
      <c r="AA1115" s="376"/>
      <c r="AB1115" s="376"/>
      <c r="AC1115" s="376"/>
      <c r="AD1115" s="376"/>
      <c r="AE1115" s="376"/>
      <c r="AF1115" s="376"/>
      <c r="AG1115" s="376"/>
    </row>
    <row r="1116">
      <c r="A1116" s="378"/>
      <c r="B1116" s="996" t="s">
        <v>953</v>
      </c>
      <c r="C1116" s="996">
        <v>7352.0</v>
      </c>
      <c r="D1116" s="996">
        <v>443.7</v>
      </c>
      <c r="E1116" s="378"/>
      <c r="F1116" s="378"/>
      <c r="G1116" s="378"/>
      <c r="H1116" s="378"/>
      <c r="I1116" s="376"/>
      <c r="J1116" s="376"/>
      <c r="K1116" s="376"/>
      <c r="L1116" s="376"/>
      <c r="M1116" s="376"/>
      <c r="N1116" s="376"/>
      <c r="O1116" s="376"/>
      <c r="P1116" s="376"/>
      <c r="Q1116" s="376"/>
      <c r="R1116" s="376"/>
      <c r="S1116" s="376"/>
      <c r="T1116" s="376"/>
      <c r="U1116" s="376"/>
      <c r="V1116" s="376"/>
      <c r="W1116" s="376"/>
      <c r="X1116" s="376"/>
      <c r="Y1116" s="376"/>
      <c r="Z1116" s="376"/>
      <c r="AA1116" s="376"/>
      <c r="AB1116" s="376"/>
      <c r="AC1116" s="376"/>
      <c r="AD1116" s="376"/>
      <c r="AE1116" s="376"/>
      <c r="AF1116" s="376"/>
      <c r="AG1116" s="376"/>
    </row>
    <row r="1117">
      <c r="A1117" s="378"/>
      <c r="B1117" s="996" t="s">
        <v>953</v>
      </c>
      <c r="C1117" s="996">
        <v>7352.0</v>
      </c>
      <c r="D1117" s="996">
        <v>475.63</v>
      </c>
      <c r="E1117" s="378"/>
      <c r="F1117" s="378"/>
      <c r="G1117" s="378"/>
      <c r="H1117" s="378"/>
      <c r="I1117" s="376"/>
      <c r="J1117" s="376"/>
      <c r="K1117" s="376"/>
      <c r="L1117" s="376"/>
      <c r="M1117" s="376"/>
      <c r="N1117" s="376"/>
      <c r="O1117" s="376"/>
      <c r="P1117" s="376"/>
      <c r="Q1117" s="376"/>
      <c r="R1117" s="376"/>
      <c r="S1117" s="376"/>
      <c r="T1117" s="376"/>
      <c r="U1117" s="376"/>
      <c r="V1117" s="376"/>
      <c r="W1117" s="376"/>
      <c r="X1117" s="376"/>
      <c r="Y1117" s="376"/>
      <c r="Z1117" s="376"/>
      <c r="AA1117" s="376"/>
      <c r="AB1117" s="376"/>
      <c r="AC1117" s="376"/>
      <c r="AD1117" s="376"/>
      <c r="AE1117" s="376"/>
      <c r="AF1117" s="376"/>
      <c r="AG1117" s="376"/>
    </row>
    <row r="1118">
      <c r="A1118" s="378"/>
      <c r="B1118" s="996" t="s">
        <v>954</v>
      </c>
      <c r="C1118" s="996">
        <v>7807.0</v>
      </c>
      <c r="D1118" s="996">
        <v>670.86</v>
      </c>
      <c r="E1118" s="378"/>
      <c r="F1118" s="378"/>
      <c r="G1118" s="378"/>
      <c r="H1118" s="378"/>
      <c r="I1118" s="376"/>
      <c r="J1118" s="376"/>
      <c r="K1118" s="376"/>
      <c r="L1118" s="376"/>
      <c r="M1118" s="376"/>
      <c r="N1118" s="376"/>
      <c r="O1118" s="376"/>
      <c r="P1118" s="376"/>
      <c r="Q1118" s="376"/>
      <c r="R1118" s="376"/>
      <c r="S1118" s="376"/>
      <c r="T1118" s="376"/>
      <c r="U1118" s="376"/>
      <c r="V1118" s="376"/>
      <c r="W1118" s="376"/>
      <c r="X1118" s="376"/>
      <c r="Y1118" s="376"/>
      <c r="Z1118" s="376"/>
      <c r="AA1118" s="376"/>
      <c r="AB1118" s="376"/>
      <c r="AC1118" s="376"/>
      <c r="AD1118" s="376"/>
      <c r="AE1118" s="376"/>
      <c r="AF1118" s="376"/>
      <c r="AG1118" s="376"/>
    </row>
    <row r="1119">
      <c r="A1119" s="378"/>
      <c r="B1119" s="996" t="s">
        <v>954</v>
      </c>
      <c r="C1119" s="996">
        <v>7807.0</v>
      </c>
      <c r="D1119" s="996">
        <v>460.22</v>
      </c>
      <c r="E1119" s="378"/>
      <c r="F1119" s="378"/>
      <c r="G1119" s="378"/>
      <c r="H1119" s="378"/>
      <c r="I1119" s="376"/>
      <c r="J1119" s="376"/>
      <c r="K1119" s="376"/>
      <c r="L1119" s="376"/>
      <c r="M1119" s="376"/>
      <c r="N1119" s="376"/>
      <c r="O1119" s="376"/>
      <c r="P1119" s="376"/>
      <c r="Q1119" s="376"/>
      <c r="R1119" s="376"/>
      <c r="S1119" s="376"/>
      <c r="T1119" s="376"/>
      <c r="U1119" s="376"/>
      <c r="V1119" s="376"/>
      <c r="W1119" s="376"/>
      <c r="X1119" s="376"/>
      <c r="Y1119" s="376"/>
      <c r="Z1119" s="376"/>
      <c r="AA1119" s="376"/>
      <c r="AB1119" s="376"/>
      <c r="AC1119" s="376"/>
      <c r="AD1119" s="376"/>
      <c r="AE1119" s="376"/>
      <c r="AF1119" s="376"/>
      <c r="AG1119" s="376"/>
    </row>
    <row r="1120">
      <c r="A1120" s="378"/>
      <c r="B1120" s="996" t="s">
        <v>955</v>
      </c>
      <c r="C1120" s="996">
        <v>9334.0</v>
      </c>
      <c r="D1120" s="996">
        <v>285.1</v>
      </c>
      <c r="E1120" s="378"/>
      <c r="F1120" s="378"/>
      <c r="G1120" s="378"/>
      <c r="H1120" s="378"/>
      <c r="I1120" s="376"/>
      <c r="J1120" s="376"/>
      <c r="K1120" s="376"/>
      <c r="L1120" s="376"/>
      <c r="M1120" s="376"/>
      <c r="N1120" s="376"/>
      <c r="O1120" s="376"/>
      <c r="P1120" s="376"/>
      <c r="Q1120" s="376"/>
      <c r="R1120" s="376"/>
      <c r="S1120" s="376"/>
      <c r="T1120" s="376"/>
      <c r="U1120" s="376"/>
      <c r="V1120" s="376"/>
      <c r="W1120" s="376"/>
      <c r="X1120" s="376"/>
      <c r="Y1120" s="376"/>
      <c r="Z1120" s="376"/>
      <c r="AA1120" s="376"/>
      <c r="AB1120" s="376"/>
      <c r="AC1120" s="376"/>
      <c r="AD1120" s="376"/>
      <c r="AE1120" s="376"/>
      <c r="AF1120" s="376"/>
      <c r="AG1120" s="376"/>
    </row>
    <row r="1121">
      <c r="A1121" s="378"/>
      <c r="B1121" s="996" t="s">
        <v>1482</v>
      </c>
      <c r="C1121" s="996">
        <v>9334.0</v>
      </c>
      <c r="D1121" s="996">
        <v>289.48</v>
      </c>
      <c r="E1121" s="378"/>
      <c r="F1121" s="378"/>
      <c r="G1121" s="378"/>
      <c r="H1121" s="378"/>
      <c r="I1121" s="376"/>
      <c r="J1121" s="376"/>
      <c r="K1121" s="376"/>
      <c r="L1121" s="376"/>
      <c r="M1121" s="376"/>
      <c r="N1121" s="376"/>
      <c r="O1121" s="376"/>
      <c r="P1121" s="376"/>
      <c r="Q1121" s="376"/>
      <c r="R1121" s="376"/>
      <c r="S1121" s="376"/>
      <c r="T1121" s="376"/>
      <c r="U1121" s="376"/>
      <c r="V1121" s="376"/>
      <c r="W1121" s="376"/>
      <c r="X1121" s="376"/>
      <c r="Y1121" s="376"/>
      <c r="Z1121" s="376"/>
      <c r="AA1121" s="376"/>
      <c r="AB1121" s="376"/>
      <c r="AC1121" s="376"/>
      <c r="AD1121" s="376"/>
      <c r="AE1121" s="376"/>
      <c r="AF1121" s="376"/>
      <c r="AG1121" s="376"/>
    </row>
    <row r="1122">
      <c r="A1122" s="378"/>
      <c r="B1122" s="996" t="s">
        <v>955</v>
      </c>
      <c r="C1122" s="996">
        <v>9334.0</v>
      </c>
      <c r="D1122" s="996">
        <v>484.7</v>
      </c>
      <c r="E1122" s="378"/>
      <c r="F1122" s="378"/>
      <c r="G1122" s="378"/>
      <c r="H1122" s="378"/>
      <c r="I1122" s="376"/>
      <c r="J1122" s="376"/>
      <c r="K1122" s="376"/>
      <c r="L1122" s="376"/>
      <c r="M1122" s="376"/>
      <c r="N1122" s="376"/>
      <c r="O1122" s="376"/>
      <c r="P1122" s="376"/>
      <c r="Q1122" s="376"/>
      <c r="R1122" s="376"/>
      <c r="S1122" s="376"/>
      <c r="T1122" s="376"/>
      <c r="U1122" s="376"/>
      <c r="V1122" s="376"/>
      <c r="W1122" s="376"/>
      <c r="X1122" s="376"/>
      <c r="Y1122" s="376"/>
      <c r="Z1122" s="376"/>
      <c r="AA1122" s="376"/>
      <c r="AB1122" s="376"/>
      <c r="AC1122" s="376"/>
      <c r="AD1122" s="376"/>
      <c r="AE1122" s="376"/>
      <c r="AF1122" s="376"/>
      <c r="AG1122" s="376"/>
    </row>
    <row r="1123">
      <c r="A1123" s="378"/>
      <c r="B1123" s="996" t="s">
        <v>1482</v>
      </c>
      <c r="C1123" s="996">
        <v>9334.0</v>
      </c>
      <c r="D1123" s="996">
        <v>248.33</v>
      </c>
      <c r="E1123" s="378"/>
      <c r="F1123" s="378"/>
      <c r="G1123" s="378"/>
      <c r="H1123" s="378"/>
      <c r="I1123" s="376"/>
      <c r="J1123" s="376"/>
      <c r="K1123" s="376"/>
      <c r="L1123" s="376"/>
      <c r="M1123" s="376"/>
      <c r="N1123" s="376"/>
      <c r="O1123" s="376"/>
      <c r="P1123" s="376"/>
      <c r="Q1123" s="376"/>
      <c r="R1123" s="376"/>
      <c r="S1123" s="376"/>
      <c r="T1123" s="376"/>
      <c r="U1123" s="376"/>
      <c r="V1123" s="376"/>
      <c r="W1123" s="376"/>
      <c r="X1123" s="376"/>
      <c r="Y1123" s="376"/>
      <c r="Z1123" s="376"/>
      <c r="AA1123" s="376"/>
      <c r="AB1123" s="376"/>
      <c r="AC1123" s="376"/>
      <c r="AD1123" s="376"/>
      <c r="AE1123" s="376"/>
      <c r="AF1123" s="376"/>
      <c r="AG1123" s="376"/>
    </row>
    <row r="1124">
      <c r="A1124" s="378"/>
      <c r="B1124" s="996" t="s">
        <v>1482</v>
      </c>
      <c r="C1124" s="996">
        <v>9334.0</v>
      </c>
      <c r="D1124" s="996">
        <v>271.62</v>
      </c>
      <c r="E1124" s="378"/>
      <c r="F1124" s="378"/>
      <c r="G1124" s="378"/>
      <c r="H1124" s="378"/>
      <c r="I1124" s="376"/>
      <c r="J1124" s="376"/>
      <c r="K1124" s="376"/>
      <c r="L1124" s="376"/>
      <c r="M1124" s="376"/>
      <c r="N1124" s="376"/>
      <c r="O1124" s="376"/>
      <c r="P1124" s="376"/>
      <c r="Q1124" s="376"/>
      <c r="R1124" s="376"/>
      <c r="S1124" s="376"/>
      <c r="T1124" s="376"/>
      <c r="U1124" s="376"/>
      <c r="V1124" s="376"/>
      <c r="W1124" s="376"/>
      <c r="X1124" s="376"/>
      <c r="Y1124" s="376"/>
      <c r="Z1124" s="376"/>
      <c r="AA1124" s="376"/>
      <c r="AB1124" s="376"/>
      <c r="AC1124" s="376"/>
      <c r="AD1124" s="376"/>
      <c r="AE1124" s="376"/>
      <c r="AF1124" s="376"/>
      <c r="AG1124" s="376"/>
    </row>
    <row r="1125">
      <c r="A1125" s="378"/>
      <c r="B1125" s="996" t="s">
        <v>956</v>
      </c>
      <c r="C1125" s="996">
        <v>9348.0</v>
      </c>
      <c r="D1125" s="996">
        <v>582.51</v>
      </c>
      <c r="E1125" s="378"/>
      <c r="F1125" s="378"/>
      <c r="G1125" s="378"/>
      <c r="H1125" s="378"/>
      <c r="I1125" s="376"/>
      <c r="J1125" s="376"/>
      <c r="K1125" s="376"/>
      <c r="L1125" s="376"/>
      <c r="M1125" s="376"/>
      <c r="N1125" s="376"/>
      <c r="O1125" s="376"/>
      <c r="P1125" s="376"/>
      <c r="Q1125" s="376"/>
      <c r="R1125" s="376"/>
      <c r="S1125" s="376"/>
      <c r="T1125" s="376"/>
      <c r="U1125" s="376"/>
      <c r="V1125" s="376"/>
      <c r="W1125" s="376"/>
      <c r="X1125" s="376"/>
      <c r="Y1125" s="376"/>
      <c r="Z1125" s="376"/>
      <c r="AA1125" s="376"/>
      <c r="AB1125" s="376"/>
      <c r="AC1125" s="376"/>
      <c r="AD1125" s="376"/>
      <c r="AE1125" s="376"/>
      <c r="AF1125" s="376"/>
      <c r="AG1125" s="376"/>
    </row>
    <row r="1126">
      <c r="A1126" s="378"/>
      <c r="B1126" s="996" t="s">
        <v>956</v>
      </c>
      <c r="C1126" s="996">
        <v>9348.0</v>
      </c>
      <c r="D1126" s="996">
        <v>734.0</v>
      </c>
      <c r="E1126" s="378"/>
      <c r="F1126" s="378"/>
      <c r="G1126" s="378"/>
      <c r="H1126" s="378"/>
      <c r="I1126" s="376"/>
      <c r="J1126" s="376"/>
      <c r="K1126" s="376"/>
      <c r="L1126" s="376"/>
      <c r="M1126" s="376"/>
      <c r="N1126" s="376"/>
      <c r="O1126" s="376"/>
      <c r="P1126" s="376"/>
      <c r="Q1126" s="376"/>
      <c r="R1126" s="376"/>
      <c r="S1126" s="376"/>
      <c r="T1126" s="376"/>
      <c r="U1126" s="376"/>
      <c r="V1126" s="376"/>
      <c r="W1126" s="376"/>
      <c r="X1126" s="376"/>
      <c r="Y1126" s="376"/>
      <c r="Z1126" s="376"/>
      <c r="AA1126" s="376"/>
      <c r="AB1126" s="376"/>
      <c r="AC1126" s="376"/>
      <c r="AD1126" s="376"/>
      <c r="AE1126" s="376"/>
      <c r="AF1126" s="376"/>
      <c r="AG1126" s="376"/>
    </row>
    <row r="1127">
      <c r="A1127" s="378"/>
      <c r="B1127" s="996" t="s">
        <v>956</v>
      </c>
      <c r="C1127" s="996">
        <v>9348.0</v>
      </c>
      <c r="D1127" s="996">
        <v>770.92</v>
      </c>
      <c r="E1127" s="378"/>
      <c r="F1127" s="378"/>
      <c r="G1127" s="378"/>
      <c r="H1127" s="378"/>
      <c r="I1127" s="376"/>
      <c r="J1127" s="376"/>
      <c r="K1127" s="376"/>
      <c r="L1127" s="376"/>
      <c r="M1127" s="376"/>
      <c r="N1127" s="376"/>
      <c r="O1127" s="376"/>
      <c r="P1127" s="376"/>
      <c r="Q1127" s="376"/>
      <c r="R1127" s="376"/>
      <c r="S1127" s="376"/>
      <c r="T1127" s="376"/>
      <c r="U1127" s="376"/>
      <c r="V1127" s="376"/>
      <c r="W1127" s="376"/>
      <c r="X1127" s="376"/>
      <c r="Y1127" s="376"/>
      <c r="Z1127" s="376"/>
      <c r="AA1127" s="376"/>
      <c r="AB1127" s="376"/>
      <c r="AC1127" s="376"/>
      <c r="AD1127" s="376"/>
      <c r="AE1127" s="376"/>
      <c r="AF1127" s="376"/>
      <c r="AG1127" s="376"/>
    </row>
    <row r="1128">
      <c r="A1128" s="378"/>
      <c r="B1128" s="996" t="s">
        <v>956</v>
      </c>
      <c r="C1128" s="996">
        <v>9348.0</v>
      </c>
      <c r="D1128" s="996">
        <v>682.95</v>
      </c>
      <c r="E1128" s="378"/>
      <c r="F1128" s="378"/>
      <c r="G1128" s="378"/>
      <c r="H1128" s="378"/>
      <c r="I1128" s="376"/>
      <c r="J1128" s="376"/>
      <c r="K1128" s="376"/>
      <c r="L1128" s="376"/>
      <c r="M1128" s="376"/>
      <c r="N1128" s="376"/>
      <c r="O1128" s="376"/>
      <c r="P1128" s="376"/>
      <c r="Q1128" s="376"/>
      <c r="R1128" s="376"/>
      <c r="S1128" s="376"/>
      <c r="T1128" s="376"/>
      <c r="U1128" s="376"/>
      <c r="V1128" s="376"/>
      <c r="W1128" s="376"/>
      <c r="X1128" s="376"/>
      <c r="Y1128" s="376"/>
      <c r="Z1128" s="376"/>
      <c r="AA1128" s="376"/>
      <c r="AB1128" s="376"/>
      <c r="AC1128" s="376"/>
      <c r="AD1128" s="376"/>
      <c r="AE1128" s="376"/>
      <c r="AF1128" s="376"/>
      <c r="AG1128" s="376"/>
    </row>
    <row r="1129">
      <c r="A1129" s="378"/>
      <c r="B1129" s="996" t="s">
        <v>1483</v>
      </c>
      <c r="C1129" s="996">
        <v>9617.0</v>
      </c>
      <c r="D1129" s="996">
        <v>427.7</v>
      </c>
      <c r="E1129" s="378"/>
      <c r="F1129" s="378"/>
      <c r="G1129" s="378"/>
      <c r="H1129" s="378"/>
      <c r="I1129" s="376"/>
      <c r="J1129" s="376"/>
      <c r="K1129" s="376"/>
      <c r="L1129" s="376"/>
      <c r="M1129" s="376"/>
      <c r="N1129" s="376"/>
      <c r="O1129" s="376"/>
      <c r="P1129" s="376"/>
      <c r="Q1129" s="376"/>
      <c r="R1129" s="376"/>
      <c r="S1129" s="376"/>
      <c r="T1129" s="376"/>
      <c r="U1129" s="376"/>
      <c r="V1129" s="376"/>
      <c r="W1129" s="376"/>
      <c r="X1129" s="376"/>
      <c r="Y1129" s="376"/>
      <c r="Z1129" s="376"/>
      <c r="AA1129" s="376"/>
      <c r="AB1129" s="376"/>
      <c r="AC1129" s="376"/>
      <c r="AD1129" s="376"/>
      <c r="AE1129" s="376"/>
      <c r="AF1129" s="376"/>
      <c r="AG1129" s="376"/>
    </row>
    <row r="1130">
      <c r="A1130" s="378"/>
      <c r="B1130" s="996" t="s">
        <v>1483</v>
      </c>
      <c r="C1130" s="996">
        <v>9617.0</v>
      </c>
      <c r="D1130" s="996">
        <v>483.59</v>
      </c>
      <c r="E1130" s="378"/>
      <c r="F1130" s="378"/>
      <c r="G1130" s="378"/>
      <c r="H1130" s="378"/>
      <c r="I1130" s="376"/>
      <c r="J1130" s="376"/>
      <c r="K1130" s="376"/>
      <c r="L1130" s="376"/>
      <c r="M1130" s="376"/>
      <c r="N1130" s="376"/>
      <c r="O1130" s="376"/>
      <c r="P1130" s="376"/>
      <c r="Q1130" s="376"/>
      <c r="R1130" s="376"/>
      <c r="S1130" s="376"/>
      <c r="T1130" s="376"/>
      <c r="U1130" s="376"/>
      <c r="V1130" s="376"/>
      <c r="W1130" s="376"/>
      <c r="X1130" s="376"/>
      <c r="Y1130" s="376"/>
      <c r="Z1130" s="376"/>
      <c r="AA1130" s="376"/>
      <c r="AB1130" s="376"/>
      <c r="AC1130" s="376"/>
      <c r="AD1130" s="376"/>
      <c r="AE1130" s="376"/>
      <c r="AF1130" s="376"/>
      <c r="AG1130" s="376"/>
    </row>
    <row r="1131">
      <c r="A1131" s="378"/>
      <c r="B1131" s="998"/>
      <c r="C1131" s="998"/>
      <c r="D1131" s="999">
        <v>42559.36</v>
      </c>
      <c r="E1131" s="378"/>
      <c r="F1131" s="378"/>
      <c r="G1131" s="378"/>
      <c r="H1131" s="378"/>
      <c r="I1131" s="376"/>
      <c r="J1131" s="376"/>
      <c r="K1131" s="376"/>
      <c r="L1131" s="376"/>
      <c r="M1131" s="376"/>
      <c r="N1131" s="376"/>
      <c r="O1131" s="376"/>
      <c r="P1131" s="376"/>
      <c r="Q1131" s="376"/>
      <c r="R1131" s="376"/>
      <c r="S1131" s="376"/>
      <c r="T1131" s="376"/>
      <c r="U1131" s="376"/>
      <c r="V1131" s="376"/>
      <c r="W1131" s="376"/>
      <c r="X1131" s="376"/>
      <c r="Y1131" s="376"/>
      <c r="Z1131" s="376"/>
      <c r="AA1131" s="376"/>
      <c r="AB1131" s="376"/>
      <c r="AC1131" s="376"/>
      <c r="AD1131" s="376"/>
      <c r="AE1131" s="376"/>
      <c r="AF1131" s="376"/>
      <c r="AG1131" s="376"/>
    </row>
    <row r="1132">
      <c r="A1132" s="378"/>
      <c r="B1132" s="477"/>
      <c r="C1132" s="378"/>
      <c r="D1132" s="378"/>
      <c r="E1132" s="378"/>
      <c r="F1132" s="378"/>
      <c r="G1132" s="378"/>
      <c r="H1132" s="378"/>
      <c r="I1132" s="376"/>
      <c r="J1132" s="376"/>
      <c r="K1132" s="376"/>
      <c r="L1132" s="376"/>
      <c r="M1132" s="376"/>
      <c r="N1132" s="376"/>
      <c r="O1132" s="376"/>
      <c r="P1132" s="376"/>
      <c r="Q1132" s="376"/>
      <c r="R1132" s="376"/>
      <c r="S1132" s="376"/>
      <c r="T1132" s="376"/>
      <c r="U1132" s="376"/>
      <c r="V1132" s="376"/>
      <c r="W1132" s="376"/>
      <c r="X1132" s="376"/>
      <c r="Y1132" s="376"/>
      <c r="Z1132" s="376"/>
      <c r="AA1132" s="376"/>
      <c r="AB1132" s="376"/>
      <c r="AC1132" s="376"/>
      <c r="AD1132" s="376"/>
      <c r="AE1132" s="376"/>
      <c r="AF1132" s="376"/>
      <c r="AG1132" s="376"/>
    </row>
    <row r="1133">
      <c r="A1133" s="378"/>
      <c r="B1133" s="477"/>
      <c r="C1133" s="378"/>
      <c r="D1133" s="378"/>
      <c r="E1133" s="378"/>
      <c r="F1133" s="378"/>
      <c r="G1133" s="378"/>
      <c r="H1133" s="378"/>
      <c r="I1133" s="376"/>
      <c r="J1133" s="376"/>
      <c r="K1133" s="376"/>
      <c r="L1133" s="376"/>
      <c r="M1133" s="376"/>
      <c r="N1133" s="376"/>
      <c r="O1133" s="376"/>
      <c r="P1133" s="376"/>
      <c r="Q1133" s="376"/>
      <c r="R1133" s="376"/>
      <c r="S1133" s="376"/>
      <c r="T1133" s="376"/>
      <c r="U1133" s="376"/>
      <c r="V1133" s="376"/>
      <c r="W1133" s="376"/>
      <c r="X1133" s="376"/>
      <c r="Y1133" s="376"/>
      <c r="Z1133" s="376"/>
      <c r="AA1133" s="376"/>
      <c r="AB1133" s="376"/>
      <c r="AC1133" s="376"/>
      <c r="AD1133" s="376"/>
      <c r="AE1133" s="376"/>
      <c r="AF1133" s="376"/>
      <c r="AG1133" s="376"/>
    </row>
    <row r="1134">
      <c r="A1134" s="378"/>
      <c r="B1134" s="477"/>
      <c r="C1134" s="378"/>
      <c r="D1134" s="378"/>
      <c r="E1134" s="378"/>
      <c r="F1134" s="378"/>
      <c r="G1134" s="378"/>
      <c r="H1134" s="378"/>
      <c r="I1134" s="376"/>
      <c r="J1134" s="376"/>
      <c r="K1134" s="376"/>
      <c r="L1134" s="376"/>
      <c r="M1134" s="376"/>
      <c r="N1134" s="376"/>
      <c r="O1134" s="376"/>
      <c r="P1134" s="376"/>
      <c r="Q1134" s="376"/>
      <c r="R1134" s="376"/>
      <c r="S1134" s="376"/>
      <c r="T1134" s="376"/>
      <c r="U1134" s="376"/>
      <c r="V1134" s="376"/>
      <c r="W1134" s="376"/>
      <c r="X1134" s="376"/>
      <c r="Y1134" s="376"/>
      <c r="Z1134" s="376"/>
      <c r="AA1134" s="376"/>
      <c r="AB1134" s="376"/>
      <c r="AC1134" s="376"/>
      <c r="AD1134" s="376"/>
      <c r="AE1134" s="376"/>
      <c r="AF1134" s="376"/>
      <c r="AG1134" s="376"/>
    </row>
    <row r="1135">
      <c r="A1135" s="378"/>
      <c r="B1135" s="477"/>
      <c r="C1135" s="378"/>
      <c r="D1135" s="378"/>
      <c r="E1135" s="378"/>
      <c r="F1135" s="378"/>
      <c r="G1135" s="378"/>
      <c r="H1135" s="378"/>
      <c r="I1135" s="376"/>
      <c r="J1135" s="376"/>
      <c r="K1135" s="376"/>
      <c r="L1135" s="376"/>
      <c r="M1135" s="376"/>
      <c r="N1135" s="376"/>
      <c r="O1135" s="376"/>
      <c r="P1135" s="376"/>
      <c r="Q1135" s="376"/>
      <c r="R1135" s="376"/>
      <c r="S1135" s="376"/>
      <c r="T1135" s="376"/>
      <c r="U1135" s="376"/>
      <c r="V1135" s="376"/>
      <c r="W1135" s="376"/>
      <c r="X1135" s="376"/>
      <c r="Y1135" s="376"/>
      <c r="Z1135" s="376"/>
      <c r="AA1135" s="376"/>
      <c r="AB1135" s="376"/>
      <c r="AC1135" s="376"/>
      <c r="AD1135" s="376"/>
      <c r="AE1135" s="376"/>
      <c r="AF1135" s="376"/>
      <c r="AG1135" s="376"/>
    </row>
    <row r="1136">
      <c r="A1136" s="378"/>
      <c r="B1136" s="477"/>
      <c r="C1136" s="378"/>
      <c r="D1136" s="378"/>
      <c r="E1136" s="378"/>
      <c r="F1136" s="378"/>
      <c r="G1136" s="378"/>
      <c r="H1136" s="378"/>
      <c r="I1136" s="376"/>
      <c r="J1136" s="376"/>
      <c r="K1136" s="376"/>
      <c r="L1136" s="376"/>
      <c r="M1136" s="376"/>
      <c r="N1136" s="376"/>
      <c r="O1136" s="376"/>
      <c r="P1136" s="376"/>
      <c r="Q1136" s="376"/>
      <c r="R1136" s="376"/>
      <c r="S1136" s="376"/>
      <c r="T1136" s="376"/>
      <c r="U1136" s="376"/>
      <c r="V1136" s="376"/>
      <c r="W1136" s="376"/>
      <c r="X1136" s="376"/>
      <c r="Y1136" s="376"/>
      <c r="Z1136" s="376"/>
      <c r="AA1136" s="376"/>
      <c r="AB1136" s="376"/>
      <c r="AC1136" s="376"/>
      <c r="AD1136" s="376"/>
      <c r="AE1136" s="376"/>
      <c r="AF1136" s="376"/>
      <c r="AG1136" s="376"/>
    </row>
    <row r="1137">
      <c r="A1137" s="378"/>
      <c r="B1137" s="477"/>
      <c r="C1137" s="378"/>
      <c r="D1137" s="378"/>
      <c r="E1137" s="378"/>
      <c r="F1137" s="378"/>
      <c r="G1137" s="378"/>
      <c r="H1137" s="378"/>
      <c r="I1137" s="376"/>
      <c r="J1137" s="376"/>
      <c r="K1137" s="376"/>
      <c r="L1137" s="376"/>
      <c r="M1137" s="376"/>
      <c r="N1137" s="376"/>
      <c r="O1137" s="376"/>
      <c r="P1137" s="376"/>
      <c r="Q1137" s="376"/>
      <c r="R1137" s="376"/>
      <c r="S1137" s="376"/>
      <c r="T1137" s="376"/>
      <c r="U1137" s="376"/>
      <c r="V1137" s="376"/>
      <c r="W1137" s="376"/>
      <c r="X1137" s="376"/>
      <c r="Y1137" s="376"/>
      <c r="Z1137" s="376"/>
      <c r="AA1137" s="376"/>
      <c r="AB1137" s="376"/>
      <c r="AC1137" s="376"/>
      <c r="AD1137" s="376"/>
      <c r="AE1137" s="376"/>
      <c r="AF1137" s="376"/>
      <c r="AG1137" s="376"/>
    </row>
    <row r="1138">
      <c r="A1138" s="378"/>
      <c r="B1138" s="477"/>
      <c r="C1138" s="378"/>
      <c r="D1138" s="378"/>
      <c r="E1138" s="378"/>
      <c r="F1138" s="378"/>
      <c r="G1138" s="378"/>
      <c r="H1138" s="378"/>
      <c r="I1138" s="376"/>
      <c r="J1138" s="376"/>
      <c r="K1138" s="376"/>
      <c r="L1138" s="376"/>
      <c r="M1138" s="376"/>
      <c r="N1138" s="376"/>
      <c r="O1138" s="376"/>
      <c r="P1138" s="376"/>
      <c r="Q1138" s="376"/>
      <c r="R1138" s="376"/>
      <c r="S1138" s="376"/>
      <c r="T1138" s="376"/>
      <c r="U1138" s="376"/>
      <c r="V1138" s="376"/>
      <c r="W1138" s="376"/>
      <c r="X1138" s="376"/>
      <c r="Y1138" s="376"/>
      <c r="Z1138" s="376"/>
      <c r="AA1138" s="376"/>
      <c r="AB1138" s="376"/>
      <c r="AC1138" s="376"/>
      <c r="AD1138" s="376"/>
      <c r="AE1138" s="376"/>
      <c r="AF1138" s="376"/>
      <c r="AG1138" s="376"/>
    </row>
    <row r="1139">
      <c r="A1139" s="378"/>
      <c r="B1139" s="477"/>
      <c r="C1139" s="378"/>
      <c r="D1139" s="378"/>
      <c r="E1139" s="378"/>
      <c r="F1139" s="378"/>
      <c r="G1139" s="378"/>
      <c r="H1139" s="378"/>
      <c r="I1139" s="376"/>
      <c r="J1139" s="376"/>
      <c r="K1139" s="376"/>
      <c r="L1139" s="376"/>
      <c r="M1139" s="376"/>
      <c r="N1139" s="376"/>
      <c r="O1139" s="376"/>
      <c r="P1139" s="376"/>
      <c r="Q1139" s="376"/>
      <c r="R1139" s="376"/>
      <c r="S1139" s="376"/>
      <c r="T1139" s="376"/>
      <c r="U1139" s="376"/>
      <c r="V1139" s="376"/>
      <c r="W1139" s="376"/>
      <c r="X1139" s="376"/>
      <c r="Y1139" s="376"/>
      <c r="Z1139" s="376"/>
      <c r="AA1139" s="376"/>
      <c r="AB1139" s="376"/>
      <c r="AC1139" s="376"/>
      <c r="AD1139" s="376"/>
      <c r="AE1139" s="376"/>
      <c r="AF1139" s="376"/>
      <c r="AG1139" s="376"/>
    </row>
    <row r="1140">
      <c r="A1140" s="378"/>
      <c r="B1140" s="477"/>
      <c r="C1140" s="378"/>
      <c r="D1140" s="378"/>
      <c r="E1140" s="378"/>
      <c r="F1140" s="378"/>
      <c r="G1140" s="378"/>
      <c r="H1140" s="378"/>
      <c r="I1140" s="376"/>
      <c r="J1140" s="376"/>
      <c r="K1140" s="376"/>
      <c r="L1140" s="376"/>
      <c r="M1140" s="376"/>
      <c r="N1140" s="376"/>
      <c r="O1140" s="376"/>
      <c r="P1140" s="376"/>
      <c r="Q1140" s="376"/>
      <c r="R1140" s="376"/>
      <c r="S1140" s="376"/>
      <c r="T1140" s="376"/>
      <c r="U1140" s="376"/>
      <c r="V1140" s="376"/>
      <c r="W1140" s="376"/>
      <c r="X1140" s="376"/>
      <c r="Y1140" s="376"/>
      <c r="Z1140" s="376"/>
      <c r="AA1140" s="376"/>
      <c r="AB1140" s="376"/>
      <c r="AC1140" s="376"/>
      <c r="AD1140" s="376"/>
      <c r="AE1140" s="376"/>
      <c r="AF1140" s="376"/>
      <c r="AG1140" s="376"/>
    </row>
    <row r="1141">
      <c r="A1141" s="378"/>
      <c r="B1141" s="477"/>
      <c r="C1141" s="378"/>
      <c r="D1141" s="378"/>
      <c r="E1141" s="378"/>
      <c r="F1141" s="378"/>
      <c r="G1141" s="378"/>
      <c r="H1141" s="378"/>
      <c r="I1141" s="376"/>
      <c r="J1141" s="376"/>
      <c r="K1141" s="376"/>
      <c r="L1141" s="376"/>
      <c r="M1141" s="376"/>
      <c r="N1141" s="376"/>
      <c r="O1141" s="376"/>
      <c r="P1141" s="376"/>
      <c r="Q1141" s="376"/>
      <c r="R1141" s="376"/>
      <c r="S1141" s="376"/>
      <c r="T1141" s="376"/>
      <c r="U1141" s="376"/>
      <c r="V1141" s="376"/>
      <c r="W1141" s="376"/>
      <c r="X1141" s="376"/>
      <c r="Y1141" s="376"/>
      <c r="Z1141" s="376"/>
      <c r="AA1141" s="376"/>
      <c r="AB1141" s="376"/>
      <c r="AC1141" s="376"/>
      <c r="AD1141" s="376"/>
      <c r="AE1141" s="376"/>
      <c r="AF1141" s="376"/>
      <c r="AG1141" s="376"/>
    </row>
    <row r="1142">
      <c r="A1142" s="378"/>
      <c r="B1142" s="477"/>
      <c r="C1142" s="378"/>
      <c r="D1142" s="378"/>
      <c r="E1142" s="378"/>
      <c r="F1142" s="378"/>
      <c r="G1142" s="378"/>
      <c r="H1142" s="378"/>
      <c r="I1142" s="376"/>
      <c r="J1142" s="376"/>
      <c r="K1142" s="376"/>
      <c r="L1142" s="376"/>
      <c r="M1142" s="376"/>
      <c r="N1142" s="376"/>
      <c r="O1142" s="376"/>
      <c r="P1142" s="376"/>
      <c r="Q1142" s="376"/>
      <c r="R1142" s="376"/>
      <c r="S1142" s="376"/>
      <c r="T1142" s="376"/>
      <c r="U1142" s="376"/>
      <c r="V1142" s="376"/>
      <c r="W1142" s="376"/>
      <c r="X1142" s="376"/>
      <c r="Y1142" s="376"/>
      <c r="Z1142" s="376"/>
      <c r="AA1142" s="376"/>
      <c r="AB1142" s="376"/>
      <c r="AC1142" s="376"/>
      <c r="AD1142" s="376"/>
      <c r="AE1142" s="376"/>
      <c r="AF1142" s="376"/>
      <c r="AG1142" s="376"/>
    </row>
    <row r="1143">
      <c r="A1143" s="378"/>
      <c r="B1143" s="477"/>
      <c r="C1143" s="378"/>
      <c r="D1143" s="378"/>
      <c r="E1143" s="378"/>
      <c r="F1143" s="378"/>
      <c r="G1143" s="378"/>
      <c r="H1143" s="378"/>
      <c r="I1143" s="376"/>
      <c r="J1143" s="376"/>
      <c r="K1143" s="376"/>
      <c r="L1143" s="376"/>
      <c r="M1143" s="376"/>
      <c r="N1143" s="376"/>
      <c r="O1143" s="376"/>
      <c r="P1143" s="376"/>
      <c r="Q1143" s="376"/>
      <c r="R1143" s="376"/>
      <c r="S1143" s="376"/>
      <c r="T1143" s="376"/>
      <c r="U1143" s="376"/>
      <c r="V1143" s="376"/>
      <c r="W1143" s="376"/>
      <c r="X1143" s="376"/>
      <c r="Y1143" s="376"/>
      <c r="Z1143" s="376"/>
      <c r="AA1143" s="376"/>
      <c r="AB1143" s="376"/>
      <c r="AC1143" s="376"/>
      <c r="AD1143" s="376"/>
      <c r="AE1143" s="376"/>
      <c r="AF1143" s="376"/>
      <c r="AG1143" s="376"/>
    </row>
    <row r="1144">
      <c r="A1144" s="378"/>
      <c r="B1144" s="477"/>
      <c r="C1144" s="378"/>
      <c r="D1144" s="378"/>
      <c r="E1144" s="378"/>
      <c r="F1144" s="378"/>
      <c r="G1144" s="378"/>
      <c r="H1144" s="378"/>
      <c r="I1144" s="376"/>
      <c r="J1144" s="376"/>
      <c r="K1144" s="376"/>
      <c r="L1144" s="376"/>
      <c r="M1144" s="376"/>
      <c r="N1144" s="376"/>
      <c r="O1144" s="376"/>
      <c r="P1144" s="376"/>
      <c r="Q1144" s="376"/>
      <c r="R1144" s="376"/>
      <c r="S1144" s="376"/>
      <c r="T1144" s="376"/>
      <c r="U1144" s="376"/>
      <c r="V1144" s="376"/>
      <c r="W1144" s="376"/>
      <c r="X1144" s="376"/>
      <c r="Y1144" s="376"/>
      <c r="Z1144" s="376"/>
      <c r="AA1144" s="376"/>
      <c r="AB1144" s="376"/>
      <c r="AC1144" s="376"/>
      <c r="AD1144" s="376"/>
      <c r="AE1144" s="376"/>
      <c r="AF1144" s="376"/>
      <c r="AG1144" s="376"/>
    </row>
    <row r="1145">
      <c r="A1145" s="378"/>
      <c r="B1145" s="477"/>
      <c r="C1145" s="378"/>
      <c r="D1145" s="378"/>
      <c r="E1145" s="378"/>
      <c r="F1145" s="378"/>
      <c r="G1145" s="378"/>
      <c r="H1145" s="378"/>
      <c r="I1145" s="376"/>
      <c r="J1145" s="376"/>
      <c r="K1145" s="376"/>
      <c r="L1145" s="376"/>
      <c r="M1145" s="376"/>
      <c r="N1145" s="376"/>
      <c r="O1145" s="376"/>
      <c r="P1145" s="376"/>
      <c r="Q1145" s="376"/>
      <c r="R1145" s="376"/>
      <c r="S1145" s="376"/>
      <c r="T1145" s="376"/>
      <c r="U1145" s="376"/>
      <c r="V1145" s="376"/>
      <c r="W1145" s="376"/>
      <c r="X1145" s="376"/>
      <c r="Y1145" s="376"/>
      <c r="Z1145" s="376"/>
      <c r="AA1145" s="376"/>
      <c r="AB1145" s="376"/>
      <c r="AC1145" s="376"/>
      <c r="AD1145" s="376"/>
      <c r="AE1145" s="376"/>
      <c r="AF1145" s="376"/>
      <c r="AG1145" s="376"/>
    </row>
    <row r="1146">
      <c r="A1146" s="378"/>
      <c r="B1146" s="477"/>
      <c r="C1146" s="378"/>
      <c r="D1146" s="378"/>
      <c r="E1146" s="378"/>
      <c r="F1146" s="378"/>
      <c r="G1146" s="378"/>
      <c r="H1146" s="378"/>
      <c r="I1146" s="376"/>
      <c r="J1146" s="376"/>
      <c r="K1146" s="376"/>
      <c r="L1146" s="376"/>
      <c r="M1146" s="376"/>
      <c r="N1146" s="376"/>
      <c r="O1146" s="376"/>
      <c r="P1146" s="376"/>
      <c r="Q1146" s="376"/>
      <c r="R1146" s="376"/>
      <c r="S1146" s="376"/>
      <c r="T1146" s="376"/>
      <c r="U1146" s="376"/>
      <c r="V1146" s="376"/>
      <c r="W1146" s="376"/>
      <c r="X1146" s="376"/>
      <c r="Y1146" s="376"/>
      <c r="Z1146" s="376"/>
      <c r="AA1146" s="376"/>
      <c r="AB1146" s="376"/>
      <c r="AC1146" s="376"/>
      <c r="AD1146" s="376"/>
      <c r="AE1146" s="376"/>
      <c r="AF1146" s="376"/>
      <c r="AG1146" s="376"/>
    </row>
    <row r="1147">
      <c r="A1147" s="378"/>
      <c r="B1147" s="477"/>
      <c r="C1147" s="378"/>
      <c r="D1147" s="378"/>
      <c r="E1147" s="378"/>
      <c r="F1147" s="378"/>
      <c r="G1147" s="378"/>
      <c r="H1147" s="378"/>
      <c r="I1147" s="376"/>
      <c r="J1147" s="376"/>
      <c r="K1147" s="376"/>
      <c r="L1147" s="376"/>
      <c r="M1147" s="376"/>
      <c r="N1147" s="376"/>
      <c r="O1147" s="376"/>
      <c r="P1147" s="376"/>
      <c r="Q1147" s="376"/>
      <c r="R1147" s="376"/>
      <c r="S1147" s="376"/>
      <c r="T1147" s="376"/>
      <c r="U1147" s="376"/>
      <c r="V1147" s="376"/>
      <c r="W1147" s="376"/>
      <c r="X1147" s="376"/>
      <c r="Y1147" s="376"/>
      <c r="Z1147" s="376"/>
      <c r="AA1147" s="376"/>
      <c r="AB1147" s="376"/>
      <c r="AC1147" s="376"/>
      <c r="AD1147" s="376"/>
      <c r="AE1147" s="376"/>
      <c r="AF1147" s="376"/>
      <c r="AG1147" s="376"/>
    </row>
    <row r="1148">
      <c r="A1148" s="378"/>
      <c r="B1148" s="477"/>
      <c r="C1148" s="378"/>
      <c r="D1148" s="378"/>
      <c r="E1148" s="378"/>
      <c r="F1148" s="378"/>
      <c r="G1148" s="378"/>
      <c r="H1148" s="378"/>
      <c r="I1148" s="376"/>
      <c r="J1148" s="376"/>
      <c r="K1148" s="376"/>
      <c r="L1148" s="376"/>
      <c r="M1148" s="376"/>
      <c r="N1148" s="376"/>
      <c r="O1148" s="376"/>
      <c r="P1148" s="376"/>
      <c r="Q1148" s="376"/>
      <c r="R1148" s="376"/>
      <c r="S1148" s="376"/>
      <c r="T1148" s="376"/>
      <c r="U1148" s="376"/>
      <c r="V1148" s="376"/>
      <c r="W1148" s="376"/>
      <c r="X1148" s="376"/>
      <c r="Y1148" s="376"/>
      <c r="Z1148" s="376"/>
      <c r="AA1148" s="376"/>
      <c r="AB1148" s="376"/>
      <c r="AC1148" s="376"/>
      <c r="AD1148" s="376"/>
      <c r="AE1148" s="376"/>
      <c r="AF1148" s="376"/>
      <c r="AG1148" s="376"/>
    </row>
    <row r="1149">
      <c r="A1149" s="378"/>
      <c r="B1149" s="477"/>
      <c r="C1149" s="378"/>
      <c r="D1149" s="378"/>
      <c r="E1149" s="378"/>
      <c r="F1149" s="378"/>
      <c r="G1149" s="378"/>
      <c r="H1149" s="378"/>
      <c r="I1149" s="376"/>
      <c r="J1149" s="376"/>
      <c r="K1149" s="376"/>
      <c r="L1149" s="376"/>
      <c r="M1149" s="376"/>
      <c r="N1149" s="376"/>
      <c r="O1149" s="376"/>
      <c r="P1149" s="376"/>
      <c r="Q1149" s="376"/>
      <c r="R1149" s="376"/>
      <c r="S1149" s="376"/>
      <c r="T1149" s="376"/>
      <c r="U1149" s="376"/>
      <c r="V1149" s="376"/>
      <c r="W1149" s="376"/>
      <c r="X1149" s="376"/>
      <c r="Y1149" s="376"/>
      <c r="Z1149" s="376"/>
      <c r="AA1149" s="376"/>
      <c r="AB1149" s="376"/>
      <c r="AC1149" s="376"/>
      <c r="AD1149" s="376"/>
      <c r="AE1149" s="376"/>
      <c r="AF1149" s="376"/>
      <c r="AG1149" s="376"/>
    </row>
    <row r="1150">
      <c r="A1150" s="378"/>
      <c r="B1150" s="477"/>
      <c r="C1150" s="378"/>
      <c r="D1150" s="378"/>
      <c r="E1150" s="378"/>
      <c r="F1150" s="378"/>
      <c r="G1150" s="378"/>
      <c r="H1150" s="378"/>
      <c r="I1150" s="376"/>
      <c r="J1150" s="376"/>
      <c r="K1150" s="376"/>
      <c r="L1150" s="376"/>
      <c r="M1150" s="376"/>
      <c r="N1150" s="376"/>
      <c r="O1150" s="376"/>
      <c r="P1150" s="376"/>
      <c r="Q1150" s="376"/>
      <c r="R1150" s="376"/>
      <c r="S1150" s="376"/>
      <c r="T1150" s="376"/>
      <c r="U1150" s="376"/>
      <c r="V1150" s="376"/>
      <c r="W1150" s="376"/>
      <c r="X1150" s="376"/>
      <c r="Y1150" s="376"/>
      <c r="Z1150" s="376"/>
      <c r="AA1150" s="376"/>
      <c r="AB1150" s="376"/>
      <c r="AC1150" s="376"/>
      <c r="AD1150" s="376"/>
      <c r="AE1150" s="376"/>
      <c r="AF1150" s="376"/>
      <c r="AG1150" s="376"/>
    </row>
    <row r="1151">
      <c r="A1151" s="378"/>
      <c r="B1151" s="477"/>
      <c r="C1151" s="378"/>
      <c r="D1151" s="378"/>
      <c r="E1151" s="378"/>
      <c r="F1151" s="378"/>
      <c r="G1151" s="378"/>
      <c r="H1151" s="378"/>
      <c r="I1151" s="376"/>
      <c r="J1151" s="376"/>
      <c r="K1151" s="376"/>
      <c r="L1151" s="376"/>
      <c r="M1151" s="376"/>
      <c r="N1151" s="376"/>
      <c r="O1151" s="376"/>
      <c r="P1151" s="376"/>
      <c r="Q1151" s="376"/>
      <c r="R1151" s="376"/>
      <c r="S1151" s="376"/>
      <c r="T1151" s="376"/>
      <c r="U1151" s="376"/>
      <c r="V1151" s="376"/>
      <c r="W1151" s="376"/>
      <c r="X1151" s="376"/>
      <c r="Y1151" s="376"/>
      <c r="Z1151" s="376"/>
      <c r="AA1151" s="376"/>
      <c r="AB1151" s="376"/>
      <c r="AC1151" s="376"/>
      <c r="AD1151" s="376"/>
      <c r="AE1151" s="376"/>
      <c r="AF1151" s="376"/>
      <c r="AG1151" s="376"/>
    </row>
    <row r="1152">
      <c r="A1152" s="378"/>
      <c r="B1152" s="477"/>
      <c r="C1152" s="378"/>
      <c r="D1152" s="378"/>
      <c r="E1152" s="378"/>
      <c r="F1152" s="378"/>
      <c r="G1152" s="378"/>
      <c r="H1152" s="378"/>
      <c r="I1152" s="376"/>
      <c r="J1152" s="376"/>
      <c r="K1152" s="376"/>
      <c r="L1152" s="376"/>
      <c r="M1152" s="376"/>
      <c r="N1152" s="376"/>
      <c r="O1152" s="376"/>
      <c r="P1152" s="376"/>
      <c r="Q1152" s="376"/>
      <c r="R1152" s="376"/>
      <c r="S1152" s="376"/>
      <c r="T1152" s="376"/>
      <c r="U1152" s="376"/>
      <c r="V1152" s="376"/>
      <c r="W1152" s="376"/>
      <c r="X1152" s="376"/>
      <c r="Y1152" s="376"/>
      <c r="Z1152" s="376"/>
      <c r="AA1152" s="376"/>
      <c r="AB1152" s="376"/>
      <c r="AC1152" s="376"/>
      <c r="AD1152" s="376"/>
      <c r="AE1152" s="376"/>
      <c r="AF1152" s="376"/>
      <c r="AG1152" s="376"/>
    </row>
    <row r="1153">
      <c r="A1153" s="378"/>
      <c r="B1153" s="477"/>
      <c r="C1153" s="378"/>
      <c r="D1153" s="378"/>
      <c r="E1153" s="378"/>
      <c r="F1153" s="378"/>
      <c r="G1153" s="378"/>
      <c r="H1153" s="378"/>
      <c r="I1153" s="376"/>
      <c r="J1153" s="376"/>
      <c r="K1153" s="376"/>
      <c r="L1153" s="376"/>
      <c r="M1153" s="376"/>
      <c r="N1153" s="376"/>
      <c r="O1153" s="376"/>
      <c r="P1153" s="376"/>
      <c r="Q1153" s="376"/>
      <c r="R1153" s="376"/>
      <c r="S1153" s="376"/>
      <c r="T1153" s="376"/>
      <c r="U1153" s="376"/>
      <c r="V1153" s="376"/>
      <c r="W1153" s="376"/>
      <c r="X1153" s="376"/>
      <c r="Y1153" s="376"/>
      <c r="Z1153" s="376"/>
      <c r="AA1153" s="376"/>
      <c r="AB1153" s="376"/>
      <c r="AC1153" s="376"/>
      <c r="AD1153" s="376"/>
      <c r="AE1153" s="376"/>
      <c r="AF1153" s="376"/>
      <c r="AG1153" s="376"/>
    </row>
    <row r="1154">
      <c r="A1154" s="378"/>
      <c r="B1154" s="477"/>
      <c r="C1154" s="378"/>
      <c r="D1154" s="378"/>
      <c r="E1154" s="378"/>
      <c r="F1154" s="378"/>
      <c r="G1154" s="378"/>
      <c r="H1154" s="378"/>
      <c r="I1154" s="376"/>
      <c r="J1154" s="376"/>
      <c r="K1154" s="376"/>
      <c r="L1154" s="376"/>
      <c r="M1154" s="376"/>
      <c r="N1154" s="376"/>
      <c r="O1154" s="376"/>
      <c r="P1154" s="376"/>
      <c r="Q1154" s="376"/>
      <c r="R1154" s="376"/>
      <c r="S1154" s="376"/>
      <c r="T1154" s="376"/>
      <c r="U1154" s="376"/>
      <c r="V1154" s="376"/>
      <c r="W1154" s="376"/>
      <c r="X1154" s="376"/>
      <c r="Y1154" s="376"/>
      <c r="Z1154" s="376"/>
      <c r="AA1154" s="376"/>
      <c r="AB1154" s="376"/>
      <c r="AC1154" s="376"/>
      <c r="AD1154" s="376"/>
      <c r="AE1154" s="376"/>
      <c r="AF1154" s="376"/>
      <c r="AG1154" s="376"/>
    </row>
    <row r="1155">
      <c r="A1155" s="378"/>
      <c r="B1155" s="477"/>
      <c r="C1155" s="378"/>
      <c r="D1155" s="378"/>
      <c r="E1155" s="378"/>
      <c r="F1155" s="378"/>
      <c r="G1155" s="378"/>
      <c r="H1155" s="378"/>
      <c r="I1155" s="376"/>
      <c r="J1155" s="376"/>
      <c r="K1155" s="376"/>
      <c r="L1155" s="376"/>
      <c r="M1155" s="376"/>
      <c r="N1155" s="376"/>
      <c r="O1155" s="376"/>
      <c r="P1155" s="376"/>
      <c r="Q1155" s="376"/>
      <c r="R1155" s="376"/>
      <c r="S1155" s="376"/>
      <c r="T1155" s="376"/>
      <c r="U1155" s="376"/>
      <c r="V1155" s="376"/>
      <c r="W1155" s="376"/>
      <c r="X1155" s="376"/>
      <c r="Y1155" s="376"/>
      <c r="Z1155" s="376"/>
      <c r="AA1155" s="376"/>
      <c r="AB1155" s="376"/>
      <c r="AC1155" s="376"/>
      <c r="AD1155" s="376"/>
      <c r="AE1155" s="376"/>
      <c r="AF1155" s="376"/>
      <c r="AG1155" s="376"/>
    </row>
    <row r="1156">
      <c r="A1156" s="378"/>
      <c r="B1156" s="477"/>
      <c r="C1156" s="378"/>
      <c r="D1156" s="378"/>
      <c r="E1156" s="378"/>
      <c r="F1156" s="378"/>
      <c r="G1156" s="378"/>
      <c r="H1156" s="378"/>
      <c r="I1156" s="376"/>
      <c r="J1156" s="376"/>
      <c r="K1156" s="376"/>
      <c r="L1156" s="376"/>
      <c r="M1156" s="376"/>
      <c r="N1156" s="376"/>
      <c r="O1156" s="376"/>
      <c r="P1156" s="376"/>
      <c r="Q1156" s="376"/>
      <c r="R1156" s="376"/>
      <c r="S1156" s="376"/>
      <c r="T1156" s="376"/>
      <c r="U1156" s="376"/>
      <c r="V1156" s="376"/>
      <c r="W1156" s="376"/>
      <c r="X1156" s="376"/>
      <c r="Y1156" s="376"/>
      <c r="Z1156" s="376"/>
      <c r="AA1156" s="376"/>
      <c r="AB1156" s="376"/>
      <c r="AC1156" s="376"/>
      <c r="AD1156" s="376"/>
      <c r="AE1156" s="376"/>
      <c r="AF1156" s="376"/>
      <c r="AG1156" s="376"/>
    </row>
    <row r="1157">
      <c r="A1157" s="378"/>
      <c r="B1157" s="477"/>
      <c r="C1157" s="378"/>
      <c r="D1157" s="378"/>
      <c r="E1157" s="378"/>
      <c r="F1157" s="378"/>
      <c r="G1157" s="378"/>
      <c r="H1157" s="378"/>
      <c r="I1157" s="376"/>
      <c r="J1157" s="376"/>
      <c r="K1157" s="376"/>
      <c r="L1157" s="376"/>
      <c r="M1157" s="376"/>
      <c r="N1157" s="376"/>
      <c r="O1157" s="376"/>
      <c r="P1157" s="376"/>
      <c r="Q1157" s="376"/>
      <c r="R1157" s="376"/>
      <c r="S1157" s="376"/>
      <c r="T1157" s="376"/>
      <c r="U1157" s="376"/>
      <c r="V1157" s="376"/>
      <c r="W1157" s="376"/>
      <c r="X1157" s="376"/>
      <c r="Y1157" s="376"/>
      <c r="Z1157" s="376"/>
      <c r="AA1157" s="376"/>
      <c r="AB1157" s="376"/>
      <c r="AC1157" s="376"/>
      <c r="AD1157" s="376"/>
      <c r="AE1157" s="376"/>
      <c r="AF1157" s="376"/>
      <c r="AG1157" s="376"/>
    </row>
    <row r="1158">
      <c r="A1158" s="378"/>
      <c r="B1158" s="477"/>
      <c r="C1158" s="378"/>
      <c r="D1158" s="378"/>
      <c r="E1158" s="378"/>
      <c r="F1158" s="378"/>
      <c r="G1158" s="378"/>
      <c r="H1158" s="378"/>
      <c r="I1158" s="376"/>
      <c r="J1158" s="376"/>
      <c r="K1158" s="376"/>
      <c r="L1158" s="376"/>
      <c r="M1158" s="376"/>
      <c r="N1158" s="376"/>
      <c r="O1158" s="376"/>
      <c r="P1158" s="376"/>
      <c r="Q1158" s="376"/>
      <c r="R1158" s="376"/>
      <c r="S1158" s="376"/>
      <c r="T1158" s="376"/>
      <c r="U1158" s="376"/>
      <c r="V1158" s="376"/>
      <c r="W1158" s="376"/>
      <c r="X1158" s="376"/>
      <c r="Y1158" s="376"/>
      <c r="Z1158" s="376"/>
      <c r="AA1158" s="376"/>
      <c r="AB1158" s="376"/>
      <c r="AC1158" s="376"/>
      <c r="AD1158" s="376"/>
      <c r="AE1158" s="376"/>
      <c r="AF1158" s="376"/>
      <c r="AG1158" s="376"/>
    </row>
    <row r="1159">
      <c r="A1159" s="378"/>
      <c r="B1159" s="477"/>
      <c r="C1159" s="378"/>
      <c r="D1159" s="378"/>
      <c r="E1159" s="378"/>
      <c r="F1159" s="378"/>
      <c r="G1159" s="378"/>
      <c r="H1159" s="378"/>
      <c r="I1159" s="376"/>
      <c r="J1159" s="376"/>
      <c r="K1159" s="376"/>
      <c r="L1159" s="376"/>
      <c r="M1159" s="376"/>
      <c r="N1159" s="376"/>
      <c r="O1159" s="376"/>
      <c r="P1159" s="376"/>
      <c r="Q1159" s="376"/>
      <c r="R1159" s="376"/>
      <c r="S1159" s="376"/>
      <c r="T1159" s="376"/>
      <c r="U1159" s="376"/>
      <c r="V1159" s="376"/>
      <c r="W1159" s="376"/>
      <c r="X1159" s="376"/>
      <c r="Y1159" s="376"/>
      <c r="Z1159" s="376"/>
      <c r="AA1159" s="376"/>
      <c r="AB1159" s="376"/>
      <c r="AC1159" s="376"/>
      <c r="AD1159" s="376"/>
      <c r="AE1159" s="376"/>
      <c r="AF1159" s="376"/>
      <c r="AG1159" s="376"/>
    </row>
    <row r="1160">
      <c r="A1160" s="378"/>
      <c r="B1160" s="477"/>
      <c r="C1160" s="378"/>
      <c r="D1160" s="378"/>
      <c r="E1160" s="378"/>
      <c r="F1160" s="378"/>
      <c r="G1160" s="378"/>
      <c r="H1160" s="378"/>
      <c r="I1160" s="376"/>
      <c r="J1160" s="376"/>
      <c r="K1160" s="376"/>
      <c r="L1160" s="376"/>
      <c r="M1160" s="376"/>
      <c r="N1160" s="376"/>
      <c r="O1160" s="376"/>
      <c r="P1160" s="376"/>
      <c r="Q1160" s="376"/>
      <c r="R1160" s="376"/>
      <c r="S1160" s="376"/>
      <c r="T1160" s="376"/>
      <c r="U1160" s="376"/>
      <c r="V1160" s="376"/>
      <c r="W1160" s="376"/>
      <c r="X1160" s="376"/>
      <c r="Y1160" s="376"/>
      <c r="Z1160" s="376"/>
      <c r="AA1160" s="376"/>
      <c r="AB1160" s="376"/>
      <c r="AC1160" s="376"/>
      <c r="AD1160" s="376"/>
      <c r="AE1160" s="376"/>
      <c r="AF1160" s="376"/>
      <c r="AG1160" s="376"/>
    </row>
    <row r="1161">
      <c r="A1161" s="378"/>
      <c r="B1161" s="477"/>
      <c r="C1161" s="378"/>
      <c r="D1161" s="378"/>
      <c r="E1161" s="378"/>
      <c r="F1161" s="378"/>
      <c r="G1161" s="378"/>
      <c r="H1161" s="378"/>
      <c r="I1161" s="376"/>
      <c r="J1161" s="376"/>
      <c r="K1161" s="376"/>
      <c r="L1161" s="376"/>
      <c r="M1161" s="376"/>
      <c r="N1161" s="376"/>
      <c r="O1161" s="376"/>
      <c r="P1161" s="376"/>
      <c r="Q1161" s="376"/>
      <c r="R1161" s="376"/>
      <c r="S1161" s="376"/>
      <c r="T1161" s="376"/>
      <c r="U1161" s="376"/>
      <c r="V1161" s="376"/>
      <c r="W1161" s="376"/>
      <c r="X1161" s="376"/>
      <c r="Y1161" s="376"/>
      <c r="Z1161" s="376"/>
      <c r="AA1161" s="376"/>
      <c r="AB1161" s="376"/>
      <c r="AC1161" s="376"/>
      <c r="AD1161" s="376"/>
      <c r="AE1161" s="376"/>
      <c r="AF1161" s="376"/>
      <c r="AG1161" s="376"/>
    </row>
    <row r="1162">
      <c r="A1162" s="378"/>
      <c r="B1162" s="477"/>
      <c r="C1162" s="378"/>
      <c r="D1162" s="378"/>
      <c r="E1162" s="378"/>
      <c r="F1162" s="378"/>
      <c r="G1162" s="378"/>
      <c r="H1162" s="378"/>
      <c r="I1162" s="376"/>
      <c r="J1162" s="376"/>
      <c r="K1162" s="376"/>
      <c r="L1162" s="376"/>
      <c r="M1162" s="376"/>
      <c r="N1162" s="376"/>
      <c r="O1162" s="376"/>
      <c r="P1162" s="376"/>
      <c r="Q1162" s="376"/>
      <c r="R1162" s="376"/>
      <c r="S1162" s="376"/>
      <c r="T1162" s="376"/>
      <c r="U1162" s="376"/>
      <c r="V1162" s="376"/>
      <c r="W1162" s="376"/>
      <c r="X1162" s="376"/>
      <c r="Y1162" s="376"/>
      <c r="Z1162" s="376"/>
      <c r="AA1162" s="376"/>
      <c r="AB1162" s="376"/>
      <c r="AC1162" s="376"/>
      <c r="AD1162" s="376"/>
      <c r="AE1162" s="376"/>
      <c r="AF1162" s="376"/>
      <c r="AG1162" s="376"/>
    </row>
    <row r="1163">
      <c r="A1163" s="378"/>
      <c r="B1163" s="477"/>
      <c r="C1163" s="378"/>
      <c r="D1163" s="378"/>
      <c r="E1163" s="378"/>
      <c r="F1163" s="378"/>
      <c r="G1163" s="378"/>
      <c r="H1163" s="378"/>
      <c r="I1163" s="376"/>
      <c r="J1163" s="376"/>
      <c r="K1163" s="376"/>
      <c r="L1163" s="376"/>
      <c r="M1163" s="376"/>
      <c r="N1163" s="376"/>
      <c r="O1163" s="376"/>
      <c r="P1163" s="376"/>
      <c r="Q1163" s="376"/>
      <c r="R1163" s="376"/>
      <c r="S1163" s="376"/>
      <c r="T1163" s="376"/>
      <c r="U1163" s="376"/>
      <c r="V1163" s="376"/>
      <c r="W1163" s="376"/>
      <c r="X1163" s="376"/>
      <c r="Y1163" s="376"/>
      <c r="Z1163" s="376"/>
      <c r="AA1163" s="376"/>
      <c r="AB1163" s="376"/>
      <c r="AC1163" s="376"/>
      <c r="AD1163" s="376"/>
      <c r="AE1163" s="376"/>
      <c r="AF1163" s="376"/>
      <c r="AG1163" s="376"/>
    </row>
    <row r="1164">
      <c r="A1164" s="378"/>
      <c r="B1164" s="477"/>
      <c r="C1164" s="378"/>
      <c r="D1164" s="378"/>
      <c r="E1164" s="378"/>
      <c r="F1164" s="378"/>
      <c r="G1164" s="378"/>
      <c r="H1164" s="378"/>
      <c r="I1164" s="376"/>
      <c r="J1164" s="376"/>
      <c r="K1164" s="376"/>
      <c r="L1164" s="376"/>
      <c r="M1164" s="376"/>
      <c r="N1164" s="376"/>
      <c r="O1164" s="376"/>
      <c r="P1164" s="376"/>
      <c r="Q1164" s="376"/>
      <c r="R1164" s="376"/>
      <c r="S1164" s="376"/>
      <c r="T1164" s="376"/>
      <c r="U1164" s="376"/>
      <c r="V1164" s="376"/>
      <c r="W1164" s="376"/>
      <c r="X1164" s="376"/>
      <c r="Y1164" s="376"/>
      <c r="Z1164" s="376"/>
      <c r="AA1164" s="376"/>
      <c r="AB1164" s="376"/>
      <c r="AC1164" s="376"/>
      <c r="AD1164" s="376"/>
      <c r="AE1164" s="376"/>
      <c r="AF1164" s="376"/>
      <c r="AG1164" s="376"/>
    </row>
    <row r="1165">
      <c r="A1165" s="378"/>
      <c r="B1165" s="477"/>
      <c r="C1165" s="378"/>
      <c r="D1165" s="378"/>
      <c r="E1165" s="378"/>
      <c r="F1165" s="378"/>
      <c r="G1165" s="378"/>
      <c r="H1165" s="378"/>
      <c r="I1165" s="376"/>
      <c r="J1165" s="376"/>
      <c r="K1165" s="376"/>
      <c r="L1165" s="376"/>
      <c r="M1165" s="376"/>
      <c r="N1165" s="376"/>
      <c r="O1165" s="376"/>
      <c r="P1165" s="376"/>
      <c r="Q1165" s="376"/>
      <c r="R1165" s="376"/>
      <c r="S1165" s="376"/>
      <c r="T1165" s="376"/>
      <c r="U1165" s="376"/>
      <c r="V1165" s="376"/>
      <c r="W1165" s="376"/>
      <c r="X1165" s="376"/>
      <c r="Y1165" s="376"/>
      <c r="Z1165" s="376"/>
      <c r="AA1165" s="376"/>
      <c r="AB1165" s="376"/>
      <c r="AC1165" s="376"/>
      <c r="AD1165" s="376"/>
      <c r="AE1165" s="376"/>
      <c r="AF1165" s="376"/>
      <c r="AG1165" s="376"/>
    </row>
    <row r="1166">
      <c r="A1166" s="378"/>
      <c r="B1166" s="477"/>
      <c r="C1166" s="378"/>
      <c r="D1166" s="378"/>
      <c r="E1166" s="378"/>
      <c r="F1166" s="378"/>
      <c r="G1166" s="378"/>
      <c r="H1166" s="378"/>
      <c r="I1166" s="376"/>
      <c r="J1166" s="376"/>
      <c r="K1166" s="376"/>
      <c r="L1166" s="376"/>
      <c r="M1166" s="376"/>
      <c r="N1166" s="376"/>
      <c r="O1166" s="376"/>
      <c r="P1166" s="376"/>
      <c r="Q1166" s="376"/>
      <c r="R1166" s="376"/>
      <c r="S1166" s="376"/>
      <c r="T1166" s="376"/>
      <c r="U1166" s="376"/>
      <c r="V1166" s="376"/>
      <c r="W1166" s="376"/>
      <c r="X1166" s="376"/>
      <c r="Y1166" s="376"/>
      <c r="Z1166" s="376"/>
      <c r="AA1166" s="376"/>
      <c r="AB1166" s="376"/>
      <c r="AC1166" s="376"/>
      <c r="AD1166" s="376"/>
      <c r="AE1166" s="376"/>
      <c r="AF1166" s="376"/>
      <c r="AG1166" s="376"/>
    </row>
    <row r="1167">
      <c r="A1167" s="378"/>
      <c r="B1167" s="477"/>
      <c r="C1167" s="378"/>
      <c r="D1167" s="378"/>
      <c r="E1167" s="378"/>
      <c r="F1167" s="378"/>
      <c r="G1167" s="378"/>
      <c r="H1167" s="378"/>
      <c r="I1167" s="376"/>
      <c r="J1167" s="376"/>
      <c r="K1167" s="376"/>
      <c r="L1167" s="376"/>
      <c r="M1167" s="376"/>
      <c r="N1167" s="376"/>
      <c r="O1167" s="376"/>
      <c r="P1167" s="376"/>
      <c r="Q1167" s="376"/>
      <c r="R1167" s="376"/>
      <c r="S1167" s="376"/>
      <c r="T1167" s="376"/>
      <c r="U1167" s="376"/>
      <c r="V1167" s="376"/>
      <c r="W1167" s="376"/>
      <c r="X1167" s="376"/>
      <c r="Y1167" s="376"/>
      <c r="Z1167" s="376"/>
      <c r="AA1167" s="376"/>
      <c r="AB1167" s="376"/>
      <c r="AC1167" s="376"/>
      <c r="AD1167" s="376"/>
      <c r="AE1167" s="376"/>
      <c r="AF1167" s="376"/>
      <c r="AG1167" s="376"/>
    </row>
    <row r="1168">
      <c r="A1168" s="378"/>
      <c r="B1168" s="477"/>
      <c r="C1168" s="378"/>
      <c r="D1168" s="378"/>
      <c r="E1168" s="378"/>
      <c r="F1168" s="378"/>
      <c r="G1168" s="378"/>
      <c r="H1168" s="378"/>
      <c r="I1168" s="376"/>
      <c r="J1168" s="376"/>
      <c r="K1168" s="376"/>
      <c r="L1168" s="376"/>
      <c r="M1168" s="376"/>
      <c r="N1168" s="376"/>
      <c r="O1168" s="376"/>
      <c r="P1168" s="376"/>
      <c r="Q1168" s="376"/>
      <c r="R1168" s="376"/>
      <c r="S1168" s="376"/>
      <c r="T1168" s="376"/>
      <c r="U1168" s="376"/>
      <c r="V1168" s="376"/>
      <c r="W1168" s="376"/>
      <c r="X1168" s="376"/>
      <c r="Y1168" s="376"/>
      <c r="Z1168" s="376"/>
      <c r="AA1168" s="376"/>
      <c r="AB1168" s="376"/>
      <c r="AC1168" s="376"/>
      <c r="AD1168" s="376"/>
      <c r="AE1168" s="376"/>
      <c r="AF1168" s="376"/>
      <c r="AG1168" s="376"/>
    </row>
    <row r="1169">
      <c r="A1169" s="378"/>
      <c r="B1169" s="477"/>
      <c r="C1169" s="378"/>
      <c r="D1169" s="378"/>
      <c r="E1169" s="378"/>
      <c r="F1169" s="378"/>
      <c r="G1169" s="378"/>
      <c r="H1169" s="378"/>
      <c r="I1169" s="376"/>
      <c r="J1169" s="376"/>
      <c r="K1169" s="376"/>
      <c r="L1169" s="376"/>
      <c r="M1169" s="376"/>
      <c r="N1169" s="376"/>
      <c r="O1169" s="376"/>
      <c r="P1169" s="376"/>
      <c r="Q1169" s="376"/>
      <c r="R1169" s="376"/>
      <c r="S1169" s="376"/>
      <c r="T1169" s="376"/>
      <c r="U1169" s="376"/>
      <c r="V1169" s="376"/>
      <c r="W1169" s="376"/>
      <c r="X1169" s="376"/>
      <c r="Y1169" s="376"/>
      <c r="Z1169" s="376"/>
      <c r="AA1169" s="376"/>
      <c r="AB1169" s="376"/>
      <c r="AC1169" s="376"/>
      <c r="AD1169" s="376"/>
      <c r="AE1169" s="376"/>
      <c r="AF1169" s="376"/>
      <c r="AG1169" s="376"/>
    </row>
    <row r="1170">
      <c r="A1170" s="378"/>
      <c r="B1170" s="477"/>
      <c r="C1170" s="378"/>
      <c r="D1170" s="378"/>
      <c r="E1170" s="378"/>
      <c r="F1170" s="378"/>
      <c r="G1170" s="378"/>
      <c r="H1170" s="378"/>
      <c r="I1170" s="376"/>
      <c r="J1170" s="376"/>
      <c r="K1170" s="376"/>
      <c r="L1170" s="376"/>
      <c r="M1170" s="376"/>
      <c r="N1170" s="376"/>
      <c r="O1170" s="376"/>
      <c r="P1170" s="376"/>
      <c r="Q1170" s="376"/>
      <c r="R1170" s="376"/>
      <c r="S1170" s="376"/>
      <c r="T1170" s="376"/>
      <c r="U1170" s="376"/>
      <c r="V1170" s="376"/>
      <c r="W1170" s="376"/>
      <c r="X1170" s="376"/>
      <c r="Y1170" s="376"/>
      <c r="Z1170" s="376"/>
      <c r="AA1170" s="376"/>
      <c r="AB1170" s="376"/>
      <c r="AC1170" s="376"/>
      <c r="AD1170" s="376"/>
      <c r="AE1170" s="376"/>
      <c r="AF1170" s="376"/>
      <c r="AG1170" s="376"/>
    </row>
    <row r="1171">
      <c r="A1171" s="378"/>
      <c r="B1171" s="477"/>
      <c r="C1171" s="378"/>
      <c r="D1171" s="378"/>
      <c r="E1171" s="378"/>
      <c r="F1171" s="378"/>
      <c r="G1171" s="378"/>
      <c r="H1171" s="378"/>
      <c r="I1171" s="376"/>
      <c r="J1171" s="376"/>
      <c r="K1171" s="376"/>
      <c r="L1171" s="376"/>
      <c r="M1171" s="376"/>
      <c r="N1171" s="376"/>
      <c r="O1171" s="376"/>
      <c r="P1171" s="376"/>
      <c r="Q1171" s="376"/>
      <c r="R1171" s="376"/>
      <c r="S1171" s="376"/>
      <c r="T1171" s="376"/>
      <c r="U1171" s="376"/>
      <c r="V1171" s="376"/>
      <c r="W1171" s="376"/>
      <c r="X1171" s="376"/>
      <c r="Y1171" s="376"/>
      <c r="Z1171" s="376"/>
      <c r="AA1171" s="376"/>
      <c r="AB1171" s="376"/>
      <c r="AC1171" s="376"/>
      <c r="AD1171" s="376"/>
      <c r="AE1171" s="376"/>
      <c r="AF1171" s="376"/>
      <c r="AG1171" s="376"/>
    </row>
    <row r="1172">
      <c r="A1172" s="378"/>
      <c r="B1172" s="477"/>
      <c r="C1172" s="378"/>
      <c r="D1172" s="378"/>
      <c r="E1172" s="378"/>
      <c r="F1172" s="378"/>
      <c r="G1172" s="378"/>
      <c r="H1172" s="378"/>
      <c r="I1172" s="376"/>
      <c r="J1172" s="376"/>
      <c r="K1172" s="376"/>
      <c r="L1172" s="376"/>
      <c r="M1172" s="376"/>
      <c r="N1172" s="376"/>
      <c r="O1172" s="376"/>
      <c r="P1172" s="376"/>
      <c r="Q1172" s="376"/>
      <c r="R1172" s="376"/>
      <c r="S1172" s="376"/>
      <c r="T1172" s="376"/>
      <c r="U1172" s="376"/>
      <c r="V1172" s="376"/>
      <c r="W1172" s="376"/>
      <c r="X1172" s="376"/>
      <c r="Y1172" s="376"/>
      <c r="Z1172" s="376"/>
      <c r="AA1172" s="376"/>
      <c r="AB1172" s="376"/>
      <c r="AC1172" s="376"/>
      <c r="AD1172" s="376"/>
      <c r="AE1172" s="376"/>
      <c r="AF1172" s="376"/>
      <c r="AG1172" s="376"/>
    </row>
    <row r="1173">
      <c r="A1173" s="378"/>
      <c r="B1173" s="477"/>
      <c r="C1173" s="378"/>
      <c r="D1173" s="378"/>
      <c r="E1173" s="378"/>
      <c r="F1173" s="378"/>
      <c r="G1173" s="378"/>
      <c r="H1173" s="378"/>
      <c r="I1173" s="376"/>
      <c r="J1173" s="376"/>
      <c r="K1173" s="376"/>
      <c r="L1173" s="376"/>
      <c r="M1173" s="376"/>
      <c r="N1173" s="376"/>
      <c r="O1173" s="376"/>
      <c r="P1173" s="376"/>
      <c r="Q1173" s="376"/>
      <c r="R1173" s="376"/>
      <c r="S1173" s="376"/>
      <c r="T1173" s="376"/>
      <c r="U1173" s="376"/>
      <c r="V1173" s="376"/>
      <c r="W1173" s="376"/>
      <c r="X1173" s="376"/>
      <c r="Y1173" s="376"/>
      <c r="Z1173" s="376"/>
      <c r="AA1173" s="376"/>
      <c r="AB1173" s="376"/>
      <c r="AC1173" s="376"/>
      <c r="AD1173" s="376"/>
      <c r="AE1173" s="376"/>
      <c r="AF1173" s="376"/>
      <c r="AG1173" s="376"/>
    </row>
    <row r="1174">
      <c r="A1174" s="378"/>
      <c r="B1174" s="477"/>
      <c r="C1174" s="378"/>
      <c r="D1174" s="378"/>
      <c r="E1174" s="378"/>
      <c r="F1174" s="378"/>
      <c r="G1174" s="378"/>
      <c r="H1174" s="378"/>
      <c r="I1174" s="376"/>
      <c r="J1174" s="376"/>
      <c r="K1174" s="376"/>
      <c r="L1174" s="376"/>
      <c r="M1174" s="376"/>
      <c r="N1174" s="376"/>
      <c r="O1174" s="376"/>
      <c r="P1174" s="376"/>
      <c r="Q1174" s="376"/>
      <c r="R1174" s="376"/>
      <c r="S1174" s="376"/>
      <c r="T1174" s="376"/>
      <c r="U1174" s="376"/>
      <c r="V1174" s="376"/>
      <c r="W1174" s="376"/>
      <c r="X1174" s="376"/>
      <c r="Y1174" s="376"/>
      <c r="Z1174" s="376"/>
      <c r="AA1174" s="376"/>
      <c r="AB1174" s="376"/>
      <c r="AC1174" s="376"/>
      <c r="AD1174" s="376"/>
      <c r="AE1174" s="376"/>
      <c r="AF1174" s="376"/>
      <c r="AG1174" s="376"/>
    </row>
    <row r="1175">
      <c r="A1175" s="378"/>
      <c r="B1175" s="477"/>
      <c r="C1175" s="378"/>
      <c r="D1175" s="378"/>
      <c r="E1175" s="378"/>
      <c r="F1175" s="378"/>
      <c r="G1175" s="378"/>
      <c r="H1175" s="378"/>
      <c r="I1175" s="376"/>
      <c r="J1175" s="376"/>
      <c r="K1175" s="376"/>
      <c r="L1175" s="376"/>
      <c r="M1175" s="376"/>
      <c r="N1175" s="376"/>
      <c r="O1175" s="376"/>
      <c r="P1175" s="376"/>
      <c r="Q1175" s="376"/>
      <c r="R1175" s="376"/>
      <c r="S1175" s="376"/>
      <c r="T1175" s="376"/>
      <c r="U1175" s="376"/>
      <c r="V1175" s="376"/>
      <c r="W1175" s="376"/>
      <c r="X1175" s="376"/>
      <c r="Y1175" s="376"/>
      <c r="Z1175" s="376"/>
      <c r="AA1175" s="376"/>
      <c r="AB1175" s="376"/>
      <c r="AC1175" s="376"/>
      <c r="AD1175" s="376"/>
      <c r="AE1175" s="376"/>
      <c r="AF1175" s="376"/>
      <c r="AG1175" s="376"/>
    </row>
    <row r="1176">
      <c r="A1176" s="378"/>
      <c r="B1176" s="477"/>
      <c r="C1176" s="378"/>
      <c r="D1176" s="378"/>
      <c r="E1176" s="378"/>
      <c r="F1176" s="378"/>
      <c r="G1176" s="378"/>
      <c r="H1176" s="378"/>
      <c r="I1176" s="376"/>
      <c r="J1176" s="376"/>
      <c r="K1176" s="376"/>
      <c r="L1176" s="376"/>
      <c r="M1176" s="376"/>
      <c r="N1176" s="376"/>
      <c r="O1176" s="376"/>
      <c r="P1176" s="376"/>
      <c r="Q1176" s="376"/>
      <c r="R1176" s="376"/>
      <c r="S1176" s="376"/>
      <c r="T1176" s="376"/>
      <c r="U1176" s="376"/>
      <c r="V1176" s="376"/>
      <c r="W1176" s="376"/>
      <c r="X1176" s="376"/>
      <c r="Y1176" s="376"/>
      <c r="Z1176" s="376"/>
      <c r="AA1176" s="376"/>
      <c r="AB1176" s="376"/>
      <c r="AC1176" s="376"/>
      <c r="AD1176" s="376"/>
      <c r="AE1176" s="376"/>
      <c r="AF1176" s="376"/>
      <c r="AG1176" s="376"/>
    </row>
    <row r="1177">
      <c r="A1177" s="378"/>
      <c r="B1177" s="477"/>
      <c r="C1177" s="378"/>
      <c r="D1177" s="378"/>
      <c r="E1177" s="378"/>
      <c r="F1177" s="378"/>
      <c r="G1177" s="378"/>
      <c r="H1177" s="378"/>
      <c r="I1177" s="376"/>
      <c r="J1177" s="376"/>
      <c r="K1177" s="376"/>
      <c r="L1177" s="376"/>
      <c r="M1177" s="376"/>
      <c r="N1177" s="376"/>
      <c r="O1177" s="376"/>
      <c r="P1177" s="376"/>
      <c r="Q1177" s="376"/>
      <c r="R1177" s="376"/>
      <c r="S1177" s="376"/>
      <c r="T1177" s="376"/>
      <c r="U1177" s="376"/>
      <c r="V1177" s="376"/>
      <c r="W1177" s="376"/>
      <c r="X1177" s="376"/>
      <c r="Y1177" s="376"/>
      <c r="Z1177" s="376"/>
      <c r="AA1177" s="376"/>
      <c r="AB1177" s="376"/>
      <c r="AC1177" s="376"/>
      <c r="AD1177" s="376"/>
      <c r="AE1177" s="376"/>
      <c r="AF1177" s="376"/>
      <c r="AG1177" s="376"/>
    </row>
    <row r="1178">
      <c r="A1178" s="378"/>
      <c r="B1178" s="477"/>
      <c r="C1178" s="378"/>
      <c r="D1178" s="378"/>
      <c r="E1178" s="378"/>
      <c r="F1178" s="378"/>
      <c r="G1178" s="378"/>
      <c r="H1178" s="378"/>
      <c r="I1178" s="376"/>
      <c r="J1178" s="376"/>
      <c r="K1178" s="376"/>
      <c r="L1178" s="376"/>
      <c r="M1178" s="376"/>
      <c r="N1178" s="376"/>
      <c r="O1178" s="376"/>
      <c r="P1178" s="376"/>
      <c r="Q1178" s="376"/>
      <c r="R1178" s="376"/>
      <c r="S1178" s="376"/>
      <c r="T1178" s="376"/>
      <c r="U1178" s="376"/>
      <c r="V1178" s="376"/>
      <c r="W1178" s="376"/>
      <c r="X1178" s="376"/>
      <c r="Y1178" s="376"/>
      <c r="Z1178" s="376"/>
      <c r="AA1178" s="376"/>
      <c r="AB1178" s="376"/>
      <c r="AC1178" s="376"/>
      <c r="AD1178" s="376"/>
      <c r="AE1178" s="376"/>
      <c r="AF1178" s="376"/>
      <c r="AG1178" s="376"/>
    </row>
    <row r="1179">
      <c r="A1179" s="378"/>
      <c r="B1179" s="477"/>
      <c r="C1179" s="378"/>
      <c r="D1179" s="378"/>
      <c r="E1179" s="378"/>
      <c r="F1179" s="378"/>
      <c r="G1179" s="378"/>
      <c r="H1179" s="378"/>
      <c r="I1179" s="376"/>
      <c r="J1179" s="376"/>
      <c r="K1179" s="376"/>
      <c r="L1179" s="376"/>
      <c r="M1179" s="376"/>
      <c r="N1179" s="376"/>
      <c r="O1179" s="376"/>
      <c r="P1179" s="376"/>
      <c r="Q1179" s="376"/>
      <c r="R1179" s="376"/>
      <c r="S1179" s="376"/>
      <c r="T1179" s="376"/>
      <c r="U1179" s="376"/>
      <c r="V1179" s="376"/>
      <c r="W1179" s="376"/>
      <c r="X1179" s="376"/>
      <c r="Y1179" s="376"/>
      <c r="Z1179" s="376"/>
      <c r="AA1179" s="376"/>
      <c r="AB1179" s="376"/>
      <c r="AC1179" s="376"/>
      <c r="AD1179" s="376"/>
      <c r="AE1179" s="376"/>
      <c r="AF1179" s="376"/>
      <c r="AG1179" s="376"/>
    </row>
    <row r="1180">
      <c r="A1180" s="378"/>
      <c r="B1180" s="477"/>
      <c r="C1180" s="378"/>
      <c r="D1180" s="378"/>
      <c r="E1180" s="378"/>
      <c r="F1180" s="378"/>
      <c r="G1180" s="378"/>
      <c r="H1180" s="378"/>
      <c r="I1180" s="376"/>
      <c r="J1180" s="376"/>
      <c r="K1180" s="376"/>
      <c r="L1180" s="376"/>
      <c r="M1180" s="376"/>
      <c r="N1180" s="376"/>
      <c r="O1180" s="376"/>
      <c r="P1180" s="376"/>
      <c r="Q1180" s="376"/>
      <c r="R1180" s="376"/>
      <c r="S1180" s="376"/>
      <c r="T1180" s="376"/>
      <c r="U1180" s="376"/>
      <c r="V1180" s="376"/>
      <c r="W1180" s="376"/>
      <c r="X1180" s="376"/>
      <c r="Y1180" s="376"/>
      <c r="Z1180" s="376"/>
      <c r="AA1180" s="376"/>
      <c r="AB1180" s="376"/>
      <c r="AC1180" s="376"/>
      <c r="AD1180" s="376"/>
      <c r="AE1180" s="376"/>
      <c r="AF1180" s="376"/>
      <c r="AG1180" s="376"/>
    </row>
    <row r="1181">
      <c r="A1181" s="378"/>
      <c r="B1181" s="477"/>
      <c r="C1181" s="378"/>
      <c r="D1181" s="378"/>
      <c r="E1181" s="378"/>
      <c r="F1181" s="378"/>
      <c r="G1181" s="378"/>
      <c r="H1181" s="378"/>
      <c r="I1181" s="376"/>
      <c r="J1181" s="376"/>
      <c r="K1181" s="376"/>
      <c r="L1181" s="376"/>
      <c r="M1181" s="376"/>
      <c r="N1181" s="376"/>
      <c r="O1181" s="376"/>
      <c r="P1181" s="376"/>
      <c r="Q1181" s="376"/>
      <c r="R1181" s="376"/>
      <c r="S1181" s="376"/>
      <c r="T1181" s="376"/>
      <c r="U1181" s="376"/>
      <c r="V1181" s="376"/>
      <c r="W1181" s="376"/>
      <c r="X1181" s="376"/>
      <c r="Y1181" s="376"/>
      <c r="Z1181" s="376"/>
      <c r="AA1181" s="376"/>
      <c r="AB1181" s="376"/>
      <c r="AC1181" s="376"/>
      <c r="AD1181" s="376"/>
      <c r="AE1181" s="376"/>
      <c r="AF1181" s="376"/>
      <c r="AG1181" s="376"/>
    </row>
    <row r="1182">
      <c r="A1182" s="378"/>
      <c r="B1182" s="477"/>
      <c r="C1182" s="378"/>
      <c r="D1182" s="378"/>
      <c r="E1182" s="378"/>
      <c r="F1182" s="378"/>
      <c r="G1182" s="378"/>
      <c r="H1182" s="378"/>
      <c r="I1182" s="376"/>
      <c r="J1182" s="376"/>
      <c r="K1182" s="376"/>
      <c r="L1182" s="376"/>
      <c r="M1182" s="376"/>
      <c r="N1182" s="376"/>
      <c r="O1182" s="376"/>
      <c r="P1182" s="376"/>
      <c r="Q1182" s="376"/>
      <c r="R1182" s="376"/>
      <c r="S1182" s="376"/>
      <c r="T1182" s="376"/>
      <c r="U1182" s="376"/>
      <c r="V1182" s="376"/>
      <c r="W1182" s="376"/>
      <c r="X1182" s="376"/>
      <c r="Y1182" s="376"/>
      <c r="Z1182" s="376"/>
      <c r="AA1182" s="376"/>
      <c r="AB1182" s="376"/>
      <c r="AC1182" s="376"/>
      <c r="AD1182" s="376"/>
      <c r="AE1182" s="376"/>
      <c r="AF1182" s="376"/>
      <c r="AG1182" s="376"/>
    </row>
    <row r="1183">
      <c r="A1183" s="378"/>
      <c r="B1183" s="477"/>
      <c r="C1183" s="378"/>
      <c r="D1183" s="378"/>
      <c r="E1183" s="378"/>
      <c r="F1183" s="378"/>
      <c r="G1183" s="378"/>
      <c r="H1183" s="378"/>
      <c r="I1183" s="376"/>
      <c r="J1183" s="376"/>
      <c r="K1183" s="376"/>
      <c r="L1183" s="376"/>
      <c r="M1183" s="376"/>
      <c r="N1183" s="376"/>
      <c r="O1183" s="376"/>
      <c r="P1183" s="376"/>
      <c r="Q1183" s="376"/>
      <c r="R1183" s="376"/>
      <c r="S1183" s="376"/>
      <c r="T1183" s="376"/>
      <c r="U1183" s="376"/>
      <c r="V1183" s="376"/>
      <c r="W1183" s="376"/>
      <c r="X1183" s="376"/>
      <c r="Y1183" s="376"/>
      <c r="Z1183" s="376"/>
      <c r="AA1183" s="376"/>
      <c r="AB1183" s="376"/>
      <c r="AC1183" s="376"/>
      <c r="AD1183" s="376"/>
      <c r="AE1183" s="376"/>
      <c r="AF1183" s="376"/>
      <c r="AG1183" s="376"/>
    </row>
    <row r="1184">
      <c r="A1184" s="378"/>
      <c r="B1184" s="477"/>
      <c r="C1184" s="378"/>
      <c r="D1184" s="378"/>
      <c r="E1184" s="378"/>
      <c r="F1184" s="378"/>
      <c r="G1184" s="378"/>
      <c r="H1184" s="378"/>
      <c r="I1184" s="376"/>
      <c r="J1184" s="376"/>
      <c r="K1184" s="376"/>
      <c r="L1184" s="376"/>
      <c r="M1184" s="376"/>
      <c r="N1184" s="376"/>
      <c r="O1184" s="376"/>
      <c r="P1184" s="376"/>
      <c r="Q1184" s="376"/>
      <c r="R1184" s="376"/>
      <c r="S1184" s="376"/>
      <c r="T1184" s="376"/>
      <c r="U1184" s="376"/>
      <c r="V1184" s="376"/>
      <c r="W1184" s="376"/>
      <c r="X1184" s="376"/>
      <c r="Y1184" s="376"/>
      <c r="Z1184" s="376"/>
      <c r="AA1184" s="376"/>
      <c r="AB1184" s="376"/>
      <c r="AC1184" s="376"/>
      <c r="AD1184" s="376"/>
      <c r="AE1184" s="376"/>
      <c r="AF1184" s="376"/>
      <c r="AG1184" s="376"/>
    </row>
    <row r="1185">
      <c r="A1185" s="378"/>
      <c r="B1185" s="477"/>
      <c r="C1185" s="378"/>
      <c r="D1185" s="378"/>
      <c r="E1185" s="378"/>
      <c r="F1185" s="378"/>
      <c r="G1185" s="378"/>
      <c r="H1185" s="378"/>
      <c r="I1185" s="376"/>
      <c r="J1185" s="376"/>
      <c r="K1185" s="376"/>
      <c r="L1185" s="376"/>
      <c r="M1185" s="376"/>
      <c r="N1185" s="376"/>
      <c r="O1185" s="376"/>
      <c r="P1185" s="376"/>
      <c r="Q1185" s="376"/>
      <c r="R1185" s="376"/>
      <c r="S1185" s="376"/>
      <c r="T1185" s="376"/>
      <c r="U1185" s="376"/>
      <c r="V1185" s="376"/>
      <c r="W1185" s="376"/>
      <c r="X1185" s="376"/>
      <c r="Y1185" s="376"/>
      <c r="Z1185" s="376"/>
      <c r="AA1185" s="376"/>
      <c r="AB1185" s="376"/>
      <c r="AC1185" s="376"/>
      <c r="AD1185" s="376"/>
      <c r="AE1185" s="376"/>
      <c r="AF1185" s="376"/>
      <c r="AG1185" s="376"/>
    </row>
    <row r="1186">
      <c r="A1186" s="378"/>
      <c r="B1186" s="477"/>
      <c r="C1186" s="378"/>
      <c r="D1186" s="378"/>
      <c r="E1186" s="378"/>
      <c r="F1186" s="378"/>
      <c r="G1186" s="378"/>
      <c r="H1186" s="378"/>
      <c r="I1186" s="376"/>
      <c r="J1186" s="376"/>
      <c r="K1186" s="376"/>
      <c r="L1186" s="376"/>
      <c r="M1186" s="376"/>
      <c r="N1186" s="376"/>
      <c r="O1186" s="376"/>
      <c r="P1186" s="376"/>
      <c r="Q1186" s="376"/>
      <c r="R1186" s="376"/>
      <c r="S1186" s="376"/>
      <c r="T1186" s="376"/>
      <c r="U1186" s="376"/>
      <c r="V1186" s="376"/>
      <c r="W1186" s="376"/>
      <c r="X1186" s="376"/>
      <c r="Y1186" s="376"/>
      <c r="Z1186" s="376"/>
      <c r="AA1186" s="376"/>
      <c r="AB1186" s="376"/>
      <c r="AC1186" s="376"/>
      <c r="AD1186" s="376"/>
      <c r="AE1186" s="376"/>
      <c r="AF1186" s="376"/>
      <c r="AG1186" s="376"/>
    </row>
    <row r="1187">
      <c r="A1187" s="378"/>
      <c r="B1187" s="477"/>
      <c r="C1187" s="378"/>
      <c r="D1187" s="378"/>
      <c r="E1187" s="378"/>
      <c r="F1187" s="378"/>
      <c r="G1187" s="378"/>
      <c r="H1187" s="378"/>
      <c r="I1187" s="376"/>
      <c r="J1187" s="376"/>
      <c r="K1187" s="376"/>
      <c r="L1187" s="376"/>
      <c r="M1187" s="376"/>
      <c r="N1187" s="376"/>
      <c r="O1187" s="376"/>
      <c r="P1187" s="376"/>
      <c r="Q1187" s="376"/>
      <c r="R1187" s="376"/>
      <c r="S1187" s="376"/>
      <c r="T1187" s="376"/>
      <c r="U1187" s="376"/>
      <c r="V1187" s="376"/>
      <c r="W1187" s="376"/>
      <c r="X1187" s="376"/>
      <c r="Y1187" s="376"/>
      <c r="Z1187" s="376"/>
      <c r="AA1187" s="376"/>
      <c r="AB1187" s="376"/>
      <c r="AC1187" s="376"/>
      <c r="AD1187" s="376"/>
      <c r="AE1187" s="376"/>
      <c r="AF1187" s="376"/>
      <c r="AG1187" s="376"/>
    </row>
    <row r="1188">
      <c r="A1188" s="378"/>
      <c r="B1188" s="477"/>
      <c r="C1188" s="378"/>
      <c r="D1188" s="378"/>
      <c r="E1188" s="378"/>
      <c r="F1188" s="378"/>
      <c r="G1188" s="378"/>
      <c r="H1188" s="378"/>
      <c r="I1188" s="376"/>
      <c r="J1188" s="376"/>
      <c r="K1188" s="376"/>
      <c r="L1188" s="376"/>
      <c r="M1188" s="376"/>
      <c r="N1188" s="376"/>
      <c r="O1188" s="376"/>
      <c r="P1188" s="376"/>
      <c r="Q1188" s="376"/>
      <c r="R1188" s="376"/>
      <c r="S1188" s="376"/>
      <c r="T1188" s="376"/>
      <c r="U1188" s="376"/>
      <c r="V1188" s="376"/>
      <c r="W1188" s="376"/>
      <c r="X1188" s="376"/>
      <c r="Y1188" s="376"/>
      <c r="Z1188" s="376"/>
      <c r="AA1188" s="376"/>
      <c r="AB1188" s="376"/>
      <c r="AC1188" s="376"/>
      <c r="AD1188" s="376"/>
      <c r="AE1188" s="376"/>
      <c r="AF1188" s="376"/>
      <c r="AG1188" s="376"/>
    </row>
    <row r="1189">
      <c r="A1189" s="378"/>
      <c r="B1189" s="477"/>
      <c r="C1189" s="378"/>
      <c r="D1189" s="378"/>
      <c r="E1189" s="378"/>
      <c r="F1189" s="378"/>
      <c r="G1189" s="378"/>
      <c r="H1189" s="378"/>
      <c r="I1189" s="376"/>
      <c r="J1189" s="376"/>
      <c r="K1189" s="376"/>
      <c r="L1189" s="376"/>
      <c r="M1189" s="376"/>
      <c r="N1189" s="376"/>
      <c r="O1189" s="376"/>
      <c r="P1189" s="376"/>
      <c r="Q1189" s="376"/>
      <c r="R1189" s="376"/>
      <c r="S1189" s="376"/>
      <c r="T1189" s="376"/>
      <c r="U1189" s="376"/>
      <c r="V1189" s="376"/>
      <c r="W1189" s="376"/>
      <c r="X1189" s="376"/>
      <c r="Y1189" s="376"/>
      <c r="Z1189" s="376"/>
      <c r="AA1189" s="376"/>
      <c r="AB1189" s="376"/>
      <c r="AC1189" s="376"/>
      <c r="AD1189" s="376"/>
      <c r="AE1189" s="376"/>
      <c r="AF1189" s="376"/>
      <c r="AG1189" s="376"/>
    </row>
    <row r="1190">
      <c r="A1190" s="378"/>
      <c r="B1190" s="477"/>
      <c r="C1190" s="378"/>
      <c r="D1190" s="378"/>
      <c r="E1190" s="378"/>
      <c r="F1190" s="378"/>
      <c r="G1190" s="378"/>
      <c r="H1190" s="378"/>
      <c r="I1190" s="376"/>
      <c r="J1190" s="376"/>
      <c r="K1190" s="376"/>
      <c r="L1190" s="376"/>
      <c r="M1190" s="376"/>
      <c r="N1190" s="376"/>
      <c r="O1190" s="376"/>
      <c r="P1190" s="376"/>
      <c r="Q1190" s="376"/>
      <c r="R1190" s="376"/>
      <c r="S1190" s="376"/>
      <c r="T1190" s="376"/>
      <c r="U1190" s="376"/>
      <c r="V1190" s="376"/>
      <c r="W1190" s="376"/>
      <c r="X1190" s="376"/>
      <c r="Y1190" s="376"/>
      <c r="Z1190" s="376"/>
      <c r="AA1190" s="376"/>
      <c r="AB1190" s="376"/>
      <c r="AC1190" s="376"/>
      <c r="AD1190" s="376"/>
      <c r="AE1190" s="376"/>
      <c r="AF1190" s="376"/>
      <c r="AG1190" s="376"/>
    </row>
    <row r="1191">
      <c r="A1191" s="378"/>
      <c r="B1191" s="477"/>
      <c r="C1191" s="378"/>
      <c r="D1191" s="378"/>
      <c r="E1191" s="378"/>
      <c r="F1191" s="378"/>
      <c r="G1191" s="378"/>
      <c r="H1191" s="378"/>
      <c r="I1191" s="376"/>
      <c r="J1191" s="376"/>
      <c r="K1191" s="376"/>
      <c r="L1191" s="376"/>
      <c r="M1191" s="376"/>
      <c r="N1191" s="376"/>
      <c r="O1191" s="376"/>
      <c r="P1191" s="376"/>
      <c r="Q1191" s="376"/>
      <c r="R1191" s="376"/>
      <c r="S1191" s="376"/>
      <c r="T1191" s="376"/>
      <c r="U1191" s="376"/>
      <c r="V1191" s="376"/>
      <c r="W1191" s="376"/>
      <c r="X1191" s="376"/>
      <c r="Y1191" s="376"/>
      <c r="Z1191" s="376"/>
      <c r="AA1191" s="376"/>
      <c r="AB1191" s="376"/>
      <c r="AC1191" s="376"/>
      <c r="AD1191" s="376"/>
      <c r="AE1191" s="376"/>
      <c r="AF1191" s="376"/>
      <c r="AG1191" s="376"/>
    </row>
    <row r="1192">
      <c r="A1192" s="378"/>
      <c r="B1192" s="477"/>
      <c r="C1192" s="378"/>
      <c r="D1192" s="378"/>
      <c r="E1192" s="378"/>
      <c r="F1192" s="378"/>
      <c r="G1192" s="378"/>
      <c r="H1192" s="378"/>
      <c r="I1192" s="376"/>
      <c r="J1192" s="376"/>
      <c r="K1192" s="376"/>
      <c r="L1192" s="376"/>
      <c r="M1192" s="376"/>
      <c r="N1192" s="376"/>
      <c r="O1192" s="376"/>
      <c r="P1192" s="376"/>
      <c r="Q1192" s="376"/>
      <c r="R1192" s="376"/>
      <c r="S1192" s="376"/>
      <c r="T1192" s="376"/>
      <c r="U1192" s="376"/>
      <c r="V1192" s="376"/>
      <c r="W1192" s="376"/>
      <c r="X1192" s="376"/>
      <c r="Y1192" s="376"/>
      <c r="Z1192" s="376"/>
      <c r="AA1192" s="376"/>
      <c r="AB1192" s="376"/>
      <c r="AC1192" s="376"/>
      <c r="AD1192" s="376"/>
      <c r="AE1192" s="376"/>
      <c r="AF1192" s="376"/>
      <c r="AG1192" s="376"/>
    </row>
    <row r="1193">
      <c r="A1193" s="378"/>
      <c r="B1193" s="477"/>
      <c r="C1193" s="378"/>
      <c r="D1193" s="378"/>
      <c r="E1193" s="378"/>
      <c r="F1193" s="378"/>
      <c r="G1193" s="378"/>
      <c r="H1193" s="378"/>
      <c r="I1193" s="376"/>
      <c r="J1193" s="376"/>
      <c r="K1193" s="376"/>
      <c r="L1193" s="376"/>
      <c r="M1193" s="376"/>
      <c r="N1193" s="376"/>
      <c r="O1193" s="376"/>
      <c r="P1193" s="376"/>
      <c r="Q1193" s="376"/>
      <c r="R1193" s="376"/>
      <c r="S1193" s="376"/>
      <c r="T1193" s="376"/>
      <c r="U1193" s="376"/>
      <c r="V1193" s="376"/>
      <c r="W1193" s="376"/>
      <c r="X1193" s="376"/>
      <c r="Y1193" s="376"/>
      <c r="Z1193" s="376"/>
      <c r="AA1193" s="376"/>
      <c r="AB1193" s="376"/>
      <c r="AC1193" s="376"/>
      <c r="AD1193" s="376"/>
      <c r="AE1193" s="376"/>
      <c r="AF1193" s="376"/>
      <c r="AG1193" s="376"/>
    </row>
    <row r="1194">
      <c r="A1194" s="378"/>
      <c r="B1194" s="477"/>
      <c r="C1194" s="378"/>
      <c r="D1194" s="378"/>
      <c r="E1194" s="378"/>
      <c r="F1194" s="378"/>
      <c r="G1194" s="378"/>
      <c r="H1194" s="378"/>
      <c r="I1194" s="376"/>
      <c r="J1194" s="376"/>
      <c r="K1194" s="376"/>
      <c r="L1194" s="376"/>
      <c r="M1194" s="376"/>
      <c r="N1194" s="376"/>
      <c r="O1194" s="376"/>
      <c r="P1194" s="376"/>
      <c r="Q1194" s="376"/>
      <c r="R1194" s="376"/>
      <c r="S1194" s="376"/>
      <c r="T1194" s="376"/>
      <c r="U1194" s="376"/>
      <c r="V1194" s="376"/>
      <c r="W1194" s="376"/>
      <c r="X1194" s="376"/>
      <c r="Y1194" s="376"/>
      <c r="Z1194" s="376"/>
      <c r="AA1194" s="376"/>
      <c r="AB1194" s="376"/>
      <c r="AC1194" s="376"/>
      <c r="AD1194" s="376"/>
      <c r="AE1194" s="376"/>
      <c r="AF1194" s="376"/>
      <c r="AG1194" s="376"/>
    </row>
    <row r="1195">
      <c r="A1195" s="378"/>
      <c r="B1195" s="477"/>
      <c r="C1195" s="378"/>
      <c r="D1195" s="378"/>
      <c r="E1195" s="378"/>
      <c r="F1195" s="378"/>
      <c r="G1195" s="378"/>
      <c r="H1195" s="378"/>
      <c r="I1195" s="376"/>
      <c r="J1195" s="377"/>
      <c r="K1195" s="378"/>
      <c r="L1195" s="378"/>
      <c r="M1195" s="378"/>
      <c r="N1195" s="379"/>
      <c r="O1195" s="380"/>
      <c r="P1195" s="378"/>
      <c r="Q1195" s="378"/>
      <c r="R1195" s="378"/>
      <c r="S1195" s="378"/>
      <c r="T1195" s="378"/>
      <c r="U1195" s="378"/>
      <c r="V1195" s="378"/>
      <c r="W1195" s="378"/>
      <c r="X1195" s="378"/>
      <c r="Y1195" s="378"/>
      <c r="Z1195" s="378"/>
      <c r="AA1195" s="378"/>
      <c r="AB1195" s="378"/>
      <c r="AC1195" s="378"/>
      <c r="AD1195" s="378"/>
      <c r="AE1195" s="378"/>
      <c r="AF1195" s="378"/>
      <c r="AG1195" s="378"/>
    </row>
    <row r="1196">
      <c r="A1196" s="378"/>
      <c r="B1196" s="477"/>
      <c r="C1196" s="378"/>
      <c r="D1196" s="378"/>
      <c r="E1196" s="378"/>
      <c r="F1196" s="378"/>
      <c r="G1196" s="378"/>
      <c r="H1196" s="378"/>
      <c r="I1196" s="376"/>
      <c r="J1196" s="377"/>
      <c r="K1196" s="378"/>
      <c r="L1196" s="378"/>
      <c r="M1196" s="378"/>
      <c r="N1196" s="379"/>
      <c r="O1196" s="380"/>
      <c r="P1196" s="378"/>
      <c r="Q1196" s="378"/>
      <c r="R1196" s="378"/>
      <c r="S1196" s="378"/>
      <c r="T1196" s="378"/>
      <c r="U1196" s="378"/>
      <c r="V1196" s="378"/>
      <c r="W1196" s="378"/>
      <c r="X1196" s="378"/>
      <c r="Y1196" s="378"/>
      <c r="Z1196" s="378"/>
      <c r="AA1196" s="378"/>
      <c r="AB1196" s="378"/>
      <c r="AC1196" s="378"/>
      <c r="AD1196" s="378"/>
      <c r="AE1196" s="378"/>
      <c r="AF1196" s="378"/>
      <c r="AG1196" s="378"/>
    </row>
    <row r="1197">
      <c r="A1197" s="378"/>
      <c r="B1197" s="477"/>
      <c r="C1197" s="378"/>
      <c r="D1197" s="378"/>
      <c r="E1197" s="378"/>
      <c r="F1197" s="378"/>
      <c r="G1197" s="378"/>
      <c r="H1197" s="378"/>
      <c r="I1197" s="376"/>
      <c r="J1197" s="377"/>
      <c r="K1197" s="378"/>
      <c r="L1197" s="378"/>
      <c r="M1197" s="378"/>
      <c r="N1197" s="379"/>
      <c r="O1197" s="380"/>
      <c r="P1197" s="378"/>
      <c r="Q1197" s="378"/>
      <c r="R1197" s="378"/>
      <c r="S1197" s="378"/>
      <c r="T1197" s="378"/>
      <c r="U1197" s="378"/>
      <c r="V1197" s="378"/>
      <c r="W1197" s="378"/>
      <c r="X1197" s="378"/>
      <c r="Y1197" s="378"/>
      <c r="Z1197" s="378"/>
      <c r="AA1197" s="378"/>
      <c r="AB1197" s="378"/>
      <c r="AC1197" s="378"/>
      <c r="AD1197" s="378"/>
      <c r="AE1197" s="378"/>
      <c r="AF1197" s="378"/>
      <c r="AG1197" s="378"/>
    </row>
    <row r="1198">
      <c r="A1198" s="378"/>
      <c r="B1198" s="477"/>
      <c r="C1198" s="378"/>
      <c r="D1198" s="378"/>
      <c r="E1198" s="378"/>
      <c r="F1198" s="378"/>
      <c r="G1198" s="378"/>
      <c r="H1198" s="378"/>
      <c r="I1198" s="376"/>
      <c r="J1198" s="377"/>
      <c r="K1198" s="378"/>
      <c r="L1198" s="378"/>
      <c r="M1198" s="378"/>
      <c r="N1198" s="379"/>
      <c r="O1198" s="380"/>
      <c r="P1198" s="378"/>
      <c r="Q1198" s="378"/>
      <c r="R1198" s="378"/>
      <c r="S1198" s="378"/>
      <c r="T1198" s="378"/>
      <c r="U1198" s="378"/>
      <c r="V1198" s="378"/>
      <c r="W1198" s="378"/>
      <c r="X1198" s="378"/>
      <c r="Y1198" s="378"/>
      <c r="Z1198" s="378"/>
      <c r="AA1198" s="378"/>
      <c r="AB1198" s="378"/>
      <c r="AC1198" s="378"/>
      <c r="AD1198" s="378"/>
      <c r="AE1198" s="378"/>
      <c r="AF1198" s="378"/>
      <c r="AG1198" s="378"/>
    </row>
    <row r="1199">
      <c r="A1199" s="378"/>
      <c r="B1199" s="477"/>
      <c r="C1199" s="378"/>
      <c r="D1199" s="378"/>
      <c r="E1199" s="378"/>
      <c r="F1199" s="378"/>
      <c r="G1199" s="378"/>
      <c r="H1199" s="378"/>
      <c r="I1199" s="376"/>
      <c r="J1199" s="377"/>
      <c r="K1199" s="378"/>
      <c r="L1199" s="378"/>
      <c r="M1199" s="378"/>
      <c r="N1199" s="379"/>
      <c r="O1199" s="380"/>
      <c r="P1199" s="378"/>
      <c r="Q1199" s="378"/>
      <c r="R1199" s="378"/>
      <c r="S1199" s="378"/>
      <c r="T1199" s="378"/>
      <c r="U1199" s="378"/>
      <c r="V1199" s="378"/>
      <c r="W1199" s="378"/>
      <c r="X1199" s="378"/>
      <c r="Y1199" s="378"/>
      <c r="Z1199" s="378"/>
      <c r="AA1199" s="378"/>
      <c r="AB1199" s="378"/>
      <c r="AC1199" s="378"/>
      <c r="AD1199" s="378"/>
      <c r="AE1199" s="378"/>
      <c r="AF1199" s="378"/>
      <c r="AG1199" s="378"/>
    </row>
    <row r="1200">
      <c r="A1200" s="378"/>
      <c r="B1200" s="477"/>
      <c r="C1200" s="378"/>
      <c r="D1200" s="378"/>
      <c r="E1200" s="378"/>
      <c r="F1200" s="378"/>
      <c r="G1200" s="378"/>
      <c r="H1200" s="378"/>
      <c r="I1200" s="376"/>
      <c r="J1200" s="377"/>
      <c r="K1200" s="378"/>
      <c r="L1200" s="378"/>
      <c r="M1200" s="378"/>
      <c r="N1200" s="379"/>
      <c r="O1200" s="380"/>
      <c r="P1200" s="378"/>
      <c r="Q1200" s="378"/>
      <c r="R1200" s="378"/>
      <c r="S1200" s="378"/>
      <c r="T1200" s="378"/>
      <c r="U1200" s="378"/>
      <c r="V1200" s="378"/>
      <c r="W1200" s="378"/>
      <c r="X1200" s="378"/>
      <c r="Y1200" s="378"/>
      <c r="Z1200" s="378"/>
      <c r="AA1200" s="378"/>
      <c r="AB1200" s="378"/>
      <c r="AC1200" s="378"/>
      <c r="AD1200" s="378"/>
      <c r="AE1200" s="378"/>
      <c r="AF1200" s="378"/>
      <c r="AG1200" s="378"/>
    </row>
    <row r="1201">
      <c r="A1201" s="378"/>
      <c r="B1201" s="477"/>
      <c r="C1201" s="378"/>
      <c r="D1201" s="378"/>
      <c r="E1201" s="378"/>
      <c r="F1201" s="378"/>
      <c r="G1201" s="378"/>
      <c r="H1201" s="378"/>
      <c r="I1201" s="376"/>
      <c r="J1201" s="377"/>
      <c r="K1201" s="378"/>
      <c r="L1201" s="378"/>
      <c r="M1201" s="378"/>
      <c r="N1201" s="379"/>
      <c r="O1201" s="380"/>
      <c r="P1201" s="378"/>
      <c r="Q1201" s="378"/>
      <c r="R1201" s="378"/>
      <c r="S1201" s="378"/>
      <c r="T1201" s="378"/>
      <c r="U1201" s="378"/>
      <c r="V1201" s="378"/>
      <c r="W1201" s="378"/>
      <c r="X1201" s="378"/>
      <c r="Y1201" s="378"/>
      <c r="Z1201" s="378"/>
      <c r="AA1201" s="378"/>
      <c r="AB1201" s="378"/>
      <c r="AC1201" s="378"/>
      <c r="AD1201" s="378"/>
      <c r="AE1201" s="378"/>
      <c r="AF1201" s="378"/>
      <c r="AG1201" s="378"/>
    </row>
    <row r="1202">
      <c r="A1202" s="378"/>
      <c r="B1202" s="477"/>
      <c r="C1202" s="378"/>
      <c r="D1202" s="378"/>
      <c r="E1202" s="378"/>
      <c r="F1202" s="378"/>
      <c r="G1202" s="378"/>
      <c r="H1202" s="378"/>
      <c r="I1202" s="376"/>
      <c r="J1202" s="377"/>
      <c r="K1202" s="378"/>
      <c r="L1202" s="378"/>
      <c r="M1202" s="378"/>
      <c r="N1202" s="379"/>
      <c r="O1202" s="380"/>
      <c r="P1202" s="378"/>
      <c r="Q1202" s="378"/>
      <c r="R1202" s="378"/>
      <c r="S1202" s="378"/>
      <c r="T1202" s="378"/>
      <c r="U1202" s="378"/>
      <c r="V1202" s="378"/>
      <c r="W1202" s="378"/>
      <c r="X1202" s="378"/>
      <c r="Y1202" s="378"/>
      <c r="Z1202" s="378"/>
      <c r="AA1202" s="378"/>
      <c r="AB1202" s="378"/>
      <c r="AC1202" s="378"/>
      <c r="AD1202" s="378"/>
      <c r="AE1202" s="378"/>
      <c r="AF1202" s="378"/>
      <c r="AG1202" s="378"/>
    </row>
    <row r="1203">
      <c r="A1203" s="378"/>
      <c r="B1203" s="477"/>
      <c r="C1203" s="378"/>
      <c r="D1203" s="378"/>
      <c r="E1203" s="378"/>
      <c r="F1203" s="378"/>
      <c r="G1203" s="378"/>
      <c r="H1203" s="378"/>
      <c r="I1203" s="376"/>
      <c r="J1203" s="377"/>
      <c r="K1203" s="378"/>
      <c r="L1203" s="378"/>
      <c r="M1203" s="378"/>
      <c r="N1203" s="379"/>
      <c r="O1203" s="380"/>
      <c r="P1203" s="378"/>
      <c r="Q1203" s="378"/>
      <c r="R1203" s="378"/>
      <c r="S1203" s="378"/>
      <c r="T1203" s="378"/>
      <c r="U1203" s="378"/>
      <c r="V1203" s="378"/>
      <c r="W1203" s="378"/>
      <c r="X1203" s="378"/>
      <c r="Y1203" s="378"/>
      <c r="Z1203" s="378"/>
      <c r="AA1203" s="378"/>
      <c r="AB1203" s="378"/>
      <c r="AC1203" s="378"/>
      <c r="AD1203" s="378"/>
      <c r="AE1203" s="378"/>
      <c r="AF1203" s="378"/>
      <c r="AG1203" s="378"/>
    </row>
    <row r="1204">
      <c r="A1204" s="378"/>
      <c r="B1204" s="477"/>
      <c r="C1204" s="378"/>
      <c r="D1204" s="378"/>
      <c r="E1204" s="378"/>
      <c r="F1204" s="378"/>
      <c r="G1204" s="378"/>
      <c r="H1204" s="378"/>
      <c r="I1204" s="376"/>
      <c r="J1204" s="377"/>
      <c r="K1204" s="378"/>
      <c r="L1204" s="378"/>
      <c r="M1204" s="378"/>
      <c r="N1204" s="379"/>
      <c r="O1204" s="380"/>
      <c r="P1204" s="378"/>
      <c r="Q1204" s="378"/>
      <c r="R1204" s="378"/>
      <c r="S1204" s="378"/>
      <c r="T1204" s="378"/>
      <c r="U1204" s="378"/>
      <c r="V1204" s="378"/>
      <c r="W1204" s="378"/>
      <c r="X1204" s="378"/>
      <c r="Y1204" s="378"/>
      <c r="Z1204" s="378"/>
      <c r="AA1204" s="378"/>
      <c r="AB1204" s="378"/>
      <c r="AC1204" s="378"/>
      <c r="AD1204" s="378"/>
      <c r="AE1204" s="378"/>
      <c r="AF1204" s="378"/>
      <c r="AG1204" s="378"/>
    </row>
    <row r="1205">
      <c r="A1205" s="378"/>
      <c r="B1205" s="477"/>
      <c r="C1205" s="378"/>
      <c r="D1205" s="378"/>
      <c r="E1205" s="378"/>
      <c r="F1205" s="378"/>
      <c r="G1205" s="378"/>
      <c r="H1205" s="378"/>
      <c r="I1205" s="376"/>
      <c r="J1205" s="377"/>
      <c r="K1205" s="378"/>
      <c r="L1205" s="378"/>
      <c r="M1205" s="378"/>
      <c r="N1205" s="379"/>
      <c r="O1205" s="380"/>
      <c r="P1205" s="378"/>
      <c r="Q1205" s="378"/>
      <c r="R1205" s="378"/>
      <c r="S1205" s="378"/>
      <c r="T1205" s="378"/>
      <c r="U1205" s="378"/>
      <c r="V1205" s="378"/>
      <c r="W1205" s="378"/>
      <c r="X1205" s="378"/>
      <c r="Y1205" s="378"/>
      <c r="Z1205" s="378"/>
      <c r="AA1205" s="378"/>
      <c r="AB1205" s="378"/>
      <c r="AC1205" s="378"/>
      <c r="AD1205" s="378"/>
      <c r="AE1205" s="378"/>
      <c r="AF1205" s="378"/>
      <c r="AG1205" s="378"/>
    </row>
    <row r="1206">
      <c r="A1206" s="378"/>
      <c r="B1206" s="477"/>
      <c r="C1206" s="378"/>
      <c r="D1206" s="378"/>
      <c r="E1206" s="378"/>
      <c r="F1206" s="378"/>
      <c r="G1206" s="378"/>
      <c r="H1206" s="378"/>
      <c r="I1206" s="376"/>
      <c r="J1206" s="377"/>
      <c r="K1206" s="378"/>
      <c r="L1206" s="378"/>
      <c r="M1206" s="378"/>
      <c r="N1206" s="379"/>
      <c r="O1206" s="380"/>
      <c r="P1206" s="378"/>
      <c r="Q1206" s="378"/>
      <c r="R1206" s="378"/>
      <c r="S1206" s="378"/>
      <c r="T1206" s="378"/>
      <c r="U1206" s="378"/>
      <c r="V1206" s="378"/>
      <c r="W1206" s="378"/>
      <c r="X1206" s="378"/>
      <c r="Y1206" s="378"/>
      <c r="Z1206" s="378"/>
      <c r="AA1206" s="378"/>
      <c r="AB1206" s="378"/>
      <c r="AC1206" s="378"/>
      <c r="AD1206" s="378"/>
      <c r="AE1206" s="378"/>
      <c r="AF1206" s="378"/>
      <c r="AG1206" s="378"/>
    </row>
    <row r="1207">
      <c r="A1207" s="378"/>
      <c r="B1207" s="477"/>
      <c r="C1207" s="378"/>
      <c r="D1207" s="378"/>
      <c r="E1207" s="378"/>
      <c r="F1207" s="378"/>
      <c r="G1207" s="378"/>
      <c r="H1207" s="378"/>
      <c r="I1207" s="376"/>
      <c r="J1207" s="377"/>
      <c r="K1207" s="378"/>
      <c r="L1207" s="378"/>
      <c r="M1207" s="378"/>
      <c r="N1207" s="379"/>
      <c r="O1207" s="380"/>
      <c r="P1207" s="378"/>
      <c r="Q1207" s="378"/>
      <c r="R1207" s="378"/>
      <c r="S1207" s="378"/>
      <c r="T1207" s="378"/>
      <c r="U1207" s="378"/>
      <c r="V1207" s="378"/>
      <c r="W1207" s="378"/>
      <c r="X1207" s="378"/>
      <c r="Y1207" s="378"/>
      <c r="Z1207" s="378"/>
      <c r="AA1207" s="378"/>
      <c r="AB1207" s="378"/>
      <c r="AC1207" s="378"/>
      <c r="AD1207" s="378"/>
      <c r="AE1207" s="378"/>
      <c r="AF1207" s="378"/>
      <c r="AG1207" s="378"/>
    </row>
    <row r="1208">
      <c r="A1208" s="378"/>
      <c r="B1208" s="477"/>
      <c r="C1208" s="378"/>
      <c r="D1208" s="378"/>
      <c r="E1208" s="378"/>
      <c r="F1208" s="378"/>
      <c r="G1208" s="378"/>
      <c r="H1208" s="378"/>
      <c r="I1208" s="376"/>
      <c r="J1208" s="377"/>
      <c r="K1208" s="378"/>
      <c r="L1208" s="378"/>
      <c r="M1208" s="378"/>
      <c r="N1208" s="379"/>
      <c r="O1208" s="380"/>
      <c r="P1208" s="378"/>
      <c r="Q1208" s="378"/>
      <c r="R1208" s="378"/>
      <c r="S1208" s="378"/>
      <c r="T1208" s="378"/>
      <c r="U1208" s="378"/>
      <c r="V1208" s="378"/>
      <c r="W1208" s="378"/>
      <c r="X1208" s="378"/>
      <c r="Y1208" s="378"/>
      <c r="Z1208" s="378"/>
      <c r="AA1208" s="378"/>
      <c r="AB1208" s="378"/>
      <c r="AC1208" s="378"/>
      <c r="AD1208" s="378"/>
      <c r="AE1208" s="378"/>
      <c r="AF1208" s="378"/>
      <c r="AG1208" s="378"/>
    </row>
    <row r="1209">
      <c r="A1209" s="378"/>
      <c r="B1209" s="477"/>
      <c r="C1209" s="378"/>
      <c r="D1209" s="378"/>
      <c r="E1209" s="378"/>
      <c r="F1209" s="378"/>
      <c r="G1209" s="378"/>
      <c r="H1209" s="378"/>
      <c r="I1209" s="376"/>
      <c r="J1209" s="377"/>
      <c r="K1209" s="378"/>
      <c r="L1209" s="378"/>
      <c r="M1209" s="378"/>
      <c r="N1209" s="379"/>
      <c r="O1209" s="380"/>
      <c r="P1209" s="378"/>
      <c r="Q1209" s="378"/>
      <c r="R1209" s="378"/>
      <c r="S1209" s="378"/>
      <c r="T1209" s="378"/>
      <c r="U1209" s="378"/>
      <c r="V1209" s="378"/>
      <c r="W1209" s="378"/>
      <c r="X1209" s="378"/>
      <c r="Y1209" s="378"/>
      <c r="Z1209" s="378"/>
      <c r="AA1209" s="378"/>
      <c r="AB1209" s="378"/>
      <c r="AC1209" s="378"/>
      <c r="AD1209" s="378"/>
      <c r="AE1209" s="378"/>
      <c r="AF1209" s="378"/>
      <c r="AG1209" s="378"/>
    </row>
    <row r="1210">
      <c r="A1210" s="378"/>
      <c r="B1210" s="477"/>
      <c r="C1210" s="378"/>
      <c r="D1210" s="378"/>
      <c r="E1210" s="378"/>
      <c r="F1210" s="378"/>
      <c r="G1210" s="378"/>
      <c r="H1210" s="378"/>
      <c r="I1210" s="376"/>
      <c r="J1210" s="377"/>
      <c r="K1210" s="378"/>
      <c r="L1210" s="378"/>
      <c r="M1210" s="378"/>
      <c r="N1210" s="379"/>
      <c r="O1210" s="380"/>
      <c r="P1210" s="378"/>
      <c r="Q1210" s="378"/>
      <c r="R1210" s="378"/>
      <c r="S1210" s="378"/>
      <c r="T1210" s="378"/>
      <c r="U1210" s="378"/>
      <c r="V1210" s="378"/>
      <c r="W1210" s="378"/>
      <c r="X1210" s="378"/>
      <c r="Y1210" s="378"/>
      <c r="Z1210" s="378"/>
      <c r="AA1210" s="378"/>
      <c r="AB1210" s="378"/>
      <c r="AC1210" s="378"/>
      <c r="AD1210" s="378"/>
      <c r="AE1210" s="378"/>
      <c r="AF1210" s="378"/>
      <c r="AG1210" s="378"/>
    </row>
    <row r="1211">
      <c r="A1211" s="378"/>
      <c r="B1211" s="477"/>
      <c r="C1211" s="378"/>
      <c r="D1211" s="378"/>
      <c r="E1211" s="378"/>
      <c r="F1211" s="378"/>
      <c r="G1211" s="378"/>
      <c r="H1211" s="378"/>
      <c r="I1211" s="376"/>
      <c r="J1211" s="377"/>
      <c r="K1211" s="378"/>
      <c r="L1211" s="378"/>
      <c r="M1211" s="378"/>
      <c r="N1211" s="379"/>
      <c r="O1211" s="380"/>
      <c r="P1211" s="378"/>
      <c r="Q1211" s="378"/>
      <c r="R1211" s="378"/>
      <c r="S1211" s="378"/>
      <c r="T1211" s="378"/>
      <c r="U1211" s="378"/>
      <c r="V1211" s="378"/>
      <c r="W1211" s="378"/>
      <c r="X1211" s="378"/>
      <c r="Y1211" s="378"/>
      <c r="Z1211" s="378"/>
      <c r="AA1211" s="378"/>
      <c r="AB1211" s="378"/>
      <c r="AC1211" s="378"/>
      <c r="AD1211" s="378"/>
      <c r="AE1211" s="378"/>
      <c r="AF1211" s="378"/>
      <c r="AG1211" s="378"/>
    </row>
    <row r="1212">
      <c r="A1212" s="378"/>
      <c r="B1212" s="477"/>
      <c r="C1212" s="378"/>
      <c r="D1212" s="378"/>
      <c r="E1212" s="378"/>
      <c r="F1212" s="378"/>
      <c r="G1212" s="378"/>
      <c r="H1212" s="378"/>
      <c r="I1212" s="376"/>
      <c r="J1212" s="377"/>
      <c r="K1212" s="378"/>
      <c r="L1212" s="378"/>
      <c r="M1212" s="378"/>
      <c r="N1212" s="379"/>
      <c r="O1212" s="380"/>
      <c r="P1212" s="378"/>
      <c r="Q1212" s="378"/>
      <c r="R1212" s="378"/>
      <c r="S1212" s="378"/>
      <c r="T1212" s="378"/>
      <c r="U1212" s="378"/>
      <c r="V1212" s="378"/>
      <c r="W1212" s="378"/>
      <c r="X1212" s="378"/>
      <c r="Y1212" s="378"/>
      <c r="Z1212" s="378"/>
      <c r="AA1212" s="378"/>
      <c r="AB1212" s="378"/>
      <c r="AC1212" s="378"/>
      <c r="AD1212" s="378"/>
      <c r="AE1212" s="378"/>
      <c r="AF1212" s="378"/>
      <c r="AG1212" s="378"/>
    </row>
    <row r="1213">
      <c r="A1213" s="378"/>
      <c r="B1213" s="477"/>
      <c r="C1213" s="378"/>
      <c r="D1213" s="378"/>
      <c r="E1213" s="378"/>
      <c r="F1213" s="378"/>
      <c r="G1213" s="378"/>
      <c r="H1213" s="378"/>
      <c r="I1213" s="376"/>
      <c r="J1213" s="377"/>
      <c r="K1213" s="378"/>
      <c r="L1213" s="378"/>
      <c r="M1213" s="378"/>
      <c r="N1213" s="379"/>
      <c r="O1213" s="380"/>
      <c r="P1213" s="378"/>
      <c r="Q1213" s="378"/>
      <c r="R1213" s="378"/>
      <c r="S1213" s="378"/>
      <c r="T1213" s="378"/>
      <c r="U1213" s="378"/>
      <c r="V1213" s="378"/>
      <c r="W1213" s="378"/>
      <c r="X1213" s="378"/>
      <c r="Y1213" s="378"/>
      <c r="Z1213" s="378"/>
      <c r="AA1213" s="378"/>
      <c r="AB1213" s="378"/>
      <c r="AC1213" s="378"/>
      <c r="AD1213" s="378"/>
      <c r="AE1213" s="378"/>
      <c r="AF1213" s="378"/>
      <c r="AG1213" s="378"/>
    </row>
    <row r="1214">
      <c r="A1214" s="378"/>
      <c r="B1214" s="477"/>
      <c r="C1214" s="378"/>
      <c r="D1214" s="378"/>
      <c r="E1214" s="378"/>
      <c r="F1214" s="378"/>
      <c r="G1214" s="378"/>
      <c r="H1214" s="378"/>
      <c r="I1214" s="376"/>
      <c r="J1214" s="377"/>
      <c r="K1214" s="378"/>
      <c r="L1214" s="378"/>
      <c r="M1214" s="378"/>
      <c r="N1214" s="379"/>
      <c r="O1214" s="380"/>
      <c r="P1214" s="378"/>
      <c r="Q1214" s="378"/>
      <c r="R1214" s="378"/>
      <c r="S1214" s="378"/>
      <c r="T1214" s="378"/>
      <c r="U1214" s="378"/>
      <c r="V1214" s="378"/>
      <c r="W1214" s="378"/>
      <c r="X1214" s="378"/>
      <c r="Y1214" s="378"/>
      <c r="Z1214" s="378"/>
      <c r="AA1214" s="378"/>
      <c r="AB1214" s="378"/>
      <c r="AC1214" s="378"/>
      <c r="AD1214" s="378"/>
      <c r="AE1214" s="378"/>
      <c r="AF1214" s="378"/>
      <c r="AG1214" s="378"/>
    </row>
    <row r="1215">
      <c r="A1215" s="378"/>
      <c r="B1215" s="477"/>
      <c r="C1215" s="378"/>
      <c r="D1215" s="378"/>
      <c r="E1215" s="378"/>
      <c r="F1215" s="378"/>
      <c r="G1215" s="378"/>
      <c r="H1215" s="378"/>
      <c r="I1215" s="376"/>
      <c r="J1215" s="377"/>
      <c r="K1215" s="378"/>
      <c r="L1215" s="378"/>
      <c r="M1215" s="378"/>
      <c r="N1215" s="379"/>
      <c r="O1215" s="380"/>
      <c r="P1215" s="378"/>
      <c r="Q1215" s="378"/>
      <c r="R1215" s="378"/>
      <c r="S1215" s="378"/>
      <c r="T1215" s="378"/>
      <c r="U1215" s="378"/>
      <c r="V1215" s="378"/>
      <c r="W1215" s="378"/>
      <c r="X1215" s="378"/>
      <c r="Y1215" s="378"/>
      <c r="Z1215" s="378"/>
      <c r="AA1215" s="378"/>
      <c r="AB1215" s="378"/>
      <c r="AC1215" s="378"/>
      <c r="AD1215" s="378"/>
      <c r="AE1215" s="378"/>
      <c r="AF1215" s="378"/>
      <c r="AG1215" s="378"/>
    </row>
    <row r="1216">
      <c r="A1216" s="378"/>
      <c r="B1216" s="477"/>
      <c r="C1216" s="378"/>
      <c r="D1216" s="378"/>
      <c r="E1216" s="378"/>
      <c r="F1216" s="378"/>
      <c r="G1216" s="378"/>
      <c r="H1216" s="378"/>
      <c r="I1216" s="376"/>
      <c r="J1216" s="377"/>
      <c r="K1216" s="378"/>
      <c r="L1216" s="378"/>
      <c r="M1216" s="378"/>
      <c r="N1216" s="379"/>
      <c r="O1216" s="380"/>
      <c r="P1216" s="378"/>
      <c r="Q1216" s="378"/>
      <c r="R1216" s="378"/>
      <c r="S1216" s="378"/>
      <c r="T1216" s="378"/>
      <c r="U1216" s="378"/>
      <c r="V1216" s="378"/>
      <c r="W1216" s="378"/>
      <c r="X1216" s="378"/>
      <c r="Y1216" s="378"/>
      <c r="Z1216" s="378"/>
      <c r="AA1216" s="378"/>
      <c r="AB1216" s="378"/>
      <c r="AC1216" s="378"/>
      <c r="AD1216" s="378"/>
      <c r="AE1216" s="378"/>
      <c r="AF1216" s="378"/>
      <c r="AG1216" s="378"/>
    </row>
    <row r="1217">
      <c r="A1217" s="378"/>
      <c r="B1217" s="477"/>
      <c r="C1217" s="378"/>
      <c r="D1217" s="378"/>
      <c r="E1217" s="378"/>
      <c r="F1217" s="378"/>
      <c r="G1217" s="378"/>
      <c r="H1217" s="378"/>
      <c r="I1217" s="376"/>
      <c r="J1217" s="377"/>
      <c r="K1217" s="378"/>
      <c r="L1217" s="378"/>
      <c r="M1217" s="378"/>
      <c r="N1217" s="379"/>
      <c r="O1217" s="380"/>
      <c r="P1217" s="378"/>
      <c r="Q1217" s="378"/>
      <c r="R1217" s="378"/>
      <c r="S1217" s="378"/>
      <c r="T1217" s="378"/>
      <c r="U1217" s="378"/>
      <c r="V1217" s="378"/>
      <c r="W1217" s="378"/>
      <c r="X1217" s="378"/>
      <c r="Y1217" s="378"/>
      <c r="Z1217" s="378"/>
      <c r="AA1217" s="378"/>
      <c r="AB1217" s="378"/>
      <c r="AC1217" s="378"/>
      <c r="AD1217" s="378"/>
      <c r="AE1217" s="378"/>
      <c r="AF1217" s="378"/>
      <c r="AG1217" s="378"/>
    </row>
    <row r="1218">
      <c r="A1218" s="378"/>
      <c r="B1218" s="477"/>
      <c r="C1218" s="378"/>
      <c r="D1218" s="378"/>
      <c r="E1218" s="378"/>
      <c r="F1218" s="378"/>
      <c r="G1218" s="378"/>
      <c r="H1218" s="378"/>
      <c r="I1218" s="376"/>
      <c r="J1218" s="377"/>
      <c r="K1218" s="378"/>
      <c r="L1218" s="378"/>
      <c r="M1218" s="378"/>
      <c r="N1218" s="379"/>
      <c r="O1218" s="380"/>
      <c r="P1218" s="378"/>
      <c r="Q1218" s="378"/>
      <c r="R1218" s="378"/>
      <c r="S1218" s="378"/>
      <c r="T1218" s="378"/>
      <c r="U1218" s="378"/>
      <c r="V1218" s="378"/>
      <c r="W1218" s="378"/>
      <c r="X1218" s="378"/>
      <c r="Y1218" s="378"/>
      <c r="Z1218" s="378"/>
      <c r="AA1218" s="378"/>
      <c r="AB1218" s="378"/>
      <c r="AC1218" s="378"/>
      <c r="AD1218" s="378"/>
      <c r="AE1218" s="378"/>
      <c r="AF1218" s="378"/>
      <c r="AG1218" s="378"/>
    </row>
    <row r="1219">
      <c r="A1219" s="378"/>
      <c r="B1219" s="477"/>
      <c r="C1219" s="378"/>
      <c r="D1219" s="378"/>
      <c r="E1219" s="378"/>
      <c r="F1219" s="378"/>
      <c r="G1219" s="378"/>
      <c r="H1219" s="378"/>
      <c r="I1219" s="376"/>
      <c r="J1219" s="377"/>
      <c r="K1219" s="378"/>
      <c r="L1219" s="378"/>
      <c r="M1219" s="378"/>
      <c r="N1219" s="379"/>
      <c r="O1219" s="380"/>
      <c r="P1219" s="378"/>
      <c r="Q1219" s="378"/>
      <c r="R1219" s="378"/>
      <c r="S1219" s="378"/>
      <c r="T1219" s="378"/>
      <c r="U1219" s="378"/>
      <c r="V1219" s="378"/>
      <c r="W1219" s="378"/>
      <c r="X1219" s="378"/>
      <c r="Y1219" s="378"/>
      <c r="Z1219" s="378"/>
      <c r="AA1219" s="378"/>
      <c r="AB1219" s="378"/>
      <c r="AC1219" s="378"/>
      <c r="AD1219" s="378"/>
      <c r="AE1219" s="378"/>
      <c r="AF1219" s="378"/>
      <c r="AG1219" s="378"/>
    </row>
    <row r="1220">
      <c r="A1220" s="378"/>
      <c r="B1220" s="477"/>
      <c r="C1220" s="378"/>
      <c r="D1220" s="378"/>
      <c r="E1220" s="378"/>
      <c r="F1220" s="378"/>
      <c r="G1220" s="378"/>
      <c r="H1220" s="378"/>
      <c r="I1220" s="376"/>
      <c r="J1220" s="377"/>
      <c r="K1220" s="378"/>
      <c r="L1220" s="378"/>
      <c r="M1220" s="378"/>
      <c r="N1220" s="379"/>
      <c r="O1220" s="380"/>
      <c r="P1220" s="378"/>
      <c r="Q1220" s="378"/>
      <c r="R1220" s="378"/>
      <c r="S1220" s="378"/>
      <c r="T1220" s="378"/>
      <c r="U1220" s="378"/>
      <c r="V1220" s="378"/>
      <c r="W1220" s="378"/>
      <c r="X1220" s="378"/>
      <c r="Y1220" s="378"/>
      <c r="Z1220" s="378"/>
      <c r="AA1220" s="378"/>
      <c r="AB1220" s="378"/>
      <c r="AC1220" s="378"/>
      <c r="AD1220" s="378"/>
      <c r="AE1220" s="378"/>
      <c r="AF1220" s="378"/>
      <c r="AG1220" s="378"/>
    </row>
    <row r="1221">
      <c r="A1221" s="378"/>
      <c r="B1221" s="477"/>
      <c r="C1221" s="378"/>
      <c r="D1221" s="378"/>
      <c r="E1221" s="378"/>
      <c r="F1221" s="378"/>
      <c r="G1221" s="378"/>
      <c r="H1221" s="378"/>
      <c r="I1221" s="376"/>
      <c r="J1221" s="377"/>
      <c r="K1221" s="378"/>
      <c r="L1221" s="378"/>
      <c r="M1221" s="378"/>
      <c r="N1221" s="379"/>
      <c r="O1221" s="380"/>
      <c r="P1221" s="378"/>
      <c r="Q1221" s="378"/>
      <c r="R1221" s="378"/>
      <c r="S1221" s="378"/>
      <c r="T1221" s="378"/>
      <c r="U1221" s="378"/>
      <c r="V1221" s="378"/>
      <c r="W1221" s="378"/>
      <c r="X1221" s="378"/>
      <c r="Y1221" s="378"/>
      <c r="Z1221" s="378"/>
      <c r="AA1221" s="378"/>
      <c r="AB1221" s="378"/>
      <c r="AC1221" s="378"/>
      <c r="AD1221" s="378"/>
      <c r="AE1221" s="378"/>
      <c r="AF1221" s="378"/>
      <c r="AG1221" s="378"/>
    </row>
    <row r="1222">
      <c r="A1222" s="378"/>
      <c r="B1222" s="477"/>
      <c r="C1222" s="378"/>
      <c r="D1222" s="378"/>
      <c r="E1222" s="378"/>
      <c r="F1222" s="378"/>
      <c r="G1222" s="378"/>
      <c r="H1222" s="378"/>
      <c r="I1222" s="376"/>
      <c r="J1222" s="377"/>
      <c r="K1222" s="378"/>
      <c r="L1222" s="378"/>
      <c r="M1222" s="378"/>
      <c r="N1222" s="379"/>
      <c r="O1222" s="380"/>
      <c r="P1222" s="378"/>
      <c r="Q1222" s="378"/>
      <c r="R1222" s="378"/>
      <c r="S1222" s="378"/>
      <c r="T1222" s="378"/>
      <c r="U1222" s="378"/>
      <c r="V1222" s="378"/>
      <c r="W1222" s="378"/>
      <c r="X1222" s="378"/>
      <c r="Y1222" s="378"/>
      <c r="Z1222" s="378"/>
      <c r="AA1222" s="378"/>
      <c r="AB1222" s="378"/>
      <c r="AC1222" s="378"/>
      <c r="AD1222" s="378"/>
      <c r="AE1222" s="378"/>
      <c r="AF1222" s="378"/>
      <c r="AG1222" s="378"/>
    </row>
    <row r="1223">
      <c r="A1223" s="378"/>
      <c r="B1223" s="477"/>
      <c r="C1223" s="378"/>
      <c r="D1223" s="378"/>
      <c r="E1223" s="378"/>
      <c r="F1223" s="378"/>
      <c r="G1223" s="378"/>
      <c r="H1223" s="378"/>
      <c r="I1223" s="376"/>
      <c r="J1223" s="377"/>
      <c r="K1223" s="378"/>
      <c r="L1223" s="378"/>
      <c r="M1223" s="378"/>
      <c r="N1223" s="379"/>
      <c r="O1223" s="380"/>
      <c r="P1223" s="378"/>
      <c r="Q1223" s="378"/>
      <c r="R1223" s="378"/>
      <c r="S1223" s="378"/>
      <c r="T1223" s="378"/>
      <c r="U1223" s="378"/>
      <c r="V1223" s="378"/>
      <c r="W1223" s="378"/>
      <c r="X1223" s="378"/>
      <c r="Y1223" s="378"/>
      <c r="Z1223" s="378"/>
      <c r="AA1223" s="378"/>
      <c r="AB1223" s="378"/>
      <c r="AC1223" s="378"/>
      <c r="AD1223" s="378"/>
      <c r="AE1223" s="378"/>
      <c r="AF1223" s="378"/>
      <c r="AG1223" s="378"/>
    </row>
    <row r="1224">
      <c r="A1224" s="378"/>
      <c r="B1224" s="477"/>
      <c r="C1224" s="378"/>
      <c r="D1224" s="378"/>
      <c r="E1224" s="378"/>
      <c r="F1224" s="378"/>
      <c r="G1224" s="378"/>
      <c r="H1224" s="378"/>
      <c r="I1224" s="376"/>
      <c r="J1224" s="377"/>
      <c r="K1224" s="378"/>
      <c r="L1224" s="378"/>
      <c r="M1224" s="378"/>
      <c r="N1224" s="379"/>
      <c r="O1224" s="380"/>
      <c r="P1224" s="378"/>
      <c r="Q1224" s="378"/>
      <c r="R1224" s="378"/>
      <c r="S1224" s="378"/>
      <c r="T1224" s="378"/>
      <c r="U1224" s="378"/>
      <c r="V1224" s="378"/>
      <c r="W1224" s="378"/>
      <c r="X1224" s="378"/>
      <c r="Y1224" s="378"/>
      <c r="Z1224" s="378"/>
      <c r="AA1224" s="378"/>
      <c r="AB1224" s="378"/>
      <c r="AC1224" s="378"/>
      <c r="AD1224" s="378"/>
      <c r="AE1224" s="378"/>
      <c r="AF1224" s="378"/>
      <c r="AG1224" s="378"/>
    </row>
    <row r="1225">
      <c r="A1225" s="378"/>
      <c r="B1225" s="477"/>
      <c r="C1225" s="378"/>
      <c r="D1225" s="378"/>
      <c r="E1225" s="378"/>
      <c r="F1225" s="378"/>
      <c r="G1225" s="378"/>
      <c r="H1225" s="378"/>
      <c r="I1225" s="376"/>
      <c r="J1225" s="377"/>
      <c r="K1225" s="378"/>
      <c r="L1225" s="378"/>
      <c r="M1225" s="378"/>
      <c r="N1225" s="379"/>
      <c r="O1225" s="380"/>
      <c r="P1225" s="378"/>
      <c r="Q1225" s="378"/>
      <c r="R1225" s="378"/>
      <c r="S1225" s="378"/>
      <c r="T1225" s="378"/>
      <c r="U1225" s="378"/>
      <c r="V1225" s="378"/>
      <c r="W1225" s="378"/>
      <c r="X1225" s="378"/>
      <c r="Y1225" s="378"/>
      <c r="Z1225" s="378"/>
      <c r="AA1225" s="378"/>
      <c r="AB1225" s="378"/>
      <c r="AC1225" s="378"/>
      <c r="AD1225" s="378"/>
      <c r="AE1225" s="378"/>
      <c r="AF1225" s="378"/>
      <c r="AG1225" s="378"/>
    </row>
    <row r="1226">
      <c r="A1226" s="378"/>
      <c r="B1226" s="477"/>
      <c r="C1226" s="378"/>
      <c r="D1226" s="378"/>
      <c r="E1226" s="378"/>
      <c r="F1226" s="378"/>
      <c r="G1226" s="378"/>
      <c r="H1226" s="378"/>
      <c r="I1226" s="376"/>
      <c r="J1226" s="377"/>
      <c r="K1226" s="378"/>
      <c r="L1226" s="378"/>
      <c r="M1226" s="378"/>
      <c r="N1226" s="379"/>
      <c r="O1226" s="380"/>
      <c r="P1226" s="378"/>
      <c r="Q1226" s="378"/>
      <c r="R1226" s="378"/>
      <c r="S1226" s="378"/>
      <c r="T1226" s="378"/>
      <c r="U1226" s="378"/>
      <c r="V1226" s="378"/>
      <c r="W1226" s="378"/>
      <c r="X1226" s="378"/>
      <c r="Y1226" s="378"/>
      <c r="Z1226" s="378"/>
      <c r="AA1226" s="378"/>
      <c r="AB1226" s="378"/>
      <c r="AC1226" s="378"/>
      <c r="AD1226" s="378"/>
      <c r="AE1226" s="378"/>
      <c r="AF1226" s="378"/>
      <c r="AG1226" s="378"/>
    </row>
    <row r="1227">
      <c r="A1227" s="378"/>
      <c r="B1227" s="477"/>
      <c r="C1227" s="378"/>
      <c r="D1227" s="378"/>
      <c r="E1227" s="378"/>
      <c r="F1227" s="378"/>
      <c r="G1227" s="378"/>
      <c r="H1227" s="378"/>
      <c r="I1227" s="376"/>
      <c r="J1227" s="377"/>
      <c r="K1227" s="378"/>
      <c r="L1227" s="378"/>
      <c r="M1227" s="378"/>
      <c r="N1227" s="379"/>
      <c r="O1227" s="380"/>
      <c r="P1227" s="378"/>
      <c r="Q1227" s="378"/>
      <c r="R1227" s="378"/>
      <c r="S1227" s="378"/>
      <c r="T1227" s="378"/>
      <c r="U1227" s="378"/>
      <c r="V1227" s="378"/>
      <c r="W1227" s="378"/>
      <c r="X1227" s="378"/>
      <c r="Y1227" s="378"/>
      <c r="Z1227" s="378"/>
      <c r="AA1227" s="378"/>
      <c r="AB1227" s="378"/>
      <c r="AC1227" s="378"/>
      <c r="AD1227" s="378"/>
      <c r="AE1227" s="378"/>
      <c r="AF1227" s="378"/>
      <c r="AG1227" s="378"/>
    </row>
    <row r="1228">
      <c r="A1228" s="378"/>
      <c r="B1228" s="477"/>
      <c r="C1228" s="378"/>
      <c r="D1228" s="378"/>
      <c r="E1228" s="378"/>
      <c r="F1228" s="378"/>
      <c r="G1228" s="378"/>
      <c r="H1228" s="378"/>
      <c r="I1228" s="376"/>
      <c r="J1228" s="377"/>
      <c r="K1228" s="378"/>
      <c r="L1228" s="378"/>
      <c r="M1228" s="378"/>
      <c r="N1228" s="379"/>
      <c r="O1228" s="380"/>
      <c r="P1228" s="378"/>
      <c r="Q1228" s="378"/>
      <c r="R1228" s="378"/>
      <c r="S1228" s="378"/>
      <c r="T1228" s="378"/>
      <c r="U1228" s="378"/>
      <c r="V1228" s="378"/>
      <c r="W1228" s="378"/>
      <c r="X1228" s="378"/>
      <c r="Y1228" s="378"/>
      <c r="Z1228" s="378"/>
      <c r="AA1228" s="378"/>
      <c r="AB1228" s="378"/>
      <c r="AC1228" s="378"/>
      <c r="AD1228" s="378"/>
      <c r="AE1228" s="378"/>
      <c r="AF1228" s="378"/>
      <c r="AG1228" s="378"/>
    </row>
    <row r="1229">
      <c r="A1229" s="378"/>
      <c r="B1229" s="477"/>
      <c r="C1229" s="378"/>
      <c r="D1229" s="378"/>
      <c r="E1229" s="378"/>
      <c r="F1229" s="378"/>
      <c r="G1229" s="378"/>
      <c r="H1229" s="378"/>
      <c r="I1229" s="376"/>
      <c r="J1229" s="377"/>
      <c r="K1229" s="378"/>
      <c r="L1229" s="378"/>
      <c r="M1229" s="378"/>
      <c r="N1229" s="379"/>
      <c r="O1229" s="380"/>
      <c r="P1229" s="378"/>
      <c r="Q1229" s="378"/>
      <c r="R1229" s="378"/>
      <c r="S1229" s="378"/>
      <c r="T1229" s="378"/>
      <c r="U1229" s="378"/>
      <c r="V1229" s="378"/>
      <c r="W1229" s="378"/>
      <c r="X1229" s="378"/>
      <c r="Y1229" s="378"/>
      <c r="Z1229" s="378"/>
      <c r="AA1229" s="378"/>
      <c r="AB1229" s="378"/>
      <c r="AC1229" s="378"/>
      <c r="AD1229" s="378"/>
      <c r="AE1229" s="378"/>
      <c r="AF1229" s="378"/>
      <c r="AG1229" s="378"/>
    </row>
    <row r="1230">
      <c r="A1230" s="378"/>
      <c r="B1230" s="477"/>
      <c r="C1230" s="378"/>
      <c r="D1230" s="378"/>
      <c r="E1230" s="378"/>
      <c r="F1230" s="378"/>
      <c r="G1230" s="378"/>
      <c r="H1230" s="378"/>
      <c r="I1230" s="376"/>
      <c r="J1230" s="377"/>
      <c r="K1230" s="378"/>
      <c r="L1230" s="378"/>
      <c r="M1230" s="378"/>
      <c r="N1230" s="379"/>
      <c r="O1230" s="380"/>
      <c r="P1230" s="378"/>
      <c r="Q1230" s="378"/>
      <c r="R1230" s="378"/>
      <c r="S1230" s="378"/>
      <c r="T1230" s="378"/>
      <c r="U1230" s="378"/>
      <c r="V1230" s="378"/>
      <c r="W1230" s="378"/>
      <c r="X1230" s="378"/>
      <c r="Y1230" s="378"/>
      <c r="Z1230" s="378"/>
      <c r="AA1230" s="378"/>
      <c r="AB1230" s="378"/>
      <c r="AC1230" s="378"/>
      <c r="AD1230" s="378"/>
      <c r="AE1230" s="378"/>
      <c r="AF1230" s="378"/>
      <c r="AG1230" s="378"/>
    </row>
    <row r="1231">
      <c r="A1231" s="378"/>
      <c r="B1231" s="477"/>
      <c r="C1231" s="378"/>
      <c r="D1231" s="378"/>
      <c r="E1231" s="378"/>
      <c r="F1231" s="378"/>
      <c r="G1231" s="378"/>
      <c r="H1231" s="378"/>
      <c r="I1231" s="376"/>
      <c r="J1231" s="377"/>
      <c r="K1231" s="378"/>
      <c r="L1231" s="378"/>
      <c r="M1231" s="378"/>
      <c r="N1231" s="379"/>
      <c r="O1231" s="380"/>
      <c r="P1231" s="378"/>
      <c r="Q1231" s="378"/>
      <c r="R1231" s="378"/>
      <c r="S1231" s="378"/>
      <c r="T1231" s="378"/>
      <c r="U1231" s="378"/>
      <c r="V1231" s="378"/>
      <c r="W1231" s="378"/>
      <c r="X1231" s="378"/>
      <c r="Y1231" s="378"/>
      <c r="Z1231" s="378"/>
      <c r="AA1231" s="378"/>
      <c r="AB1231" s="378"/>
      <c r="AC1231" s="378"/>
      <c r="AD1231" s="378"/>
      <c r="AE1231" s="378"/>
      <c r="AF1231" s="378"/>
      <c r="AG1231" s="378"/>
    </row>
    <row r="1232">
      <c r="A1232" s="378"/>
      <c r="B1232" s="477"/>
      <c r="C1232" s="378"/>
      <c r="D1232" s="378"/>
      <c r="E1232" s="378"/>
      <c r="F1232" s="378"/>
      <c r="G1232" s="378"/>
      <c r="H1232" s="378"/>
      <c r="I1232" s="376"/>
      <c r="J1232" s="377"/>
      <c r="K1232" s="378"/>
      <c r="L1232" s="378"/>
      <c r="M1232" s="378"/>
      <c r="N1232" s="379"/>
      <c r="O1232" s="380"/>
      <c r="P1232" s="378"/>
      <c r="Q1232" s="378"/>
      <c r="R1232" s="378"/>
      <c r="S1232" s="378"/>
      <c r="T1232" s="378"/>
      <c r="U1232" s="378"/>
      <c r="V1232" s="378"/>
      <c r="W1232" s="378"/>
      <c r="X1232" s="378"/>
      <c r="Y1232" s="378"/>
      <c r="Z1232" s="378"/>
      <c r="AA1232" s="378"/>
      <c r="AB1232" s="378"/>
      <c r="AC1232" s="378"/>
      <c r="AD1232" s="378"/>
      <c r="AE1232" s="378"/>
      <c r="AF1232" s="378"/>
      <c r="AG1232" s="378"/>
    </row>
    <row r="1233">
      <c r="A1233" s="378"/>
      <c r="B1233" s="477"/>
      <c r="C1233" s="378"/>
      <c r="D1233" s="378"/>
      <c r="E1233" s="378"/>
      <c r="F1233" s="378"/>
      <c r="G1233" s="378"/>
      <c r="H1233" s="378"/>
      <c r="I1233" s="376"/>
      <c r="J1233" s="377"/>
      <c r="K1233" s="378"/>
      <c r="L1233" s="378"/>
      <c r="M1233" s="378"/>
      <c r="N1233" s="379"/>
      <c r="O1233" s="380"/>
      <c r="P1233" s="378"/>
      <c r="Q1233" s="378"/>
      <c r="R1233" s="378"/>
      <c r="S1233" s="378"/>
      <c r="T1233" s="378"/>
      <c r="U1233" s="378"/>
      <c r="V1233" s="378"/>
      <c r="W1233" s="378"/>
      <c r="X1233" s="378"/>
      <c r="Y1233" s="378"/>
      <c r="Z1233" s="378"/>
      <c r="AA1233" s="378"/>
      <c r="AB1233" s="378"/>
      <c r="AC1233" s="378"/>
      <c r="AD1233" s="378"/>
      <c r="AE1233" s="378"/>
      <c r="AF1233" s="378"/>
      <c r="AG1233" s="378"/>
    </row>
    <row r="1234">
      <c r="A1234" s="378"/>
      <c r="B1234" s="477"/>
      <c r="C1234" s="378"/>
      <c r="D1234" s="378"/>
      <c r="E1234" s="378"/>
      <c r="F1234" s="378"/>
      <c r="G1234" s="378"/>
      <c r="H1234" s="378"/>
      <c r="I1234" s="376"/>
      <c r="J1234" s="377"/>
      <c r="K1234" s="378"/>
      <c r="L1234" s="378"/>
      <c r="M1234" s="378"/>
      <c r="N1234" s="379"/>
      <c r="O1234" s="380"/>
      <c r="P1234" s="378"/>
      <c r="Q1234" s="378"/>
      <c r="R1234" s="378"/>
      <c r="S1234" s="378"/>
      <c r="T1234" s="378"/>
      <c r="U1234" s="378"/>
      <c r="V1234" s="378"/>
      <c r="W1234" s="378"/>
      <c r="X1234" s="378"/>
      <c r="Y1234" s="378"/>
      <c r="Z1234" s="378"/>
      <c r="AA1234" s="378"/>
      <c r="AB1234" s="378"/>
      <c r="AC1234" s="378"/>
      <c r="AD1234" s="378"/>
      <c r="AE1234" s="378"/>
      <c r="AF1234" s="378"/>
      <c r="AG1234" s="378"/>
    </row>
    <row r="1235">
      <c r="A1235" s="378"/>
      <c r="B1235" s="477"/>
      <c r="C1235" s="378"/>
      <c r="D1235" s="378"/>
      <c r="E1235" s="378"/>
      <c r="F1235" s="378"/>
      <c r="G1235" s="378"/>
      <c r="H1235" s="378"/>
      <c r="I1235" s="376"/>
      <c r="J1235" s="377"/>
      <c r="K1235" s="378"/>
      <c r="L1235" s="378"/>
      <c r="M1235" s="378"/>
      <c r="N1235" s="379"/>
      <c r="O1235" s="380"/>
      <c r="P1235" s="378"/>
      <c r="Q1235" s="378"/>
      <c r="R1235" s="378"/>
      <c r="S1235" s="378"/>
      <c r="T1235" s="378"/>
      <c r="U1235" s="378"/>
      <c r="V1235" s="378"/>
      <c r="W1235" s="378"/>
      <c r="X1235" s="378"/>
      <c r="Y1235" s="378"/>
      <c r="Z1235" s="378"/>
      <c r="AA1235" s="378"/>
      <c r="AB1235" s="378"/>
      <c r="AC1235" s="378"/>
      <c r="AD1235" s="378"/>
      <c r="AE1235" s="378"/>
      <c r="AF1235" s="378"/>
      <c r="AG1235" s="378"/>
    </row>
    <row r="1236">
      <c r="A1236" s="378"/>
      <c r="B1236" s="477"/>
      <c r="C1236" s="378"/>
      <c r="D1236" s="378"/>
      <c r="E1236" s="378"/>
      <c r="F1236" s="378"/>
      <c r="G1236" s="378"/>
      <c r="H1236" s="378"/>
      <c r="I1236" s="376"/>
      <c r="J1236" s="377"/>
      <c r="K1236" s="378"/>
      <c r="L1236" s="378"/>
      <c r="M1236" s="378"/>
      <c r="N1236" s="379"/>
      <c r="O1236" s="380"/>
      <c r="P1236" s="378"/>
      <c r="Q1236" s="378"/>
      <c r="R1236" s="378"/>
      <c r="S1236" s="378"/>
      <c r="T1236" s="378"/>
      <c r="U1236" s="378"/>
      <c r="V1236" s="378"/>
      <c r="W1236" s="378"/>
      <c r="X1236" s="378"/>
      <c r="Y1236" s="378"/>
      <c r="Z1236" s="378"/>
      <c r="AA1236" s="378"/>
      <c r="AB1236" s="378"/>
      <c r="AC1236" s="378"/>
      <c r="AD1236" s="378"/>
      <c r="AE1236" s="378"/>
      <c r="AF1236" s="378"/>
      <c r="AG1236" s="378"/>
    </row>
    <row r="1237">
      <c r="A1237" s="378"/>
      <c r="B1237" s="477"/>
      <c r="C1237" s="378"/>
      <c r="D1237" s="378"/>
      <c r="E1237" s="378"/>
      <c r="F1237" s="378"/>
      <c r="G1237" s="378"/>
      <c r="H1237" s="378"/>
      <c r="I1237" s="376"/>
      <c r="J1237" s="377"/>
      <c r="K1237" s="378"/>
      <c r="L1237" s="378"/>
      <c r="M1237" s="378"/>
      <c r="N1237" s="379"/>
      <c r="O1237" s="380"/>
      <c r="P1237" s="378"/>
      <c r="Q1237" s="378"/>
      <c r="R1237" s="378"/>
      <c r="S1237" s="378"/>
      <c r="T1237" s="378"/>
      <c r="U1237" s="378"/>
      <c r="V1237" s="378"/>
      <c r="W1237" s="378"/>
      <c r="X1237" s="378"/>
      <c r="Y1237" s="378"/>
      <c r="Z1237" s="378"/>
      <c r="AA1237" s="378"/>
      <c r="AB1237" s="378"/>
      <c r="AC1237" s="378"/>
      <c r="AD1237" s="378"/>
      <c r="AE1237" s="378"/>
      <c r="AF1237" s="378"/>
      <c r="AG1237" s="378"/>
    </row>
    <row r="1238">
      <c r="A1238" s="378"/>
      <c r="B1238" s="477"/>
      <c r="C1238" s="378"/>
      <c r="D1238" s="378"/>
      <c r="E1238" s="378"/>
      <c r="F1238" s="378"/>
      <c r="G1238" s="378"/>
      <c r="H1238" s="378"/>
      <c r="I1238" s="376"/>
      <c r="J1238" s="377"/>
      <c r="K1238" s="378"/>
      <c r="L1238" s="378"/>
      <c r="M1238" s="378"/>
      <c r="N1238" s="379"/>
      <c r="O1238" s="380"/>
      <c r="P1238" s="378"/>
      <c r="Q1238" s="378"/>
      <c r="R1238" s="378"/>
      <c r="S1238" s="378"/>
      <c r="T1238" s="378"/>
      <c r="U1238" s="378"/>
      <c r="V1238" s="378"/>
      <c r="W1238" s="378"/>
      <c r="X1238" s="378"/>
      <c r="Y1238" s="378"/>
      <c r="Z1238" s="378"/>
      <c r="AA1238" s="378"/>
      <c r="AB1238" s="378"/>
      <c r="AC1238" s="378"/>
      <c r="AD1238" s="378"/>
      <c r="AE1238" s="378"/>
      <c r="AF1238" s="378"/>
      <c r="AG1238" s="378"/>
    </row>
    <row r="1239">
      <c r="A1239" s="378"/>
      <c r="B1239" s="477"/>
      <c r="C1239" s="378"/>
      <c r="D1239" s="378"/>
      <c r="E1239" s="378"/>
      <c r="F1239" s="378"/>
      <c r="G1239" s="378"/>
      <c r="H1239" s="378"/>
      <c r="I1239" s="376"/>
      <c r="J1239" s="377"/>
      <c r="K1239" s="378"/>
      <c r="L1239" s="378"/>
      <c r="M1239" s="378"/>
      <c r="N1239" s="379"/>
      <c r="O1239" s="380"/>
      <c r="P1239" s="378"/>
      <c r="Q1239" s="378"/>
      <c r="R1239" s="378"/>
      <c r="S1239" s="378"/>
      <c r="T1239" s="378"/>
      <c r="U1239" s="378"/>
      <c r="V1239" s="378"/>
      <c r="W1239" s="378"/>
      <c r="X1239" s="378"/>
      <c r="Y1239" s="378"/>
      <c r="Z1239" s="378"/>
      <c r="AA1239" s="378"/>
      <c r="AB1239" s="378"/>
      <c r="AC1239" s="378"/>
      <c r="AD1239" s="378"/>
      <c r="AE1239" s="378"/>
      <c r="AF1239" s="378"/>
      <c r="AG1239" s="378"/>
    </row>
    <row r="1240">
      <c r="A1240" s="378"/>
      <c r="B1240" s="477"/>
      <c r="C1240" s="378"/>
      <c r="D1240" s="378"/>
      <c r="E1240" s="378"/>
      <c r="F1240" s="378"/>
      <c r="G1240" s="378"/>
      <c r="H1240" s="378"/>
      <c r="I1240" s="376"/>
      <c r="J1240" s="377"/>
      <c r="K1240" s="378"/>
      <c r="L1240" s="378"/>
      <c r="M1240" s="378"/>
      <c r="N1240" s="379"/>
      <c r="O1240" s="380"/>
      <c r="P1240" s="378"/>
      <c r="Q1240" s="378"/>
      <c r="R1240" s="378"/>
      <c r="S1240" s="378"/>
      <c r="T1240" s="378"/>
      <c r="U1240" s="378"/>
      <c r="V1240" s="378"/>
      <c r="W1240" s="378"/>
      <c r="X1240" s="378"/>
      <c r="Y1240" s="378"/>
      <c r="Z1240" s="378"/>
      <c r="AA1240" s="378"/>
      <c r="AB1240" s="378"/>
      <c r="AC1240" s="378"/>
      <c r="AD1240" s="378"/>
      <c r="AE1240" s="378"/>
      <c r="AF1240" s="378"/>
      <c r="AG1240" s="378"/>
    </row>
    <row r="1241">
      <c r="A1241" s="378"/>
      <c r="B1241" s="477"/>
      <c r="C1241" s="378"/>
      <c r="D1241" s="378"/>
      <c r="E1241" s="378"/>
      <c r="F1241" s="378"/>
      <c r="G1241" s="378"/>
      <c r="H1241" s="378"/>
      <c r="I1241" s="376"/>
      <c r="J1241" s="377"/>
      <c r="K1241" s="378"/>
      <c r="L1241" s="378"/>
      <c r="M1241" s="378"/>
      <c r="N1241" s="379"/>
      <c r="O1241" s="380"/>
      <c r="P1241" s="378"/>
      <c r="Q1241" s="378"/>
      <c r="R1241" s="378"/>
      <c r="S1241" s="378"/>
      <c r="T1241" s="378"/>
      <c r="U1241" s="378"/>
      <c r="V1241" s="378"/>
      <c r="W1241" s="378"/>
      <c r="X1241" s="378"/>
      <c r="Y1241" s="378"/>
      <c r="Z1241" s="378"/>
      <c r="AA1241" s="378"/>
      <c r="AB1241" s="378"/>
      <c r="AC1241" s="378"/>
      <c r="AD1241" s="378"/>
      <c r="AE1241" s="378"/>
      <c r="AF1241" s="378"/>
      <c r="AG1241" s="378"/>
    </row>
    <row r="1242">
      <c r="A1242" s="378"/>
      <c r="B1242" s="477"/>
      <c r="C1242" s="378"/>
      <c r="D1242" s="378"/>
      <c r="E1242" s="378"/>
      <c r="F1242" s="378"/>
      <c r="G1242" s="378"/>
      <c r="H1242" s="378"/>
      <c r="I1242" s="376"/>
      <c r="J1242" s="377"/>
      <c r="K1242" s="378"/>
      <c r="L1242" s="378"/>
      <c r="M1242" s="378"/>
      <c r="N1242" s="379"/>
      <c r="O1242" s="380"/>
      <c r="P1242" s="378"/>
      <c r="Q1242" s="378"/>
      <c r="R1242" s="378"/>
      <c r="S1242" s="378"/>
      <c r="T1242" s="378"/>
      <c r="U1242" s="378"/>
      <c r="V1242" s="378"/>
      <c r="W1242" s="378"/>
      <c r="X1242" s="378"/>
      <c r="Y1242" s="378"/>
      <c r="Z1242" s="378"/>
      <c r="AA1242" s="378"/>
      <c r="AB1242" s="378"/>
      <c r="AC1242" s="378"/>
      <c r="AD1242" s="378"/>
      <c r="AE1242" s="378"/>
      <c r="AF1242" s="378"/>
      <c r="AG1242" s="378"/>
    </row>
    <row r="1243">
      <c r="A1243" s="378"/>
      <c r="B1243" s="477"/>
      <c r="C1243" s="378"/>
      <c r="D1243" s="378"/>
      <c r="E1243" s="378"/>
      <c r="F1243" s="378"/>
      <c r="G1243" s="378"/>
      <c r="H1243" s="378"/>
      <c r="I1243" s="376"/>
      <c r="J1243" s="377"/>
      <c r="K1243" s="378"/>
      <c r="L1243" s="378"/>
      <c r="M1243" s="378"/>
      <c r="N1243" s="379"/>
      <c r="O1243" s="380"/>
      <c r="P1243" s="378"/>
      <c r="Q1243" s="378"/>
      <c r="R1243" s="378"/>
      <c r="S1243" s="378"/>
      <c r="T1243" s="378"/>
      <c r="U1243" s="378"/>
      <c r="V1243" s="378"/>
      <c r="W1243" s="378"/>
      <c r="X1243" s="378"/>
      <c r="Y1243" s="378"/>
      <c r="Z1243" s="378"/>
      <c r="AA1243" s="378"/>
      <c r="AB1243" s="378"/>
      <c r="AC1243" s="378"/>
      <c r="AD1243" s="378"/>
      <c r="AE1243" s="378"/>
      <c r="AF1243" s="378"/>
      <c r="AG1243" s="378"/>
    </row>
    <row r="1244">
      <c r="A1244" s="378"/>
      <c r="B1244" s="477"/>
      <c r="C1244" s="378"/>
      <c r="D1244" s="378"/>
      <c r="E1244" s="378"/>
      <c r="F1244" s="378"/>
      <c r="G1244" s="378"/>
      <c r="H1244" s="378"/>
      <c r="I1244" s="376"/>
      <c r="J1244" s="377"/>
      <c r="K1244" s="378"/>
      <c r="L1244" s="378"/>
      <c r="M1244" s="378"/>
      <c r="N1244" s="379"/>
      <c r="O1244" s="380"/>
      <c r="P1244" s="378"/>
      <c r="Q1244" s="378"/>
      <c r="R1244" s="378"/>
      <c r="S1244" s="378"/>
      <c r="T1244" s="378"/>
      <c r="U1244" s="378"/>
      <c r="V1244" s="378"/>
      <c r="W1244" s="378"/>
      <c r="X1244" s="378"/>
      <c r="Y1244" s="378"/>
      <c r="Z1244" s="378"/>
      <c r="AA1244" s="378"/>
      <c r="AB1244" s="378"/>
      <c r="AC1244" s="378"/>
      <c r="AD1244" s="378"/>
      <c r="AE1244" s="378"/>
      <c r="AF1244" s="378"/>
      <c r="AG1244" s="378"/>
    </row>
    <row r="1245">
      <c r="A1245" s="378"/>
      <c r="B1245" s="477"/>
      <c r="C1245" s="378"/>
      <c r="D1245" s="378"/>
      <c r="E1245" s="378"/>
      <c r="F1245" s="378"/>
      <c r="G1245" s="378"/>
      <c r="H1245" s="378"/>
      <c r="I1245" s="376"/>
      <c r="J1245" s="377"/>
      <c r="K1245" s="378"/>
      <c r="L1245" s="378"/>
      <c r="M1245" s="378"/>
      <c r="N1245" s="379"/>
      <c r="O1245" s="380"/>
      <c r="P1245" s="378"/>
      <c r="Q1245" s="378"/>
      <c r="R1245" s="378"/>
      <c r="S1245" s="378"/>
      <c r="T1245" s="378"/>
      <c r="U1245" s="378"/>
      <c r="V1245" s="378"/>
      <c r="W1245" s="378"/>
      <c r="X1245" s="378"/>
      <c r="Y1245" s="378"/>
      <c r="Z1245" s="378"/>
      <c r="AA1245" s="378"/>
      <c r="AB1245" s="378"/>
      <c r="AC1245" s="378"/>
      <c r="AD1245" s="378"/>
      <c r="AE1245" s="378"/>
      <c r="AF1245" s="378"/>
      <c r="AG1245" s="378"/>
    </row>
    <row r="1246">
      <c r="A1246" s="378"/>
      <c r="B1246" s="477"/>
      <c r="C1246" s="378"/>
      <c r="D1246" s="378"/>
      <c r="E1246" s="378"/>
      <c r="F1246" s="378"/>
      <c r="G1246" s="378"/>
      <c r="H1246" s="378"/>
      <c r="I1246" s="376"/>
      <c r="J1246" s="377"/>
      <c r="K1246" s="378"/>
      <c r="L1246" s="378"/>
      <c r="M1246" s="378"/>
      <c r="N1246" s="379"/>
      <c r="O1246" s="380"/>
      <c r="P1246" s="378"/>
      <c r="Q1246" s="378"/>
      <c r="R1246" s="378"/>
      <c r="S1246" s="378"/>
      <c r="T1246" s="378"/>
      <c r="U1246" s="378"/>
      <c r="V1246" s="378"/>
      <c r="W1246" s="378"/>
      <c r="X1246" s="378"/>
      <c r="Y1246" s="378"/>
      <c r="Z1246" s="378"/>
      <c r="AA1246" s="378"/>
      <c r="AB1246" s="378"/>
      <c r="AC1246" s="378"/>
      <c r="AD1246" s="378"/>
      <c r="AE1246" s="378"/>
      <c r="AF1246" s="378"/>
      <c r="AG1246" s="378"/>
    </row>
    <row r="1247">
      <c r="A1247" s="378"/>
      <c r="B1247" s="477"/>
      <c r="C1247" s="378"/>
      <c r="D1247" s="378"/>
      <c r="E1247" s="378"/>
      <c r="F1247" s="378"/>
      <c r="G1247" s="378"/>
      <c r="H1247" s="378"/>
      <c r="I1247" s="376"/>
      <c r="J1247" s="377"/>
      <c r="K1247" s="378"/>
      <c r="L1247" s="378"/>
      <c r="M1247" s="378"/>
      <c r="N1247" s="379"/>
      <c r="O1247" s="380"/>
      <c r="P1247" s="378"/>
      <c r="Q1247" s="378"/>
      <c r="R1247" s="378"/>
      <c r="S1247" s="378"/>
      <c r="T1247" s="378"/>
      <c r="U1247" s="378"/>
      <c r="V1247" s="378"/>
      <c r="W1247" s="378"/>
      <c r="X1247" s="378"/>
      <c r="Y1247" s="378"/>
      <c r="Z1247" s="378"/>
      <c r="AA1247" s="378"/>
      <c r="AB1247" s="378"/>
      <c r="AC1247" s="378"/>
      <c r="AD1247" s="378"/>
      <c r="AE1247" s="378"/>
      <c r="AF1247" s="378"/>
      <c r="AG1247" s="378"/>
    </row>
    <row r="1248">
      <c r="A1248" s="378"/>
      <c r="B1248" s="477"/>
      <c r="C1248" s="378"/>
      <c r="D1248" s="378"/>
      <c r="E1248" s="378"/>
      <c r="F1248" s="378"/>
      <c r="G1248" s="378"/>
      <c r="H1248" s="378"/>
      <c r="I1248" s="376"/>
      <c r="J1248" s="377"/>
      <c r="K1248" s="378"/>
      <c r="L1248" s="378"/>
      <c r="M1248" s="378"/>
      <c r="N1248" s="379"/>
      <c r="O1248" s="380"/>
      <c r="P1248" s="378"/>
      <c r="Q1248" s="378"/>
      <c r="R1248" s="378"/>
      <c r="S1248" s="378"/>
      <c r="T1248" s="378"/>
      <c r="U1248" s="378"/>
      <c r="V1248" s="378"/>
      <c r="W1248" s="378"/>
      <c r="X1248" s="378"/>
      <c r="Y1248" s="378"/>
      <c r="Z1248" s="378"/>
      <c r="AA1248" s="378"/>
      <c r="AB1248" s="378"/>
      <c r="AC1248" s="378"/>
      <c r="AD1248" s="378"/>
      <c r="AE1248" s="378"/>
      <c r="AF1248" s="378"/>
      <c r="AG1248" s="378"/>
    </row>
    <row r="1249">
      <c r="A1249" s="378"/>
      <c r="B1249" s="477"/>
      <c r="C1249" s="378"/>
      <c r="D1249" s="378"/>
      <c r="E1249" s="378"/>
      <c r="F1249" s="378"/>
      <c r="G1249" s="378"/>
      <c r="H1249" s="378"/>
      <c r="I1249" s="376"/>
      <c r="J1249" s="377"/>
      <c r="K1249" s="378"/>
      <c r="L1249" s="378"/>
      <c r="M1249" s="378"/>
      <c r="N1249" s="379"/>
      <c r="O1249" s="380"/>
      <c r="P1249" s="378"/>
      <c r="Q1249" s="378"/>
      <c r="R1249" s="378"/>
      <c r="S1249" s="378"/>
      <c r="T1249" s="378"/>
      <c r="U1249" s="378"/>
      <c r="V1249" s="378"/>
      <c r="W1249" s="378"/>
      <c r="X1249" s="378"/>
      <c r="Y1249" s="378"/>
      <c r="Z1249" s="378"/>
      <c r="AA1249" s="378"/>
      <c r="AB1249" s="378"/>
      <c r="AC1249" s="378"/>
      <c r="AD1249" s="378"/>
      <c r="AE1249" s="378"/>
      <c r="AF1249" s="378"/>
      <c r="AG1249" s="378"/>
    </row>
    <row r="1250">
      <c r="A1250" s="378"/>
      <c r="B1250" s="477"/>
      <c r="C1250" s="378"/>
      <c r="D1250" s="378"/>
      <c r="E1250" s="378"/>
      <c r="F1250" s="378"/>
      <c r="G1250" s="378"/>
      <c r="H1250" s="378"/>
      <c r="I1250" s="376"/>
      <c r="J1250" s="377"/>
      <c r="K1250" s="378"/>
      <c r="L1250" s="378"/>
      <c r="M1250" s="378"/>
      <c r="N1250" s="379"/>
      <c r="O1250" s="380"/>
      <c r="P1250" s="378"/>
      <c r="Q1250" s="378"/>
      <c r="R1250" s="378"/>
      <c r="S1250" s="378"/>
      <c r="T1250" s="378"/>
      <c r="U1250" s="378"/>
      <c r="V1250" s="378"/>
      <c r="W1250" s="378"/>
      <c r="X1250" s="378"/>
      <c r="Y1250" s="378"/>
      <c r="Z1250" s="378"/>
      <c r="AA1250" s="378"/>
      <c r="AB1250" s="378"/>
      <c r="AC1250" s="378"/>
      <c r="AD1250" s="378"/>
      <c r="AE1250" s="378"/>
      <c r="AF1250" s="378"/>
      <c r="AG1250" s="378"/>
    </row>
    <row r="1251">
      <c r="A1251" s="378"/>
      <c r="B1251" s="477"/>
      <c r="C1251" s="378"/>
      <c r="D1251" s="378"/>
      <c r="E1251" s="378"/>
      <c r="F1251" s="378"/>
      <c r="G1251" s="378"/>
      <c r="H1251" s="378"/>
      <c r="I1251" s="376"/>
      <c r="J1251" s="377"/>
      <c r="K1251" s="378"/>
      <c r="L1251" s="378"/>
      <c r="M1251" s="378"/>
      <c r="N1251" s="379"/>
      <c r="O1251" s="380"/>
      <c r="P1251" s="378"/>
      <c r="Q1251" s="378"/>
      <c r="R1251" s="378"/>
      <c r="S1251" s="378"/>
      <c r="T1251" s="378"/>
      <c r="U1251" s="378"/>
      <c r="V1251" s="378"/>
      <c r="W1251" s="378"/>
      <c r="X1251" s="378"/>
      <c r="Y1251" s="378"/>
      <c r="Z1251" s="378"/>
      <c r="AA1251" s="378"/>
      <c r="AB1251" s="378"/>
      <c r="AC1251" s="378"/>
      <c r="AD1251" s="378"/>
      <c r="AE1251" s="378"/>
      <c r="AF1251" s="378"/>
      <c r="AG1251" s="378"/>
    </row>
    <row r="1252">
      <c r="A1252" s="378"/>
      <c r="B1252" s="477"/>
      <c r="C1252" s="378"/>
      <c r="D1252" s="378"/>
      <c r="E1252" s="378"/>
      <c r="F1252" s="378"/>
      <c r="G1252" s="378"/>
      <c r="H1252" s="378"/>
      <c r="I1252" s="376"/>
      <c r="J1252" s="377"/>
      <c r="K1252" s="378"/>
      <c r="L1252" s="378"/>
      <c r="M1252" s="378"/>
      <c r="N1252" s="379"/>
      <c r="O1252" s="380"/>
      <c r="P1252" s="378"/>
      <c r="Q1252" s="378"/>
      <c r="R1252" s="378"/>
      <c r="S1252" s="378"/>
      <c r="T1252" s="378"/>
      <c r="U1252" s="378"/>
      <c r="V1252" s="378"/>
      <c r="W1252" s="378"/>
      <c r="X1252" s="378"/>
      <c r="Y1252" s="378"/>
      <c r="Z1252" s="378"/>
      <c r="AA1252" s="378"/>
      <c r="AB1252" s="378"/>
      <c r="AC1252" s="378"/>
      <c r="AD1252" s="378"/>
      <c r="AE1252" s="378"/>
      <c r="AF1252" s="378"/>
      <c r="AG1252" s="378"/>
    </row>
    <row r="1253">
      <c r="A1253" s="378"/>
      <c r="B1253" s="477"/>
      <c r="C1253" s="378"/>
      <c r="D1253" s="378"/>
      <c r="E1253" s="378"/>
      <c r="F1253" s="378"/>
      <c r="G1253" s="378"/>
      <c r="H1253" s="378"/>
      <c r="I1253" s="376"/>
      <c r="J1253" s="377"/>
      <c r="K1253" s="378"/>
      <c r="L1253" s="378"/>
      <c r="M1253" s="378"/>
      <c r="N1253" s="379"/>
      <c r="O1253" s="380"/>
      <c r="P1253" s="378"/>
      <c r="Q1253" s="378"/>
      <c r="R1253" s="378"/>
      <c r="S1253" s="378"/>
      <c r="T1253" s="378"/>
      <c r="U1253" s="378"/>
      <c r="V1253" s="378"/>
      <c r="W1253" s="378"/>
      <c r="X1253" s="378"/>
      <c r="Y1253" s="378"/>
      <c r="Z1253" s="378"/>
      <c r="AA1253" s="378"/>
      <c r="AB1253" s="378"/>
      <c r="AC1253" s="378"/>
      <c r="AD1253" s="378"/>
      <c r="AE1253" s="378"/>
      <c r="AF1253" s="378"/>
      <c r="AG1253" s="378"/>
    </row>
    <row r="1254">
      <c r="A1254" s="378"/>
      <c r="B1254" s="477"/>
      <c r="C1254" s="378"/>
      <c r="D1254" s="378"/>
      <c r="E1254" s="378"/>
      <c r="F1254" s="378"/>
      <c r="G1254" s="378"/>
      <c r="H1254" s="378"/>
      <c r="I1254" s="376"/>
      <c r="J1254" s="377"/>
      <c r="K1254" s="378"/>
      <c r="L1254" s="378"/>
      <c r="M1254" s="378"/>
      <c r="N1254" s="379"/>
      <c r="O1254" s="380"/>
      <c r="P1254" s="378"/>
      <c r="Q1254" s="378"/>
      <c r="R1254" s="378"/>
      <c r="S1254" s="378"/>
      <c r="T1254" s="378"/>
      <c r="U1254" s="378"/>
      <c r="V1254" s="378"/>
      <c r="W1254" s="378"/>
      <c r="X1254" s="378"/>
      <c r="Y1254" s="378"/>
      <c r="Z1254" s="378"/>
      <c r="AA1254" s="378"/>
      <c r="AB1254" s="378"/>
      <c r="AC1254" s="378"/>
      <c r="AD1254" s="378"/>
      <c r="AE1254" s="378"/>
      <c r="AF1254" s="378"/>
      <c r="AG1254" s="378"/>
    </row>
    <row r="1255">
      <c r="A1255" s="378"/>
      <c r="B1255" s="477"/>
      <c r="C1255" s="378"/>
      <c r="D1255" s="378"/>
      <c r="E1255" s="378"/>
      <c r="F1255" s="378"/>
      <c r="G1255" s="378"/>
      <c r="H1255" s="378"/>
      <c r="I1255" s="376"/>
      <c r="J1255" s="377"/>
      <c r="K1255" s="378"/>
      <c r="L1255" s="378"/>
      <c r="M1255" s="378"/>
      <c r="N1255" s="379"/>
      <c r="O1255" s="380"/>
      <c r="P1255" s="378"/>
      <c r="Q1255" s="378"/>
      <c r="R1255" s="378"/>
      <c r="S1255" s="378"/>
      <c r="T1255" s="378"/>
      <c r="U1255" s="378"/>
      <c r="V1255" s="378"/>
      <c r="W1255" s="378"/>
      <c r="X1255" s="378"/>
      <c r="Y1255" s="378"/>
      <c r="Z1255" s="378"/>
      <c r="AA1255" s="378"/>
      <c r="AB1255" s="378"/>
      <c r="AC1255" s="378"/>
      <c r="AD1255" s="378"/>
      <c r="AE1255" s="378"/>
      <c r="AF1255" s="378"/>
      <c r="AG1255" s="378"/>
    </row>
    <row r="1256">
      <c r="A1256" s="378"/>
      <c r="B1256" s="477"/>
      <c r="C1256" s="378"/>
      <c r="D1256" s="378"/>
      <c r="E1256" s="378"/>
      <c r="F1256" s="378"/>
      <c r="G1256" s="378"/>
      <c r="H1256" s="378"/>
      <c r="I1256" s="376"/>
      <c r="J1256" s="377"/>
      <c r="K1256" s="378"/>
      <c r="L1256" s="378"/>
      <c r="M1256" s="378"/>
      <c r="N1256" s="379"/>
      <c r="O1256" s="380"/>
      <c r="P1256" s="378"/>
      <c r="Q1256" s="378"/>
      <c r="R1256" s="378"/>
      <c r="S1256" s="378"/>
      <c r="T1256" s="378"/>
      <c r="U1256" s="378"/>
      <c r="V1256" s="378"/>
      <c r="W1256" s="378"/>
      <c r="X1256" s="378"/>
      <c r="Y1256" s="378"/>
      <c r="Z1256" s="378"/>
      <c r="AA1256" s="378"/>
      <c r="AB1256" s="378"/>
      <c r="AC1256" s="378"/>
      <c r="AD1256" s="378"/>
      <c r="AE1256" s="378"/>
      <c r="AF1256" s="378"/>
      <c r="AG1256" s="378"/>
    </row>
    <row r="1257">
      <c r="A1257" s="378"/>
      <c r="B1257" s="477"/>
      <c r="C1257" s="378"/>
      <c r="D1257" s="378"/>
      <c r="E1257" s="378"/>
      <c r="F1257" s="378"/>
      <c r="G1257" s="378"/>
      <c r="H1257" s="378"/>
      <c r="I1257" s="376"/>
      <c r="J1257" s="377"/>
      <c r="K1257" s="378"/>
      <c r="L1257" s="378"/>
      <c r="M1257" s="378"/>
      <c r="N1257" s="379"/>
      <c r="O1257" s="380"/>
      <c r="P1257" s="378"/>
      <c r="Q1257" s="378"/>
      <c r="R1257" s="378"/>
      <c r="S1257" s="378"/>
      <c r="T1257" s="378"/>
      <c r="U1257" s="378"/>
      <c r="V1257" s="378"/>
      <c r="W1257" s="378"/>
      <c r="X1257" s="378"/>
      <c r="Y1257" s="378"/>
      <c r="Z1257" s="378"/>
      <c r="AA1257" s="378"/>
      <c r="AB1257" s="378"/>
      <c r="AC1257" s="378"/>
      <c r="AD1257" s="378"/>
      <c r="AE1257" s="378"/>
      <c r="AF1257" s="378"/>
      <c r="AG1257" s="378"/>
    </row>
    <row r="1258">
      <c r="A1258" s="378"/>
      <c r="B1258" s="477"/>
      <c r="C1258" s="378"/>
      <c r="D1258" s="378"/>
      <c r="E1258" s="378"/>
      <c r="F1258" s="378"/>
      <c r="G1258" s="378"/>
      <c r="H1258" s="378"/>
      <c r="I1258" s="376"/>
      <c r="J1258" s="377"/>
      <c r="K1258" s="378"/>
      <c r="L1258" s="378"/>
      <c r="M1258" s="378"/>
      <c r="N1258" s="379"/>
      <c r="O1258" s="380"/>
      <c r="P1258" s="378"/>
      <c r="Q1258" s="378"/>
      <c r="R1258" s="378"/>
      <c r="S1258" s="378"/>
      <c r="T1258" s="378"/>
      <c r="U1258" s="378"/>
      <c r="V1258" s="378"/>
      <c r="W1258" s="378"/>
      <c r="X1258" s="378"/>
      <c r="Y1258" s="378"/>
      <c r="Z1258" s="378"/>
      <c r="AA1258" s="378"/>
      <c r="AB1258" s="378"/>
      <c r="AC1258" s="378"/>
      <c r="AD1258" s="378"/>
      <c r="AE1258" s="378"/>
      <c r="AF1258" s="378"/>
      <c r="AG1258" s="378"/>
    </row>
    <row r="1259">
      <c r="A1259" s="378"/>
      <c r="B1259" s="477"/>
      <c r="C1259" s="378"/>
      <c r="D1259" s="378"/>
      <c r="E1259" s="378"/>
      <c r="F1259" s="378"/>
      <c r="G1259" s="378"/>
      <c r="H1259" s="378"/>
      <c r="I1259" s="376"/>
      <c r="J1259" s="377"/>
      <c r="K1259" s="378"/>
      <c r="L1259" s="378"/>
      <c r="M1259" s="378"/>
      <c r="N1259" s="379"/>
      <c r="O1259" s="380"/>
      <c r="P1259" s="378"/>
      <c r="Q1259" s="378"/>
      <c r="R1259" s="378"/>
      <c r="S1259" s="378"/>
      <c r="T1259" s="378"/>
      <c r="U1259" s="378"/>
      <c r="V1259" s="378"/>
      <c r="W1259" s="378"/>
      <c r="X1259" s="378"/>
      <c r="Y1259" s="378"/>
      <c r="Z1259" s="378"/>
      <c r="AA1259" s="378"/>
      <c r="AB1259" s="378"/>
      <c r="AC1259" s="378"/>
      <c r="AD1259" s="378"/>
      <c r="AE1259" s="378"/>
      <c r="AF1259" s="378"/>
      <c r="AG1259" s="378"/>
    </row>
    <row r="1260">
      <c r="A1260" s="378"/>
      <c r="B1260" s="477"/>
      <c r="C1260" s="378"/>
      <c r="D1260" s="378"/>
      <c r="E1260" s="378"/>
      <c r="F1260" s="378"/>
      <c r="G1260" s="378"/>
      <c r="H1260" s="378"/>
      <c r="I1260" s="376"/>
      <c r="J1260" s="377"/>
      <c r="K1260" s="378"/>
      <c r="L1260" s="378"/>
      <c r="M1260" s="378"/>
      <c r="N1260" s="379"/>
      <c r="O1260" s="380"/>
      <c r="P1260" s="378"/>
      <c r="Q1260" s="378"/>
      <c r="R1260" s="378"/>
      <c r="S1260" s="378"/>
      <c r="T1260" s="378"/>
      <c r="U1260" s="378"/>
      <c r="V1260" s="378"/>
      <c r="W1260" s="378"/>
      <c r="X1260" s="378"/>
      <c r="Y1260" s="378"/>
      <c r="Z1260" s="378"/>
      <c r="AA1260" s="378"/>
      <c r="AB1260" s="378"/>
      <c r="AC1260" s="378"/>
      <c r="AD1260" s="378"/>
      <c r="AE1260" s="378"/>
      <c r="AF1260" s="378"/>
      <c r="AG1260" s="378"/>
    </row>
    <row r="1261">
      <c r="A1261" s="378"/>
      <c r="B1261" s="477"/>
      <c r="C1261" s="378"/>
      <c r="D1261" s="378"/>
      <c r="E1261" s="378"/>
      <c r="F1261" s="378"/>
      <c r="G1261" s="378"/>
      <c r="H1261" s="378"/>
      <c r="I1261" s="376"/>
      <c r="J1261" s="377"/>
      <c r="K1261" s="378"/>
      <c r="L1261" s="378"/>
      <c r="M1261" s="378"/>
      <c r="N1261" s="379"/>
      <c r="O1261" s="380"/>
      <c r="P1261" s="378"/>
      <c r="Q1261" s="378"/>
      <c r="R1261" s="378"/>
      <c r="S1261" s="378"/>
      <c r="T1261" s="378"/>
      <c r="U1261" s="378"/>
      <c r="V1261" s="378"/>
      <c r="W1261" s="378"/>
      <c r="X1261" s="378"/>
      <c r="Y1261" s="378"/>
      <c r="Z1261" s="378"/>
      <c r="AA1261" s="378"/>
      <c r="AB1261" s="378"/>
      <c r="AC1261" s="378"/>
      <c r="AD1261" s="378"/>
      <c r="AE1261" s="378"/>
      <c r="AF1261" s="378"/>
      <c r="AG1261" s="378"/>
    </row>
    <row r="1262">
      <c r="A1262" s="378"/>
      <c r="B1262" s="477"/>
      <c r="C1262" s="378"/>
      <c r="D1262" s="378"/>
      <c r="E1262" s="378"/>
      <c r="F1262" s="378"/>
      <c r="G1262" s="378"/>
      <c r="H1262" s="378"/>
      <c r="I1262" s="376"/>
      <c r="J1262" s="377"/>
      <c r="K1262" s="378"/>
      <c r="L1262" s="378"/>
      <c r="M1262" s="378"/>
      <c r="N1262" s="379"/>
      <c r="O1262" s="380"/>
      <c r="P1262" s="378"/>
      <c r="Q1262" s="378"/>
      <c r="R1262" s="378"/>
      <c r="S1262" s="378"/>
      <c r="T1262" s="378"/>
      <c r="U1262" s="378"/>
      <c r="V1262" s="378"/>
      <c r="W1262" s="378"/>
      <c r="X1262" s="378"/>
      <c r="Y1262" s="378"/>
      <c r="Z1262" s="378"/>
      <c r="AA1262" s="378"/>
      <c r="AB1262" s="378"/>
      <c r="AC1262" s="378"/>
      <c r="AD1262" s="378"/>
      <c r="AE1262" s="378"/>
      <c r="AF1262" s="378"/>
      <c r="AG1262" s="378"/>
    </row>
    <row r="1263">
      <c r="A1263" s="378"/>
      <c r="B1263" s="477"/>
      <c r="C1263" s="378"/>
      <c r="D1263" s="378"/>
      <c r="E1263" s="378"/>
      <c r="F1263" s="378"/>
      <c r="G1263" s="378"/>
      <c r="H1263" s="378"/>
      <c r="I1263" s="376"/>
      <c r="J1263" s="377"/>
      <c r="K1263" s="378"/>
      <c r="L1263" s="378"/>
      <c r="M1263" s="378"/>
      <c r="N1263" s="379"/>
      <c r="O1263" s="380"/>
      <c r="P1263" s="378"/>
      <c r="Q1263" s="378"/>
      <c r="R1263" s="378"/>
      <c r="S1263" s="378"/>
      <c r="T1263" s="378"/>
      <c r="U1263" s="378"/>
      <c r="V1263" s="378"/>
      <c r="W1263" s="378"/>
      <c r="X1263" s="378"/>
      <c r="Y1263" s="378"/>
      <c r="Z1263" s="378"/>
      <c r="AA1263" s="378"/>
      <c r="AB1263" s="378"/>
      <c r="AC1263" s="378"/>
      <c r="AD1263" s="378"/>
      <c r="AE1263" s="378"/>
      <c r="AF1263" s="378"/>
      <c r="AG1263" s="378"/>
    </row>
    <row r="1264">
      <c r="A1264" s="378"/>
      <c r="B1264" s="477"/>
      <c r="C1264" s="378"/>
      <c r="D1264" s="378"/>
      <c r="E1264" s="378"/>
      <c r="F1264" s="378"/>
      <c r="G1264" s="378"/>
      <c r="H1264" s="378"/>
      <c r="I1264" s="376"/>
      <c r="J1264" s="377"/>
      <c r="K1264" s="378"/>
      <c r="L1264" s="378"/>
      <c r="M1264" s="378"/>
      <c r="N1264" s="379"/>
      <c r="O1264" s="380"/>
      <c r="P1264" s="378"/>
      <c r="Q1264" s="378"/>
      <c r="R1264" s="378"/>
      <c r="S1264" s="378"/>
      <c r="T1264" s="378"/>
      <c r="U1264" s="378"/>
      <c r="V1264" s="378"/>
      <c r="W1264" s="378"/>
      <c r="X1264" s="378"/>
      <c r="Y1264" s="378"/>
      <c r="Z1264" s="378"/>
      <c r="AA1264" s="378"/>
      <c r="AB1264" s="378"/>
      <c r="AC1264" s="378"/>
      <c r="AD1264" s="378"/>
      <c r="AE1264" s="378"/>
      <c r="AF1264" s="378"/>
      <c r="AG1264" s="378"/>
    </row>
    <row r="1265">
      <c r="A1265" s="378"/>
      <c r="B1265" s="477"/>
      <c r="C1265" s="378"/>
      <c r="D1265" s="378"/>
      <c r="E1265" s="378"/>
      <c r="F1265" s="378"/>
      <c r="G1265" s="378"/>
      <c r="H1265" s="378"/>
      <c r="I1265" s="376"/>
      <c r="J1265" s="377"/>
      <c r="K1265" s="378"/>
      <c r="L1265" s="378"/>
      <c r="M1265" s="378"/>
      <c r="N1265" s="379"/>
      <c r="O1265" s="380"/>
      <c r="P1265" s="378"/>
      <c r="Q1265" s="378"/>
      <c r="R1265" s="378"/>
      <c r="S1265" s="378"/>
      <c r="T1265" s="378"/>
      <c r="U1265" s="378"/>
      <c r="V1265" s="378"/>
      <c r="W1265" s="378"/>
      <c r="X1265" s="378"/>
      <c r="Y1265" s="378"/>
      <c r="Z1265" s="378"/>
      <c r="AA1265" s="378"/>
      <c r="AB1265" s="378"/>
      <c r="AC1265" s="378"/>
      <c r="AD1265" s="378"/>
      <c r="AE1265" s="378"/>
      <c r="AF1265" s="378"/>
      <c r="AG1265" s="378"/>
    </row>
    <row r="1266">
      <c r="A1266" s="378"/>
      <c r="B1266" s="477"/>
      <c r="C1266" s="378"/>
      <c r="D1266" s="378"/>
      <c r="E1266" s="378"/>
      <c r="F1266" s="378"/>
      <c r="G1266" s="378"/>
      <c r="H1266" s="378"/>
      <c r="I1266" s="376"/>
      <c r="J1266" s="377"/>
      <c r="K1266" s="378"/>
      <c r="L1266" s="378"/>
      <c r="M1266" s="378"/>
      <c r="N1266" s="379"/>
      <c r="O1266" s="380"/>
      <c r="P1266" s="378"/>
      <c r="Q1266" s="378"/>
      <c r="R1266" s="378"/>
      <c r="S1266" s="378"/>
      <c r="T1266" s="378"/>
      <c r="U1266" s="378"/>
      <c r="V1266" s="378"/>
      <c r="W1266" s="378"/>
      <c r="X1266" s="378"/>
      <c r="Y1266" s="378"/>
      <c r="Z1266" s="378"/>
      <c r="AA1266" s="378"/>
      <c r="AB1266" s="378"/>
      <c r="AC1266" s="378"/>
      <c r="AD1266" s="378"/>
      <c r="AE1266" s="378"/>
      <c r="AF1266" s="378"/>
      <c r="AG1266" s="378"/>
    </row>
    <row r="1267">
      <c r="A1267" s="378"/>
      <c r="B1267" s="477"/>
      <c r="C1267" s="378"/>
      <c r="D1267" s="378"/>
      <c r="E1267" s="378"/>
      <c r="F1267" s="378"/>
      <c r="G1267" s="378"/>
      <c r="H1267" s="378"/>
      <c r="I1267" s="376"/>
      <c r="J1267" s="377"/>
      <c r="K1267" s="378"/>
      <c r="L1267" s="378"/>
      <c r="M1267" s="378"/>
      <c r="N1267" s="379"/>
      <c r="O1267" s="380"/>
      <c r="P1267" s="378"/>
      <c r="Q1267" s="378"/>
      <c r="R1267" s="378"/>
      <c r="S1267" s="378"/>
      <c r="T1267" s="378"/>
      <c r="U1267" s="378"/>
      <c r="V1267" s="378"/>
      <c r="W1267" s="378"/>
      <c r="X1267" s="378"/>
      <c r="Y1267" s="378"/>
      <c r="Z1267" s="378"/>
      <c r="AA1267" s="378"/>
      <c r="AB1267" s="378"/>
      <c r="AC1267" s="378"/>
      <c r="AD1267" s="378"/>
      <c r="AE1267" s="378"/>
      <c r="AF1267" s="378"/>
      <c r="AG1267" s="378"/>
    </row>
    <row r="1268">
      <c r="A1268" s="378"/>
      <c r="B1268" s="477"/>
      <c r="C1268" s="378"/>
      <c r="D1268" s="378"/>
      <c r="E1268" s="378"/>
      <c r="F1268" s="378"/>
      <c r="G1268" s="378"/>
      <c r="H1268" s="378"/>
      <c r="I1268" s="376"/>
      <c r="J1268" s="377"/>
      <c r="K1268" s="378"/>
      <c r="L1268" s="378"/>
      <c r="M1268" s="378"/>
      <c r="N1268" s="379"/>
      <c r="O1268" s="380"/>
      <c r="P1268" s="378"/>
      <c r="Q1268" s="378"/>
      <c r="R1268" s="378"/>
      <c r="S1268" s="378"/>
      <c r="T1268" s="378"/>
      <c r="U1268" s="378"/>
      <c r="V1268" s="378"/>
      <c r="W1268" s="378"/>
      <c r="X1268" s="378"/>
      <c r="Y1268" s="378"/>
      <c r="Z1268" s="378"/>
      <c r="AA1268" s="378"/>
      <c r="AB1268" s="378"/>
      <c r="AC1268" s="378"/>
      <c r="AD1268" s="378"/>
      <c r="AE1268" s="378"/>
      <c r="AF1268" s="378"/>
      <c r="AG1268" s="378"/>
    </row>
    <row r="1269">
      <c r="A1269" s="378"/>
      <c r="B1269" s="477"/>
      <c r="C1269" s="378"/>
      <c r="D1269" s="378"/>
      <c r="E1269" s="378"/>
      <c r="F1269" s="378"/>
      <c r="G1269" s="378"/>
      <c r="H1269" s="378"/>
      <c r="I1269" s="376"/>
      <c r="J1269" s="377"/>
      <c r="K1269" s="378"/>
      <c r="L1269" s="378"/>
      <c r="M1269" s="378"/>
      <c r="N1269" s="379"/>
      <c r="O1269" s="380"/>
      <c r="P1269" s="378"/>
      <c r="Q1269" s="378"/>
      <c r="R1269" s="378"/>
      <c r="S1269" s="378"/>
      <c r="T1269" s="378"/>
      <c r="U1269" s="378"/>
      <c r="V1269" s="378"/>
      <c r="W1269" s="378"/>
      <c r="X1269" s="378"/>
      <c r="Y1269" s="378"/>
      <c r="Z1269" s="378"/>
      <c r="AA1269" s="378"/>
      <c r="AB1269" s="378"/>
      <c r="AC1269" s="378"/>
      <c r="AD1269" s="378"/>
      <c r="AE1269" s="378"/>
      <c r="AF1269" s="378"/>
      <c r="AG1269" s="378"/>
    </row>
    <row r="1270">
      <c r="A1270" s="378"/>
      <c r="B1270" s="477"/>
      <c r="C1270" s="378"/>
      <c r="D1270" s="378"/>
      <c r="E1270" s="378"/>
      <c r="F1270" s="378"/>
      <c r="G1270" s="378"/>
      <c r="H1270" s="378"/>
      <c r="I1270" s="376"/>
      <c r="J1270" s="377"/>
      <c r="K1270" s="378"/>
      <c r="L1270" s="378"/>
      <c r="M1270" s="378"/>
      <c r="N1270" s="379"/>
      <c r="O1270" s="380"/>
      <c r="P1270" s="378"/>
      <c r="Q1270" s="378"/>
      <c r="R1270" s="378"/>
      <c r="S1270" s="378"/>
      <c r="T1270" s="378"/>
      <c r="U1270" s="378"/>
      <c r="V1270" s="378"/>
      <c r="W1270" s="378"/>
      <c r="X1270" s="378"/>
      <c r="Y1270" s="378"/>
      <c r="Z1270" s="378"/>
      <c r="AA1270" s="378"/>
      <c r="AB1270" s="378"/>
      <c r="AC1270" s="378"/>
      <c r="AD1270" s="378"/>
      <c r="AE1270" s="378"/>
      <c r="AF1270" s="378"/>
      <c r="AG1270" s="378"/>
    </row>
    <row r="1271">
      <c r="A1271" s="378"/>
      <c r="B1271" s="477"/>
      <c r="C1271" s="378"/>
      <c r="D1271" s="378"/>
      <c r="E1271" s="378"/>
      <c r="F1271" s="378"/>
      <c r="G1271" s="378"/>
      <c r="H1271" s="378"/>
      <c r="I1271" s="376"/>
      <c r="J1271" s="377"/>
      <c r="K1271" s="378"/>
      <c r="L1271" s="378"/>
      <c r="M1271" s="378"/>
      <c r="N1271" s="379"/>
      <c r="O1271" s="380"/>
      <c r="P1271" s="378"/>
      <c r="Q1271" s="378"/>
      <c r="R1271" s="378"/>
      <c r="S1271" s="378"/>
      <c r="T1271" s="378"/>
      <c r="U1271" s="378"/>
      <c r="V1271" s="378"/>
      <c r="W1271" s="378"/>
      <c r="X1271" s="378"/>
      <c r="Y1271" s="378"/>
      <c r="Z1271" s="378"/>
      <c r="AA1271" s="378"/>
      <c r="AB1271" s="378"/>
      <c r="AC1271" s="378"/>
      <c r="AD1271" s="378"/>
      <c r="AE1271" s="378"/>
      <c r="AF1271" s="378"/>
      <c r="AG1271" s="378"/>
    </row>
    <row r="1272">
      <c r="A1272" s="378"/>
      <c r="B1272" s="477"/>
      <c r="C1272" s="378"/>
      <c r="D1272" s="378"/>
      <c r="E1272" s="378"/>
      <c r="F1272" s="378"/>
      <c r="G1272" s="378"/>
      <c r="H1272" s="378"/>
      <c r="I1272" s="376"/>
      <c r="J1272" s="377"/>
      <c r="K1272" s="378"/>
      <c r="L1272" s="378"/>
      <c r="M1272" s="378"/>
      <c r="N1272" s="379"/>
      <c r="O1272" s="380"/>
      <c r="P1272" s="378"/>
      <c r="Q1272" s="378"/>
      <c r="R1272" s="378"/>
      <c r="S1272" s="378"/>
      <c r="T1272" s="378"/>
      <c r="U1272" s="378"/>
      <c r="V1272" s="378"/>
      <c r="W1272" s="378"/>
      <c r="X1272" s="378"/>
      <c r="Y1272" s="378"/>
      <c r="Z1272" s="378"/>
      <c r="AA1272" s="378"/>
      <c r="AB1272" s="378"/>
      <c r="AC1272" s="378"/>
      <c r="AD1272" s="378"/>
      <c r="AE1272" s="378"/>
      <c r="AF1272" s="378"/>
      <c r="AG1272" s="378"/>
    </row>
    <row r="1273">
      <c r="A1273" s="378"/>
      <c r="B1273" s="477"/>
      <c r="C1273" s="378"/>
      <c r="D1273" s="378"/>
      <c r="E1273" s="378"/>
      <c r="F1273" s="378"/>
      <c r="G1273" s="378"/>
      <c r="H1273" s="378"/>
      <c r="I1273" s="376"/>
      <c r="J1273" s="377"/>
      <c r="K1273" s="378"/>
      <c r="L1273" s="378"/>
      <c r="M1273" s="378"/>
      <c r="N1273" s="379"/>
      <c r="O1273" s="380"/>
      <c r="P1273" s="378"/>
      <c r="Q1273" s="378"/>
      <c r="R1273" s="378"/>
      <c r="S1273" s="378"/>
      <c r="T1273" s="378"/>
      <c r="U1273" s="378"/>
      <c r="V1273" s="378"/>
      <c r="W1273" s="378"/>
      <c r="X1273" s="378"/>
      <c r="Y1273" s="378"/>
      <c r="Z1273" s="378"/>
      <c r="AA1273" s="378"/>
      <c r="AB1273" s="378"/>
      <c r="AC1273" s="378"/>
      <c r="AD1273" s="378"/>
      <c r="AE1273" s="378"/>
      <c r="AF1273" s="378"/>
      <c r="AG1273" s="378"/>
    </row>
    <row r="1274">
      <c r="A1274" s="378"/>
      <c r="B1274" s="477"/>
      <c r="C1274" s="378"/>
      <c r="D1274" s="378"/>
      <c r="E1274" s="378"/>
      <c r="F1274" s="378"/>
      <c r="G1274" s="378"/>
      <c r="H1274" s="378"/>
      <c r="I1274" s="376"/>
      <c r="J1274" s="377"/>
      <c r="K1274" s="378"/>
      <c r="L1274" s="378"/>
      <c r="M1274" s="378"/>
      <c r="N1274" s="379"/>
      <c r="O1274" s="380"/>
      <c r="P1274" s="378"/>
      <c r="Q1274" s="378"/>
      <c r="R1274" s="378"/>
      <c r="S1274" s="378"/>
      <c r="T1274" s="378"/>
      <c r="U1274" s="378"/>
      <c r="V1274" s="378"/>
      <c r="W1274" s="378"/>
      <c r="X1274" s="378"/>
      <c r="Y1274" s="378"/>
      <c r="Z1274" s="378"/>
      <c r="AA1274" s="378"/>
      <c r="AB1274" s="378"/>
      <c r="AC1274" s="378"/>
      <c r="AD1274" s="378"/>
      <c r="AE1274" s="378"/>
      <c r="AF1274" s="378"/>
      <c r="AG1274" s="378"/>
    </row>
    <row r="1275">
      <c r="A1275" s="378"/>
      <c r="B1275" s="477"/>
      <c r="C1275" s="378"/>
      <c r="D1275" s="378"/>
      <c r="E1275" s="378"/>
      <c r="F1275" s="378"/>
      <c r="G1275" s="378"/>
      <c r="H1275" s="378"/>
      <c r="I1275" s="376"/>
      <c r="J1275" s="377"/>
      <c r="K1275" s="378"/>
      <c r="L1275" s="378"/>
      <c r="M1275" s="378"/>
      <c r="N1275" s="379"/>
      <c r="O1275" s="380"/>
      <c r="P1275" s="378"/>
      <c r="Q1275" s="378"/>
      <c r="R1275" s="378"/>
      <c r="S1275" s="378"/>
      <c r="T1275" s="378"/>
      <c r="U1275" s="378"/>
      <c r="V1275" s="378"/>
      <c r="W1275" s="378"/>
      <c r="X1275" s="378"/>
      <c r="Y1275" s="378"/>
      <c r="Z1275" s="378"/>
      <c r="AA1275" s="378"/>
      <c r="AB1275" s="378"/>
      <c r="AC1275" s="378"/>
      <c r="AD1275" s="378"/>
      <c r="AE1275" s="378"/>
      <c r="AF1275" s="378"/>
      <c r="AG1275" s="378"/>
    </row>
    <row r="1276">
      <c r="A1276" s="378"/>
      <c r="B1276" s="477"/>
      <c r="C1276" s="378"/>
      <c r="D1276" s="378"/>
      <c r="E1276" s="378"/>
      <c r="F1276" s="378"/>
      <c r="G1276" s="378"/>
      <c r="H1276" s="378"/>
      <c r="I1276" s="376"/>
      <c r="J1276" s="377"/>
      <c r="K1276" s="378"/>
      <c r="L1276" s="378"/>
      <c r="M1276" s="378"/>
      <c r="N1276" s="379"/>
      <c r="O1276" s="380"/>
      <c r="P1276" s="378"/>
      <c r="Q1276" s="378"/>
      <c r="R1276" s="378"/>
      <c r="S1276" s="378"/>
      <c r="T1276" s="378"/>
      <c r="U1276" s="378"/>
      <c r="V1276" s="378"/>
      <c r="W1276" s="378"/>
      <c r="X1276" s="378"/>
      <c r="Y1276" s="378"/>
      <c r="Z1276" s="378"/>
      <c r="AA1276" s="378"/>
      <c r="AB1276" s="378"/>
      <c r="AC1276" s="378"/>
      <c r="AD1276" s="378"/>
      <c r="AE1276" s="378"/>
      <c r="AF1276" s="378"/>
      <c r="AG1276" s="378"/>
    </row>
    <row r="1277">
      <c r="A1277" s="378"/>
      <c r="B1277" s="477"/>
      <c r="C1277" s="378"/>
      <c r="D1277" s="378"/>
      <c r="E1277" s="378"/>
      <c r="F1277" s="378"/>
      <c r="G1277" s="378"/>
      <c r="H1277" s="378"/>
      <c r="I1277" s="376"/>
      <c r="J1277" s="377"/>
      <c r="K1277" s="378"/>
      <c r="L1277" s="378"/>
      <c r="M1277" s="378"/>
      <c r="N1277" s="379"/>
      <c r="O1277" s="380"/>
      <c r="P1277" s="378"/>
      <c r="Q1277" s="378"/>
      <c r="R1277" s="378"/>
      <c r="S1277" s="378"/>
      <c r="T1277" s="378"/>
      <c r="U1277" s="378"/>
      <c r="V1277" s="378"/>
      <c r="W1277" s="378"/>
      <c r="X1277" s="378"/>
      <c r="Y1277" s="378"/>
      <c r="Z1277" s="378"/>
      <c r="AA1277" s="378"/>
      <c r="AB1277" s="378"/>
      <c r="AC1277" s="378"/>
      <c r="AD1277" s="378"/>
      <c r="AE1277" s="378"/>
      <c r="AF1277" s="378"/>
      <c r="AG1277" s="378"/>
    </row>
    <row r="1278">
      <c r="A1278" s="378"/>
      <c r="B1278" s="477"/>
      <c r="C1278" s="378"/>
      <c r="D1278" s="378"/>
      <c r="E1278" s="378"/>
      <c r="F1278" s="378"/>
      <c r="G1278" s="378"/>
      <c r="H1278" s="378"/>
      <c r="I1278" s="376"/>
      <c r="J1278" s="377"/>
      <c r="K1278" s="378"/>
      <c r="L1278" s="378"/>
      <c r="M1278" s="378"/>
      <c r="N1278" s="379"/>
      <c r="O1278" s="380"/>
      <c r="P1278" s="378"/>
      <c r="Q1278" s="378"/>
      <c r="R1278" s="378"/>
      <c r="S1278" s="378"/>
      <c r="T1278" s="378"/>
      <c r="U1278" s="378"/>
      <c r="V1278" s="378"/>
      <c r="W1278" s="378"/>
      <c r="X1278" s="378"/>
      <c r="Y1278" s="378"/>
      <c r="Z1278" s="378"/>
      <c r="AA1278" s="378"/>
      <c r="AB1278" s="378"/>
      <c r="AC1278" s="378"/>
      <c r="AD1278" s="378"/>
      <c r="AE1278" s="378"/>
      <c r="AF1278" s="378"/>
      <c r="AG1278" s="378"/>
    </row>
    <row r="1279">
      <c r="A1279" s="378"/>
      <c r="B1279" s="477"/>
      <c r="C1279" s="378"/>
      <c r="D1279" s="378"/>
      <c r="E1279" s="378"/>
      <c r="F1279" s="378"/>
      <c r="G1279" s="378"/>
      <c r="H1279" s="378"/>
      <c r="I1279" s="376"/>
      <c r="J1279" s="377"/>
      <c r="K1279" s="378"/>
      <c r="L1279" s="378"/>
      <c r="M1279" s="378"/>
      <c r="N1279" s="379"/>
      <c r="O1279" s="380"/>
      <c r="P1279" s="378"/>
      <c r="Q1279" s="378"/>
      <c r="R1279" s="378"/>
      <c r="S1279" s="378"/>
      <c r="T1279" s="378"/>
      <c r="U1279" s="378"/>
      <c r="V1279" s="378"/>
      <c r="W1279" s="378"/>
      <c r="X1279" s="378"/>
      <c r="Y1279" s="378"/>
      <c r="Z1279" s="378"/>
      <c r="AA1279" s="378"/>
      <c r="AB1279" s="378"/>
      <c r="AC1279" s="378"/>
      <c r="AD1279" s="378"/>
      <c r="AE1279" s="378"/>
      <c r="AF1279" s="378"/>
      <c r="AG1279" s="378"/>
    </row>
    <row r="1280">
      <c r="A1280" s="378"/>
      <c r="B1280" s="477"/>
      <c r="C1280" s="378"/>
      <c r="D1280" s="378"/>
      <c r="E1280" s="378"/>
      <c r="F1280" s="378"/>
      <c r="G1280" s="378"/>
      <c r="H1280" s="378"/>
      <c r="I1280" s="376"/>
      <c r="J1280" s="377"/>
      <c r="K1280" s="378"/>
      <c r="L1280" s="378"/>
      <c r="M1280" s="378"/>
      <c r="N1280" s="379"/>
      <c r="O1280" s="380"/>
      <c r="P1280" s="378"/>
      <c r="Q1280" s="378"/>
      <c r="R1280" s="378"/>
      <c r="S1280" s="378"/>
      <c r="T1280" s="378"/>
      <c r="U1280" s="378"/>
      <c r="V1280" s="378"/>
      <c r="W1280" s="378"/>
      <c r="X1280" s="378"/>
      <c r="Y1280" s="378"/>
      <c r="Z1280" s="378"/>
      <c r="AA1280" s="378"/>
      <c r="AB1280" s="378"/>
      <c r="AC1280" s="378"/>
      <c r="AD1280" s="378"/>
      <c r="AE1280" s="378"/>
      <c r="AF1280" s="378"/>
      <c r="AG1280" s="378"/>
    </row>
    <row r="1281">
      <c r="A1281" s="378"/>
      <c r="B1281" s="477"/>
      <c r="C1281" s="378"/>
      <c r="D1281" s="378"/>
      <c r="E1281" s="378"/>
      <c r="F1281" s="378"/>
      <c r="G1281" s="378"/>
      <c r="H1281" s="378"/>
      <c r="I1281" s="376"/>
      <c r="J1281" s="377"/>
      <c r="K1281" s="378"/>
      <c r="L1281" s="378"/>
      <c r="M1281" s="378"/>
      <c r="N1281" s="379"/>
      <c r="O1281" s="380"/>
      <c r="P1281" s="378"/>
      <c r="Q1281" s="378"/>
      <c r="R1281" s="378"/>
      <c r="S1281" s="378"/>
      <c r="T1281" s="378"/>
      <c r="U1281" s="378"/>
      <c r="V1281" s="378"/>
      <c r="W1281" s="378"/>
      <c r="X1281" s="378"/>
      <c r="Y1281" s="378"/>
      <c r="Z1281" s="378"/>
      <c r="AA1281" s="378"/>
      <c r="AB1281" s="378"/>
      <c r="AC1281" s="378"/>
      <c r="AD1281" s="378"/>
      <c r="AE1281" s="378"/>
      <c r="AF1281" s="378"/>
      <c r="AG1281" s="378"/>
    </row>
    <row r="1282">
      <c r="A1282" s="378"/>
      <c r="B1282" s="477"/>
      <c r="C1282" s="378"/>
      <c r="D1282" s="378"/>
      <c r="E1282" s="378"/>
      <c r="F1282" s="378"/>
      <c r="G1282" s="378"/>
      <c r="H1282" s="378"/>
      <c r="I1282" s="376"/>
      <c r="J1282" s="377"/>
      <c r="K1282" s="378"/>
      <c r="L1282" s="378"/>
      <c r="M1282" s="378"/>
      <c r="N1282" s="379"/>
      <c r="O1282" s="380"/>
      <c r="P1282" s="378"/>
      <c r="Q1282" s="378"/>
      <c r="R1282" s="378"/>
      <c r="S1282" s="378"/>
      <c r="T1282" s="378"/>
      <c r="U1282" s="378"/>
      <c r="V1282" s="378"/>
      <c r="W1282" s="378"/>
      <c r="X1282" s="378"/>
      <c r="Y1282" s="378"/>
      <c r="Z1282" s="378"/>
      <c r="AA1282" s="378"/>
      <c r="AB1282" s="378"/>
      <c r="AC1282" s="378"/>
      <c r="AD1282" s="378"/>
      <c r="AE1282" s="378"/>
      <c r="AF1282" s="378"/>
      <c r="AG1282" s="378"/>
    </row>
    <row r="1283">
      <c r="A1283" s="378"/>
      <c r="B1283" s="477"/>
      <c r="C1283" s="378"/>
      <c r="D1283" s="378"/>
      <c r="E1283" s="378"/>
      <c r="F1283" s="378"/>
      <c r="G1283" s="378"/>
      <c r="H1283" s="378"/>
      <c r="I1283" s="376"/>
      <c r="J1283" s="377"/>
      <c r="K1283" s="378"/>
      <c r="L1283" s="378"/>
      <c r="M1283" s="378"/>
      <c r="N1283" s="379"/>
      <c r="O1283" s="380"/>
      <c r="P1283" s="378"/>
      <c r="Q1283" s="378"/>
      <c r="R1283" s="378"/>
      <c r="S1283" s="378"/>
      <c r="T1283" s="378"/>
      <c r="U1283" s="378"/>
      <c r="V1283" s="378"/>
      <c r="W1283" s="378"/>
      <c r="X1283" s="378"/>
      <c r="Y1283" s="378"/>
      <c r="Z1283" s="378"/>
      <c r="AA1283" s="378"/>
      <c r="AB1283" s="378"/>
      <c r="AC1283" s="378"/>
      <c r="AD1283" s="378"/>
      <c r="AE1283" s="378"/>
      <c r="AF1283" s="378"/>
      <c r="AG1283" s="378"/>
    </row>
    <row r="1284">
      <c r="A1284" s="378"/>
      <c r="B1284" s="477"/>
      <c r="C1284" s="378"/>
      <c r="D1284" s="378"/>
      <c r="E1284" s="378"/>
      <c r="F1284" s="378"/>
      <c r="G1284" s="378"/>
      <c r="H1284" s="378"/>
      <c r="I1284" s="376"/>
      <c r="J1284" s="377"/>
      <c r="K1284" s="378"/>
      <c r="L1284" s="378"/>
      <c r="M1284" s="378"/>
      <c r="N1284" s="379"/>
      <c r="O1284" s="380"/>
      <c r="P1284" s="378"/>
      <c r="Q1284" s="378"/>
      <c r="R1284" s="378"/>
      <c r="S1284" s="378"/>
      <c r="T1284" s="378"/>
      <c r="U1284" s="378"/>
      <c r="V1284" s="378"/>
      <c r="W1284" s="378"/>
      <c r="X1284" s="378"/>
      <c r="Y1284" s="378"/>
      <c r="Z1284" s="378"/>
      <c r="AA1284" s="378"/>
      <c r="AB1284" s="378"/>
      <c r="AC1284" s="378"/>
      <c r="AD1284" s="378"/>
      <c r="AE1284" s="378"/>
      <c r="AF1284" s="378"/>
      <c r="AG1284" s="378"/>
    </row>
    <row r="1285">
      <c r="A1285" s="378"/>
      <c r="B1285" s="477"/>
      <c r="C1285" s="378"/>
      <c r="D1285" s="378"/>
      <c r="E1285" s="378"/>
      <c r="F1285" s="378"/>
      <c r="G1285" s="378"/>
      <c r="H1285" s="378"/>
      <c r="I1285" s="376"/>
      <c r="J1285" s="377"/>
      <c r="K1285" s="378"/>
      <c r="L1285" s="378"/>
      <c r="M1285" s="378"/>
      <c r="N1285" s="379"/>
      <c r="O1285" s="380"/>
      <c r="P1285" s="378"/>
      <c r="Q1285" s="378"/>
      <c r="R1285" s="378"/>
      <c r="S1285" s="378"/>
      <c r="T1285" s="378"/>
      <c r="U1285" s="378"/>
      <c r="V1285" s="378"/>
      <c r="W1285" s="378"/>
      <c r="X1285" s="378"/>
      <c r="Y1285" s="378"/>
      <c r="Z1285" s="378"/>
      <c r="AA1285" s="378"/>
      <c r="AB1285" s="378"/>
      <c r="AC1285" s="378"/>
      <c r="AD1285" s="378"/>
      <c r="AE1285" s="378"/>
      <c r="AF1285" s="378"/>
      <c r="AG1285" s="378"/>
    </row>
    <row r="1286">
      <c r="A1286" s="378"/>
      <c r="B1286" s="477"/>
      <c r="C1286" s="378"/>
      <c r="D1286" s="378"/>
      <c r="E1286" s="378"/>
      <c r="F1286" s="378"/>
      <c r="G1286" s="378"/>
      <c r="H1286" s="378"/>
      <c r="I1286" s="376"/>
      <c r="J1286" s="377"/>
      <c r="K1286" s="378"/>
      <c r="L1286" s="378"/>
      <c r="M1286" s="378"/>
      <c r="N1286" s="379"/>
      <c r="O1286" s="380"/>
      <c r="P1286" s="378"/>
      <c r="Q1286" s="378"/>
      <c r="R1286" s="378"/>
      <c r="S1286" s="378"/>
      <c r="T1286" s="378"/>
      <c r="U1286" s="378"/>
      <c r="V1286" s="378"/>
      <c r="W1286" s="378"/>
      <c r="X1286" s="378"/>
      <c r="Y1286" s="378"/>
      <c r="Z1286" s="378"/>
      <c r="AA1286" s="378"/>
      <c r="AB1286" s="378"/>
      <c r="AC1286" s="378"/>
      <c r="AD1286" s="378"/>
      <c r="AE1286" s="378"/>
      <c r="AF1286" s="378"/>
      <c r="AG1286" s="378"/>
    </row>
    <row r="1287">
      <c r="A1287" s="378"/>
      <c r="B1287" s="477"/>
      <c r="C1287" s="378"/>
      <c r="D1287" s="378"/>
      <c r="E1287" s="378"/>
      <c r="F1287" s="378"/>
      <c r="G1287" s="378"/>
      <c r="H1287" s="378"/>
      <c r="I1287" s="376"/>
      <c r="J1287" s="377"/>
      <c r="K1287" s="378"/>
      <c r="L1287" s="378"/>
      <c r="M1287" s="378"/>
      <c r="N1287" s="379"/>
      <c r="O1287" s="380"/>
      <c r="P1287" s="378"/>
      <c r="Q1287" s="378"/>
      <c r="R1287" s="378"/>
      <c r="S1287" s="378"/>
      <c r="T1287" s="378"/>
      <c r="U1287" s="378"/>
      <c r="V1287" s="378"/>
      <c r="W1287" s="378"/>
      <c r="X1287" s="378"/>
      <c r="Y1287" s="378"/>
      <c r="Z1287" s="378"/>
      <c r="AA1287" s="378"/>
      <c r="AB1287" s="378"/>
      <c r="AC1287" s="378"/>
      <c r="AD1287" s="378"/>
      <c r="AE1287" s="378"/>
      <c r="AF1287" s="378"/>
      <c r="AG1287" s="378"/>
    </row>
    <row r="1288">
      <c r="A1288" s="378"/>
      <c r="B1288" s="477"/>
      <c r="C1288" s="378"/>
      <c r="D1288" s="378"/>
      <c r="E1288" s="378"/>
      <c r="F1288" s="378"/>
      <c r="G1288" s="378"/>
      <c r="H1288" s="378"/>
      <c r="I1288" s="376"/>
      <c r="J1288" s="377"/>
      <c r="K1288" s="378"/>
      <c r="L1288" s="378"/>
      <c r="M1288" s="378"/>
      <c r="N1288" s="379"/>
      <c r="O1288" s="380"/>
      <c r="P1288" s="378"/>
      <c r="Q1288" s="378"/>
      <c r="R1288" s="378"/>
      <c r="S1288" s="378"/>
      <c r="T1288" s="378"/>
      <c r="U1288" s="378"/>
      <c r="V1288" s="378"/>
      <c r="W1288" s="378"/>
      <c r="X1288" s="378"/>
      <c r="Y1288" s="378"/>
      <c r="Z1288" s="378"/>
      <c r="AA1288" s="378"/>
      <c r="AB1288" s="378"/>
      <c r="AC1288" s="378"/>
      <c r="AD1288" s="378"/>
      <c r="AE1288" s="378"/>
      <c r="AF1288" s="378"/>
      <c r="AG1288" s="378"/>
    </row>
    <row r="1289">
      <c r="A1289" s="378"/>
      <c r="B1289" s="477"/>
      <c r="C1289" s="378"/>
      <c r="D1289" s="378"/>
      <c r="E1289" s="378"/>
      <c r="F1289" s="378"/>
      <c r="G1289" s="378"/>
      <c r="H1289" s="378"/>
      <c r="I1289" s="376"/>
      <c r="J1289" s="377"/>
      <c r="K1289" s="378"/>
      <c r="L1289" s="378"/>
      <c r="M1289" s="378"/>
      <c r="N1289" s="379"/>
      <c r="O1289" s="380"/>
      <c r="P1289" s="378"/>
      <c r="Q1289" s="378"/>
      <c r="R1289" s="378"/>
      <c r="S1289" s="378"/>
      <c r="T1289" s="378"/>
      <c r="U1289" s="378"/>
      <c r="V1289" s="378"/>
      <c r="W1289" s="378"/>
      <c r="X1289" s="378"/>
      <c r="Y1289" s="378"/>
      <c r="Z1289" s="378"/>
      <c r="AA1289" s="378"/>
      <c r="AB1289" s="378"/>
      <c r="AC1289" s="378"/>
      <c r="AD1289" s="378"/>
      <c r="AE1289" s="378"/>
      <c r="AF1289" s="378"/>
      <c r="AG1289" s="378"/>
    </row>
    <row r="1290">
      <c r="A1290" s="378"/>
      <c r="B1290" s="477"/>
      <c r="C1290" s="378"/>
      <c r="D1290" s="378"/>
      <c r="E1290" s="378"/>
      <c r="F1290" s="378"/>
      <c r="G1290" s="378"/>
      <c r="H1290" s="378"/>
      <c r="I1290" s="376"/>
      <c r="J1290" s="377"/>
      <c r="K1290" s="378"/>
      <c r="L1290" s="378"/>
      <c r="M1290" s="378"/>
      <c r="N1290" s="379"/>
      <c r="O1290" s="380"/>
      <c r="P1290" s="378"/>
      <c r="Q1290" s="378"/>
      <c r="R1290" s="378"/>
      <c r="S1290" s="378"/>
      <c r="T1290" s="378"/>
      <c r="U1290" s="378"/>
      <c r="V1290" s="378"/>
      <c r="W1290" s="378"/>
      <c r="X1290" s="378"/>
      <c r="Y1290" s="378"/>
      <c r="Z1290" s="378"/>
      <c r="AA1290" s="378"/>
      <c r="AB1290" s="378"/>
      <c r="AC1290" s="378"/>
      <c r="AD1290" s="378"/>
      <c r="AE1290" s="378"/>
      <c r="AF1290" s="378"/>
      <c r="AG1290" s="378"/>
    </row>
    <row r="1291">
      <c r="A1291" s="378"/>
      <c r="B1291" s="477"/>
      <c r="C1291" s="378"/>
      <c r="D1291" s="378"/>
      <c r="E1291" s="378"/>
      <c r="F1291" s="378"/>
      <c r="G1291" s="378"/>
      <c r="H1291" s="378"/>
      <c r="I1291" s="376"/>
      <c r="J1291" s="377"/>
      <c r="K1291" s="378"/>
      <c r="L1291" s="378"/>
      <c r="M1291" s="378"/>
      <c r="N1291" s="379"/>
      <c r="O1291" s="380"/>
      <c r="P1291" s="378"/>
      <c r="Q1291" s="378"/>
      <c r="R1291" s="378"/>
      <c r="S1291" s="378"/>
      <c r="T1291" s="378"/>
      <c r="U1291" s="378"/>
      <c r="V1291" s="378"/>
      <c r="W1291" s="378"/>
      <c r="X1291" s="378"/>
      <c r="Y1291" s="378"/>
      <c r="Z1291" s="378"/>
      <c r="AA1291" s="378"/>
      <c r="AB1291" s="378"/>
      <c r="AC1291" s="378"/>
      <c r="AD1291" s="378"/>
      <c r="AE1291" s="378"/>
      <c r="AF1291" s="378"/>
      <c r="AG1291" s="378"/>
    </row>
    <row r="1292">
      <c r="A1292" s="378"/>
      <c r="B1292" s="477"/>
      <c r="C1292" s="378"/>
      <c r="D1292" s="378"/>
      <c r="E1292" s="378"/>
      <c r="F1292" s="378"/>
      <c r="G1292" s="378"/>
      <c r="H1292" s="378"/>
      <c r="I1292" s="376"/>
      <c r="J1292" s="377"/>
      <c r="K1292" s="378"/>
      <c r="L1292" s="378"/>
      <c r="M1292" s="378"/>
      <c r="N1292" s="379"/>
      <c r="O1292" s="380"/>
      <c r="P1292" s="378"/>
      <c r="Q1292" s="378"/>
      <c r="R1292" s="378"/>
      <c r="S1292" s="378"/>
      <c r="T1292" s="378"/>
      <c r="U1292" s="378"/>
      <c r="V1292" s="378"/>
      <c r="W1292" s="378"/>
      <c r="X1292" s="378"/>
      <c r="Y1292" s="378"/>
      <c r="Z1292" s="378"/>
      <c r="AA1292" s="378"/>
      <c r="AB1292" s="378"/>
      <c r="AC1292" s="378"/>
      <c r="AD1292" s="378"/>
      <c r="AE1292" s="378"/>
      <c r="AF1292" s="378"/>
      <c r="AG1292" s="378"/>
    </row>
    <row r="1293">
      <c r="A1293" s="378"/>
      <c r="B1293" s="477"/>
      <c r="C1293" s="378"/>
      <c r="D1293" s="378"/>
      <c r="E1293" s="378"/>
      <c r="F1293" s="378"/>
      <c r="G1293" s="378"/>
      <c r="H1293" s="378"/>
      <c r="I1293" s="376"/>
      <c r="J1293" s="377"/>
      <c r="K1293" s="378"/>
      <c r="L1293" s="378"/>
      <c r="M1293" s="378"/>
      <c r="N1293" s="379"/>
      <c r="O1293" s="380"/>
      <c r="P1293" s="378"/>
      <c r="Q1293" s="378"/>
      <c r="R1293" s="378"/>
      <c r="S1293" s="378"/>
      <c r="T1293" s="378"/>
      <c r="U1293" s="378"/>
      <c r="V1293" s="378"/>
      <c r="W1293" s="378"/>
      <c r="X1293" s="378"/>
      <c r="Y1293" s="378"/>
      <c r="Z1293" s="378"/>
      <c r="AA1293" s="378"/>
      <c r="AB1293" s="378"/>
      <c r="AC1293" s="378"/>
      <c r="AD1293" s="378"/>
      <c r="AE1293" s="378"/>
      <c r="AF1293" s="378"/>
      <c r="AG1293" s="378"/>
    </row>
    <row r="1294">
      <c r="A1294" s="378"/>
      <c r="B1294" s="477"/>
      <c r="C1294" s="378"/>
      <c r="D1294" s="378"/>
      <c r="E1294" s="378"/>
      <c r="F1294" s="378"/>
      <c r="G1294" s="378"/>
      <c r="H1294" s="378"/>
      <c r="I1294" s="376"/>
      <c r="J1294" s="377"/>
      <c r="K1294" s="378"/>
      <c r="L1294" s="378"/>
      <c r="M1294" s="378"/>
      <c r="N1294" s="379"/>
      <c r="O1294" s="380"/>
      <c r="P1294" s="378"/>
      <c r="Q1294" s="378"/>
      <c r="R1294" s="378"/>
      <c r="S1294" s="378"/>
      <c r="T1294" s="378"/>
      <c r="U1294" s="378"/>
      <c r="V1294" s="378"/>
      <c r="W1294" s="378"/>
      <c r="X1294" s="378"/>
      <c r="Y1294" s="378"/>
      <c r="Z1294" s="378"/>
      <c r="AA1294" s="378"/>
      <c r="AB1294" s="378"/>
      <c r="AC1294" s="378"/>
      <c r="AD1294" s="378"/>
      <c r="AE1294" s="378"/>
      <c r="AF1294" s="378"/>
      <c r="AG1294" s="378"/>
    </row>
    <row r="1295">
      <c r="A1295" s="378"/>
      <c r="B1295" s="477"/>
      <c r="C1295" s="378"/>
      <c r="D1295" s="378"/>
      <c r="E1295" s="378"/>
      <c r="F1295" s="378"/>
      <c r="G1295" s="378"/>
      <c r="H1295" s="378"/>
      <c r="I1295" s="376"/>
      <c r="J1295" s="377"/>
      <c r="K1295" s="378"/>
      <c r="L1295" s="378"/>
      <c r="M1295" s="378"/>
      <c r="N1295" s="379"/>
      <c r="O1295" s="380"/>
      <c r="P1295" s="378"/>
      <c r="Q1295" s="378"/>
      <c r="R1295" s="378"/>
      <c r="S1295" s="378"/>
      <c r="T1295" s="378"/>
      <c r="U1295" s="378"/>
      <c r="V1295" s="378"/>
      <c r="W1295" s="378"/>
      <c r="X1295" s="378"/>
      <c r="Y1295" s="378"/>
      <c r="Z1295" s="378"/>
      <c r="AA1295" s="378"/>
      <c r="AB1295" s="378"/>
      <c r="AC1295" s="378"/>
      <c r="AD1295" s="378"/>
      <c r="AE1295" s="378"/>
      <c r="AF1295" s="378"/>
      <c r="AG1295" s="378"/>
    </row>
    <row r="1296">
      <c r="A1296" s="378"/>
      <c r="B1296" s="477"/>
      <c r="C1296" s="378"/>
      <c r="D1296" s="378"/>
      <c r="E1296" s="378"/>
      <c r="F1296" s="378"/>
      <c r="G1296" s="378"/>
      <c r="H1296" s="378"/>
      <c r="I1296" s="376"/>
      <c r="J1296" s="377"/>
      <c r="K1296" s="378"/>
      <c r="L1296" s="378"/>
      <c r="M1296" s="378"/>
      <c r="N1296" s="379"/>
      <c r="O1296" s="380"/>
      <c r="P1296" s="378"/>
      <c r="Q1296" s="378"/>
      <c r="R1296" s="378"/>
      <c r="S1296" s="378"/>
      <c r="T1296" s="378"/>
      <c r="U1296" s="378"/>
      <c r="V1296" s="378"/>
      <c r="W1296" s="378"/>
      <c r="X1296" s="378"/>
      <c r="Y1296" s="378"/>
      <c r="Z1296" s="378"/>
      <c r="AA1296" s="378"/>
      <c r="AB1296" s="378"/>
      <c r="AC1296" s="378"/>
      <c r="AD1296" s="378"/>
      <c r="AE1296" s="378"/>
      <c r="AF1296" s="378"/>
      <c r="AG1296" s="378"/>
    </row>
    <row r="1297">
      <c r="A1297" s="378"/>
      <c r="B1297" s="477"/>
      <c r="C1297" s="378"/>
      <c r="D1297" s="378"/>
      <c r="E1297" s="378"/>
      <c r="F1297" s="378"/>
      <c r="G1297" s="378"/>
      <c r="H1297" s="378"/>
      <c r="I1297" s="376"/>
      <c r="J1297" s="377"/>
      <c r="K1297" s="378"/>
      <c r="L1297" s="378"/>
      <c r="M1297" s="378"/>
      <c r="N1297" s="379"/>
      <c r="O1297" s="380"/>
      <c r="P1297" s="378"/>
      <c r="Q1297" s="378"/>
      <c r="R1297" s="378"/>
      <c r="S1297" s="378"/>
      <c r="T1297" s="378"/>
      <c r="U1297" s="378"/>
      <c r="V1297" s="378"/>
      <c r="W1297" s="378"/>
      <c r="X1297" s="378"/>
      <c r="Y1297" s="378"/>
      <c r="Z1297" s="378"/>
      <c r="AA1297" s="378"/>
      <c r="AB1297" s="378"/>
      <c r="AC1297" s="378"/>
      <c r="AD1297" s="378"/>
      <c r="AE1297" s="378"/>
      <c r="AF1297" s="378"/>
      <c r="AG1297" s="378"/>
    </row>
    <row r="1298">
      <c r="A1298" s="378"/>
      <c r="B1298" s="477"/>
      <c r="C1298" s="378"/>
      <c r="D1298" s="378"/>
      <c r="E1298" s="378"/>
      <c r="F1298" s="378"/>
      <c r="G1298" s="378"/>
      <c r="H1298" s="378"/>
      <c r="I1298" s="376"/>
      <c r="J1298" s="377"/>
      <c r="K1298" s="378"/>
      <c r="L1298" s="378"/>
      <c r="M1298" s="378"/>
      <c r="N1298" s="379"/>
      <c r="O1298" s="380"/>
      <c r="P1298" s="378"/>
      <c r="Q1298" s="378"/>
      <c r="R1298" s="378"/>
      <c r="S1298" s="378"/>
      <c r="T1298" s="378"/>
      <c r="U1298" s="378"/>
      <c r="V1298" s="378"/>
      <c r="W1298" s="378"/>
      <c r="X1298" s="378"/>
      <c r="Y1298" s="378"/>
      <c r="Z1298" s="378"/>
      <c r="AA1298" s="378"/>
      <c r="AB1298" s="378"/>
      <c r="AC1298" s="378"/>
      <c r="AD1298" s="378"/>
      <c r="AE1298" s="378"/>
      <c r="AF1298" s="378"/>
      <c r="AG1298" s="378"/>
    </row>
    <row r="1299">
      <c r="A1299" s="378"/>
      <c r="B1299" s="477"/>
      <c r="C1299" s="378"/>
      <c r="D1299" s="378"/>
      <c r="E1299" s="378"/>
      <c r="F1299" s="378"/>
      <c r="G1299" s="378"/>
      <c r="H1299" s="378"/>
      <c r="I1299" s="376"/>
      <c r="J1299" s="377"/>
      <c r="K1299" s="378"/>
      <c r="L1299" s="378"/>
      <c r="M1299" s="378"/>
      <c r="N1299" s="379"/>
      <c r="O1299" s="380"/>
      <c r="P1299" s="378"/>
      <c r="Q1299" s="378"/>
      <c r="R1299" s="378"/>
      <c r="S1299" s="378"/>
      <c r="T1299" s="378"/>
      <c r="U1299" s="378"/>
      <c r="V1299" s="378"/>
      <c r="W1299" s="378"/>
      <c r="X1299" s="378"/>
      <c r="Y1299" s="378"/>
      <c r="Z1299" s="378"/>
      <c r="AA1299" s="378"/>
      <c r="AB1299" s="378"/>
      <c r="AC1299" s="378"/>
      <c r="AD1299" s="378"/>
      <c r="AE1299" s="378"/>
      <c r="AF1299" s="378"/>
      <c r="AG1299" s="378"/>
    </row>
    <row r="1300">
      <c r="A1300" s="378"/>
      <c r="B1300" s="477"/>
      <c r="C1300" s="378"/>
      <c r="D1300" s="378"/>
      <c r="E1300" s="378"/>
      <c r="F1300" s="378"/>
      <c r="G1300" s="378"/>
      <c r="H1300" s="378"/>
      <c r="I1300" s="376"/>
      <c r="J1300" s="377"/>
      <c r="K1300" s="378"/>
      <c r="L1300" s="378"/>
      <c r="M1300" s="378"/>
      <c r="N1300" s="379"/>
      <c r="O1300" s="380"/>
      <c r="P1300" s="378"/>
      <c r="Q1300" s="378"/>
      <c r="R1300" s="378"/>
      <c r="S1300" s="378"/>
      <c r="T1300" s="378"/>
      <c r="U1300" s="378"/>
      <c r="V1300" s="378"/>
      <c r="W1300" s="378"/>
      <c r="X1300" s="378"/>
      <c r="Y1300" s="378"/>
      <c r="Z1300" s="378"/>
      <c r="AA1300" s="378"/>
      <c r="AB1300" s="378"/>
      <c r="AC1300" s="378"/>
      <c r="AD1300" s="378"/>
      <c r="AE1300" s="378"/>
      <c r="AF1300" s="378"/>
      <c r="AG1300" s="378"/>
    </row>
    <row r="1301">
      <c r="A1301" s="378"/>
      <c r="B1301" s="477"/>
      <c r="C1301" s="378"/>
      <c r="D1301" s="378"/>
      <c r="E1301" s="378"/>
      <c r="F1301" s="378"/>
      <c r="G1301" s="378"/>
      <c r="H1301" s="378"/>
      <c r="I1301" s="376"/>
      <c r="J1301" s="377"/>
      <c r="K1301" s="378"/>
      <c r="L1301" s="378"/>
      <c r="M1301" s="378"/>
      <c r="N1301" s="379"/>
      <c r="O1301" s="380"/>
      <c r="P1301" s="378"/>
      <c r="Q1301" s="378"/>
      <c r="R1301" s="378"/>
      <c r="S1301" s="378"/>
      <c r="T1301" s="378"/>
      <c r="U1301" s="378"/>
      <c r="V1301" s="378"/>
      <c r="W1301" s="378"/>
      <c r="X1301" s="378"/>
      <c r="Y1301" s="378"/>
      <c r="Z1301" s="378"/>
      <c r="AA1301" s="378"/>
      <c r="AB1301" s="378"/>
      <c r="AC1301" s="378"/>
      <c r="AD1301" s="378"/>
      <c r="AE1301" s="378"/>
      <c r="AF1301" s="378"/>
      <c r="AG1301" s="378"/>
    </row>
    <row r="1302">
      <c r="A1302" s="378"/>
      <c r="B1302" s="477"/>
      <c r="C1302" s="378"/>
      <c r="D1302" s="378"/>
      <c r="E1302" s="378"/>
      <c r="F1302" s="378"/>
      <c r="G1302" s="378"/>
      <c r="H1302" s="378"/>
      <c r="I1302" s="376"/>
      <c r="J1302" s="377"/>
      <c r="K1302" s="378"/>
      <c r="L1302" s="378"/>
      <c r="M1302" s="378"/>
      <c r="N1302" s="379"/>
      <c r="O1302" s="380"/>
      <c r="P1302" s="378"/>
      <c r="Q1302" s="378"/>
      <c r="R1302" s="378"/>
      <c r="S1302" s="378"/>
      <c r="T1302" s="378"/>
      <c r="U1302" s="378"/>
      <c r="V1302" s="378"/>
      <c r="W1302" s="378"/>
      <c r="X1302" s="378"/>
      <c r="Y1302" s="378"/>
      <c r="Z1302" s="378"/>
      <c r="AA1302" s="378"/>
      <c r="AB1302" s="378"/>
      <c r="AC1302" s="378"/>
      <c r="AD1302" s="378"/>
      <c r="AE1302" s="378"/>
      <c r="AF1302" s="378"/>
      <c r="AG1302" s="378"/>
    </row>
    <row r="1303">
      <c r="A1303" s="378"/>
      <c r="B1303" s="477"/>
      <c r="C1303" s="378"/>
      <c r="D1303" s="378"/>
      <c r="E1303" s="378"/>
      <c r="F1303" s="378"/>
      <c r="G1303" s="378"/>
      <c r="H1303" s="378"/>
      <c r="I1303" s="376"/>
      <c r="J1303" s="377"/>
      <c r="K1303" s="378"/>
      <c r="L1303" s="378"/>
      <c r="M1303" s="378"/>
      <c r="N1303" s="379"/>
      <c r="O1303" s="380"/>
      <c r="P1303" s="378"/>
      <c r="Q1303" s="378"/>
      <c r="R1303" s="378"/>
      <c r="S1303" s="378"/>
      <c r="T1303" s="378"/>
      <c r="U1303" s="378"/>
      <c r="V1303" s="378"/>
      <c r="W1303" s="378"/>
      <c r="X1303" s="378"/>
      <c r="Y1303" s="378"/>
      <c r="Z1303" s="378"/>
      <c r="AA1303" s="378"/>
      <c r="AB1303" s="378"/>
      <c r="AC1303" s="378"/>
      <c r="AD1303" s="378"/>
      <c r="AE1303" s="378"/>
      <c r="AF1303" s="378"/>
      <c r="AG1303" s="378"/>
    </row>
    <row r="1304">
      <c r="A1304" s="378"/>
      <c r="B1304" s="477"/>
      <c r="C1304" s="378"/>
      <c r="D1304" s="378"/>
      <c r="E1304" s="378"/>
      <c r="F1304" s="378"/>
      <c r="G1304" s="378"/>
      <c r="H1304" s="378"/>
      <c r="I1304" s="376"/>
      <c r="J1304" s="377"/>
      <c r="K1304" s="378"/>
      <c r="L1304" s="378"/>
      <c r="M1304" s="378"/>
      <c r="N1304" s="379"/>
      <c r="O1304" s="380"/>
      <c r="P1304" s="378"/>
      <c r="Q1304" s="378"/>
      <c r="R1304" s="378"/>
      <c r="S1304" s="378"/>
      <c r="T1304" s="378"/>
      <c r="U1304" s="378"/>
      <c r="V1304" s="378"/>
      <c r="W1304" s="378"/>
      <c r="X1304" s="378"/>
      <c r="Y1304" s="378"/>
      <c r="Z1304" s="378"/>
      <c r="AA1304" s="378"/>
      <c r="AB1304" s="378"/>
      <c r="AC1304" s="378"/>
      <c r="AD1304" s="378"/>
      <c r="AE1304" s="378"/>
      <c r="AF1304" s="378"/>
      <c r="AG1304" s="378"/>
    </row>
    <row r="1305">
      <c r="A1305" s="378"/>
      <c r="B1305" s="477"/>
      <c r="C1305" s="378"/>
      <c r="D1305" s="378"/>
      <c r="E1305" s="378"/>
      <c r="F1305" s="378"/>
      <c r="G1305" s="378"/>
      <c r="H1305" s="378"/>
      <c r="I1305" s="376"/>
      <c r="J1305" s="377"/>
      <c r="K1305" s="378"/>
      <c r="L1305" s="378"/>
      <c r="M1305" s="378"/>
      <c r="N1305" s="379"/>
      <c r="O1305" s="380"/>
      <c r="P1305" s="378"/>
      <c r="Q1305" s="378"/>
      <c r="R1305" s="378"/>
      <c r="S1305" s="378"/>
      <c r="T1305" s="378"/>
      <c r="U1305" s="378"/>
      <c r="V1305" s="378"/>
      <c r="W1305" s="378"/>
      <c r="X1305" s="378"/>
      <c r="Y1305" s="378"/>
      <c r="Z1305" s="378"/>
      <c r="AA1305" s="378"/>
      <c r="AB1305" s="378"/>
      <c r="AC1305" s="378"/>
      <c r="AD1305" s="378"/>
      <c r="AE1305" s="378"/>
      <c r="AF1305" s="378"/>
      <c r="AG1305" s="378"/>
    </row>
    <row r="1306">
      <c r="A1306" s="378"/>
      <c r="B1306" s="477"/>
      <c r="C1306" s="378"/>
      <c r="D1306" s="378"/>
      <c r="E1306" s="378"/>
      <c r="F1306" s="378"/>
      <c r="G1306" s="378"/>
      <c r="H1306" s="378"/>
      <c r="I1306" s="376"/>
      <c r="J1306" s="377"/>
      <c r="K1306" s="378"/>
      <c r="L1306" s="378"/>
      <c r="M1306" s="378"/>
      <c r="N1306" s="379"/>
      <c r="O1306" s="380"/>
      <c r="P1306" s="378"/>
      <c r="Q1306" s="378"/>
      <c r="R1306" s="378"/>
      <c r="S1306" s="378"/>
      <c r="T1306" s="378"/>
      <c r="U1306" s="378"/>
      <c r="V1306" s="378"/>
      <c r="W1306" s="378"/>
      <c r="X1306" s="378"/>
      <c r="Y1306" s="378"/>
      <c r="Z1306" s="378"/>
      <c r="AA1306" s="378"/>
      <c r="AB1306" s="378"/>
      <c r="AC1306" s="378"/>
      <c r="AD1306" s="378"/>
      <c r="AE1306" s="378"/>
      <c r="AF1306" s="378"/>
      <c r="AG1306" s="378"/>
    </row>
    <row r="1307">
      <c r="A1307" s="378"/>
      <c r="B1307" s="477"/>
      <c r="C1307" s="378"/>
      <c r="D1307" s="378"/>
      <c r="E1307" s="378"/>
      <c r="F1307" s="378"/>
      <c r="G1307" s="378"/>
      <c r="H1307" s="378"/>
      <c r="I1307" s="376"/>
      <c r="J1307" s="377"/>
      <c r="K1307" s="378"/>
      <c r="L1307" s="378"/>
      <c r="M1307" s="378"/>
      <c r="N1307" s="379"/>
      <c r="O1307" s="380"/>
      <c r="P1307" s="378"/>
      <c r="Q1307" s="378"/>
      <c r="R1307" s="378"/>
      <c r="S1307" s="378"/>
      <c r="T1307" s="378"/>
      <c r="U1307" s="378"/>
      <c r="V1307" s="378"/>
      <c r="W1307" s="378"/>
      <c r="X1307" s="378"/>
      <c r="Y1307" s="378"/>
      <c r="Z1307" s="378"/>
      <c r="AA1307" s="378"/>
      <c r="AB1307" s="378"/>
      <c r="AC1307" s="378"/>
      <c r="AD1307" s="378"/>
      <c r="AE1307" s="378"/>
      <c r="AF1307" s="378"/>
      <c r="AG1307" s="378"/>
    </row>
    <row r="1308">
      <c r="A1308" s="378"/>
      <c r="B1308" s="477"/>
      <c r="C1308" s="378"/>
      <c r="D1308" s="378"/>
      <c r="E1308" s="378"/>
      <c r="F1308" s="378"/>
      <c r="G1308" s="378"/>
      <c r="H1308" s="378"/>
      <c r="I1308" s="376"/>
      <c r="J1308" s="377"/>
      <c r="K1308" s="378"/>
      <c r="L1308" s="378"/>
      <c r="M1308" s="378"/>
      <c r="N1308" s="379"/>
      <c r="O1308" s="380"/>
      <c r="P1308" s="378"/>
      <c r="Q1308" s="378"/>
      <c r="R1308" s="378"/>
      <c r="S1308" s="378"/>
      <c r="T1308" s="378"/>
      <c r="U1308" s="378"/>
      <c r="V1308" s="378"/>
      <c r="W1308" s="378"/>
      <c r="X1308" s="378"/>
      <c r="Y1308" s="378"/>
      <c r="Z1308" s="378"/>
      <c r="AA1308" s="378"/>
      <c r="AB1308" s="378"/>
      <c r="AC1308" s="378"/>
      <c r="AD1308" s="378"/>
      <c r="AE1308" s="378"/>
      <c r="AF1308" s="378"/>
      <c r="AG1308" s="378"/>
    </row>
    <row r="1309">
      <c r="A1309" s="378"/>
      <c r="B1309" s="477"/>
      <c r="C1309" s="378"/>
      <c r="D1309" s="378"/>
      <c r="E1309" s="378"/>
      <c r="F1309" s="378"/>
      <c r="G1309" s="378"/>
      <c r="H1309" s="378"/>
      <c r="I1309" s="376"/>
      <c r="J1309" s="377"/>
      <c r="K1309" s="378"/>
      <c r="L1309" s="378"/>
      <c r="M1309" s="378"/>
      <c r="N1309" s="379"/>
      <c r="O1309" s="380"/>
      <c r="P1309" s="378"/>
      <c r="Q1309" s="378"/>
      <c r="R1309" s="378"/>
      <c r="S1309" s="378"/>
      <c r="T1309" s="378"/>
      <c r="U1309" s="378"/>
      <c r="V1309" s="378"/>
      <c r="W1309" s="378"/>
      <c r="X1309" s="378"/>
      <c r="Y1309" s="378"/>
      <c r="Z1309" s="378"/>
      <c r="AA1309" s="378"/>
      <c r="AB1309" s="378"/>
      <c r="AC1309" s="378"/>
      <c r="AD1309" s="378"/>
      <c r="AE1309" s="378"/>
      <c r="AF1309" s="378"/>
      <c r="AG1309" s="378"/>
    </row>
    <row r="1310">
      <c r="A1310" s="378"/>
      <c r="B1310" s="477"/>
      <c r="C1310" s="378"/>
      <c r="D1310" s="378"/>
      <c r="E1310" s="378"/>
      <c r="F1310" s="378"/>
      <c r="G1310" s="378"/>
      <c r="H1310" s="378"/>
      <c r="I1310" s="376"/>
      <c r="J1310" s="377"/>
      <c r="K1310" s="378"/>
      <c r="L1310" s="378"/>
      <c r="M1310" s="378"/>
      <c r="N1310" s="379"/>
      <c r="O1310" s="380"/>
      <c r="P1310" s="378"/>
      <c r="Q1310" s="378"/>
      <c r="R1310" s="378"/>
      <c r="S1310" s="378"/>
      <c r="T1310" s="378"/>
      <c r="U1310" s="378"/>
      <c r="V1310" s="378"/>
      <c r="W1310" s="378"/>
      <c r="X1310" s="378"/>
      <c r="Y1310" s="378"/>
      <c r="Z1310" s="378"/>
      <c r="AA1310" s="378"/>
      <c r="AB1310" s="378"/>
      <c r="AC1310" s="378"/>
      <c r="AD1310" s="378"/>
      <c r="AE1310" s="378"/>
      <c r="AF1310" s="378"/>
      <c r="AG1310" s="378"/>
    </row>
    <row r="1311">
      <c r="A1311" s="378"/>
      <c r="B1311" s="477"/>
      <c r="C1311" s="378"/>
      <c r="D1311" s="378"/>
      <c r="E1311" s="378"/>
      <c r="F1311" s="378"/>
      <c r="G1311" s="378"/>
      <c r="H1311" s="378"/>
      <c r="I1311" s="376"/>
      <c r="J1311" s="377"/>
      <c r="K1311" s="378"/>
      <c r="L1311" s="378"/>
      <c r="M1311" s="378"/>
      <c r="N1311" s="379"/>
      <c r="O1311" s="380"/>
      <c r="P1311" s="378"/>
      <c r="Q1311" s="378"/>
      <c r="R1311" s="378"/>
      <c r="S1311" s="378"/>
      <c r="T1311" s="378"/>
      <c r="U1311" s="378"/>
      <c r="V1311" s="378"/>
      <c r="W1311" s="378"/>
      <c r="X1311" s="378"/>
      <c r="Y1311" s="378"/>
      <c r="Z1311" s="378"/>
      <c r="AA1311" s="378"/>
      <c r="AB1311" s="378"/>
      <c r="AC1311" s="378"/>
      <c r="AD1311" s="378"/>
      <c r="AE1311" s="378"/>
      <c r="AF1311" s="378"/>
      <c r="AG1311" s="378"/>
    </row>
    <row r="1312">
      <c r="A1312" s="378"/>
      <c r="B1312" s="477"/>
      <c r="C1312" s="378"/>
      <c r="D1312" s="378"/>
      <c r="E1312" s="378"/>
      <c r="F1312" s="378"/>
      <c r="G1312" s="378"/>
      <c r="H1312" s="378"/>
      <c r="I1312" s="376"/>
      <c r="J1312" s="377"/>
      <c r="K1312" s="378"/>
      <c r="L1312" s="378"/>
      <c r="M1312" s="378"/>
      <c r="N1312" s="379"/>
      <c r="O1312" s="380"/>
      <c r="P1312" s="378"/>
      <c r="Q1312" s="378"/>
      <c r="R1312" s="378"/>
      <c r="S1312" s="378"/>
      <c r="T1312" s="378"/>
      <c r="U1312" s="378"/>
      <c r="V1312" s="378"/>
      <c r="W1312" s="378"/>
      <c r="X1312" s="378"/>
      <c r="Y1312" s="378"/>
      <c r="Z1312" s="378"/>
      <c r="AA1312" s="378"/>
      <c r="AB1312" s="378"/>
      <c r="AC1312" s="378"/>
      <c r="AD1312" s="378"/>
      <c r="AE1312" s="378"/>
      <c r="AF1312" s="378"/>
      <c r="AG1312" s="378"/>
    </row>
    <row r="1313">
      <c r="A1313" s="378"/>
      <c r="B1313" s="477"/>
      <c r="C1313" s="378"/>
      <c r="D1313" s="378"/>
      <c r="E1313" s="378"/>
      <c r="F1313" s="378"/>
      <c r="G1313" s="378"/>
      <c r="H1313" s="378"/>
      <c r="I1313" s="376"/>
      <c r="J1313" s="377"/>
      <c r="K1313" s="378"/>
      <c r="L1313" s="378"/>
      <c r="M1313" s="378"/>
      <c r="N1313" s="379"/>
      <c r="O1313" s="380"/>
      <c r="P1313" s="378"/>
      <c r="Q1313" s="378"/>
      <c r="R1313" s="378"/>
      <c r="S1313" s="378"/>
      <c r="T1313" s="378"/>
      <c r="U1313" s="378"/>
      <c r="V1313" s="378"/>
      <c r="W1313" s="378"/>
      <c r="X1313" s="378"/>
      <c r="Y1313" s="378"/>
      <c r="Z1313" s="378"/>
      <c r="AA1313" s="378"/>
      <c r="AB1313" s="378"/>
      <c r="AC1313" s="378"/>
      <c r="AD1313" s="378"/>
      <c r="AE1313" s="378"/>
      <c r="AF1313" s="378"/>
      <c r="AG1313" s="378"/>
    </row>
    <row r="1314">
      <c r="A1314" s="378"/>
      <c r="B1314" s="477"/>
      <c r="C1314" s="378"/>
      <c r="D1314" s="378"/>
      <c r="E1314" s="378"/>
      <c r="F1314" s="378"/>
      <c r="G1314" s="378"/>
      <c r="H1314" s="378"/>
      <c r="I1314" s="376"/>
      <c r="J1314" s="377"/>
      <c r="K1314" s="378"/>
      <c r="L1314" s="378"/>
      <c r="M1314" s="378"/>
      <c r="N1314" s="379"/>
      <c r="O1314" s="380"/>
      <c r="P1314" s="378"/>
      <c r="Q1314" s="378"/>
      <c r="R1314" s="378"/>
      <c r="S1314" s="378"/>
      <c r="T1314" s="378"/>
      <c r="U1314" s="378"/>
      <c r="V1314" s="378"/>
      <c r="W1314" s="378"/>
      <c r="X1314" s="378"/>
      <c r="Y1314" s="378"/>
      <c r="Z1314" s="378"/>
      <c r="AA1314" s="378"/>
      <c r="AB1314" s="378"/>
      <c r="AC1314" s="378"/>
      <c r="AD1314" s="378"/>
      <c r="AE1314" s="378"/>
      <c r="AF1314" s="378"/>
      <c r="AG1314" s="378"/>
    </row>
    <row r="1315">
      <c r="A1315" s="378"/>
      <c r="B1315" s="477"/>
      <c r="C1315" s="378"/>
      <c r="D1315" s="378"/>
      <c r="E1315" s="378"/>
      <c r="F1315" s="378"/>
      <c r="G1315" s="378"/>
      <c r="H1315" s="378"/>
      <c r="I1315" s="376"/>
      <c r="J1315" s="377"/>
      <c r="K1315" s="378"/>
      <c r="L1315" s="378"/>
      <c r="M1315" s="378"/>
      <c r="N1315" s="379"/>
      <c r="O1315" s="380"/>
      <c r="P1315" s="378"/>
      <c r="Q1315" s="378"/>
      <c r="R1315" s="378"/>
      <c r="S1315" s="378"/>
      <c r="T1315" s="378"/>
      <c r="U1315" s="378"/>
      <c r="V1315" s="378"/>
      <c r="W1315" s="378"/>
      <c r="X1315" s="378"/>
      <c r="Y1315" s="378"/>
      <c r="Z1315" s="378"/>
      <c r="AA1315" s="378"/>
      <c r="AB1315" s="378"/>
      <c r="AC1315" s="378"/>
      <c r="AD1315" s="378"/>
      <c r="AE1315" s="378"/>
      <c r="AF1315" s="378"/>
      <c r="AG1315" s="378"/>
    </row>
    <row r="1316">
      <c r="A1316" s="378"/>
      <c r="B1316" s="477"/>
      <c r="C1316" s="378"/>
      <c r="D1316" s="378"/>
      <c r="E1316" s="378"/>
      <c r="F1316" s="378"/>
      <c r="G1316" s="378"/>
      <c r="H1316" s="378"/>
      <c r="I1316" s="376"/>
      <c r="J1316" s="377"/>
      <c r="K1316" s="378"/>
      <c r="L1316" s="378"/>
      <c r="M1316" s="378"/>
      <c r="N1316" s="379"/>
      <c r="O1316" s="380"/>
      <c r="P1316" s="378"/>
      <c r="Q1316" s="378"/>
      <c r="R1316" s="378"/>
      <c r="S1316" s="378"/>
      <c r="T1316" s="378"/>
      <c r="U1316" s="378"/>
      <c r="V1316" s="378"/>
      <c r="W1316" s="378"/>
      <c r="X1316" s="378"/>
      <c r="Y1316" s="378"/>
      <c r="Z1316" s="378"/>
      <c r="AA1316" s="378"/>
      <c r="AB1316" s="378"/>
      <c r="AC1316" s="378"/>
      <c r="AD1316" s="378"/>
      <c r="AE1316" s="378"/>
      <c r="AF1316" s="378"/>
      <c r="AG1316" s="378"/>
    </row>
    <row r="1317">
      <c r="A1317" s="378"/>
      <c r="B1317" s="477"/>
      <c r="C1317" s="378"/>
      <c r="D1317" s="378"/>
      <c r="E1317" s="378"/>
      <c r="F1317" s="378"/>
      <c r="G1317" s="378"/>
      <c r="H1317" s="378"/>
      <c r="I1317" s="376"/>
      <c r="J1317" s="377"/>
      <c r="K1317" s="378"/>
      <c r="L1317" s="378"/>
      <c r="M1317" s="378"/>
      <c r="N1317" s="379"/>
      <c r="O1317" s="380"/>
      <c r="P1317" s="378"/>
      <c r="Q1317" s="378"/>
      <c r="R1317" s="378"/>
      <c r="S1317" s="378"/>
      <c r="T1317" s="378"/>
      <c r="U1317" s="378"/>
      <c r="V1317" s="378"/>
      <c r="W1317" s="378"/>
      <c r="X1317" s="378"/>
      <c r="Y1317" s="378"/>
      <c r="Z1317" s="378"/>
      <c r="AA1317" s="378"/>
      <c r="AB1317" s="378"/>
      <c r="AC1317" s="378"/>
      <c r="AD1317" s="378"/>
      <c r="AE1317" s="378"/>
      <c r="AF1317" s="378"/>
      <c r="AG1317" s="378"/>
    </row>
    <row r="1318">
      <c r="A1318" s="378"/>
      <c r="B1318" s="477"/>
      <c r="C1318" s="378"/>
      <c r="D1318" s="378"/>
      <c r="E1318" s="378"/>
      <c r="F1318" s="378"/>
      <c r="G1318" s="378"/>
      <c r="H1318" s="378"/>
      <c r="I1318" s="376"/>
      <c r="J1318" s="377"/>
      <c r="K1318" s="378"/>
      <c r="L1318" s="378"/>
      <c r="M1318" s="378"/>
      <c r="N1318" s="379"/>
      <c r="O1318" s="380"/>
      <c r="P1318" s="378"/>
      <c r="Q1318" s="378"/>
      <c r="R1318" s="378"/>
      <c r="S1318" s="378"/>
      <c r="T1318" s="378"/>
      <c r="U1318" s="378"/>
      <c r="V1318" s="378"/>
      <c r="W1318" s="378"/>
      <c r="X1318" s="378"/>
      <c r="Y1318" s="378"/>
      <c r="Z1318" s="378"/>
      <c r="AA1318" s="378"/>
      <c r="AB1318" s="378"/>
      <c r="AC1318" s="378"/>
      <c r="AD1318" s="378"/>
      <c r="AE1318" s="378"/>
      <c r="AF1318" s="378"/>
      <c r="AG1318" s="378"/>
    </row>
    <row r="1319">
      <c r="A1319" s="378"/>
      <c r="B1319" s="477"/>
      <c r="C1319" s="378"/>
      <c r="D1319" s="378"/>
      <c r="E1319" s="378"/>
      <c r="F1319" s="378"/>
      <c r="G1319" s="378"/>
      <c r="H1319" s="378"/>
      <c r="I1319" s="376"/>
      <c r="J1319" s="377"/>
      <c r="K1319" s="378"/>
      <c r="L1319" s="378"/>
      <c r="M1319" s="378"/>
      <c r="N1319" s="379"/>
      <c r="O1319" s="380"/>
      <c r="P1319" s="378"/>
      <c r="Q1319" s="378"/>
      <c r="R1319" s="378"/>
      <c r="S1319" s="378"/>
      <c r="T1319" s="378"/>
      <c r="U1319" s="378"/>
      <c r="V1319" s="378"/>
      <c r="W1319" s="378"/>
      <c r="X1319" s="378"/>
      <c r="Y1319" s="378"/>
      <c r="Z1319" s="378"/>
      <c r="AA1319" s="378"/>
      <c r="AB1319" s="378"/>
      <c r="AC1319" s="378"/>
      <c r="AD1319" s="378"/>
      <c r="AE1319" s="378"/>
      <c r="AF1319" s="378"/>
      <c r="AG1319" s="378"/>
    </row>
    <row r="1320">
      <c r="A1320" s="378"/>
      <c r="B1320" s="477"/>
      <c r="C1320" s="378"/>
      <c r="D1320" s="378"/>
      <c r="E1320" s="378"/>
      <c r="F1320" s="378"/>
      <c r="G1320" s="378"/>
      <c r="H1320" s="378"/>
      <c r="I1320" s="376"/>
      <c r="J1320" s="377"/>
      <c r="K1320" s="378"/>
      <c r="L1320" s="378"/>
      <c r="M1320" s="378"/>
      <c r="N1320" s="379"/>
      <c r="O1320" s="380"/>
      <c r="P1320" s="378"/>
      <c r="Q1320" s="378"/>
      <c r="R1320" s="378"/>
      <c r="S1320" s="378"/>
      <c r="T1320" s="378"/>
      <c r="U1320" s="378"/>
      <c r="V1320" s="378"/>
      <c r="W1320" s="378"/>
      <c r="X1320" s="378"/>
      <c r="Y1320" s="378"/>
      <c r="Z1320" s="378"/>
      <c r="AA1320" s="378"/>
      <c r="AB1320" s="378"/>
      <c r="AC1320" s="378"/>
      <c r="AD1320" s="378"/>
      <c r="AE1320" s="378"/>
      <c r="AF1320" s="378"/>
      <c r="AG1320" s="378"/>
    </row>
    <row r="1321">
      <c r="A1321" s="378"/>
      <c r="B1321" s="477"/>
      <c r="C1321" s="378"/>
      <c r="D1321" s="378"/>
      <c r="E1321" s="378"/>
      <c r="F1321" s="378"/>
      <c r="G1321" s="378"/>
      <c r="H1321" s="378"/>
      <c r="I1321" s="376"/>
      <c r="J1321" s="377"/>
      <c r="K1321" s="378"/>
      <c r="L1321" s="378"/>
      <c r="M1321" s="378"/>
      <c r="N1321" s="379"/>
      <c r="O1321" s="380"/>
      <c r="P1321" s="378"/>
      <c r="Q1321" s="378"/>
      <c r="R1321" s="378"/>
      <c r="S1321" s="378"/>
      <c r="T1321" s="378"/>
      <c r="U1321" s="378"/>
      <c r="V1321" s="378"/>
      <c r="W1321" s="378"/>
      <c r="X1321" s="378"/>
      <c r="Y1321" s="378"/>
      <c r="Z1321" s="378"/>
      <c r="AA1321" s="378"/>
      <c r="AB1321" s="378"/>
      <c r="AC1321" s="378"/>
      <c r="AD1321" s="378"/>
      <c r="AE1321" s="378"/>
      <c r="AF1321" s="378"/>
      <c r="AG1321" s="378"/>
    </row>
    <row r="1322">
      <c r="A1322" s="378"/>
      <c r="B1322" s="477"/>
      <c r="C1322" s="378"/>
      <c r="D1322" s="378"/>
      <c r="E1322" s="378"/>
      <c r="F1322" s="378"/>
      <c r="G1322" s="378"/>
      <c r="H1322" s="378"/>
      <c r="I1322" s="376"/>
      <c r="J1322" s="377"/>
      <c r="K1322" s="378"/>
      <c r="L1322" s="378"/>
      <c r="M1322" s="378"/>
      <c r="N1322" s="379"/>
      <c r="O1322" s="380"/>
      <c r="P1322" s="378"/>
      <c r="Q1322" s="378"/>
      <c r="R1322" s="378"/>
      <c r="S1322" s="378"/>
      <c r="T1322" s="378"/>
      <c r="U1322" s="378"/>
      <c r="V1322" s="378"/>
      <c r="W1322" s="378"/>
      <c r="X1322" s="378"/>
      <c r="Y1322" s="378"/>
      <c r="Z1322" s="378"/>
      <c r="AA1322" s="378"/>
      <c r="AB1322" s="378"/>
      <c r="AC1322" s="378"/>
      <c r="AD1322" s="378"/>
      <c r="AE1322" s="378"/>
      <c r="AF1322" s="378"/>
      <c r="AG1322" s="378"/>
    </row>
    <row r="1323">
      <c r="A1323" s="378"/>
      <c r="B1323" s="477"/>
      <c r="C1323" s="378"/>
      <c r="D1323" s="378"/>
      <c r="E1323" s="378"/>
      <c r="F1323" s="378"/>
      <c r="G1323" s="378"/>
      <c r="H1323" s="378"/>
      <c r="I1323" s="376"/>
      <c r="J1323" s="377"/>
      <c r="K1323" s="378"/>
      <c r="L1323" s="378"/>
      <c r="M1323" s="378"/>
      <c r="N1323" s="379"/>
      <c r="O1323" s="380"/>
      <c r="P1323" s="378"/>
      <c r="Q1323" s="378"/>
      <c r="R1323" s="378"/>
      <c r="S1323" s="378"/>
      <c r="T1323" s="378"/>
      <c r="U1323" s="378"/>
      <c r="V1323" s="378"/>
      <c r="W1323" s="378"/>
      <c r="X1323" s="378"/>
      <c r="Y1323" s="378"/>
      <c r="Z1323" s="378"/>
      <c r="AA1323" s="378"/>
      <c r="AB1323" s="378"/>
      <c r="AC1323" s="378"/>
      <c r="AD1323" s="378"/>
      <c r="AE1323" s="378"/>
      <c r="AF1323" s="378"/>
      <c r="AG1323" s="378"/>
    </row>
    <row r="1324">
      <c r="A1324" s="378"/>
      <c r="B1324" s="477"/>
      <c r="C1324" s="378"/>
      <c r="D1324" s="378"/>
      <c r="E1324" s="378"/>
      <c r="F1324" s="378"/>
      <c r="G1324" s="378"/>
      <c r="H1324" s="378"/>
      <c r="I1324" s="376"/>
      <c r="J1324" s="377"/>
      <c r="K1324" s="378"/>
      <c r="L1324" s="378"/>
      <c r="M1324" s="378"/>
      <c r="N1324" s="379"/>
      <c r="O1324" s="380"/>
      <c r="P1324" s="378"/>
      <c r="Q1324" s="378"/>
      <c r="R1324" s="378"/>
      <c r="S1324" s="378"/>
      <c r="T1324" s="378"/>
      <c r="U1324" s="378"/>
      <c r="V1324" s="378"/>
      <c r="W1324" s="378"/>
      <c r="X1324" s="378"/>
      <c r="Y1324" s="378"/>
      <c r="Z1324" s="378"/>
      <c r="AA1324" s="378"/>
      <c r="AB1324" s="378"/>
      <c r="AC1324" s="378"/>
      <c r="AD1324" s="378"/>
      <c r="AE1324" s="378"/>
      <c r="AF1324" s="378"/>
      <c r="AG1324" s="378"/>
    </row>
    <row r="1325">
      <c r="A1325" s="378"/>
      <c r="B1325" s="477"/>
      <c r="C1325" s="378"/>
      <c r="D1325" s="378"/>
      <c r="E1325" s="378"/>
      <c r="F1325" s="378"/>
      <c r="G1325" s="378"/>
      <c r="H1325" s="378"/>
      <c r="I1325" s="376"/>
      <c r="J1325" s="377"/>
      <c r="K1325" s="378"/>
      <c r="L1325" s="378"/>
      <c r="M1325" s="378"/>
      <c r="N1325" s="379"/>
      <c r="O1325" s="380"/>
      <c r="P1325" s="378"/>
      <c r="Q1325" s="378"/>
      <c r="R1325" s="378"/>
      <c r="S1325" s="378"/>
      <c r="T1325" s="378"/>
      <c r="U1325" s="378"/>
      <c r="V1325" s="378"/>
      <c r="W1325" s="378"/>
      <c r="X1325" s="378"/>
      <c r="Y1325" s="378"/>
      <c r="Z1325" s="378"/>
      <c r="AA1325" s="378"/>
      <c r="AB1325" s="378"/>
      <c r="AC1325" s="378"/>
      <c r="AD1325" s="378"/>
      <c r="AE1325" s="378"/>
      <c r="AF1325" s="378"/>
      <c r="AG1325" s="378"/>
    </row>
    <row r="1326">
      <c r="A1326" s="378"/>
      <c r="B1326" s="477"/>
      <c r="C1326" s="378"/>
      <c r="D1326" s="378"/>
      <c r="E1326" s="378"/>
      <c r="F1326" s="378"/>
      <c r="G1326" s="378"/>
      <c r="H1326" s="378"/>
      <c r="I1326" s="376"/>
      <c r="J1326" s="377"/>
      <c r="K1326" s="378"/>
      <c r="L1326" s="378"/>
      <c r="M1326" s="378"/>
      <c r="N1326" s="379"/>
      <c r="O1326" s="380"/>
      <c r="P1326" s="378"/>
      <c r="Q1326" s="378"/>
      <c r="R1326" s="378"/>
      <c r="S1326" s="378"/>
      <c r="T1326" s="378"/>
      <c r="U1326" s="378"/>
      <c r="V1326" s="378"/>
      <c r="W1326" s="378"/>
      <c r="X1326" s="378"/>
      <c r="Y1326" s="378"/>
      <c r="Z1326" s="378"/>
      <c r="AA1326" s="378"/>
      <c r="AB1326" s="378"/>
      <c r="AC1326" s="378"/>
      <c r="AD1326" s="378"/>
      <c r="AE1326" s="378"/>
      <c r="AF1326" s="378"/>
      <c r="AG1326" s="378"/>
    </row>
    <row r="1327">
      <c r="A1327" s="378"/>
      <c r="B1327" s="477"/>
      <c r="C1327" s="378"/>
      <c r="D1327" s="378"/>
      <c r="E1327" s="378"/>
      <c r="F1327" s="378"/>
      <c r="G1327" s="378"/>
      <c r="H1327" s="378"/>
      <c r="I1327" s="376"/>
      <c r="J1327" s="377"/>
      <c r="K1327" s="378"/>
      <c r="L1327" s="378"/>
      <c r="M1327" s="378"/>
      <c r="N1327" s="379"/>
      <c r="O1327" s="380"/>
      <c r="P1327" s="378"/>
      <c r="Q1327" s="378"/>
      <c r="R1327" s="378"/>
      <c r="S1327" s="378"/>
      <c r="T1327" s="378"/>
      <c r="U1327" s="378"/>
      <c r="V1327" s="378"/>
      <c r="W1327" s="378"/>
      <c r="X1327" s="378"/>
      <c r="Y1327" s="378"/>
      <c r="Z1327" s="378"/>
      <c r="AA1327" s="378"/>
      <c r="AB1327" s="378"/>
      <c r="AC1327" s="378"/>
      <c r="AD1327" s="378"/>
      <c r="AE1327" s="378"/>
      <c r="AF1327" s="378"/>
      <c r="AG1327" s="378"/>
    </row>
    <row r="1328">
      <c r="A1328" s="378"/>
      <c r="B1328" s="477"/>
      <c r="C1328" s="378"/>
      <c r="D1328" s="378"/>
      <c r="E1328" s="378"/>
      <c r="F1328" s="378"/>
      <c r="G1328" s="378"/>
      <c r="H1328" s="378"/>
      <c r="I1328" s="376"/>
      <c r="J1328" s="377"/>
      <c r="K1328" s="378"/>
      <c r="L1328" s="378"/>
      <c r="M1328" s="378"/>
      <c r="N1328" s="379"/>
      <c r="O1328" s="380"/>
      <c r="P1328" s="378"/>
      <c r="Q1328" s="378"/>
      <c r="R1328" s="378"/>
      <c r="S1328" s="378"/>
      <c r="T1328" s="378"/>
      <c r="U1328" s="378"/>
      <c r="V1328" s="378"/>
      <c r="W1328" s="378"/>
      <c r="X1328" s="378"/>
      <c r="Y1328" s="378"/>
      <c r="Z1328" s="378"/>
      <c r="AA1328" s="378"/>
      <c r="AB1328" s="378"/>
      <c r="AC1328" s="378"/>
      <c r="AD1328" s="378"/>
      <c r="AE1328" s="378"/>
      <c r="AF1328" s="378"/>
      <c r="AG1328" s="378"/>
    </row>
    <row r="1329">
      <c r="A1329" s="378"/>
      <c r="B1329" s="477"/>
      <c r="C1329" s="378"/>
      <c r="D1329" s="378"/>
      <c r="E1329" s="378"/>
      <c r="F1329" s="378"/>
      <c r="G1329" s="378"/>
      <c r="H1329" s="378"/>
      <c r="I1329" s="376"/>
      <c r="J1329" s="377"/>
      <c r="K1329" s="378"/>
      <c r="L1329" s="378"/>
      <c r="M1329" s="378"/>
      <c r="N1329" s="379"/>
      <c r="O1329" s="380"/>
      <c r="P1329" s="378"/>
      <c r="Q1329" s="378"/>
      <c r="R1329" s="378"/>
      <c r="S1329" s="378"/>
      <c r="T1329" s="378"/>
      <c r="U1329" s="378"/>
      <c r="V1329" s="378"/>
      <c r="W1329" s="378"/>
      <c r="X1329" s="378"/>
      <c r="Y1329" s="378"/>
      <c r="Z1329" s="378"/>
      <c r="AA1329" s="378"/>
      <c r="AB1329" s="378"/>
      <c r="AC1329" s="378"/>
      <c r="AD1329" s="378"/>
      <c r="AE1329" s="378"/>
      <c r="AF1329" s="378"/>
      <c r="AG1329" s="378"/>
    </row>
    <row r="1330">
      <c r="A1330" s="378"/>
      <c r="B1330" s="477"/>
      <c r="C1330" s="378"/>
      <c r="D1330" s="378"/>
      <c r="E1330" s="378"/>
      <c r="F1330" s="378"/>
      <c r="G1330" s="378"/>
      <c r="H1330" s="378"/>
      <c r="I1330" s="376"/>
      <c r="J1330" s="377"/>
      <c r="K1330" s="378"/>
      <c r="L1330" s="378"/>
      <c r="M1330" s="378"/>
      <c r="N1330" s="379"/>
      <c r="O1330" s="380"/>
      <c r="P1330" s="378"/>
      <c r="Q1330" s="378"/>
      <c r="R1330" s="378"/>
      <c r="S1330" s="378"/>
      <c r="T1330" s="378"/>
      <c r="U1330" s="378"/>
      <c r="V1330" s="378"/>
      <c r="W1330" s="378"/>
      <c r="X1330" s="378"/>
      <c r="Y1330" s="378"/>
      <c r="Z1330" s="378"/>
      <c r="AA1330" s="378"/>
      <c r="AB1330" s="378"/>
      <c r="AC1330" s="378"/>
      <c r="AD1330" s="378"/>
      <c r="AE1330" s="378"/>
      <c r="AF1330" s="378"/>
      <c r="AG1330" s="378"/>
    </row>
    <row r="1331">
      <c r="A1331" s="378"/>
      <c r="B1331" s="477"/>
      <c r="C1331" s="378"/>
      <c r="D1331" s="378"/>
      <c r="E1331" s="378"/>
      <c r="F1331" s="378"/>
      <c r="G1331" s="378"/>
      <c r="H1331" s="378"/>
      <c r="I1331" s="376"/>
      <c r="J1331" s="377"/>
      <c r="K1331" s="378"/>
      <c r="L1331" s="378"/>
      <c r="M1331" s="378"/>
      <c r="N1331" s="379"/>
      <c r="O1331" s="380"/>
      <c r="P1331" s="378"/>
      <c r="Q1331" s="378"/>
      <c r="R1331" s="378"/>
      <c r="S1331" s="378"/>
      <c r="T1331" s="378"/>
      <c r="U1331" s="378"/>
      <c r="V1331" s="378"/>
      <c r="W1331" s="378"/>
      <c r="X1331" s="378"/>
      <c r="Y1331" s="378"/>
      <c r="Z1331" s="378"/>
      <c r="AA1331" s="378"/>
      <c r="AB1331" s="378"/>
      <c r="AC1331" s="378"/>
      <c r="AD1331" s="378"/>
      <c r="AE1331" s="378"/>
      <c r="AF1331" s="378"/>
      <c r="AG1331" s="378"/>
    </row>
    <row r="1332">
      <c r="A1332" s="378"/>
      <c r="B1332" s="477"/>
      <c r="C1332" s="378"/>
      <c r="D1332" s="378"/>
      <c r="E1332" s="378"/>
      <c r="F1332" s="378"/>
      <c r="G1332" s="378"/>
      <c r="H1332" s="378"/>
      <c r="I1332" s="376"/>
      <c r="J1332" s="377"/>
      <c r="K1332" s="378"/>
      <c r="L1332" s="378"/>
      <c r="M1332" s="378"/>
      <c r="N1332" s="379"/>
      <c r="O1332" s="380"/>
      <c r="P1332" s="378"/>
      <c r="Q1332" s="378"/>
      <c r="R1332" s="378"/>
      <c r="S1332" s="378"/>
      <c r="T1332" s="378"/>
      <c r="U1332" s="378"/>
      <c r="V1332" s="378"/>
      <c r="W1332" s="378"/>
      <c r="X1332" s="378"/>
      <c r="Y1332" s="378"/>
      <c r="Z1332" s="378"/>
      <c r="AA1332" s="378"/>
      <c r="AB1332" s="378"/>
      <c r="AC1332" s="378"/>
      <c r="AD1332" s="378"/>
      <c r="AE1332" s="378"/>
      <c r="AF1332" s="378"/>
      <c r="AG1332" s="378"/>
    </row>
    <row r="1333">
      <c r="A1333" s="378"/>
      <c r="B1333" s="477"/>
      <c r="C1333" s="378"/>
      <c r="D1333" s="378"/>
      <c r="E1333" s="378"/>
      <c r="F1333" s="378"/>
      <c r="G1333" s="378"/>
      <c r="H1333" s="378"/>
      <c r="I1333" s="376"/>
      <c r="J1333" s="377"/>
      <c r="K1333" s="378"/>
      <c r="L1333" s="378"/>
      <c r="M1333" s="378"/>
      <c r="N1333" s="379"/>
      <c r="O1333" s="380"/>
      <c r="P1333" s="378"/>
      <c r="Q1333" s="378"/>
      <c r="R1333" s="378"/>
      <c r="S1333" s="378"/>
      <c r="T1333" s="378"/>
      <c r="U1333" s="378"/>
      <c r="V1333" s="378"/>
      <c r="W1333" s="378"/>
      <c r="X1333" s="378"/>
      <c r="Y1333" s="378"/>
      <c r="Z1333" s="378"/>
      <c r="AA1333" s="378"/>
      <c r="AB1333" s="378"/>
      <c r="AC1333" s="378"/>
      <c r="AD1333" s="378"/>
      <c r="AE1333" s="378"/>
      <c r="AF1333" s="378"/>
      <c r="AG1333" s="378"/>
    </row>
    <row r="1334">
      <c r="A1334" s="378"/>
      <c r="B1334" s="477"/>
      <c r="C1334" s="378"/>
      <c r="D1334" s="378"/>
      <c r="E1334" s="378"/>
      <c r="F1334" s="378"/>
      <c r="G1334" s="378"/>
      <c r="H1334" s="378"/>
      <c r="I1334" s="376"/>
      <c r="J1334" s="377"/>
      <c r="K1334" s="378"/>
      <c r="L1334" s="378"/>
      <c r="M1334" s="378"/>
      <c r="N1334" s="379"/>
      <c r="O1334" s="380"/>
      <c r="P1334" s="378"/>
      <c r="Q1334" s="378"/>
      <c r="R1334" s="378"/>
      <c r="S1334" s="378"/>
      <c r="T1334" s="378"/>
      <c r="U1334" s="378"/>
      <c r="V1334" s="378"/>
      <c r="W1334" s="378"/>
      <c r="X1334" s="378"/>
      <c r="Y1334" s="378"/>
      <c r="Z1334" s="378"/>
      <c r="AA1334" s="378"/>
      <c r="AB1334" s="378"/>
      <c r="AC1334" s="378"/>
      <c r="AD1334" s="378"/>
      <c r="AE1334" s="378"/>
      <c r="AF1334" s="378"/>
      <c r="AG1334" s="378"/>
    </row>
    <row r="1335">
      <c r="A1335" s="378"/>
      <c r="B1335" s="477"/>
      <c r="C1335" s="378"/>
      <c r="D1335" s="378"/>
      <c r="E1335" s="378"/>
      <c r="F1335" s="378"/>
      <c r="G1335" s="378"/>
      <c r="H1335" s="378"/>
      <c r="I1335" s="376"/>
      <c r="J1335" s="377"/>
      <c r="K1335" s="378"/>
      <c r="L1335" s="378"/>
      <c r="M1335" s="378"/>
      <c r="N1335" s="379"/>
      <c r="O1335" s="380"/>
      <c r="P1335" s="378"/>
      <c r="Q1335" s="378"/>
      <c r="R1335" s="378"/>
      <c r="S1335" s="378"/>
      <c r="T1335" s="378"/>
      <c r="U1335" s="378"/>
      <c r="V1335" s="378"/>
      <c r="W1335" s="378"/>
      <c r="X1335" s="378"/>
      <c r="Y1335" s="378"/>
      <c r="Z1335" s="378"/>
      <c r="AA1335" s="378"/>
      <c r="AB1335" s="378"/>
      <c r="AC1335" s="378"/>
      <c r="AD1335" s="378"/>
      <c r="AE1335" s="378"/>
      <c r="AF1335" s="378"/>
      <c r="AG1335" s="378"/>
    </row>
    <row r="1336">
      <c r="A1336" s="378"/>
      <c r="B1336" s="477"/>
      <c r="C1336" s="378"/>
      <c r="D1336" s="378"/>
      <c r="E1336" s="378"/>
      <c r="F1336" s="378"/>
      <c r="G1336" s="378"/>
      <c r="H1336" s="378"/>
      <c r="I1336" s="376"/>
      <c r="J1336" s="377"/>
      <c r="K1336" s="378"/>
      <c r="L1336" s="378"/>
      <c r="M1336" s="378"/>
      <c r="N1336" s="379"/>
      <c r="O1336" s="380"/>
      <c r="P1336" s="378"/>
      <c r="Q1336" s="378"/>
      <c r="R1336" s="378"/>
      <c r="S1336" s="378"/>
      <c r="T1336" s="378"/>
      <c r="U1336" s="378"/>
      <c r="V1336" s="378"/>
      <c r="W1336" s="378"/>
      <c r="X1336" s="378"/>
      <c r="Y1336" s="378"/>
      <c r="Z1336" s="378"/>
      <c r="AA1336" s="378"/>
      <c r="AB1336" s="378"/>
      <c r="AC1336" s="378"/>
      <c r="AD1336" s="378"/>
      <c r="AE1336" s="378"/>
      <c r="AF1336" s="378"/>
      <c r="AG1336" s="378"/>
    </row>
    <row r="1337">
      <c r="A1337" s="378"/>
      <c r="B1337" s="477"/>
      <c r="C1337" s="378"/>
      <c r="D1337" s="378"/>
      <c r="E1337" s="378"/>
      <c r="F1337" s="378"/>
      <c r="G1337" s="378"/>
      <c r="H1337" s="378"/>
      <c r="I1337" s="376"/>
      <c r="J1337" s="377"/>
      <c r="K1337" s="378"/>
      <c r="L1337" s="378"/>
      <c r="M1337" s="378"/>
      <c r="N1337" s="379"/>
      <c r="O1337" s="380"/>
      <c r="P1337" s="378"/>
      <c r="Q1337" s="378"/>
      <c r="R1337" s="378"/>
      <c r="S1337" s="378"/>
      <c r="T1337" s="378"/>
      <c r="U1337" s="378"/>
      <c r="V1337" s="378"/>
      <c r="W1337" s="378"/>
      <c r="X1337" s="378"/>
      <c r="Y1337" s="378"/>
      <c r="Z1337" s="378"/>
      <c r="AA1337" s="378"/>
      <c r="AB1337" s="378"/>
      <c r="AC1337" s="378"/>
      <c r="AD1337" s="378"/>
      <c r="AE1337" s="378"/>
      <c r="AF1337" s="378"/>
      <c r="AG1337" s="378"/>
    </row>
    <row r="1338">
      <c r="A1338" s="378"/>
      <c r="B1338" s="477"/>
      <c r="C1338" s="378"/>
      <c r="D1338" s="378"/>
      <c r="E1338" s="378"/>
      <c r="F1338" s="378"/>
      <c r="G1338" s="378"/>
      <c r="H1338" s="378"/>
      <c r="I1338" s="376"/>
      <c r="J1338" s="377"/>
      <c r="K1338" s="378"/>
      <c r="L1338" s="378"/>
      <c r="M1338" s="378"/>
      <c r="N1338" s="379"/>
      <c r="O1338" s="380"/>
      <c r="P1338" s="378"/>
      <c r="Q1338" s="378"/>
      <c r="R1338" s="378"/>
      <c r="S1338" s="378"/>
      <c r="T1338" s="378"/>
      <c r="U1338" s="378"/>
      <c r="V1338" s="378"/>
      <c r="W1338" s="378"/>
      <c r="X1338" s="378"/>
      <c r="Y1338" s="378"/>
      <c r="Z1338" s="378"/>
      <c r="AA1338" s="378"/>
      <c r="AB1338" s="378"/>
      <c r="AC1338" s="378"/>
      <c r="AD1338" s="378"/>
      <c r="AE1338" s="378"/>
      <c r="AF1338" s="378"/>
      <c r="AG1338" s="378"/>
    </row>
    <row r="1339">
      <c r="A1339" s="378"/>
      <c r="B1339" s="477"/>
      <c r="C1339" s="378"/>
      <c r="D1339" s="378"/>
      <c r="E1339" s="378"/>
      <c r="F1339" s="378"/>
      <c r="G1339" s="378"/>
      <c r="H1339" s="378"/>
      <c r="I1339" s="376"/>
      <c r="J1339" s="377"/>
      <c r="K1339" s="378"/>
      <c r="L1339" s="378"/>
      <c r="M1339" s="378"/>
      <c r="N1339" s="379"/>
      <c r="O1339" s="380"/>
      <c r="P1339" s="378"/>
      <c r="Q1339" s="378"/>
      <c r="R1339" s="378"/>
      <c r="S1339" s="378"/>
      <c r="T1339" s="378"/>
      <c r="U1339" s="378"/>
      <c r="V1339" s="378"/>
      <c r="W1339" s="378"/>
      <c r="X1339" s="378"/>
      <c r="Y1339" s="378"/>
      <c r="Z1339" s="378"/>
      <c r="AA1339" s="378"/>
      <c r="AB1339" s="378"/>
      <c r="AC1339" s="378"/>
      <c r="AD1339" s="378"/>
      <c r="AE1339" s="378"/>
      <c r="AF1339" s="378"/>
      <c r="AG1339" s="378"/>
    </row>
    <row r="1340">
      <c r="A1340" s="378"/>
      <c r="B1340" s="477"/>
      <c r="C1340" s="378"/>
      <c r="D1340" s="378"/>
      <c r="E1340" s="378"/>
      <c r="F1340" s="378"/>
      <c r="G1340" s="378"/>
      <c r="H1340" s="378"/>
      <c r="I1340" s="376"/>
      <c r="J1340" s="377"/>
      <c r="K1340" s="378"/>
      <c r="L1340" s="378"/>
      <c r="M1340" s="378"/>
      <c r="N1340" s="379"/>
      <c r="O1340" s="380"/>
      <c r="P1340" s="378"/>
      <c r="Q1340" s="378"/>
      <c r="R1340" s="378"/>
      <c r="S1340" s="378"/>
      <c r="T1340" s="378"/>
      <c r="U1340" s="378"/>
      <c r="V1340" s="378"/>
      <c r="W1340" s="378"/>
      <c r="X1340" s="378"/>
      <c r="Y1340" s="378"/>
      <c r="Z1340" s="378"/>
      <c r="AA1340" s="378"/>
      <c r="AB1340" s="378"/>
      <c r="AC1340" s="378"/>
      <c r="AD1340" s="378"/>
      <c r="AE1340" s="378"/>
      <c r="AF1340" s="378"/>
      <c r="AG1340" s="378"/>
    </row>
    <row r="1341">
      <c r="A1341" s="378"/>
      <c r="B1341" s="477"/>
      <c r="C1341" s="378"/>
      <c r="D1341" s="378"/>
      <c r="E1341" s="378"/>
      <c r="F1341" s="378"/>
      <c r="G1341" s="378"/>
      <c r="H1341" s="378"/>
      <c r="I1341" s="376"/>
      <c r="J1341" s="377"/>
      <c r="K1341" s="378"/>
      <c r="L1341" s="378"/>
      <c r="M1341" s="378"/>
      <c r="N1341" s="379"/>
      <c r="O1341" s="380"/>
      <c r="P1341" s="378"/>
      <c r="Q1341" s="378"/>
      <c r="R1341" s="378"/>
      <c r="S1341" s="378"/>
      <c r="T1341" s="378"/>
      <c r="U1341" s="378"/>
      <c r="V1341" s="378"/>
      <c r="W1341" s="378"/>
      <c r="X1341" s="378"/>
      <c r="Y1341" s="378"/>
      <c r="Z1341" s="378"/>
      <c r="AA1341" s="378"/>
      <c r="AB1341" s="378"/>
      <c r="AC1341" s="378"/>
      <c r="AD1341" s="378"/>
      <c r="AE1341" s="378"/>
      <c r="AF1341" s="378"/>
      <c r="AG1341" s="378"/>
    </row>
    <row r="1342">
      <c r="A1342" s="378"/>
      <c r="B1342" s="477"/>
      <c r="C1342" s="378"/>
      <c r="D1342" s="378"/>
      <c r="E1342" s="378"/>
      <c r="F1342" s="378"/>
      <c r="G1342" s="378"/>
      <c r="H1342" s="378"/>
      <c r="I1342" s="376"/>
      <c r="J1342" s="377"/>
      <c r="K1342" s="378"/>
      <c r="L1342" s="378"/>
      <c r="M1342" s="378"/>
      <c r="N1342" s="379"/>
      <c r="O1342" s="380"/>
      <c r="P1342" s="378"/>
      <c r="Q1342" s="378"/>
      <c r="R1342" s="378"/>
      <c r="S1342" s="378"/>
      <c r="T1342" s="378"/>
      <c r="U1342" s="378"/>
      <c r="V1342" s="378"/>
      <c r="W1342" s="378"/>
      <c r="X1342" s="378"/>
      <c r="Y1342" s="378"/>
      <c r="Z1342" s="378"/>
      <c r="AA1342" s="378"/>
      <c r="AB1342" s="378"/>
      <c r="AC1342" s="378"/>
      <c r="AD1342" s="378"/>
      <c r="AE1342" s="378"/>
      <c r="AF1342" s="378"/>
      <c r="AG1342" s="378"/>
    </row>
    <row r="1343">
      <c r="A1343" s="378"/>
      <c r="B1343" s="477"/>
      <c r="C1343" s="378"/>
      <c r="D1343" s="378"/>
      <c r="E1343" s="378"/>
      <c r="F1343" s="378"/>
      <c r="G1343" s="378"/>
      <c r="H1343" s="378"/>
      <c r="I1343" s="376"/>
      <c r="J1343" s="377"/>
      <c r="K1343" s="378"/>
      <c r="L1343" s="378"/>
      <c r="M1343" s="378"/>
      <c r="N1343" s="379"/>
      <c r="O1343" s="380"/>
      <c r="P1343" s="378"/>
      <c r="Q1343" s="378"/>
      <c r="R1343" s="378"/>
      <c r="S1343" s="378"/>
      <c r="T1343" s="378"/>
      <c r="U1343" s="378"/>
      <c r="V1343" s="378"/>
      <c r="W1343" s="378"/>
      <c r="X1343" s="378"/>
      <c r="Y1343" s="378"/>
      <c r="Z1343" s="378"/>
      <c r="AA1343" s="378"/>
      <c r="AB1343" s="378"/>
      <c r="AC1343" s="378"/>
      <c r="AD1343" s="378"/>
      <c r="AE1343" s="378"/>
      <c r="AF1343" s="378"/>
      <c r="AG1343" s="378"/>
    </row>
    <row r="1344">
      <c r="A1344" s="378"/>
      <c r="B1344" s="477"/>
      <c r="C1344" s="378"/>
      <c r="D1344" s="378"/>
      <c r="E1344" s="378"/>
      <c r="F1344" s="378"/>
      <c r="G1344" s="378"/>
      <c r="H1344" s="378"/>
      <c r="I1344" s="376"/>
      <c r="J1344" s="377"/>
      <c r="K1344" s="378"/>
      <c r="L1344" s="378"/>
      <c r="M1344" s="378"/>
      <c r="N1344" s="379"/>
      <c r="O1344" s="380"/>
      <c r="P1344" s="378"/>
      <c r="Q1344" s="378"/>
      <c r="R1344" s="378"/>
      <c r="S1344" s="378"/>
      <c r="T1344" s="378"/>
      <c r="U1344" s="378"/>
      <c r="V1344" s="378"/>
      <c r="W1344" s="378"/>
      <c r="X1344" s="378"/>
      <c r="Y1344" s="378"/>
      <c r="Z1344" s="378"/>
      <c r="AA1344" s="378"/>
      <c r="AB1344" s="378"/>
      <c r="AC1344" s="378"/>
      <c r="AD1344" s="378"/>
      <c r="AE1344" s="378"/>
      <c r="AF1344" s="378"/>
      <c r="AG1344" s="378"/>
    </row>
    <row r="1345">
      <c r="A1345" s="378"/>
      <c r="B1345" s="477"/>
      <c r="C1345" s="378"/>
      <c r="D1345" s="378"/>
      <c r="E1345" s="378"/>
      <c r="F1345" s="378"/>
      <c r="G1345" s="378"/>
      <c r="H1345" s="378"/>
      <c r="I1345" s="376"/>
      <c r="J1345" s="377"/>
      <c r="K1345" s="378"/>
      <c r="L1345" s="378"/>
      <c r="M1345" s="378"/>
      <c r="N1345" s="379"/>
      <c r="O1345" s="380"/>
      <c r="P1345" s="378"/>
      <c r="Q1345" s="378"/>
      <c r="R1345" s="378"/>
      <c r="S1345" s="378"/>
      <c r="T1345" s="378"/>
      <c r="U1345" s="378"/>
      <c r="V1345" s="378"/>
      <c r="W1345" s="378"/>
      <c r="X1345" s="378"/>
      <c r="Y1345" s="378"/>
      <c r="Z1345" s="378"/>
      <c r="AA1345" s="378"/>
      <c r="AB1345" s="378"/>
      <c r="AC1345" s="378"/>
      <c r="AD1345" s="378"/>
      <c r="AE1345" s="378"/>
      <c r="AF1345" s="378"/>
      <c r="AG1345" s="378"/>
    </row>
    <row r="1346">
      <c r="A1346" s="378"/>
      <c r="B1346" s="477"/>
      <c r="C1346" s="378"/>
      <c r="D1346" s="378"/>
      <c r="E1346" s="378"/>
      <c r="F1346" s="378"/>
      <c r="G1346" s="378"/>
      <c r="H1346" s="378"/>
      <c r="I1346" s="376"/>
      <c r="J1346" s="377"/>
      <c r="K1346" s="378"/>
      <c r="L1346" s="378"/>
      <c r="M1346" s="378"/>
      <c r="N1346" s="379"/>
      <c r="O1346" s="380"/>
      <c r="P1346" s="378"/>
      <c r="Q1346" s="378"/>
      <c r="R1346" s="378"/>
      <c r="S1346" s="378"/>
      <c r="T1346" s="378"/>
      <c r="U1346" s="378"/>
      <c r="V1346" s="378"/>
      <c r="W1346" s="378"/>
      <c r="X1346" s="378"/>
      <c r="Y1346" s="378"/>
      <c r="Z1346" s="378"/>
      <c r="AA1346" s="378"/>
      <c r="AB1346" s="378"/>
      <c r="AC1346" s="378"/>
      <c r="AD1346" s="378"/>
      <c r="AE1346" s="378"/>
      <c r="AF1346" s="378"/>
      <c r="AG1346" s="378"/>
    </row>
    <row r="1347">
      <c r="A1347" s="378"/>
      <c r="B1347" s="477"/>
      <c r="C1347" s="378"/>
      <c r="D1347" s="378"/>
      <c r="E1347" s="378"/>
      <c r="F1347" s="378"/>
      <c r="G1347" s="378"/>
      <c r="H1347" s="378"/>
      <c r="I1347" s="376"/>
      <c r="J1347" s="377"/>
      <c r="K1347" s="378"/>
      <c r="L1347" s="378"/>
      <c r="M1347" s="378"/>
      <c r="N1347" s="379"/>
      <c r="O1347" s="380"/>
      <c r="P1347" s="378"/>
      <c r="Q1347" s="378"/>
      <c r="R1347" s="378"/>
      <c r="S1347" s="378"/>
      <c r="T1347" s="378"/>
      <c r="U1347" s="378"/>
      <c r="V1347" s="378"/>
      <c r="W1347" s="378"/>
      <c r="X1347" s="378"/>
      <c r="Y1347" s="378"/>
      <c r="Z1347" s="378"/>
      <c r="AA1347" s="378"/>
      <c r="AB1347" s="378"/>
      <c r="AC1347" s="378"/>
      <c r="AD1347" s="378"/>
      <c r="AE1347" s="378"/>
      <c r="AF1347" s="378"/>
      <c r="AG1347" s="378"/>
    </row>
    <row r="1348">
      <c r="A1348" s="378"/>
      <c r="B1348" s="477"/>
      <c r="C1348" s="378"/>
      <c r="D1348" s="378"/>
      <c r="E1348" s="378"/>
      <c r="F1348" s="378"/>
      <c r="G1348" s="378"/>
      <c r="H1348" s="378"/>
      <c r="I1348" s="376"/>
      <c r="J1348" s="377"/>
      <c r="K1348" s="378"/>
      <c r="L1348" s="378"/>
      <c r="M1348" s="378"/>
      <c r="N1348" s="379"/>
      <c r="O1348" s="380"/>
      <c r="P1348" s="378"/>
      <c r="Q1348" s="378"/>
      <c r="R1348" s="378"/>
      <c r="S1348" s="378"/>
      <c r="T1348" s="378"/>
      <c r="U1348" s="378"/>
      <c r="V1348" s="378"/>
      <c r="W1348" s="378"/>
      <c r="X1348" s="378"/>
      <c r="Y1348" s="378"/>
      <c r="Z1348" s="378"/>
      <c r="AA1348" s="378"/>
      <c r="AB1348" s="378"/>
      <c r="AC1348" s="378"/>
      <c r="AD1348" s="378"/>
      <c r="AE1348" s="378"/>
      <c r="AF1348" s="378"/>
      <c r="AG1348" s="378"/>
    </row>
    <row r="1349">
      <c r="A1349" s="378"/>
      <c r="B1349" s="477"/>
      <c r="C1349" s="378"/>
      <c r="D1349" s="378"/>
      <c r="E1349" s="378"/>
      <c r="F1349" s="378"/>
      <c r="G1349" s="378"/>
      <c r="H1349" s="378"/>
      <c r="I1349" s="376"/>
      <c r="J1349" s="377"/>
      <c r="K1349" s="378"/>
      <c r="L1349" s="378"/>
      <c r="M1349" s="378"/>
      <c r="N1349" s="379"/>
      <c r="O1349" s="380"/>
      <c r="P1349" s="378"/>
      <c r="Q1349" s="378"/>
      <c r="R1349" s="378"/>
      <c r="S1349" s="378"/>
      <c r="T1349" s="378"/>
      <c r="U1349" s="378"/>
      <c r="V1349" s="378"/>
      <c r="W1349" s="378"/>
      <c r="X1349" s="378"/>
      <c r="Y1349" s="378"/>
      <c r="Z1349" s="378"/>
      <c r="AA1349" s="378"/>
      <c r="AB1349" s="378"/>
      <c r="AC1349" s="378"/>
      <c r="AD1349" s="378"/>
      <c r="AE1349" s="378"/>
      <c r="AF1349" s="378"/>
      <c r="AG1349" s="378"/>
    </row>
    <row r="1350">
      <c r="A1350" s="378"/>
      <c r="B1350" s="477"/>
      <c r="C1350" s="378"/>
      <c r="D1350" s="378"/>
      <c r="E1350" s="378"/>
      <c r="F1350" s="378"/>
      <c r="G1350" s="378"/>
      <c r="H1350" s="378"/>
      <c r="I1350" s="376"/>
      <c r="J1350" s="377"/>
      <c r="K1350" s="378"/>
      <c r="L1350" s="378"/>
      <c r="M1350" s="378"/>
      <c r="N1350" s="379"/>
      <c r="O1350" s="380"/>
      <c r="P1350" s="378"/>
      <c r="Q1350" s="378"/>
      <c r="R1350" s="378"/>
      <c r="S1350" s="378"/>
      <c r="T1350" s="378"/>
      <c r="U1350" s="378"/>
      <c r="V1350" s="378"/>
      <c r="W1350" s="378"/>
      <c r="X1350" s="378"/>
      <c r="Y1350" s="378"/>
      <c r="Z1350" s="378"/>
      <c r="AA1350" s="378"/>
      <c r="AB1350" s="378"/>
      <c r="AC1350" s="378"/>
      <c r="AD1350" s="378"/>
      <c r="AE1350" s="378"/>
      <c r="AF1350" s="378"/>
      <c r="AG1350" s="378"/>
    </row>
    <row r="1351">
      <c r="A1351" s="378"/>
      <c r="B1351" s="477"/>
      <c r="C1351" s="378"/>
      <c r="D1351" s="378"/>
      <c r="E1351" s="378"/>
      <c r="F1351" s="378"/>
      <c r="G1351" s="378"/>
      <c r="H1351" s="378"/>
      <c r="I1351" s="376"/>
      <c r="J1351" s="377"/>
      <c r="K1351" s="378"/>
      <c r="L1351" s="378"/>
      <c r="M1351" s="378"/>
      <c r="N1351" s="379"/>
      <c r="O1351" s="380"/>
      <c r="P1351" s="378"/>
      <c r="Q1351" s="378"/>
      <c r="R1351" s="378"/>
      <c r="S1351" s="378"/>
      <c r="T1351" s="378"/>
      <c r="U1351" s="378"/>
      <c r="V1351" s="378"/>
      <c r="W1351" s="378"/>
      <c r="X1351" s="378"/>
      <c r="Y1351" s="378"/>
      <c r="Z1351" s="378"/>
      <c r="AA1351" s="378"/>
      <c r="AB1351" s="378"/>
      <c r="AC1351" s="378"/>
      <c r="AD1351" s="378"/>
      <c r="AE1351" s="378"/>
      <c r="AF1351" s="378"/>
      <c r="AG1351" s="378"/>
    </row>
    <row r="1352">
      <c r="A1352" s="378"/>
      <c r="B1352" s="477"/>
      <c r="C1352" s="378"/>
      <c r="D1352" s="378"/>
      <c r="E1352" s="378"/>
      <c r="F1352" s="378"/>
      <c r="G1352" s="378"/>
      <c r="H1352" s="378"/>
      <c r="I1352" s="376"/>
      <c r="J1352" s="377"/>
      <c r="K1352" s="378"/>
      <c r="L1352" s="378"/>
      <c r="M1352" s="378"/>
      <c r="N1352" s="379"/>
      <c r="O1352" s="380"/>
      <c r="P1352" s="378"/>
      <c r="Q1352" s="378"/>
      <c r="R1352" s="378"/>
      <c r="S1352" s="378"/>
      <c r="T1352" s="378"/>
      <c r="U1352" s="378"/>
      <c r="V1352" s="378"/>
      <c r="W1352" s="378"/>
      <c r="X1352" s="378"/>
      <c r="Y1352" s="378"/>
      <c r="Z1352" s="378"/>
      <c r="AA1352" s="378"/>
      <c r="AB1352" s="378"/>
      <c r="AC1352" s="378"/>
      <c r="AD1352" s="378"/>
      <c r="AE1352" s="378"/>
      <c r="AF1352" s="378"/>
      <c r="AG1352" s="378"/>
    </row>
    <row r="1353">
      <c r="A1353" s="378"/>
      <c r="B1353" s="477"/>
      <c r="C1353" s="378"/>
      <c r="D1353" s="378"/>
      <c r="E1353" s="378"/>
      <c r="F1353" s="378"/>
      <c r="G1353" s="378"/>
      <c r="H1353" s="378"/>
      <c r="I1353" s="376"/>
      <c r="J1353" s="377"/>
      <c r="K1353" s="378"/>
      <c r="L1353" s="378"/>
      <c r="M1353" s="378"/>
      <c r="N1353" s="379"/>
      <c r="O1353" s="380"/>
      <c r="P1353" s="378"/>
      <c r="Q1353" s="378"/>
      <c r="R1353" s="378"/>
      <c r="S1353" s="378"/>
      <c r="T1353" s="378"/>
      <c r="U1353" s="378"/>
      <c r="V1353" s="378"/>
      <c r="W1353" s="378"/>
      <c r="X1353" s="378"/>
      <c r="Y1353" s="378"/>
      <c r="Z1353" s="378"/>
      <c r="AA1353" s="378"/>
      <c r="AB1353" s="378"/>
      <c r="AC1353" s="378"/>
      <c r="AD1353" s="378"/>
      <c r="AE1353" s="378"/>
      <c r="AF1353" s="378"/>
      <c r="AG1353" s="378"/>
    </row>
    <row r="1354">
      <c r="A1354" s="378"/>
      <c r="B1354" s="477"/>
      <c r="C1354" s="378"/>
      <c r="D1354" s="378"/>
      <c r="E1354" s="378"/>
      <c r="F1354" s="378"/>
      <c r="G1354" s="378"/>
      <c r="H1354" s="378"/>
      <c r="I1354" s="376"/>
      <c r="J1354" s="377"/>
      <c r="K1354" s="378"/>
      <c r="L1354" s="378"/>
      <c r="M1354" s="378"/>
      <c r="N1354" s="379"/>
      <c r="O1354" s="380"/>
      <c r="P1354" s="378"/>
      <c r="Q1354" s="378"/>
      <c r="R1354" s="378"/>
      <c r="S1354" s="378"/>
      <c r="T1354" s="378"/>
      <c r="U1354" s="378"/>
      <c r="V1354" s="378"/>
      <c r="W1354" s="378"/>
      <c r="X1354" s="378"/>
      <c r="Y1354" s="378"/>
      <c r="Z1354" s="378"/>
      <c r="AA1354" s="378"/>
      <c r="AB1354" s="378"/>
      <c r="AC1354" s="378"/>
      <c r="AD1354" s="378"/>
      <c r="AE1354" s="378"/>
      <c r="AF1354" s="378"/>
      <c r="AG1354" s="378"/>
    </row>
    <row r="1355">
      <c r="A1355" s="378"/>
      <c r="B1355" s="477"/>
      <c r="C1355" s="378"/>
      <c r="D1355" s="378"/>
      <c r="E1355" s="378"/>
      <c r="F1355" s="378"/>
      <c r="G1355" s="378"/>
      <c r="H1355" s="378"/>
      <c r="I1355" s="376"/>
      <c r="J1355" s="377"/>
      <c r="K1355" s="378"/>
      <c r="L1355" s="378"/>
      <c r="M1355" s="378"/>
      <c r="N1355" s="379"/>
      <c r="O1355" s="380"/>
      <c r="P1355" s="378"/>
      <c r="Q1355" s="378"/>
      <c r="R1355" s="378"/>
      <c r="S1355" s="378"/>
      <c r="T1355" s="378"/>
      <c r="U1355" s="378"/>
      <c r="V1355" s="378"/>
      <c r="W1355" s="378"/>
      <c r="X1355" s="378"/>
      <c r="Y1355" s="378"/>
      <c r="Z1355" s="378"/>
      <c r="AA1355" s="378"/>
      <c r="AB1355" s="378"/>
      <c r="AC1355" s="378"/>
      <c r="AD1355" s="378"/>
      <c r="AE1355" s="378"/>
      <c r="AF1355" s="378"/>
      <c r="AG1355" s="378"/>
    </row>
    <row r="1356">
      <c r="A1356" s="378"/>
      <c r="B1356" s="477"/>
      <c r="C1356" s="378"/>
      <c r="D1356" s="378"/>
      <c r="E1356" s="378"/>
      <c r="F1356" s="378"/>
      <c r="G1356" s="378"/>
      <c r="H1356" s="378"/>
      <c r="I1356" s="376"/>
      <c r="J1356" s="377"/>
      <c r="K1356" s="378"/>
      <c r="L1356" s="378"/>
      <c r="M1356" s="378"/>
      <c r="N1356" s="379"/>
      <c r="O1356" s="380"/>
      <c r="P1356" s="378"/>
      <c r="Q1356" s="378"/>
      <c r="R1356" s="378"/>
      <c r="S1356" s="378"/>
      <c r="T1356" s="378"/>
      <c r="U1356" s="378"/>
      <c r="V1356" s="378"/>
      <c r="W1356" s="378"/>
      <c r="X1356" s="378"/>
      <c r="Y1356" s="378"/>
      <c r="Z1356" s="378"/>
      <c r="AA1356" s="378"/>
      <c r="AB1356" s="378"/>
      <c r="AC1356" s="378"/>
      <c r="AD1356" s="378"/>
      <c r="AE1356" s="378"/>
      <c r="AF1356" s="378"/>
      <c r="AG1356" s="378"/>
    </row>
    <row r="1357">
      <c r="A1357" s="378"/>
      <c r="B1357" s="477"/>
      <c r="C1357" s="378"/>
      <c r="D1357" s="378"/>
      <c r="E1357" s="378"/>
      <c r="F1357" s="378"/>
      <c r="G1357" s="378"/>
      <c r="H1357" s="378"/>
      <c r="I1357" s="376"/>
      <c r="J1357" s="377"/>
      <c r="K1357" s="378"/>
      <c r="L1357" s="378"/>
      <c r="M1357" s="378"/>
      <c r="N1357" s="379"/>
      <c r="O1357" s="380"/>
      <c r="P1357" s="378"/>
      <c r="Q1357" s="378"/>
      <c r="R1357" s="378"/>
      <c r="S1357" s="378"/>
      <c r="T1357" s="378"/>
      <c r="U1357" s="378"/>
      <c r="V1357" s="378"/>
      <c r="W1357" s="378"/>
      <c r="X1357" s="378"/>
      <c r="Y1357" s="378"/>
      <c r="Z1357" s="378"/>
      <c r="AA1357" s="378"/>
      <c r="AB1357" s="378"/>
      <c r="AC1357" s="378"/>
      <c r="AD1357" s="378"/>
      <c r="AE1357" s="378"/>
      <c r="AF1357" s="378"/>
      <c r="AG1357" s="378"/>
    </row>
    <row r="1358">
      <c r="A1358" s="378"/>
      <c r="B1358" s="477"/>
      <c r="C1358" s="378"/>
      <c r="D1358" s="378"/>
      <c r="E1358" s="378"/>
      <c r="F1358" s="378"/>
      <c r="G1358" s="378"/>
      <c r="H1358" s="378"/>
      <c r="I1358" s="376"/>
      <c r="J1358" s="377"/>
      <c r="K1358" s="378"/>
      <c r="L1358" s="378"/>
      <c r="M1358" s="378"/>
      <c r="N1358" s="379"/>
      <c r="O1358" s="380"/>
      <c r="P1358" s="378"/>
      <c r="Q1358" s="378"/>
      <c r="R1358" s="378"/>
      <c r="S1358" s="378"/>
      <c r="T1358" s="378"/>
      <c r="U1358" s="378"/>
      <c r="V1358" s="378"/>
      <c r="W1358" s="378"/>
      <c r="X1358" s="378"/>
      <c r="Y1358" s="378"/>
      <c r="Z1358" s="378"/>
      <c r="AA1358" s="378"/>
      <c r="AB1358" s="378"/>
      <c r="AC1358" s="378"/>
      <c r="AD1358" s="378"/>
      <c r="AE1358" s="378"/>
      <c r="AF1358" s="378"/>
      <c r="AG1358" s="378"/>
    </row>
    <row r="1359">
      <c r="A1359" s="378"/>
      <c r="B1359" s="477"/>
      <c r="C1359" s="378"/>
      <c r="D1359" s="378"/>
      <c r="E1359" s="378"/>
      <c r="F1359" s="378"/>
      <c r="G1359" s="378"/>
      <c r="H1359" s="378"/>
      <c r="I1359" s="376"/>
      <c r="J1359" s="377"/>
      <c r="K1359" s="378"/>
      <c r="L1359" s="378"/>
      <c r="M1359" s="378"/>
      <c r="N1359" s="379"/>
      <c r="O1359" s="380"/>
      <c r="P1359" s="378"/>
      <c r="Q1359" s="378"/>
      <c r="R1359" s="378"/>
      <c r="S1359" s="378"/>
      <c r="T1359" s="378"/>
      <c r="U1359" s="378"/>
      <c r="V1359" s="378"/>
      <c r="W1359" s="378"/>
      <c r="X1359" s="378"/>
      <c r="Y1359" s="378"/>
      <c r="Z1359" s="378"/>
      <c r="AA1359" s="378"/>
      <c r="AB1359" s="378"/>
      <c r="AC1359" s="378"/>
      <c r="AD1359" s="378"/>
      <c r="AE1359" s="378"/>
      <c r="AF1359" s="378"/>
      <c r="AG1359" s="378"/>
    </row>
    <row r="1360">
      <c r="A1360" s="378"/>
      <c r="B1360" s="477"/>
      <c r="C1360" s="378"/>
      <c r="D1360" s="378"/>
      <c r="E1360" s="378"/>
      <c r="F1360" s="378"/>
      <c r="G1360" s="378"/>
      <c r="H1360" s="378"/>
      <c r="I1360" s="376"/>
      <c r="J1360" s="377"/>
      <c r="K1360" s="378"/>
      <c r="L1360" s="378"/>
      <c r="M1360" s="378"/>
      <c r="N1360" s="379"/>
      <c r="O1360" s="380"/>
      <c r="P1360" s="378"/>
      <c r="Q1360" s="378"/>
      <c r="R1360" s="378"/>
      <c r="S1360" s="378"/>
      <c r="T1360" s="378"/>
      <c r="U1360" s="378"/>
      <c r="V1360" s="378"/>
      <c r="W1360" s="378"/>
      <c r="X1360" s="378"/>
      <c r="Y1360" s="378"/>
      <c r="Z1360" s="378"/>
      <c r="AA1360" s="378"/>
      <c r="AB1360" s="378"/>
      <c r="AC1360" s="378"/>
      <c r="AD1360" s="378"/>
      <c r="AE1360" s="378"/>
      <c r="AF1360" s="378"/>
      <c r="AG1360" s="378"/>
    </row>
    <row r="1361">
      <c r="A1361" s="378"/>
      <c r="B1361" s="477"/>
      <c r="C1361" s="378"/>
      <c r="D1361" s="378"/>
      <c r="E1361" s="378"/>
      <c r="F1361" s="378"/>
      <c r="G1361" s="378"/>
      <c r="H1361" s="378"/>
      <c r="I1361" s="376"/>
      <c r="J1361" s="377"/>
      <c r="K1361" s="378"/>
      <c r="L1361" s="378"/>
      <c r="M1361" s="378"/>
      <c r="N1361" s="379"/>
      <c r="O1361" s="380"/>
      <c r="P1361" s="378"/>
      <c r="Q1361" s="378"/>
      <c r="R1361" s="378"/>
      <c r="S1361" s="378"/>
      <c r="T1361" s="378"/>
      <c r="U1361" s="378"/>
      <c r="V1361" s="378"/>
      <c r="W1361" s="378"/>
      <c r="X1361" s="378"/>
      <c r="Y1361" s="378"/>
      <c r="Z1361" s="378"/>
      <c r="AA1361" s="378"/>
      <c r="AB1361" s="378"/>
      <c r="AC1361" s="378"/>
      <c r="AD1361" s="378"/>
      <c r="AE1361" s="378"/>
      <c r="AF1361" s="378"/>
      <c r="AG1361" s="378"/>
    </row>
    <row r="1362">
      <c r="A1362" s="378"/>
      <c r="B1362" s="477"/>
      <c r="C1362" s="378"/>
      <c r="D1362" s="378"/>
      <c r="E1362" s="378"/>
      <c r="F1362" s="378"/>
      <c r="G1362" s="378"/>
      <c r="H1362" s="378"/>
      <c r="I1362" s="376"/>
      <c r="J1362" s="377"/>
      <c r="K1362" s="378"/>
      <c r="L1362" s="378"/>
      <c r="M1362" s="378"/>
      <c r="N1362" s="379"/>
      <c r="O1362" s="380"/>
      <c r="P1362" s="378"/>
      <c r="Q1362" s="378"/>
      <c r="R1362" s="378"/>
      <c r="S1362" s="378"/>
      <c r="T1362" s="378"/>
      <c r="U1362" s="378"/>
      <c r="V1362" s="378"/>
      <c r="W1362" s="378"/>
      <c r="X1362" s="378"/>
      <c r="Y1362" s="378"/>
      <c r="Z1362" s="378"/>
      <c r="AA1362" s="378"/>
      <c r="AB1362" s="378"/>
      <c r="AC1362" s="378"/>
      <c r="AD1362" s="378"/>
      <c r="AE1362" s="378"/>
      <c r="AF1362" s="378"/>
      <c r="AG1362" s="378"/>
    </row>
    <row r="1363">
      <c r="A1363" s="378"/>
      <c r="B1363" s="477"/>
      <c r="C1363" s="378"/>
      <c r="D1363" s="378"/>
      <c r="E1363" s="378"/>
      <c r="F1363" s="378"/>
      <c r="G1363" s="378"/>
      <c r="H1363" s="378"/>
      <c r="I1363" s="376"/>
      <c r="J1363" s="377"/>
      <c r="K1363" s="378"/>
      <c r="L1363" s="378"/>
      <c r="M1363" s="378"/>
      <c r="N1363" s="379"/>
      <c r="O1363" s="380"/>
      <c r="P1363" s="378"/>
      <c r="Q1363" s="378"/>
      <c r="R1363" s="378"/>
      <c r="S1363" s="378"/>
      <c r="T1363" s="378"/>
      <c r="U1363" s="378"/>
      <c r="V1363" s="378"/>
      <c r="W1363" s="378"/>
      <c r="X1363" s="378"/>
      <c r="Y1363" s="378"/>
      <c r="Z1363" s="378"/>
      <c r="AA1363" s="378"/>
      <c r="AB1363" s="378"/>
      <c r="AC1363" s="378"/>
      <c r="AD1363" s="378"/>
      <c r="AE1363" s="378"/>
      <c r="AF1363" s="378"/>
      <c r="AG1363" s="378"/>
    </row>
    <row r="1364">
      <c r="A1364" s="378"/>
      <c r="B1364" s="477"/>
      <c r="C1364" s="378"/>
      <c r="D1364" s="378"/>
      <c r="E1364" s="378"/>
      <c r="F1364" s="378"/>
      <c r="G1364" s="378"/>
      <c r="H1364" s="378"/>
      <c r="I1364" s="376"/>
      <c r="J1364" s="377"/>
      <c r="K1364" s="378"/>
      <c r="L1364" s="378"/>
      <c r="M1364" s="378"/>
      <c r="N1364" s="379"/>
      <c r="O1364" s="380"/>
      <c r="P1364" s="378"/>
      <c r="Q1364" s="378"/>
      <c r="R1364" s="378"/>
      <c r="S1364" s="378"/>
      <c r="T1364" s="378"/>
      <c r="U1364" s="378"/>
      <c r="V1364" s="378"/>
      <c r="W1364" s="378"/>
      <c r="X1364" s="378"/>
      <c r="Y1364" s="378"/>
      <c r="Z1364" s="378"/>
      <c r="AA1364" s="378"/>
      <c r="AB1364" s="378"/>
      <c r="AC1364" s="378"/>
      <c r="AD1364" s="378"/>
      <c r="AE1364" s="378"/>
      <c r="AF1364" s="378"/>
      <c r="AG1364" s="378"/>
    </row>
    <row r="1365">
      <c r="A1365" s="378"/>
      <c r="B1365" s="477"/>
      <c r="C1365" s="378"/>
      <c r="D1365" s="378"/>
      <c r="E1365" s="378"/>
      <c r="F1365" s="378"/>
      <c r="G1365" s="378"/>
      <c r="H1365" s="378"/>
      <c r="I1365" s="376"/>
      <c r="J1365" s="377"/>
      <c r="K1365" s="378"/>
      <c r="L1365" s="378"/>
      <c r="M1365" s="378"/>
      <c r="N1365" s="379"/>
      <c r="O1365" s="380"/>
      <c r="P1365" s="378"/>
      <c r="Q1365" s="378"/>
      <c r="R1365" s="378"/>
      <c r="S1365" s="378"/>
      <c r="T1365" s="378"/>
      <c r="U1365" s="378"/>
      <c r="V1365" s="378"/>
      <c r="W1365" s="378"/>
      <c r="X1365" s="378"/>
      <c r="Y1365" s="378"/>
      <c r="Z1365" s="378"/>
      <c r="AA1365" s="378"/>
      <c r="AB1365" s="378"/>
      <c r="AC1365" s="378"/>
      <c r="AD1365" s="378"/>
      <c r="AE1365" s="378"/>
      <c r="AF1365" s="378"/>
      <c r="AG1365" s="378"/>
    </row>
    <row r="1366">
      <c r="A1366" s="378"/>
      <c r="B1366" s="477"/>
      <c r="C1366" s="378"/>
      <c r="D1366" s="378"/>
      <c r="E1366" s="378"/>
      <c r="F1366" s="378"/>
      <c r="G1366" s="378"/>
      <c r="H1366" s="378"/>
      <c r="I1366" s="376"/>
      <c r="J1366" s="377"/>
      <c r="K1366" s="378"/>
      <c r="L1366" s="378"/>
      <c r="M1366" s="378"/>
      <c r="N1366" s="379"/>
      <c r="O1366" s="380"/>
      <c r="P1366" s="378"/>
      <c r="Q1366" s="378"/>
      <c r="R1366" s="378"/>
      <c r="S1366" s="378"/>
      <c r="T1366" s="378"/>
      <c r="U1366" s="378"/>
      <c r="V1366" s="378"/>
      <c r="W1366" s="378"/>
      <c r="X1366" s="378"/>
      <c r="Y1366" s="378"/>
      <c r="Z1366" s="378"/>
      <c r="AA1366" s="378"/>
      <c r="AB1366" s="378"/>
      <c r="AC1366" s="378"/>
      <c r="AD1366" s="378"/>
      <c r="AE1366" s="378"/>
      <c r="AF1366" s="378"/>
      <c r="AG1366" s="378"/>
    </row>
    <row r="1367">
      <c r="A1367" s="378"/>
      <c r="B1367" s="477"/>
      <c r="C1367" s="378"/>
      <c r="D1367" s="378"/>
      <c r="E1367" s="378"/>
      <c r="F1367" s="378"/>
      <c r="G1367" s="378"/>
      <c r="H1367" s="378"/>
      <c r="I1367" s="376"/>
      <c r="J1367" s="377"/>
      <c r="K1367" s="378"/>
      <c r="L1367" s="378"/>
      <c r="M1367" s="378"/>
      <c r="N1367" s="379"/>
      <c r="O1367" s="380"/>
      <c r="P1367" s="378"/>
      <c r="Q1367" s="378"/>
      <c r="R1367" s="378"/>
      <c r="S1367" s="378"/>
      <c r="T1367" s="378"/>
      <c r="U1367" s="378"/>
      <c r="V1367" s="378"/>
      <c r="W1367" s="378"/>
      <c r="X1367" s="378"/>
      <c r="Y1367" s="378"/>
      <c r="Z1367" s="378"/>
      <c r="AA1367" s="378"/>
      <c r="AB1367" s="378"/>
      <c r="AC1367" s="378"/>
      <c r="AD1367" s="378"/>
      <c r="AE1367" s="378"/>
      <c r="AF1367" s="378"/>
      <c r="AG1367" s="378"/>
    </row>
    <row r="1368">
      <c r="A1368" s="378"/>
      <c r="B1368" s="477"/>
      <c r="C1368" s="378"/>
      <c r="D1368" s="378"/>
      <c r="E1368" s="378"/>
      <c r="F1368" s="378"/>
      <c r="G1368" s="378"/>
      <c r="H1368" s="378"/>
      <c r="I1368" s="376"/>
      <c r="J1368" s="377"/>
      <c r="K1368" s="378"/>
      <c r="L1368" s="378"/>
      <c r="M1368" s="378"/>
      <c r="N1368" s="379"/>
      <c r="O1368" s="380"/>
      <c r="P1368" s="378"/>
      <c r="Q1368" s="378"/>
      <c r="R1368" s="378"/>
      <c r="S1368" s="378"/>
      <c r="T1368" s="378"/>
      <c r="U1368" s="378"/>
      <c r="V1368" s="378"/>
      <c r="W1368" s="378"/>
      <c r="X1368" s="378"/>
      <c r="Y1368" s="378"/>
      <c r="Z1368" s="378"/>
      <c r="AA1368" s="378"/>
      <c r="AB1368" s="378"/>
      <c r="AC1368" s="378"/>
      <c r="AD1368" s="378"/>
      <c r="AE1368" s="378"/>
      <c r="AF1368" s="378"/>
      <c r="AG1368" s="378"/>
    </row>
    <row r="1369">
      <c r="A1369" s="378"/>
      <c r="B1369" s="477"/>
      <c r="C1369" s="378"/>
      <c r="D1369" s="378"/>
      <c r="E1369" s="378"/>
      <c r="F1369" s="378"/>
      <c r="G1369" s="378"/>
      <c r="H1369" s="378"/>
      <c r="I1369" s="376"/>
      <c r="J1369" s="377"/>
      <c r="K1369" s="378"/>
      <c r="L1369" s="378"/>
      <c r="M1369" s="378"/>
      <c r="N1369" s="379"/>
      <c r="O1369" s="380"/>
      <c r="P1369" s="378"/>
      <c r="Q1369" s="378"/>
      <c r="R1369" s="378"/>
      <c r="S1369" s="378"/>
      <c r="T1369" s="378"/>
      <c r="U1369" s="378"/>
      <c r="V1369" s="378"/>
      <c r="W1369" s="378"/>
      <c r="X1369" s="378"/>
      <c r="Y1369" s="378"/>
      <c r="Z1369" s="378"/>
      <c r="AA1369" s="378"/>
      <c r="AB1369" s="378"/>
      <c r="AC1369" s="378"/>
      <c r="AD1369" s="378"/>
      <c r="AE1369" s="378"/>
      <c r="AF1369" s="378"/>
      <c r="AG1369" s="378"/>
    </row>
    <row r="1370">
      <c r="A1370" s="378"/>
      <c r="B1370" s="477"/>
      <c r="C1370" s="378"/>
      <c r="D1370" s="378"/>
      <c r="E1370" s="378"/>
      <c r="F1370" s="378"/>
      <c r="G1370" s="378"/>
      <c r="H1370" s="378"/>
      <c r="I1370" s="376"/>
      <c r="J1370" s="377"/>
      <c r="K1370" s="378"/>
      <c r="L1370" s="378"/>
      <c r="M1370" s="378"/>
      <c r="N1370" s="379"/>
      <c r="O1370" s="380"/>
      <c r="P1370" s="378"/>
      <c r="Q1370" s="378"/>
      <c r="R1370" s="378"/>
      <c r="S1370" s="378"/>
      <c r="T1370" s="378"/>
      <c r="U1370" s="378"/>
      <c r="V1370" s="378"/>
      <c r="W1370" s="378"/>
      <c r="X1370" s="378"/>
      <c r="Y1370" s="378"/>
      <c r="Z1370" s="378"/>
      <c r="AA1370" s="378"/>
      <c r="AB1370" s="378"/>
      <c r="AC1370" s="378"/>
      <c r="AD1370" s="378"/>
      <c r="AE1370" s="378"/>
      <c r="AF1370" s="378"/>
      <c r="AG1370" s="378"/>
    </row>
    <row r="1371">
      <c r="A1371" s="378"/>
      <c r="B1371" s="477"/>
      <c r="C1371" s="378"/>
      <c r="D1371" s="378"/>
      <c r="E1371" s="378"/>
      <c r="F1371" s="378"/>
      <c r="G1371" s="378"/>
      <c r="H1371" s="378"/>
      <c r="I1371" s="376"/>
      <c r="J1371" s="377"/>
      <c r="K1371" s="378"/>
      <c r="L1371" s="378"/>
      <c r="M1371" s="378"/>
      <c r="N1371" s="379"/>
      <c r="O1371" s="380"/>
      <c r="P1371" s="378"/>
      <c r="Q1371" s="378"/>
      <c r="R1371" s="378"/>
      <c r="S1371" s="378"/>
      <c r="T1371" s="378"/>
      <c r="U1371" s="378"/>
      <c r="V1371" s="378"/>
      <c r="W1371" s="378"/>
      <c r="X1371" s="378"/>
      <c r="Y1371" s="378"/>
      <c r="Z1371" s="378"/>
      <c r="AA1371" s="378"/>
      <c r="AB1371" s="378"/>
      <c r="AC1371" s="378"/>
      <c r="AD1371" s="378"/>
      <c r="AE1371" s="378"/>
      <c r="AF1371" s="378"/>
      <c r="AG1371" s="378"/>
    </row>
    <row r="1372">
      <c r="A1372" s="378"/>
      <c r="B1372" s="477"/>
      <c r="C1372" s="378"/>
      <c r="D1372" s="378"/>
      <c r="E1372" s="378"/>
      <c r="F1372" s="378"/>
      <c r="G1372" s="378"/>
      <c r="H1372" s="378"/>
      <c r="I1372" s="376"/>
      <c r="J1372" s="377"/>
      <c r="K1372" s="378"/>
      <c r="L1372" s="378"/>
      <c r="M1372" s="378"/>
      <c r="N1372" s="379"/>
      <c r="O1372" s="380"/>
      <c r="P1372" s="378"/>
      <c r="Q1372" s="378"/>
      <c r="R1372" s="378"/>
      <c r="S1372" s="378"/>
      <c r="T1372" s="378"/>
      <c r="U1372" s="378"/>
      <c r="V1372" s="378"/>
      <c r="W1372" s="378"/>
      <c r="X1372" s="378"/>
      <c r="Y1372" s="378"/>
      <c r="Z1372" s="378"/>
      <c r="AA1372" s="378"/>
      <c r="AB1372" s="378"/>
      <c r="AC1372" s="378"/>
      <c r="AD1372" s="378"/>
      <c r="AE1372" s="378"/>
      <c r="AF1372" s="378"/>
      <c r="AG1372" s="378"/>
    </row>
    <row r="1373">
      <c r="A1373" s="378"/>
      <c r="B1373" s="477"/>
      <c r="C1373" s="378"/>
      <c r="D1373" s="378"/>
      <c r="E1373" s="378"/>
      <c r="F1373" s="378"/>
      <c r="G1373" s="378"/>
      <c r="H1373" s="378"/>
      <c r="I1373" s="376"/>
      <c r="J1373" s="377"/>
      <c r="K1373" s="378"/>
      <c r="L1373" s="378"/>
      <c r="M1373" s="378"/>
      <c r="N1373" s="379"/>
      <c r="O1373" s="380"/>
      <c r="P1373" s="378"/>
      <c r="Q1373" s="378"/>
      <c r="R1373" s="378"/>
      <c r="S1373" s="378"/>
      <c r="T1373" s="378"/>
      <c r="U1373" s="378"/>
      <c r="V1373" s="378"/>
      <c r="W1373" s="378"/>
      <c r="X1373" s="378"/>
      <c r="Y1373" s="378"/>
      <c r="Z1373" s="378"/>
      <c r="AA1373" s="378"/>
      <c r="AB1373" s="378"/>
      <c r="AC1373" s="378"/>
      <c r="AD1373" s="378"/>
      <c r="AE1373" s="378"/>
      <c r="AF1373" s="378"/>
      <c r="AG1373" s="378"/>
    </row>
    <row r="1374">
      <c r="A1374" s="378"/>
      <c r="B1374" s="477"/>
      <c r="C1374" s="378"/>
      <c r="D1374" s="378"/>
      <c r="E1374" s="378"/>
      <c r="F1374" s="378"/>
      <c r="G1374" s="378"/>
      <c r="H1374" s="378"/>
      <c r="I1374" s="376"/>
      <c r="J1374" s="377"/>
      <c r="K1374" s="378"/>
      <c r="L1374" s="378"/>
      <c r="M1374" s="378"/>
      <c r="N1374" s="379"/>
      <c r="O1374" s="380"/>
      <c r="P1374" s="378"/>
      <c r="Q1374" s="378"/>
      <c r="R1374" s="378"/>
      <c r="S1374" s="378"/>
      <c r="T1374" s="378"/>
      <c r="U1374" s="378"/>
      <c r="V1374" s="378"/>
      <c r="W1374" s="378"/>
      <c r="X1374" s="378"/>
      <c r="Y1374" s="378"/>
      <c r="Z1374" s="378"/>
      <c r="AA1374" s="378"/>
      <c r="AB1374" s="378"/>
      <c r="AC1374" s="378"/>
      <c r="AD1374" s="378"/>
      <c r="AE1374" s="378"/>
      <c r="AF1374" s="378"/>
      <c r="AG1374" s="378"/>
    </row>
    <row r="1375">
      <c r="A1375" s="378"/>
      <c r="B1375" s="477"/>
      <c r="C1375" s="378"/>
      <c r="D1375" s="378"/>
      <c r="E1375" s="378"/>
      <c r="F1375" s="378"/>
      <c r="G1375" s="378"/>
      <c r="H1375" s="378"/>
      <c r="I1375" s="376"/>
      <c r="J1375" s="377"/>
      <c r="K1375" s="378"/>
      <c r="L1375" s="378"/>
      <c r="M1375" s="378"/>
      <c r="N1375" s="379"/>
      <c r="O1375" s="380"/>
      <c r="P1375" s="378"/>
      <c r="Q1375" s="378"/>
      <c r="R1375" s="378"/>
      <c r="S1375" s="378"/>
      <c r="T1375" s="378"/>
      <c r="U1375" s="378"/>
      <c r="V1375" s="378"/>
      <c r="W1375" s="378"/>
      <c r="X1375" s="378"/>
      <c r="Y1375" s="378"/>
      <c r="Z1375" s="378"/>
      <c r="AA1375" s="378"/>
      <c r="AB1375" s="378"/>
      <c r="AC1375" s="378"/>
      <c r="AD1375" s="378"/>
      <c r="AE1375" s="378"/>
      <c r="AF1375" s="378"/>
      <c r="AG1375" s="378"/>
    </row>
    <row r="1376">
      <c r="A1376" s="378"/>
      <c r="B1376" s="477"/>
      <c r="C1376" s="378"/>
      <c r="D1376" s="378"/>
      <c r="E1376" s="378"/>
      <c r="F1376" s="378"/>
      <c r="G1376" s="378"/>
      <c r="H1376" s="378"/>
      <c r="I1376" s="376"/>
      <c r="J1376" s="377"/>
      <c r="K1376" s="378"/>
      <c r="L1376" s="378"/>
      <c r="M1376" s="378"/>
      <c r="N1376" s="379"/>
      <c r="O1376" s="380"/>
      <c r="P1376" s="378"/>
      <c r="Q1376" s="378"/>
      <c r="R1376" s="378"/>
      <c r="S1376" s="378"/>
      <c r="T1376" s="378"/>
      <c r="U1376" s="378"/>
      <c r="V1376" s="378"/>
      <c r="W1376" s="378"/>
      <c r="X1376" s="378"/>
      <c r="Y1376" s="378"/>
      <c r="Z1376" s="378"/>
      <c r="AA1376" s="378"/>
      <c r="AB1376" s="378"/>
      <c r="AC1376" s="378"/>
      <c r="AD1376" s="378"/>
      <c r="AE1376" s="378"/>
      <c r="AF1376" s="378"/>
      <c r="AG1376" s="378"/>
    </row>
    <row r="1377">
      <c r="A1377" s="378"/>
      <c r="B1377" s="477"/>
      <c r="C1377" s="378"/>
      <c r="D1377" s="378"/>
      <c r="E1377" s="378"/>
      <c r="F1377" s="378"/>
      <c r="G1377" s="378"/>
      <c r="H1377" s="378"/>
      <c r="I1377" s="376"/>
      <c r="J1377" s="377"/>
      <c r="K1377" s="378"/>
      <c r="L1377" s="378"/>
      <c r="M1377" s="378"/>
      <c r="N1377" s="379"/>
      <c r="O1377" s="380"/>
      <c r="P1377" s="378"/>
      <c r="Q1377" s="378"/>
      <c r="R1377" s="378"/>
      <c r="S1377" s="378"/>
      <c r="T1377" s="378"/>
      <c r="U1377" s="378"/>
      <c r="V1377" s="378"/>
      <c r="W1377" s="378"/>
      <c r="X1377" s="378"/>
      <c r="Y1377" s="378"/>
      <c r="Z1377" s="378"/>
      <c r="AA1377" s="378"/>
      <c r="AB1377" s="378"/>
      <c r="AC1377" s="378"/>
      <c r="AD1377" s="378"/>
      <c r="AE1377" s="378"/>
      <c r="AF1377" s="378"/>
      <c r="AG1377" s="378"/>
    </row>
    <row r="1378">
      <c r="A1378" s="378"/>
      <c r="B1378" s="477"/>
      <c r="C1378" s="378"/>
      <c r="D1378" s="378"/>
      <c r="E1378" s="378"/>
      <c r="F1378" s="378"/>
      <c r="G1378" s="378"/>
      <c r="H1378" s="378"/>
      <c r="I1378" s="376"/>
      <c r="J1378" s="377"/>
      <c r="K1378" s="378"/>
      <c r="L1378" s="378"/>
      <c r="M1378" s="378"/>
      <c r="N1378" s="379"/>
      <c r="O1378" s="380"/>
      <c r="P1378" s="378"/>
      <c r="Q1378" s="378"/>
      <c r="R1378" s="378"/>
      <c r="S1378" s="378"/>
      <c r="T1378" s="378"/>
      <c r="U1378" s="378"/>
      <c r="V1378" s="378"/>
      <c r="W1378" s="378"/>
      <c r="X1378" s="378"/>
      <c r="Y1378" s="378"/>
      <c r="Z1378" s="378"/>
      <c r="AA1378" s="378"/>
      <c r="AB1378" s="378"/>
      <c r="AC1378" s="378"/>
      <c r="AD1378" s="378"/>
      <c r="AE1378" s="378"/>
      <c r="AF1378" s="378"/>
      <c r="AG1378" s="378"/>
    </row>
    <row r="1379">
      <c r="A1379" s="378"/>
      <c r="B1379" s="477"/>
      <c r="C1379" s="378"/>
      <c r="D1379" s="378"/>
      <c r="E1379" s="378"/>
      <c r="F1379" s="378"/>
      <c r="G1379" s="378"/>
      <c r="H1379" s="378"/>
      <c r="I1379" s="376"/>
      <c r="J1379" s="377"/>
      <c r="K1379" s="378"/>
      <c r="L1379" s="378"/>
      <c r="M1379" s="378"/>
      <c r="N1379" s="379"/>
      <c r="O1379" s="380"/>
      <c r="P1379" s="378"/>
      <c r="Q1379" s="378"/>
      <c r="R1379" s="378"/>
      <c r="S1379" s="378"/>
      <c r="T1379" s="378"/>
      <c r="U1379" s="378"/>
      <c r="V1379" s="378"/>
      <c r="W1379" s="378"/>
      <c r="X1379" s="378"/>
      <c r="Y1379" s="378"/>
      <c r="Z1379" s="378"/>
      <c r="AA1379" s="378"/>
      <c r="AB1379" s="378"/>
      <c r="AC1379" s="378"/>
      <c r="AD1379" s="378"/>
      <c r="AE1379" s="378"/>
      <c r="AF1379" s="378"/>
      <c r="AG1379" s="378"/>
    </row>
    <row r="1380">
      <c r="A1380" s="378"/>
      <c r="B1380" s="477"/>
      <c r="C1380" s="378"/>
      <c r="D1380" s="378"/>
      <c r="E1380" s="378"/>
      <c r="F1380" s="378"/>
      <c r="G1380" s="378"/>
      <c r="H1380" s="378"/>
      <c r="I1380" s="376"/>
      <c r="J1380" s="377"/>
      <c r="K1380" s="378"/>
      <c r="L1380" s="378"/>
      <c r="M1380" s="378"/>
      <c r="N1380" s="379"/>
      <c r="O1380" s="380"/>
      <c r="P1380" s="378"/>
      <c r="Q1380" s="378"/>
      <c r="R1380" s="378"/>
      <c r="S1380" s="378"/>
      <c r="T1380" s="378"/>
      <c r="U1380" s="378"/>
      <c r="V1380" s="378"/>
      <c r="W1380" s="378"/>
      <c r="X1380" s="378"/>
      <c r="Y1380" s="378"/>
      <c r="Z1380" s="378"/>
      <c r="AA1380" s="378"/>
      <c r="AB1380" s="378"/>
      <c r="AC1380" s="378"/>
      <c r="AD1380" s="378"/>
      <c r="AE1380" s="378"/>
      <c r="AF1380" s="378"/>
      <c r="AG1380" s="378"/>
    </row>
    <row r="1381">
      <c r="A1381" s="378"/>
      <c r="B1381" s="477"/>
      <c r="C1381" s="378"/>
      <c r="D1381" s="378"/>
      <c r="E1381" s="378"/>
      <c r="F1381" s="378"/>
      <c r="G1381" s="378"/>
      <c r="H1381" s="378"/>
      <c r="I1381" s="376"/>
      <c r="J1381" s="377"/>
      <c r="K1381" s="378"/>
      <c r="L1381" s="378"/>
      <c r="M1381" s="378"/>
      <c r="N1381" s="379"/>
      <c r="O1381" s="380"/>
      <c r="P1381" s="378"/>
      <c r="Q1381" s="378"/>
      <c r="R1381" s="378"/>
      <c r="S1381" s="378"/>
      <c r="T1381" s="378"/>
      <c r="U1381" s="378"/>
      <c r="V1381" s="378"/>
      <c r="W1381" s="378"/>
      <c r="X1381" s="378"/>
      <c r="Y1381" s="378"/>
      <c r="Z1381" s="378"/>
      <c r="AA1381" s="378"/>
      <c r="AB1381" s="378"/>
      <c r="AC1381" s="378"/>
      <c r="AD1381" s="378"/>
      <c r="AE1381" s="378"/>
      <c r="AF1381" s="378"/>
      <c r="AG1381" s="378"/>
    </row>
    <row r="1382">
      <c r="A1382" s="378"/>
      <c r="B1382" s="477"/>
      <c r="C1382" s="378"/>
      <c r="D1382" s="378"/>
      <c r="E1382" s="378"/>
      <c r="F1382" s="378"/>
      <c r="G1382" s="378"/>
      <c r="H1382" s="378"/>
      <c r="I1382" s="376"/>
      <c r="J1382" s="377"/>
      <c r="K1382" s="378"/>
      <c r="L1382" s="378"/>
      <c r="M1382" s="378"/>
      <c r="N1382" s="379"/>
      <c r="O1382" s="380"/>
      <c r="P1382" s="378"/>
      <c r="Q1382" s="378"/>
      <c r="R1382" s="378"/>
      <c r="S1382" s="378"/>
      <c r="T1382" s="378"/>
      <c r="U1382" s="378"/>
      <c r="V1382" s="378"/>
      <c r="W1382" s="378"/>
      <c r="X1382" s="378"/>
      <c r="Y1382" s="378"/>
      <c r="Z1382" s="378"/>
      <c r="AA1382" s="378"/>
      <c r="AB1382" s="378"/>
      <c r="AC1382" s="378"/>
      <c r="AD1382" s="378"/>
      <c r="AE1382" s="378"/>
      <c r="AF1382" s="378"/>
      <c r="AG1382" s="378"/>
    </row>
    <row r="1383">
      <c r="A1383" s="378"/>
      <c r="B1383" s="477"/>
      <c r="C1383" s="378"/>
      <c r="D1383" s="378"/>
      <c r="E1383" s="378"/>
      <c r="F1383" s="378"/>
      <c r="G1383" s="378"/>
      <c r="H1383" s="378"/>
      <c r="I1383" s="376"/>
      <c r="J1383" s="377"/>
      <c r="K1383" s="378"/>
      <c r="L1383" s="378"/>
      <c r="M1383" s="378"/>
      <c r="N1383" s="379"/>
      <c r="O1383" s="380"/>
      <c r="P1383" s="378"/>
      <c r="Q1383" s="378"/>
      <c r="R1383" s="378"/>
      <c r="S1383" s="378"/>
      <c r="T1383" s="378"/>
      <c r="U1383" s="378"/>
      <c r="V1383" s="378"/>
      <c r="W1383" s="378"/>
      <c r="X1383" s="378"/>
      <c r="Y1383" s="378"/>
      <c r="Z1383" s="378"/>
      <c r="AA1383" s="378"/>
      <c r="AB1383" s="378"/>
      <c r="AC1383" s="378"/>
      <c r="AD1383" s="378"/>
      <c r="AE1383" s="378"/>
      <c r="AF1383" s="378"/>
      <c r="AG1383" s="378"/>
    </row>
    <row r="1384">
      <c r="A1384" s="378"/>
      <c r="B1384" s="477"/>
      <c r="C1384" s="378"/>
      <c r="D1384" s="378"/>
      <c r="E1384" s="378"/>
      <c r="F1384" s="378"/>
      <c r="G1384" s="378"/>
      <c r="H1384" s="378"/>
      <c r="I1384" s="376"/>
      <c r="J1384" s="377"/>
      <c r="K1384" s="378"/>
      <c r="L1384" s="378"/>
      <c r="M1384" s="378"/>
      <c r="N1384" s="379"/>
      <c r="O1384" s="380"/>
      <c r="P1384" s="378"/>
      <c r="Q1384" s="378"/>
      <c r="R1384" s="378"/>
      <c r="S1384" s="378"/>
      <c r="T1384" s="378"/>
      <c r="U1384" s="378"/>
      <c r="V1384" s="378"/>
      <c r="W1384" s="378"/>
      <c r="X1384" s="378"/>
      <c r="Y1384" s="378"/>
      <c r="Z1384" s="378"/>
      <c r="AA1384" s="378"/>
      <c r="AB1384" s="378"/>
      <c r="AC1384" s="378"/>
      <c r="AD1384" s="378"/>
      <c r="AE1384" s="378"/>
      <c r="AF1384" s="378"/>
      <c r="AG1384" s="378"/>
    </row>
    <row r="1385">
      <c r="A1385" s="378"/>
      <c r="B1385" s="477"/>
      <c r="C1385" s="378"/>
      <c r="D1385" s="378"/>
      <c r="E1385" s="378"/>
      <c r="F1385" s="378"/>
      <c r="G1385" s="378"/>
      <c r="H1385" s="378"/>
      <c r="I1385" s="376"/>
      <c r="J1385" s="377"/>
      <c r="K1385" s="378"/>
      <c r="L1385" s="378"/>
      <c r="M1385" s="378"/>
      <c r="N1385" s="379"/>
      <c r="O1385" s="380"/>
      <c r="P1385" s="378"/>
      <c r="Q1385" s="378"/>
      <c r="R1385" s="378"/>
      <c r="S1385" s="378"/>
      <c r="T1385" s="378"/>
      <c r="U1385" s="378"/>
      <c r="V1385" s="378"/>
      <c r="W1385" s="378"/>
      <c r="X1385" s="378"/>
      <c r="Y1385" s="378"/>
      <c r="Z1385" s="378"/>
      <c r="AA1385" s="378"/>
      <c r="AB1385" s="378"/>
      <c r="AC1385" s="378"/>
      <c r="AD1385" s="378"/>
      <c r="AE1385" s="378"/>
      <c r="AF1385" s="378"/>
      <c r="AG1385" s="378"/>
    </row>
    <row r="1386">
      <c r="A1386" s="378"/>
      <c r="B1386" s="477"/>
      <c r="C1386" s="378"/>
      <c r="D1386" s="378"/>
      <c r="E1386" s="378"/>
      <c r="F1386" s="378"/>
      <c r="G1386" s="378"/>
      <c r="H1386" s="378"/>
      <c r="I1386" s="376"/>
      <c r="J1386" s="377"/>
      <c r="K1386" s="378"/>
      <c r="L1386" s="378"/>
      <c r="M1386" s="378"/>
      <c r="N1386" s="379"/>
      <c r="O1386" s="380"/>
      <c r="P1386" s="378"/>
      <c r="Q1386" s="378"/>
      <c r="R1386" s="378"/>
      <c r="S1386" s="378"/>
      <c r="T1386" s="378"/>
      <c r="U1386" s="378"/>
      <c r="V1386" s="378"/>
      <c r="W1386" s="378"/>
      <c r="X1386" s="378"/>
      <c r="Y1386" s="378"/>
      <c r="Z1386" s="378"/>
      <c r="AA1386" s="378"/>
      <c r="AB1386" s="378"/>
      <c r="AC1386" s="378"/>
      <c r="AD1386" s="378"/>
      <c r="AE1386" s="378"/>
      <c r="AF1386" s="378"/>
      <c r="AG1386" s="378"/>
    </row>
    <row r="1387">
      <c r="A1387" s="378"/>
      <c r="B1387" s="477"/>
      <c r="C1387" s="378"/>
      <c r="D1387" s="378"/>
      <c r="E1387" s="378"/>
      <c r="F1387" s="378"/>
      <c r="G1387" s="378"/>
      <c r="H1387" s="378"/>
      <c r="I1387" s="376"/>
      <c r="J1387" s="377"/>
      <c r="K1387" s="378"/>
      <c r="L1387" s="378"/>
      <c r="M1387" s="378"/>
      <c r="N1387" s="379"/>
      <c r="O1387" s="380"/>
      <c r="P1387" s="378"/>
      <c r="Q1387" s="378"/>
      <c r="R1387" s="378"/>
      <c r="S1387" s="378"/>
      <c r="T1387" s="378"/>
      <c r="U1387" s="378"/>
      <c r="V1387" s="378"/>
      <c r="W1387" s="378"/>
      <c r="X1387" s="378"/>
      <c r="Y1387" s="378"/>
      <c r="Z1387" s="378"/>
      <c r="AA1387" s="378"/>
      <c r="AB1387" s="378"/>
      <c r="AC1387" s="378"/>
      <c r="AD1387" s="378"/>
      <c r="AE1387" s="378"/>
      <c r="AF1387" s="378"/>
      <c r="AG1387" s="378"/>
    </row>
    <row r="1388">
      <c r="A1388" s="378"/>
      <c r="B1388" s="477"/>
      <c r="C1388" s="378"/>
      <c r="D1388" s="378"/>
      <c r="E1388" s="378"/>
      <c r="F1388" s="378"/>
      <c r="G1388" s="378"/>
      <c r="H1388" s="378"/>
      <c r="I1388" s="376"/>
      <c r="J1388" s="377"/>
      <c r="K1388" s="378"/>
      <c r="L1388" s="378"/>
      <c r="M1388" s="378"/>
      <c r="N1388" s="379"/>
      <c r="O1388" s="380"/>
      <c r="P1388" s="378"/>
      <c r="Q1388" s="378"/>
      <c r="R1388" s="378"/>
      <c r="S1388" s="378"/>
      <c r="T1388" s="378"/>
      <c r="U1388" s="378"/>
      <c r="V1388" s="378"/>
      <c r="W1388" s="378"/>
      <c r="X1388" s="378"/>
      <c r="Y1388" s="378"/>
      <c r="Z1388" s="378"/>
      <c r="AA1388" s="378"/>
      <c r="AB1388" s="378"/>
      <c r="AC1388" s="378"/>
      <c r="AD1388" s="378"/>
      <c r="AE1388" s="378"/>
      <c r="AF1388" s="378"/>
      <c r="AG1388" s="378"/>
    </row>
    <row r="1389">
      <c r="A1389" s="378"/>
      <c r="B1389" s="477"/>
      <c r="C1389" s="378"/>
      <c r="D1389" s="378"/>
      <c r="E1389" s="378"/>
      <c r="F1389" s="378"/>
      <c r="G1389" s="378"/>
      <c r="H1389" s="378"/>
      <c r="I1389" s="376"/>
      <c r="J1389" s="377"/>
      <c r="K1389" s="378"/>
      <c r="L1389" s="378"/>
      <c r="M1389" s="378"/>
      <c r="N1389" s="379"/>
      <c r="O1389" s="380"/>
      <c r="P1389" s="378"/>
      <c r="Q1389" s="378"/>
      <c r="R1389" s="378"/>
      <c r="S1389" s="378"/>
      <c r="T1389" s="378"/>
      <c r="U1389" s="378"/>
      <c r="V1389" s="378"/>
      <c r="W1389" s="378"/>
      <c r="X1389" s="378"/>
      <c r="Y1389" s="378"/>
      <c r="Z1389" s="378"/>
      <c r="AA1389" s="378"/>
      <c r="AB1389" s="378"/>
      <c r="AC1389" s="378"/>
      <c r="AD1389" s="378"/>
      <c r="AE1389" s="378"/>
      <c r="AF1389" s="378"/>
      <c r="AG1389" s="378"/>
    </row>
    <row r="1390">
      <c r="A1390" s="378"/>
      <c r="B1390" s="477"/>
      <c r="C1390" s="378"/>
      <c r="D1390" s="378"/>
      <c r="E1390" s="378"/>
      <c r="F1390" s="378"/>
      <c r="G1390" s="378"/>
      <c r="H1390" s="378"/>
      <c r="I1390" s="376"/>
      <c r="J1390" s="377"/>
      <c r="K1390" s="378"/>
      <c r="L1390" s="378"/>
      <c r="M1390" s="378"/>
      <c r="N1390" s="379"/>
      <c r="O1390" s="380"/>
      <c r="P1390" s="378"/>
      <c r="Q1390" s="378"/>
      <c r="R1390" s="378"/>
      <c r="S1390" s="378"/>
      <c r="T1390" s="378"/>
      <c r="U1390" s="378"/>
      <c r="V1390" s="378"/>
      <c r="W1390" s="378"/>
      <c r="X1390" s="378"/>
      <c r="Y1390" s="378"/>
      <c r="Z1390" s="378"/>
      <c r="AA1390" s="378"/>
      <c r="AB1390" s="378"/>
      <c r="AC1390" s="378"/>
      <c r="AD1390" s="378"/>
      <c r="AE1390" s="378"/>
      <c r="AF1390" s="378"/>
      <c r="AG1390" s="378"/>
    </row>
    <row r="1391">
      <c r="A1391" s="378"/>
      <c r="B1391" s="477"/>
      <c r="C1391" s="378"/>
      <c r="D1391" s="378"/>
      <c r="E1391" s="378"/>
      <c r="F1391" s="378"/>
      <c r="G1391" s="378"/>
      <c r="H1391" s="378"/>
      <c r="I1391" s="376"/>
      <c r="J1391" s="377"/>
      <c r="K1391" s="378"/>
      <c r="L1391" s="378"/>
      <c r="M1391" s="378"/>
      <c r="N1391" s="379"/>
      <c r="O1391" s="380"/>
      <c r="P1391" s="378"/>
      <c r="Q1391" s="378"/>
      <c r="R1391" s="378"/>
      <c r="S1391" s="378"/>
      <c r="T1391" s="378"/>
      <c r="U1391" s="378"/>
      <c r="V1391" s="378"/>
      <c r="W1391" s="378"/>
      <c r="X1391" s="378"/>
      <c r="Y1391" s="378"/>
      <c r="Z1391" s="378"/>
      <c r="AA1391" s="378"/>
      <c r="AB1391" s="378"/>
      <c r="AC1391" s="378"/>
      <c r="AD1391" s="378"/>
      <c r="AE1391" s="378"/>
      <c r="AF1391" s="378"/>
      <c r="AG1391" s="378"/>
    </row>
    <row r="1392">
      <c r="A1392" s="378"/>
      <c r="B1392" s="477"/>
      <c r="C1392" s="378"/>
      <c r="D1392" s="378"/>
      <c r="E1392" s="378"/>
      <c r="F1392" s="378"/>
      <c r="G1392" s="378"/>
      <c r="H1392" s="378"/>
      <c r="I1392" s="376"/>
      <c r="J1392" s="377"/>
      <c r="K1392" s="378"/>
      <c r="L1392" s="378"/>
      <c r="M1392" s="378"/>
      <c r="N1392" s="379"/>
      <c r="O1392" s="380"/>
      <c r="P1392" s="378"/>
      <c r="Q1392" s="378"/>
      <c r="R1392" s="378"/>
      <c r="S1392" s="378"/>
      <c r="T1392" s="378"/>
      <c r="U1392" s="378"/>
      <c r="V1392" s="378"/>
      <c r="W1392" s="378"/>
      <c r="X1392" s="378"/>
      <c r="Y1392" s="378"/>
      <c r="Z1392" s="378"/>
      <c r="AA1392" s="378"/>
      <c r="AB1392" s="378"/>
      <c r="AC1392" s="378"/>
      <c r="AD1392" s="378"/>
      <c r="AE1392" s="378"/>
      <c r="AF1392" s="378"/>
      <c r="AG1392" s="378"/>
    </row>
    <row r="1393">
      <c r="A1393" s="378"/>
      <c r="B1393" s="477"/>
      <c r="C1393" s="378"/>
      <c r="D1393" s="378"/>
      <c r="E1393" s="378"/>
      <c r="F1393" s="378"/>
      <c r="G1393" s="378"/>
      <c r="H1393" s="378"/>
      <c r="I1393" s="376"/>
      <c r="J1393" s="377"/>
      <c r="K1393" s="378"/>
      <c r="L1393" s="378"/>
      <c r="M1393" s="378"/>
      <c r="N1393" s="379"/>
      <c r="O1393" s="380"/>
      <c r="P1393" s="378"/>
      <c r="Q1393" s="378"/>
      <c r="R1393" s="378"/>
      <c r="S1393" s="378"/>
      <c r="T1393" s="378"/>
      <c r="U1393" s="378"/>
      <c r="V1393" s="378"/>
      <c r="W1393" s="378"/>
      <c r="X1393" s="378"/>
      <c r="Y1393" s="378"/>
      <c r="Z1393" s="378"/>
      <c r="AA1393" s="378"/>
      <c r="AB1393" s="378"/>
      <c r="AC1393" s="378"/>
      <c r="AD1393" s="378"/>
      <c r="AE1393" s="378"/>
      <c r="AF1393" s="378"/>
      <c r="AG1393" s="378"/>
    </row>
    <row r="1394">
      <c r="A1394" s="378"/>
      <c r="B1394" s="477"/>
      <c r="C1394" s="378"/>
      <c r="D1394" s="378"/>
      <c r="E1394" s="378"/>
      <c r="F1394" s="378"/>
      <c r="G1394" s="378"/>
      <c r="H1394" s="378"/>
      <c r="I1394" s="376"/>
      <c r="J1394" s="377"/>
      <c r="K1394" s="378"/>
      <c r="L1394" s="378"/>
      <c r="M1394" s="378"/>
      <c r="N1394" s="379"/>
      <c r="O1394" s="380"/>
      <c r="P1394" s="378"/>
      <c r="Q1394" s="378"/>
      <c r="R1394" s="378"/>
      <c r="S1394" s="378"/>
      <c r="T1394" s="378"/>
      <c r="U1394" s="378"/>
      <c r="V1394" s="378"/>
      <c r="W1394" s="378"/>
      <c r="X1394" s="378"/>
      <c r="Y1394" s="378"/>
      <c r="Z1394" s="378"/>
      <c r="AA1394" s="378"/>
      <c r="AB1394" s="378"/>
      <c r="AC1394" s="378"/>
      <c r="AD1394" s="378"/>
      <c r="AE1394" s="378"/>
      <c r="AF1394" s="378"/>
      <c r="AG1394" s="378"/>
    </row>
    <row r="1395">
      <c r="A1395" s="378"/>
      <c r="B1395" s="477"/>
      <c r="C1395" s="378"/>
      <c r="D1395" s="378"/>
      <c r="E1395" s="378"/>
      <c r="F1395" s="378"/>
      <c r="G1395" s="378"/>
      <c r="H1395" s="378"/>
      <c r="I1395" s="376"/>
      <c r="J1395" s="377"/>
      <c r="K1395" s="378"/>
      <c r="L1395" s="378"/>
      <c r="M1395" s="378"/>
      <c r="N1395" s="379"/>
      <c r="O1395" s="380"/>
      <c r="P1395" s="378"/>
      <c r="Q1395" s="378"/>
      <c r="R1395" s="378"/>
      <c r="S1395" s="378"/>
      <c r="T1395" s="378"/>
      <c r="U1395" s="378"/>
      <c r="V1395" s="378"/>
      <c r="W1395" s="378"/>
      <c r="X1395" s="378"/>
      <c r="Y1395" s="378"/>
      <c r="Z1395" s="378"/>
      <c r="AA1395" s="378"/>
      <c r="AB1395" s="378"/>
      <c r="AC1395" s="378"/>
      <c r="AD1395" s="378"/>
      <c r="AE1395" s="378"/>
      <c r="AF1395" s="378"/>
      <c r="AG1395" s="378"/>
    </row>
    <row r="1396">
      <c r="A1396" s="378"/>
      <c r="B1396" s="477"/>
      <c r="C1396" s="378"/>
      <c r="D1396" s="378"/>
      <c r="E1396" s="378"/>
      <c r="F1396" s="378"/>
      <c r="G1396" s="378"/>
      <c r="H1396" s="378"/>
      <c r="I1396" s="376"/>
      <c r="J1396" s="377"/>
      <c r="K1396" s="378"/>
      <c r="L1396" s="378"/>
      <c r="M1396" s="378"/>
      <c r="N1396" s="379"/>
      <c r="O1396" s="380"/>
      <c r="P1396" s="378"/>
      <c r="Q1396" s="378"/>
      <c r="R1396" s="378"/>
      <c r="S1396" s="378"/>
      <c r="T1396" s="378"/>
      <c r="U1396" s="378"/>
      <c r="V1396" s="378"/>
      <c r="W1396" s="378"/>
      <c r="X1396" s="378"/>
      <c r="Y1396" s="378"/>
      <c r="Z1396" s="378"/>
      <c r="AA1396" s="378"/>
      <c r="AB1396" s="378"/>
      <c r="AC1396" s="378"/>
      <c r="AD1396" s="378"/>
      <c r="AE1396" s="378"/>
      <c r="AF1396" s="378"/>
      <c r="AG1396" s="378"/>
    </row>
    <row r="1397">
      <c r="A1397" s="378"/>
      <c r="B1397" s="477"/>
      <c r="C1397" s="378"/>
      <c r="D1397" s="378"/>
      <c r="E1397" s="378"/>
      <c r="F1397" s="378"/>
      <c r="G1397" s="378"/>
      <c r="H1397" s="378"/>
      <c r="I1397" s="376"/>
      <c r="J1397" s="377"/>
      <c r="K1397" s="378"/>
      <c r="L1397" s="378"/>
      <c r="M1397" s="378"/>
      <c r="N1397" s="379"/>
      <c r="O1397" s="380"/>
      <c r="P1397" s="378"/>
      <c r="Q1397" s="378"/>
      <c r="R1397" s="378"/>
      <c r="S1397" s="378"/>
      <c r="T1397" s="378"/>
      <c r="U1397" s="378"/>
      <c r="V1397" s="378"/>
      <c r="W1397" s="378"/>
      <c r="X1397" s="378"/>
      <c r="Y1397" s="378"/>
      <c r="Z1397" s="378"/>
      <c r="AA1397" s="378"/>
      <c r="AB1397" s="378"/>
      <c r="AC1397" s="378"/>
      <c r="AD1397" s="378"/>
      <c r="AE1397" s="378"/>
      <c r="AF1397" s="378"/>
      <c r="AG1397" s="378"/>
    </row>
    <row r="1398">
      <c r="A1398" s="378"/>
      <c r="B1398" s="477"/>
      <c r="C1398" s="378"/>
      <c r="D1398" s="378"/>
      <c r="E1398" s="378"/>
      <c r="F1398" s="378"/>
      <c r="G1398" s="378"/>
      <c r="H1398" s="378"/>
      <c r="I1398" s="376"/>
      <c r="J1398" s="377"/>
      <c r="K1398" s="378"/>
      <c r="L1398" s="378"/>
      <c r="M1398" s="378"/>
      <c r="N1398" s="379"/>
      <c r="O1398" s="380"/>
      <c r="P1398" s="378"/>
      <c r="Q1398" s="378"/>
      <c r="R1398" s="378"/>
      <c r="S1398" s="378"/>
      <c r="T1398" s="378"/>
      <c r="U1398" s="378"/>
      <c r="V1398" s="378"/>
      <c r="W1398" s="378"/>
      <c r="X1398" s="378"/>
      <c r="Y1398" s="378"/>
      <c r="Z1398" s="378"/>
      <c r="AA1398" s="378"/>
      <c r="AB1398" s="378"/>
      <c r="AC1398" s="378"/>
      <c r="AD1398" s="378"/>
      <c r="AE1398" s="378"/>
      <c r="AF1398" s="378"/>
      <c r="AG1398" s="378"/>
    </row>
    <row r="1399">
      <c r="A1399" s="378"/>
      <c r="B1399" s="477"/>
      <c r="C1399" s="378"/>
      <c r="D1399" s="378"/>
      <c r="E1399" s="378"/>
      <c r="F1399" s="378"/>
      <c r="G1399" s="378"/>
      <c r="H1399" s="378"/>
      <c r="I1399" s="376"/>
      <c r="J1399" s="377"/>
      <c r="K1399" s="378"/>
      <c r="L1399" s="378"/>
      <c r="M1399" s="378"/>
      <c r="N1399" s="379"/>
      <c r="O1399" s="380"/>
      <c r="P1399" s="378"/>
      <c r="Q1399" s="378"/>
      <c r="R1399" s="378"/>
      <c r="S1399" s="378"/>
      <c r="T1399" s="378"/>
      <c r="U1399" s="378"/>
      <c r="V1399" s="378"/>
      <c r="W1399" s="378"/>
      <c r="X1399" s="378"/>
      <c r="Y1399" s="378"/>
      <c r="Z1399" s="378"/>
      <c r="AA1399" s="378"/>
      <c r="AB1399" s="378"/>
      <c r="AC1399" s="378"/>
      <c r="AD1399" s="378"/>
      <c r="AE1399" s="378"/>
      <c r="AF1399" s="378"/>
      <c r="AG1399" s="378"/>
    </row>
    <row r="1400">
      <c r="A1400" s="378"/>
      <c r="B1400" s="477"/>
      <c r="C1400" s="378"/>
      <c r="D1400" s="378"/>
      <c r="E1400" s="378"/>
      <c r="F1400" s="378"/>
      <c r="G1400" s="378"/>
      <c r="H1400" s="378"/>
      <c r="I1400" s="376"/>
      <c r="J1400" s="377"/>
      <c r="K1400" s="378"/>
      <c r="L1400" s="378"/>
      <c r="M1400" s="378"/>
      <c r="N1400" s="379"/>
      <c r="O1400" s="380"/>
      <c r="P1400" s="378"/>
      <c r="Q1400" s="378"/>
      <c r="R1400" s="378"/>
      <c r="S1400" s="378"/>
      <c r="T1400" s="378"/>
      <c r="U1400" s="378"/>
      <c r="V1400" s="378"/>
      <c r="W1400" s="378"/>
      <c r="X1400" s="378"/>
      <c r="Y1400" s="378"/>
      <c r="Z1400" s="378"/>
      <c r="AA1400" s="378"/>
      <c r="AB1400" s="378"/>
      <c r="AC1400" s="378"/>
      <c r="AD1400" s="378"/>
      <c r="AE1400" s="378"/>
      <c r="AF1400" s="378"/>
      <c r="AG1400" s="378"/>
    </row>
    <row r="1401">
      <c r="A1401" s="378"/>
      <c r="B1401" s="477"/>
      <c r="C1401" s="378"/>
      <c r="D1401" s="378"/>
      <c r="E1401" s="378"/>
      <c r="F1401" s="378"/>
      <c r="G1401" s="378"/>
      <c r="H1401" s="378"/>
      <c r="I1401" s="376"/>
      <c r="J1401" s="377"/>
      <c r="K1401" s="378"/>
      <c r="L1401" s="378"/>
      <c r="M1401" s="378"/>
      <c r="N1401" s="379"/>
      <c r="O1401" s="380"/>
      <c r="P1401" s="378"/>
      <c r="Q1401" s="378"/>
      <c r="R1401" s="378"/>
      <c r="S1401" s="378"/>
      <c r="T1401" s="378"/>
      <c r="U1401" s="378"/>
      <c r="V1401" s="378"/>
      <c r="W1401" s="378"/>
      <c r="X1401" s="378"/>
      <c r="Y1401" s="378"/>
      <c r="Z1401" s="378"/>
      <c r="AA1401" s="378"/>
      <c r="AB1401" s="378"/>
      <c r="AC1401" s="378"/>
      <c r="AD1401" s="378"/>
      <c r="AE1401" s="378"/>
      <c r="AF1401" s="378"/>
      <c r="AG1401" s="378"/>
    </row>
    <row r="1402">
      <c r="A1402" s="378"/>
      <c r="B1402" s="477"/>
      <c r="C1402" s="378"/>
      <c r="D1402" s="378"/>
      <c r="E1402" s="378"/>
      <c r="F1402" s="378"/>
      <c r="G1402" s="378"/>
      <c r="H1402" s="378"/>
      <c r="I1402" s="376"/>
      <c r="J1402" s="377"/>
      <c r="K1402" s="378"/>
      <c r="L1402" s="378"/>
      <c r="M1402" s="378"/>
      <c r="N1402" s="379"/>
      <c r="O1402" s="380"/>
      <c r="P1402" s="378"/>
      <c r="Q1402" s="378"/>
      <c r="R1402" s="378"/>
      <c r="S1402" s="378"/>
      <c r="T1402" s="378"/>
      <c r="U1402" s="378"/>
      <c r="V1402" s="378"/>
      <c r="W1402" s="378"/>
      <c r="X1402" s="378"/>
      <c r="Y1402" s="378"/>
      <c r="Z1402" s="378"/>
      <c r="AA1402" s="378"/>
      <c r="AB1402" s="378"/>
      <c r="AC1402" s="378"/>
      <c r="AD1402" s="378"/>
      <c r="AE1402" s="378"/>
      <c r="AF1402" s="378"/>
      <c r="AG1402" s="378"/>
    </row>
    <row r="1403">
      <c r="A1403" s="378"/>
      <c r="B1403" s="477"/>
      <c r="C1403" s="378"/>
      <c r="D1403" s="378"/>
      <c r="E1403" s="378"/>
      <c r="F1403" s="378"/>
      <c r="G1403" s="378"/>
      <c r="H1403" s="378"/>
      <c r="I1403" s="376"/>
      <c r="J1403" s="377"/>
      <c r="K1403" s="378"/>
      <c r="L1403" s="378"/>
      <c r="M1403" s="378"/>
      <c r="N1403" s="379"/>
      <c r="O1403" s="380"/>
      <c r="P1403" s="378"/>
      <c r="Q1403" s="378"/>
      <c r="R1403" s="378"/>
      <c r="S1403" s="378"/>
      <c r="T1403" s="378"/>
      <c r="U1403" s="378"/>
      <c r="V1403" s="378"/>
      <c r="W1403" s="378"/>
      <c r="X1403" s="378"/>
      <c r="Y1403" s="378"/>
      <c r="Z1403" s="378"/>
      <c r="AA1403" s="378"/>
      <c r="AB1403" s="378"/>
      <c r="AC1403" s="378"/>
      <c r="AD1403" s="378"/>
      <c r="AE1403" s="378"/>
      <c r="AF1403" s="378"/>
      <c r="AG1403" s="378"/>
    </row>
    <row r="1404">
      <c r="A1404" s="378"/>
      <c r="B1404" s="477"/>
      <c r="C1404" s="378"/>
      <c r="D1404" s="378"/>
      <c r="E1404" s="378"/>
      <c r="F1404" s="378"/>
      <c r="G1404" s="378"/>
      <c r="H1404" s="378"/>
      <c r="I1404" s="376"/>
      <c r="J1404" s="377"/>
      <c r="K1404" s="378"/>
      <c r="L1404" s="378"/>
      <c r="M1404" s="378"/>
      <c r="N1404" s="379"/>
      <c r="O1404" s="380"/>
      <c r="P1404" s="378"/>
      <c r="Q1404" s="378"/>
      <c r="R1404" s="378"/>
      <c r="S1404" s="378"/>
      <c r="T1404" s="378"/>
      <c r="U1404" s="378"/>
      <c r="V1404" s="378"/>
      <c r="W1404" s="378"/>
      <c r="X1404" s="378"/>
      <c r="Y1404" s="378"/>
      <c r="Z1404" s="378"/>
      <c r="AA1404" s="378"/>
      <c r="AB1404" s="378"/>
      <c r="AC1404" s="378"/>
      <c r="AD1404" s="378"/>
      <c r="AE1404" s="378"/>
      <c r="AF1404" s="378"/>
      <c r="AG1404" s="378"/>
    </row>
    <row r="1405">
      <c r="A1405" s="378"/>
      <c r="B1405" s="477"/>
      <c r="C1405" s="378"/>
      <c r="D1405" s="378"/>
      <c r="E1405" s="378"/>
      <c r="F1405" s="378"/>
      <c r="G1405" s="378"/>
      <c r="H1405" s="378"/>
      <c r="I1405" s="376"/>
      <c r="J1405" s="377"/>
      <c r="K1405" s="378"/>
      <c r="L1405" s="378"/>
      <c r="M1405" s="378"/>
      <c r="N1405" s="379"/>
      <c r="O1405" s="380"/>
      <c r="P1405" s="378"/>
      <c r="Q1405" s="378"/>
      <c r="R1405" s="378"/>
      <c r="S1405" s="378"/>
      <c r="T1405" s="378"/>
      <c r="U1405" s="378"/>
      <c r="V1405" s="378"/>
      <c r="W1405" s="378"/>
      <c r="X1405" s="378"/>
      <c r="Y1405" s="378"/>
      <c r="Z1405" s="378"/>
      <c r="AA1405" s="378"/>
      <c r="AB1405" s="378"/>
      <c r="AC1405" s="378"/>
      <c r="AD1405" s="378"/>
      <c r="AE1405" s="378"/>
      <c r="AF1405" s="378"/>
      <c r="AG1405" s="378"/>
    </row>
    <row r="1406">
      <c r="A1406" s="378"/>
      <c r="B1406" s="477"/>
      <c r="C1406" s="378"/>
      <c r="D1406" s="378"/>
      <c r="E1406" s="378"/>
      <c r="F1406" s="378"/>
      <c r="G1406" s="378"/>
      <c r="H1406" s="378"/>
      <c r="I1406" s="376"/>
      <c r="J1406" s="377"/>
      <c r="K1406" s="378"/>
      <c r="L1406" s="378"/>
      <c r="M1406" s="378"/>
      <c r="N1406" s="379"/>
      <c r="O1406" s="380"/>
      <c r="P1406" s="378"/>
      <c r="Q1406" s="378"/>
      <c r="R1406" s="378"/>
      <c r="S1406" s="378"/>
      <c r="T1406" s="378"/>
      <c r="U1406" s="378"/>
      <c r="V1406" s="378"/>
      <c r="W1406" s="378"/>
      <c r="X1406" s="378"/>
      <c r="Y1406" s="378"/>
      <c r="Z1406" s="378"/>
      <c r="AA1406" s="378"/>
      <c r="AB1406" s="378"/>
      <c r="AC1406" s="378"/>
      <c r="AD1406" s="378"/>
      <c r="AE1406" s="378"/>
      <c r="AF1406" s="378"/>
      <c r="AG1406" s="378"/>
    </row>
    <row r="1407">
      <c r="A1407" s="378"/>
      <c r="B1407" s="477"/>
      <c r="C1407" s="378"/>
      <c r="D1407" s="378"/>
      <c r="E1407" s="378"/>
      <c r="F1407" s="378"/>
      <c r="G1407" s="378"/>
      <c r="H1407" s="378"/>
      <c r="I1407" s="376"/>
      <c r="J1407" s="377"/>
      <c r="K1407" s="378"/>
      <c r="L1407" s="378"/>
      <c r="M1407" s="378"/>
      <c r="N1407" s="379"/>
      <c r="O1407" s="380"/>
      <c r="P1407" s="378"/>
      <c r="Q1407" s="378"/>
      <c r="R1407" s="378"/>
      <c r="S1407" s="378"/>
      <c r="T1407" s="378"/>
      <c r="U1407" s="378"/>
      <c r="V1407" s="378"/>
      <c r="W1407" s="378"/>
      <c r="X1407" s="378"/>
      <c r="Y1407" s="378"/>
      <c r="Z1407" s="378"/>
      <c r="AA1407" s="378"/>
      <c r="AB1407" s="378"/>
      <c r="AC1407" s="378"/>
      <c r="AD1407" s="378"/>
      <c r="AE1407" s="378"/>
      <c r="AF1407" s="378"/>
      <c r="AG1407" s="378"/>
    </row>
    <row r="1408">
      <c r="A1408" s="378"/>
      <c r="B1408" s="477"/>
      <c r="C1408" s="378"/>
      <c r="D1408" s="378"/>
      <c r="E1408" s="378"/>
      <c r="F1408" s="378"/>
      <c r="G1408" s="378"/>
      <c r="H1408" s="378"/>
      <c r="I1408" s="376"/>
      <c r="J1408" s="377"/>
      <c r="K1408" s="378"/>
      <c r="L1408" s="378"/>
      <c r="M1408" s="378"/>
      <c r="N1408" s="379"/>
      <c r="O1408" s="380"/>
      <c r="P1408" s="378"/>
      <c r="Q1408" s="378"/>
      <c r="R1408" s="378"/>
      <c r="S1408" s="378"/>
      <c r="T1408" s="378"/>
      <c r="U1408" s="378"/>
      <c r="V1408" s="378"/>
      <c r="W1408" s="378"/>
      <c r="X1408" s="378"/>
      <c r="Y1408" s="378"/>
      <c r="Z1408" s="378"/>
      <c r="AA1408" s="378"/>
      <c r="AB1408" s="378"/>
      <c r="AC1408" s="378"/>
      <c r="AD1408" s="378"/>
      <c r="AE1408" s="378"/>
      <c r="AF1408" s="378"/>
      <c r="AG1408" s="378"/>
    </row>
    <row r="1409">
      <c r="A1409" s="378"/>
      <c r="B1409" s="477"/>
      <c r="C1409" s="378"/>
      <c r="D1409" s="378"/>
      <c r="E1409" s="378"/>
      <c r="F1409" s="378"/>
      <c r="G1409" s="378"/>
      <c r="H1409" s="378"/>
      <c r="I1409" s="376"/>
      <c r="J1409" s="377"/>
      <c r="K1409" s="378"/>
      <c r="L1409" s="378"/>
      <c r="M1409" s="378"/>
      <c r="N1409" s="379"/>
      <c r="O1409" s="380"/>
      <c r="P1409" s="378"/>
      <c r="Q1409" s="378"/>
      <c r="R1409" s="378"/>
      <c r="S1409" s="378"/>
      <c r="T1409" s="378"/>
      <c r="U1409" s="378"/>
      <c r="V1409" s="378"/>
      <c r="W1409" s="378"/>
      <c r="X1409" s="378"/>
      <c r="Y1409" s="378"/>
      <c r="Z1409" s="378"/>
      <c r="AA1409" s="378"/>
      <c r="AB1409" s="378"/>
      <c r="AC1409" s="378"/>
      <c r="AD1409" s="378"/>
      <c r="AE1409" s="378"/>
      <c r="AF1409" s="378"/>
      <c r="AG1409" s="378"/>
    </row>
    <row r="1410">
      <c r="A1410" s="378"/>
      <c r="B1410" s="477"/>
      <c r="C1410" s="378"/>
      <c r="D1410" s="378"/>
      <c r="E1410" s="378"/>
      <c r="F1410" s="378"/>
      <c r="G1410" s="378"/>
      <c r="H1410" s="378"/>
      <c r="I1410" s="376"/>
      <c r="J1410" s="377"/>
      <c r="K1410" s="378"/>
      <c r="L1410" s="378"/>
      <c r="M1410" s="378"/>
      <c r="N1410" s="379"/>
      <c r="O1410" s="380"/>
      <c r="P1410" s="378"/>
      <c r="Q1410" s="378"/>
      <c r="R1410" s="378"/>
      <c r="S1410" s="378"/>
      <c r="T1410" s="378"/>
      <c r="U1410" s="378"/>
      <c r="V1410" s="378"/>
      <c r="W1410" s="378"/>
      <c r="X1410" s="378"/>
      <c r="Y1410" s="378"/>
      <c r="Z1410" s="378"/>
      <c r="AA1410" s="378"/>
      <c r="AB1410" s="378"/>
      <c r="AC1410" s="378"/>
      <c r="AD1410" s="378"/>
      <c r="AE1410" s="378"/>
      <c r="AF1410" s="378"/>
      <c r="AG1410" s="378"/>
    </row>
    <row r="1411">
      <c r="A1411" s="378"/>
      <c r="B1411" s="477"/>
      <c r="C1411" s="378"/>
      <c r="D1411" s="378"/>
      <c r="E1411" s="378"/>
      <c r="F1411" s="378"/>
      <c r="G1411" s="378"/>
      <c r="H1411" s="378"/>
      <c r="I1411" s="376"/>
      <c r="J1411" s="377"/>
      <c r="K1411" s="378"/>
      <c r="L1411" s="378"/>
      <c r="M1411" s="378"/>
      <c r="N1411" s="379"/>
      <c r="O1411" s="380"/>
      <c r="P1411" s="378"/>
      <c r="Q1411" s="378"/>
      <c r="R1411" s="378"/>
      <c r="S1411" s="378"/>
      <c r="T1411" s="378"/>
      <c r="U1411" s="378"/>
      <c r="V1411" s="378"/>
      <c r="W1411" s="378"/>
      <c r="X1411" s="378"/>
      <c r="Y1411" s="378"/>
      <c r="Z1411" s="378"/>
      <c r="AA1411" s="378"/>
      <c r="AB1411" s="378"/>
      <c r="AC1411" s="378"/>
      <c r="AD1411" s="378"/>
      <c r="AE1411" s="378"/>
      <c r="AF1411" s="378"/>
      <c r="AG1411" s="378"/>
    </row>
    <row r="1412">
      <c r="A1412" s="378"/>
      <c r="B1412" s="477"/>
      <c r="C1412" s="378"/>
      <c r="D1412" s="378"/>
      <c r="E1412" s="378"/>
      <c r="F1412" s="378"/>
      <c r="G1412" s="378"/>
      <c r="H1412" s="378"/>
      <c r="I1412" s="376"/>
      <c r="J1412" s="377"/>
      <c r="K1412" s="378"/>
      <c r="L1412" s="378"/>
      <c r="M1412" s="378"/>
      <c r="N1412" s="379"/>
      <c r="O1412" s="380"/>
      <c r="P1412" s="378"/>
      <c r="Q1412" s="378"/>
      <c r="R1412" s="378"/>
      <c r="S1412" s="378"/>
      <c r="T1412" s="378"/>
      <c r="U1412" s="378"/>
      <c r="V1412" s="378"/>
      <c r="W1412" s="378"/>
      <c r="X1412" s="378"/>
      <c r="Y1412" s="378"/>
      <c r="Z1412" s="378"/>
      <c r="AA1412" s="378"/>
      <c r="AB1412" s="378"/>
      <c r="AC1412" s="378"/>
      <c r="AD1412" s="378"/>
      <c r="AE1412" s="378"/>
      <c r="AF1412" s="378"/>
      <c r="AG1412" s="378"/>
    </row>
    <row r="1413">
      <c r="A1413" s="378"/>
      <c r="B1413" s="477"/>
      <c r="C1413" s="378"/>
      <c r="D1413" s="378"/>
      <c r="E1413" s="378"/>
      <c r="F1413" s="378"/>
      <c r="G1413" s="378"/>
      <c r="H1413" s="378"/>
      <c r="I1413" s="376"/>
      <c r="J1413" s="377"/>
      <c r="K1413" s="378"/>
      <c r="L1413" s="378"/>
      <c r="M1413" s="378"/>
      <c r="N1413" s="379"/>
      <c r="O1413" s="380"/>
      <c r="P1413" s="378"/>
      <c r="Q1413" s="378"/>
      <c r="R1413" s="378"/>
      <c r="S1413" s="378"/>
      <c r="T1413" s="378"/>
      <c r="U1413" s="378"/>
      <c r="V1413" s="378"/>
      <c r="W1413" s="378"/>
      <c r="X1413" s="378"/>
      <c r="Y1413" s="378"/>
      <c r="Z1413" s="378"/>
      <c r="AA1413" s="378"/>
      <c r="AB1413" s="378"/>
      <c r="AC1413" s="378"/>
      <c r="AD1413" s="378"/>
      <c r="AE1413" s="378"/>
      <c r="AF1413" s="378"/>
      <c r="AG1413" s="378"/>
    </row>
    <row r="1414">
      <c r="A1414" s="378"/>
      <c r="B1414" s="477"/>
      <c r="C1414" s="378"/>
      <c r="D1414" s="378"/>
      <c r="E1414" s="378"/>
      <c r="F1414" s="378"/>
      <c r="G1414" s="378"/>
      <c r="H1414" s="378"/>
      <c r="I1414" s="376"/>
      <c r="J1414" s="377"/>
      <c r="K1414" s="378"/>
      <c r="L1414" s="378"/>
      <c r="M1414" s="378"/>
      <c r="N1414" s="379"/>
      <c r="O1414" s="380"/>
      <c r="P1414" s="378"/>
      <c r="Q1414" s="378"/>
      <c r="R1414" s="378"/>
      <c r="S1414" s="378"/>
      <c r="T1414" s="378"/>
      <c r="U1414" s="378"/>
      <c r="V1414" s="378"/>
      <c r="W1414" s="378"/>
      <c r="X1414" s="378"/>
      <c r="Y1414" s="378"/>
      <c r="Z1414" s="378"/>
      <c r="AA1414" s="378"/>
      <c r="AB1414" s="378"/>
      <c r="AC1414" s="378"/>
      <c r="AD1414" s="378"/>
      <c r="AE1414" s="378"/>
      <c r="AF1414" s="378"/>
      <c r="AG1414" s="378"/>
    </row>
    <row r="1415">
      <c r="A1415" s="378"/>
      <c r="B1415" s="477"/>
      <c r="C1415" s="378"/>
      <c r="D1415" s="378"/>
      <c r="E1415" s="378"/>
      <c r="F1415" s="378"/>
      <c r="G1415" s="378"/>
      <c r="H1415" s="378"/>
      <c r="I1415" s="376"/>
      <c r="J1415" s="377"/>
      <c r="K1415" s="378"/>
      <c r="L1415" s="378"/>
      <c r="M1415" s="378"/>
      <c r="N1415" s="379"/>
      <c r="O1415" s="380"/>
      <c r="P1415" s="378"/>
      <c r="Q1415" s="378"/>
      <c r="R1415" s="378"/>
      <c r="S1415" s="378"/>
      <c r="T1415" s="378"/>
      <c r="U1415" s="378"/>
      <c r="V1415" s="378"/>
      <c r="W1415" s="378"/>
      <c r="X1415" s="378"/>
      <c r="Y1415" s="378"/>
      <c r="Z1415" s="378"/>
      <c r="AA1415" s="378"/>
      <c r="AB1415" s="378"/>
      <c r="AC1415" s="378"/>
      <c r="AD1415" s="378"/>
      <c r="AE1415" s="378"/>
      <c r="AF1415" s="378"/>
      <c r="AG1415" s="378"/>
    </row>
    <row r="1416">
      <c r="A1416" s="378"/>
      <c r="B1416" s="477"/>
      <c r="C1416" s="378"/>
      <c r="D1416" s="378"/>
      <c r="E1416" s="378"/>
      <c r="F1416" s="378"/>
      <c r="G1416" s="378"/>
      <c r="H1416" s="378"/>
      <c r="I1416" s="376"/>
      <c r="J1416" s="377"/>
      <c r="K1416" s="378"/>
      <c r="L1416" s="378"/>
      <c r="M1416" s="378"/>
      <c r="N1416" s="379"/>
      <c r="O1416" s="380"/>
      <c r="P1416" s="378"/>
      <c r="Q1416" s="378"/>
      <c r="R1416" s="378"/>
      <c r="S1416" s="378"/>
      <c r="T1416" s="378"/>
      <c r="U1416" s="378"/>
      <c r="V1416" s="378"/>
      <c r="W1416" s="378"/>
      <c r="X1416" s="378"/>
      <c r="Y1416" s="378"/>
      <c r="Z1416" s="378"/>
      <c r="AA1416" s="378"/>
      <c r="AB1416" s="378"/>
      <c r="AC1416" s="378"/>
      <c r="AD1416" s="378"/>
      <c r="AE1416" s="378"/>
      <c r="AF1416" s="378"/>
      <c r="AG1416" s="378"/>
    </row>
    <row r="1417">
      <c r="A1417" s="378"/>
      <c r="B1417" s="477"/>
      <c r="C1417" s="378"/>
      <c r="D1417" s="378"/>
      <c r="E1417" s="378"/>
      <c r="F1417" s="378"/>
      <c r="G1417" s="378"/>
      <c r="H1417" s="378"/>
      <c r="I1417" s="376"/>
      <c r="J1417" s="377"/>
      <c r="K1417" s="378"/>
      <c r="L1417" s="378"/>
      <c r="M1417" s="378"/>
      <c r="N1417" s="379"/>
      <c r="O1417" s="380"/>
      <c r="P1417" s="378"/>
      <c r="Q1417" s="378"/>
      <c r="R1417" s="378"/>
      <c r="S1417" s="378"/>
      <c r="T1417" s="378"/>
      <c r="U1417" s="378"/>
      <c r="V1417" s="378"/>
      <c r="W1417" s="378"/>
      <c r="X1417" s="378"/>
      <c r="Y1417" s="378"/>
      <c r="Z1417" s="378"/>
      <c r="AA1417" s="378"/>
      <c r="AB1417" s="378"/>
      <c r="AC1417" s="378"/>
      <c r="AD1417" s="378"/>
      <c r="AE1417" s="378"/>
      <c r="AF1417" s="378"/>
      <c r="AG1417" s="378"/>
    </row>
    <row r="1418">
      <c r="A1418" s="378"/>
      <c r="B1418" s="477"/>
      <c r="C1418" s="378"/>
      <c r="D1418" s="378"/>
      <c r="E1418" s="378"/>
      <c r="F1418" s="378"/>
      <c r="G1418" s="378"/>
      <c r="H1418" s="378"/>
      <c r="I1418" s="376"/>
      <c r="J1418" s="377"/>
      <c r="K1418" s="378"/>
      <c r="L1418" s="378"/>
      <c r="M1418" s="378"/>
      <c r="N1418" s="379"/>
      <c r="O1418" s="380"/>
      <c r="P1418" s="378"/>
      <c r="Q1418" s="378"/>
      <c r="R1418" s="378"/>
      <c r="S1418" s="378"/>
      <c r="T1418" s="378"/>
      <c r="U1418" s="378"/>
      <c r="V1418" s="378"/>
      <c r="W1418" s="378"/>
      <c r="X1418" s="378"/>
      <c r="Y1418" s="378"/>
      <c r="Z1418" s="378"/>
      <c r="AA1418" s="378"/>
      <c r="AB1418" s="378"/>
      <c r="AC1418" s="378"/>
      <c r="AD1418" s="378"/>
      <c r="AE1418" s="378"/>
      <c r="AF1418" s="378"/>
      <c r="AG1418" s="378"/>
    </row>
    <row r="1419">
      <c r="A1419" s="378"/>
      <c r="B1419" s="477"/>
      <c r="C1419" s="378"/>
      <c r="D1419" s="378"/>
      <c r="E1419" s="378"/>
      <c r="F1419" s="378"/>
      <c r="G1419" s="378"/>
      <c r="H1419" s="378"/>
      <c r="I1419" s="376"/>
      <c r="J1419" s="377"/>
      <c r="K1419" s="378"/>
      <c r="L1419" s="378"/>
      <c r="M1419" s="378"/>
      <c r="N1419" s="379"/>
      <c r="O1419" s="380"/>
      <c r="P1419" s="378"/>
      <c r="Q1419" s="378"/>
      <c r="R1419" s="378"/>
      <c r="S1419" s="378"/>
      <c r="T1419" s="378"/>
      <c r="U1419" s="378"/>
      <c r="V1419" s="378"/>
      <c r="W1419" s="378"/>
      <c r="X1419" s="378"/>
      <c r="Y1419" s="378"/>
      <c r="Z1419" s="378"/>
      <c r="AA1419" s="378"/>
      <c r="AB1419" s="378"/>
      <c r="AC1419" s="378"/>
      <c r="AD1419" s="378"/>
      <c r="AE1419" s="378"/>
      <c r="AF1419" s="378"/>
      <c r="AG1419" s="378"/>
    </row>
    <row r="1420">
      <c r="A1420" s="378"/>
      <c r="B1420" s="477"/>
      <c r="C1420" s="378"/>
      <c r="D1420" s="378"/>
      <c r="E1420" s="378"/>
      <c r="F1420" s="378"/>
      <c r="G1420" s="378"/>
      <c r="H1420" s="378"/>
      <c r="I1420" s="376"/>
      <c r="J1420" s="377"/>
      <c r="K1420" s="378"/>
      <c r="L1420" s="378"/>
      <c r="M1420" s="378"/>
      <c r="N1420" s="379"/>
      <c r="O1420" s="380"/>
      <c r="P1420" s="378"/>
      <c r="Q1420" s="378"/>
      <c r="R1420" s="378"/>
      <c r="S1420" s="378"/>
      <c r="T1420" s="378"/>
      <c r="U1420" s="378"/>
      <c r="V1420" s="378"/>
      <c r="W1420" s="378"/>
      <c r="X1420" s="378"/>
      <c r="Y1420" s="378"/>
      <c r="Z1420" s="378"/>
      <c r="AA1420" s="378"/>
      <c r="AB1420" s="378"/>
      <c r="AC1420" s="378"/>
      <c r="AD1420" s="378"/>
      <c r="AE1420" s="378"/>
      <c r="AF1420" s="378"/>
      <c r="AG1420" s="378"/>
    </row>
    <row r="1421">
      <c r="A1421" s="378"/>
      <c r="B1421" s="477"/>
      <c r="C1421" s="378"/>
      <c r="D1421" s="378"/>
      <c r="E1421" s="378"/>
      <c r="F1421" s="378"/>
      <c r="G1421" s="378"/>
      <c r="H1421" s="378"/>
      <c r="I1421" s="376"/>
      <c r="J1421" s="377"/>
      <c r="K1421" s="378"/>
      <c r="L1421" s="378"/>
      <c r="M1421" s="378"/>
      <c r="N1421" s="379"/>
      <c r="O1421" s="380"/>
      <c r="P1421" s="378"/>
      <c r="Q1421" s="378"/>
      <c r="R1421" s="378"/>
      <c r="S1421" s="378"/>
      <c r="T1421" s="378"/>
      <c r="U1421" s="378"/>
      <c r="V1421" s="378"/>
      <c r="W1421" s="378"/>
      <c r="X1421" s="378"/>
      <c r="Y1421" s="378"/>
      <c r="Z1421" s="378"/>
      <c r="AA1421" s="378"/>
      <c r="AB1421" s="378"/>
      <c r="AC1421" s="378"/>
      <c r="AD1421" s="378"/>
      <c r="AE1421" s="378"/>
      <c r="AF1421" s="378"/>
      <c r="AG1421" s="378"/>
    </row>
    <row r="1422">
      <c r="A1422" s="378"/>
      <c r="B1422" s="477"/>
      <c r="C1422" s="378"/>
      <c r="D1422" s="378"/>
      <c r="E1422" s="378"/>
      <c r="F1422" s="378"/>
      <c r="G1422" s="378"/>
      <c r="H1422" s="378"/>
      <c r="I1422" s="376"/>
      <c r="J1422" s="377"/>
      <c r="K1422" s="378"/>
      <c r="L1422" s="378"/>
      <c r="M1422" s="378"/>
      <c r="N1422" s="379"/>
      <c r="O1422" s="380"/>
      <c r="P1422" s="378"/>
      <c r="Q1422" s="378"/>
      <c r="R1422" s="378"/>
      <c r="S1422" s="378"/>
      <c r="T1422" s="378"/>
      <c r="U1422" s="378"/>
      <c r="V1422" s="378"/>
      <c r="W1422" s="378"/>
      <c r="X1422" s="378"/>
      <c r="Y1422" s="378"/>
      <c r="Z1422" s="378"/>
      <c r="AA1422" s="378"/>
      <c r="AB1422" s="378"/>
      <c r="AC1422" s="378"/>
      <c r="AD1422" s="378"/>
      <c r="AE1422" s="378"/>
      <c r="AF1422" s="378"/>
      <c r="AG1422" s="378"/>
    </row>
    <row r="1423">
      <c r="A1423" s="378"/>
      <c r="B1423" s="477"/>
      <c r="C1423" s="378"/>
      <c r="D1423" s="378"/>
      <c r="E1423" s="378"/>
      <c r="F1423" s="378"/>
      <c r="G1423" s="378"/>
      <c r="H1423" s="378"/>
      <c r="I1423" s="376"/>
      <c r="J1423" s="377"/>
      <c r="K1423" s="378"/>
      <c r="L1423" s="378"/>
      <c r="M1423" s="378"/>
      <c r="N1423" s="379"/>
      <c r="O1423" s="380"/>
      <c r="P1423" s="378"/>
      <c r="Q1423" s="378"/>
      <c r="R1423" s="378"/>
      <c r="S1423" s="378"/>
      <c r="T1423" s="378"/>
      <c r="U1423" s="378"/>
      <c r="V1423" s="378"/>
      <c r="W1423" s="378"/>
      <c r="X1423" s="378"/>
      <c r="Y1423" s="378"/>
      <c r="Z1423" s="378"/>
      <c r="AA1423" s="378"/>
      <c r="AB1423" s="378"/>
      <c r="AC1423" s="378"/>
      <c r="AD1423" s="378"/>
      <c r="AE1423" s="378"/>
      <c r="AF1423" s="378"/>
      <c r="AG1423" s="378"/>
    </row>
    <row r="1424">
      <c r="A1424" s="378"/>
      <c r="B1424" s="477"/>
      <c r="C1424" s="378"/>
      <c r="D1424" s="378"/>
      <c r="E1424" s="378"/>
      <c r="F1424" s="378"/>
      <c r="G1424" s="378"/>
      <c r="H1424" s="378"/>
      <c r="I1424" s="376"/>
      <c r="J1424" s="377"/>
      <c r="K1424" s="378"/>
      <c r="L1424" s="378"/>
      <c r="M1424" s="378"/>
      <c r="N1424" s="379"/>
      <c r="O1424" s="380"/>
      <c r="P1424" s="378"/>
      <c r="Q1424" s="378"/>
      <c r="R1424" s="378"/>
      <c r="S1424" s="378"/>
      <c r="T1424" s="378"/>
      <c r="U1424" s="378"/>
      <c r="V1424" s="378"/>
      <c r="W1424" s="378"/>
      <c r="X1424" s="378"/>
      <c r="Y1424" s="378"/>
      <c r="Z1424" s="378"/>
      <c r="AA1424" s="378"/>
      <c r="AB1424" s="378"/>
      <c r="AC1424" s="378"/>
      <c r="AD1424" s="378"/>
      <c r="AE1424" s="378"/>
      <c r="AF1424" s="378"/>
      <c r="AG1424" s="378"/>
    </row>
    <row r="1425">
      <c r="A1425" s="378"/>
      <c r="B1425" s="477"/>
      <c r="C1425" s="378"/>
      <c r="D1425" s="378"/>
      <c r="E1425" s="378"/>
      <c r="F1425" s="378"/>
      <c r="G1425" s="378"/>
      <c r="H1425" s="378"/>
      <c r="I1425" s="376"/>
      <c r="J1425" s="377"/>
      <c r="K1425" s="378"/>
      <c r="L1425" s="378"/>
      <c r="M1425" s="378"/>
      <c r="N1425" s="379"/>
      <c r="O1425" s="380"/>
      <c r="P1425" s="378"/>
      <c r="Q1425" s="378"/>
      <c r="R1425" s="378"/>
      <c r="S1425" s="378"/>
      <c r="T1425" s="378"/>
      <c r="U1425" s="378"/>
      <c r="V1425" s="378"/>
      <c r="W1425" s="378"/>
      <c r="X1425" s="378"/>
      <c r="Y1425" s="378"/>
      <c r="Z1425" s="378"/>
      <c r="AA1425" s="378"/>
      <c r="AB1425" s="378"/>
      <c r="AC1425" s="378"/>
      <c r="AD1425" s="378"/>
      <c r="AE1425" s="378"/>
      <c r="AF1425" s="378"/>
      <c r="AG1425" s="378"/>
    </row>
    <row r="1426">
      <c r="A1426" s="378"/>
      <c r="B1426" s="477"/>
      <c r="C1426" s="378"/>
      <c r="D1426" s="378"/>
      <c r="E1426" s="378"/>
      <c r="F1426" s="378"/>
      <c r="G1426" s="378"/>
      <c r="H1426" s="378"/>
      <c r="I1426" s="376"/>
      <c r="J1426" s="377"/>
      <c r="K1426" s="378"/>
      <c r="L1426" s="378"/>
      <c r="M1426" s="378"/>
      <c r="N1426" s="379"/>
      <c r="O1426" s="380"/>
      <c r="P1426" s="378"/>
      <c r="Q1426" s="378"/>
      <c r="R1426" s="378"/>
      <c r="S1426" s="378"/>
      <c r="T1426" s="378"/>
      <c r="U1426" s="378"/>
      <c r="V1426" s="378"/>
      <c r="W1426" s="378"/>
      <c r="X1426" s="378"/>
      <c r="Y1426" s="378"/>
      <c r="Z1426" s="378"/>
      <c r="AA1426" s="378"/>
      <c r="AB1426" s="378"/>
      <c r="AC1426" s="378"/>
      <c r="AD1426" s="378"/>
      <c r="AE1426" s="378"/>
      <c r="AF1426" s="378"/>
      <c r="AG1426" s="378"/>
    </row>
    <row r="1427">
      <c r="A1427" s="378"/>
      <c r="B1427" s="477"/>
      <c r="C1427" s="378"/>
      <c r="D1427" s="378"/>
      <c r="E1427" s="378"/>
      <c r="F1427" s="378"/>
      <c r="G1427" s="378"/>
      <c r="H1427" s="378"/>
      <c r="I1427" s="376"/>
      <c r="J1427" s="377"/>
      <c r="K1427" s="378"/>
      <c r="L1427" s="378"/>
      <c r="M1427" s="378"/>
      <c r="N1427" s="379"/>
      <c r="O1427" s="380"/>
      <c r="P1427" s="378"/>
      <c r="Q1427" s="378"/>
      <c r="R1427" s="378"/>
      <c r="S1427" s="378"/>
      <c r="T1427" s="378"/>
      <c r="U1427" s="378"/>
      <c r="V1427" s="378"/>
      <c r="W1427" s="378"/>
      <c r="X1427" s="378"/>
      <c r="Y1427" s="378"/>
      <c r="Z1427" s="378"/>
      <c r="AA1427" s="378"/>
      <c r="AB1427" s="378"/>
      <c r="AC1427" s="378"/>
      <c r="AD1427" s="378"/>
      <c r="AE1427" s="378"/>
      <c r="AF1427" s="378"/>
      <c r="AG1427" s="378"/>
    </row>
    <row r="1428">
      <c r="A1428" s="378"/>
      <c r="B1428" s="477"/>
      <c r="C1428" s="378"/>
      <c r="D1428" s="378"/>
      <c r="E1428" s="378"/>
      <c r="F1428" s="378"/>
      <c r="G1428" s="378"/>
      <c r="H1428" s="378"/>
      <c r="I1428" s="376"/>
      <c r="J1428" s="377"/>
      <c r="K1428" s="378"/>
      <c r="L1428" s="378"/>
      <c r="M1428" s="378"/>
      <c r="N1428" s="379"/>
      <c r="O1428" s="380"/>
      <c r="P1428" s="378"/>
      <c r="Q1428" s="378"/>
      <c r="R1428" s="378"/>
      <c r="S1428" s="378"/>
      <c r="T1428" s="378"/>
      <c r="U1428" s="378"/>
      <c r="V1428" s="378"/>
      <c r="W1428" s="378"/>
      <c r="X1428" s="378"/>
      <c r="Y1428" s="378"/>
      <c r="Z1428" s="378"/>
      <c r="AA1428" s="378"/>
      <c r="AB1428" s="378"/>
      <c r="AC1428" s="378"/>
      <c r="AD1428" s="378"/>
      <c r="AE1428" s="378"/>
      <c r="AF1428" s="378"/>
      <c r="AG1428" s="378"/>
    </row>
    <row r="1429">
      <c r="A1429" s="378"/>
      <c r="B1429" s="477"/>
      <c r="C1429" s="378"/>
      <c r="D1429" s="378"/>
      <c r="E1429" s="378"/>
      <c r="F1429" s="378"/>
      <c r="G1429" s="378"/>
      <c r="H1429" s="378"/>
      <c r="I1429" s="376"/>
      <c r="J1429" s="377"/>
      <c r="K1429" s="378"/>
      <c r="L1429" s="378"/>
      <c r="M1429" s="378"/>
      <c r="N1429" s="379"/>
      <c r="O1429" s="380"/>
      <c r="P1429" s="378"/>
      <c r="Q1429" s="378"/>
      <c r="R1429" s="378"/>
      <c r="S1429" s="378"/>
      <c r="T1429" s="378"/>
      <c r="U1429" s="378"/>
      <c r="V1429" s="378"/>
      <c r="W1429" s="378"/>
      <c r="X1429" s="378"/>
      <c r="Y1429" s="378"/>
      <c r="Z1429" s="378"/>
      <c r="AA1429" s="378"/>
      <c r="AB1429" s="378"/>
      <c r="AC1429" s="378"/>
      <c r="AD1429" s="378"/>
      <c r="AE1429" s="378"/>
      <c r="AF1429" s="378"/>
      <c r="AG1429" s="378"/>
    </row>
    <row r="1430">
      <c r="A1430" s="378"/>
      <c r="B1430" s="477"/>
      <c r="C1430" s="378"/>
      <c r="D1430" s="378"/>
      <c r="E1430" s="378"/>
      <c r="F1430" s="378"/>
      <c r="G1430" s="378"/>
      <c r="H1430" s="378"/>
      <c r="I1430" s="376"/>
      <c r="J1430" s="377"/>
      <c r="K1430" s="378"/>
      <c r="L1430" s="378"/>
      <c r="M1430" s="378"/>
      <c r="N1430" s="379"/>
      <c r="O1430" s="380"/>
      <c r="P1430" s="378"/>
      <c r="Q1430" s="378"/>
      <c r="R1430" s="378"/>
      <c r="S1430" s="378"/>
      <c r="T1430" s="378"/>
      <c r="U1430" s="378"/>
      <c r="V1430" s="378"/>
      <c r="W1430" s="378"/>
      <c r="X1430" s="378"/>
      <c r="Y1430" s="378"/>
      <c r="Z1430" s="378"/>
      <c r="AA1430" s="378"/>
      <c r="AB1430" s="378"/>
      <c r="AC1430" s="378"/>
      <c r="AD1430" s="378"/>
      <c r="AE1430" s="378"/>
      <c r="AF1430" s="378"/>
      <c r="AG1430" s="378"/>
    </row>
    <row r="1431">
      <c r="A1431" s="378"/>
      <c r="B1431" s="477"/>
      <c r="C1431" s="378"/>
      <c r="D1431" s="378"/>
      <c r="E1431" s="378"/>
      <c r="F1431" s="378"/>
      <c r="G1431" s="378"/>
      <c r="H1431" s="378"/>
      <c r="I1431" s="376"/>
      <c r="J1431" s="377"/>
      <c r="K1431" s="378"/>
      <c r="L1431" s="378"/>
      <c r="M1431" s="378"/>
      <c r="N1431" s="379"/>
      <c r="O1431" s="380"/>
      <c r="P1431" s="378"/>
      <c r="Q1431" s="378"/>
      <c r="R1431" s="378"/>
      <c r="S1431" s="378"/>
      <c r="T1431" s="378"/>
      <c r="U1431" s="378"/>
      <c r="V1431" s="378"/>
      <c r="W1431" s="378"/>
      <c r="X1431" s="378"/>
      <c r="Y1431" s="378"/>
      <c r="Z1431" s="378"/>
      <c r="AA1431" s="378"/>
      <c r="AB1431" s="378"/>
      <c r="AC1431" s="378"/>
      <c r="AD1431" s="378"/>
      <c r="AE1431" s="378"/>
      <c r="AF1431" s="378"/>
      <c r="AG1431" s="378"/>
    </row>
    <row r="1432">
      <c r="A1432" s="378"/>
      <c r="B1432" s="477"/>
      <c r="C1432" s="378"/>
      <c r="D1432" s="378"/>
      <c r="E1432" s="378"/>
      <c r="F1432" s="378"/>
      <c r="G1432" s="378"/>
      <c r="H1432" s="378"/>
      <c r="I1432" s="376"/>
      <c r="J1432" s="377"/>
      <c r="K1432" s="378"/>
      <c r="L1432" s="378"/>
      <c r="M1432" s="378"/>
      <c r="N1432" s="379"/>
      <c r="O1432" s="380"/>
      <c r="P1432" s="378"/>
      <c r="Q1432" s="378"/>
      <c r="R1432" s="378"/>
      <c r="S1432" s="378"/>
      <c r="T1432" s="378"/>
      <c r="U1432" s="378"/>
      <c r="V1432" s="378"/>
      <c r="W1432" s="378"/>
      <c r="X1432" s="378"/>
      <c r="Y1432" s="378"/>
      <c r="Z1432" s="378"/>
      <c r="AA1432" s="378"/>
      <c r="AB1432" s="378"/>
      <c r="AC1432" s="378"/>
      <c r="AD1432" s="378"/>
      <c r="AE1432" s="378"/>
      <c r="AF1432" s="378"/>
      <c r="AG1432" s="378"/>
    </row>
    <row r="1433">
      <c r="A1433" s="378"/>
      <c r="B1433" s="477"/>
      <c r="C1433" s="378"/>
      <c r="D1433" s="378"/>
      <c r="E1433" s="378"/>
      <c r="F1433" s="378"/>
      <c r="G1433" s="378"/>
      <c r="H1433" s="378"/>
      <c r="I1433" s="376"/>
      <c r="J1433" s="377"/>
      <c r="K1433" s="378"/>
      <c r="L1433" s="378"/>
      <c r="M1433" s="378"/>
      <c r="N1433" s="379"/>
      <c r="O1433" s="380"/>
      <c r="P1433" s="378"/>
      <c r="Q1433" s="378"/>
      <c r="R1433" s="378"/>
      <c r="S1433" s="378"/>
      <c r="T1433" s="378"/>
      <c r="U1433" s="378"/>
      <c r="V1433" s="378"/>
      <c r="W1433" s="378"/>
      <c r="X1433" s="378"/>
      <c r="Y1433" s="378"/>
      <c r="Z1433" s="378"/>
      <c r="AA1433" s="378"/>
      <c r="AB1433" s="378"/>
      <c r="AC1433" s="378"/>
      <c r="AD1433" s="378"/>
      <c r="AE1433" s="378"/>
      <c r="AF1433" s="378"/>
      <c r="AG1433" s="378"/>
    </row>
    <row r="1434">
      <c r="A1434" s="378"/>
      <c r="B1434" s="477"/>
      <c r="C1434" s="378"/>
      <c r="D1434" s="378"/>
      <c r="E1434" s="378"/>
      <c r="F1434" s="378"/>
      <c r="G1434" s="378"/>
      <c r="H1434" s="378"/>
      <c r="I1434" s="376"/>
      <c r="J1434" s="377"/>
      <c r="K1434" s="378"/>
      <c r="L1434" s="378"/>
      <c r="M1434" s="378"/>
      <c r="N1434" s="379"/>
      <c r="O1434" s="380"/>
      <c r="P1434" s="378"/>
      <c r="Q1434" s="378"/>
      <c r="R1434" s="378"/>
      <c r="S1434" s="378"/>
      <c r="T1434" s="378"/>
      <c r="U1434" s="378"/>
      <c r="V1434" s="378"/>
      <c r="W1434" s="378"/>
      <c r="X1434" s="378"/>
      <c r="Y1434" s="378"/>
      <c r="Z1434" s="378"/>
      <c r="AA1434" s="378"/>
      <c r="AB1434" s="378"/>
      <c r="AC1434" s="378"/>
      <c r="AD1434" s="378"/>
      <c r="AE1434" s="378"/>
      <c r="AF1434" s="378"/>
      <c r="AG1434" s="378"/>
    </row>
    <row r="1435">
      <c r="A1435" s="378"/>
      <c r="B1435" s="477"/>
      <c r="C1435" s="378"/>
      <c r="D1435" s="378"/>
      <c r="E1435" s="378"/>
      <c r="F1435" s="378"/>
      <c r="G1435" s="378"/>
      <c r="H1435" s="378"/>
      <c r="I1435" s="376"/>
      <c r="J1435" s="377"/>
      <c r="K1435" s="378"/>
      <c r="L1435" s="378"/>
      <c r="M1435" s="378"/>
      <c r="N1435" s="379"/>
      <c r="O1435" s="380"/>
      <c r="P1435" s="378"/>
      <c r="Q1435" s="378"/>
      <c r="R1435" s="378"/>
      <c r="S1435" s="378"/>
      <c r="T1435" s="378"/>
      <c r="U1435" s="378"/>
      <c r="V1435" s="378"/>
      <c r="W1435" s="378"/>
      <c r="X1435" s="378"/>
      <c r="Y1435" s="378"/>
      <c r="Z1435" s="378"/>
      <c r="AA1435" s="378"/>
      <c r="AB1435" s="378"/>
      <c r="AC1435" s="378"/>
      <c r="AD1435" s="378"/>
      <c r="AE1435" s="378"/>
      <c r="AF1435" s="378"/>
      <c r="AG1435" s="378"/>
    </row>
    <row r="1436">
      <c r="A1436" s="378"/>
      <c r="B1436" s="477"/>
      <c r="C1436" s="378"/>
      <c r="D1436" s="378"/>
      <c r="E1436" s="378"/>
      <c r="F1436" s="378"/>
      <c r="G1436" s="378"/>
      <c r="H1436" s="378"/>
      <c r="I1436" s="376"/>
      <c r="J1436" s="377"/>
      <c r="K1436" s="378"/>
      <c r="L1436" s="378"/>
      <c r="M1436" s="378"/>
      <c r="N1436" s="379"/>
      <c r="O1436" s="380"/>
      <c r="P1436" s="378"/>
      <c r="Q1436" s="378"/>
      <c r="R1436" s="378"/>
      <c r="S1436" s="378"/>
      <c r="T1436" s="378"/>
      <c r="U1436" s="378"/>
      <c r="V1436" s="378"/>
      <c r="W1436" s="378"/>
      <c r="X1436" s="378"/>
      <c r="Y1436" s="378"/>
      <c r="Z1436" s="378"/>
      <c r="AA1436" s="378"/>
      <c r="AB1436" s="378"/>
      <c r="AC1436" s="378"/>
      <c r="AD1436" s="378"/>
      <c r="AE1436" s="378"/>
      <c r="AF1436" s="378"/>
      <c r="AG1436" s="378"/>
    </row>
    <row r="1437">
      <c r="A1437" s="378"/>
      <c r="B1437" s="477"/>
      <c r="C1437" s="378"/>
      <c r="D1437" s="378"/>
      <c r="E1437" s="378"/>
      <c r="F1437" s="378"/>
      <c r="G1437" s="378"/>
      <c r="H1437" s="378"/>
      <c r="I1437" s="376"/>
      <c r="J1437" s="377"/>
      <c r="K1437" s="378"/>
      <c r="L1437" s="378"/>
      <c r="M1437" s="378"/>
      <c r="N1437" s="379"/>
      <c r="O1437" s="380"/>
      <c r="P1437" s="378"/>
      <c r="Q1437" s="378"/>
      <c r="R1437" s="378"/>
      <c r="S1437" s="378"/>
      <c r="T1437" s="378"/>
      <c r="U1437" s="378"/>
      <c r="V1437" s="378"/>
      <c r="W1437" s="378"/>
      <c r="X1437" s="378"/>
      <c r="Y1437" s="378"/>
      <c r="Z1437" s="378"/>
      <c r="AA1437" s="378"/>
      <c r="AB1437" s="378"/>
      <c r="AC1437" s="378"/>
      <c r="AD1437" s="378"/>
      <c r="AE1437" s="378"/>
      <c r="AF1437" s="378"/>
      <c r="AG1437" s="378"/>
    </row>
    <row r="1438">
      <c r="A1438" s="378"/>
      <c r="B1438" s="477"/>
      <c r="C1438" s="378"/>
      <c r="D1438" s="378"/>
      <c r="E1438" s="378"/>
      <c r="F1438" s="378"/>
      <c r="G1438" s="378"/>
      <c r="H1438" s="378"/>
      <c r="I1438" s="376"/>
      <c r="J1438" s="377"/>
      <c r="K1438" s="378"/>
      <c r="L1438" s="378"/>
      <c r="M1438" s="378"/>
      <c r="N1438" s="379"/>
      <c r="O1438" s="380"/>
      <c r="P1438" s="378"/>
      <c r="Q1438" s="378"/>
      <c r="R1438" s="378"/>
      <c r="S1438" s="378"/>
      <c r="T1438" s="378"/>
      <c r="U1438" s="378"/>
      <c r="V1438" s="378"/>
      <c r="W1438" s="378"/>
      <c r="X1438" s="378"/>
      <c r="Y1438" s="378"/>
      <c r="Z1438" s="378"/>
      <c r="AA1438" s="378"/>
      <c r="AB1438" s="378"/>
      <c r="AC1438" s="378"/>
      <c r="AD1438" s="378"/>
      <c r="AE1438" s="378"/>
      <c r="AF1438" s="378"/>
      <c r="AG1438" s="378"/>
    </row>
    <row r="1439">
      <c r="A1439" s="378"/>
      <c r="B1439" s="477"/>
      <c r="C1439" s="378"/>
      <c r="D1439" s="378"/>
      <c r="E1439" s="378"/>
      <c r="F1439" s="378"/>
      <c r="G1439" s="378"/>
      <c r="H1439" s="378"/>
      <c r="I1439" s="376"/>
      <c r="J1439" s="377"/>
      <c r="K1439" s="378"/>
      <c r="L1439" s="378"/>
      <c r="M1439" s="378"/>
      <c r="N1439" s="379"/>
      <c r="O1439" s="380"/>
      <c r="P1439" s="378"/>
      <c r="Q1439" s="378"/>
      <c r="R1439" s="378"/>
      <c r="S1439" s="378"/>
      <c r="T1439" s="378"/>
      <c r="U1439" s="378"/>
      <c r="V1439" s="378"/>
      <c r="W1439" s="378"/>
      <c r="X1439" s="378"/>
      <c r="Y1439" s="378"/>
      <c r="Z1439" s="378"/>
      <c r="AA1439" s="378"/>
      <c r="AB1439" s="378"/>
      <c r="AC1439" s="378"/>
      <c r="AD1439" s="378"/>
      <c r="AE1439" s="378"/>
      <c r="AF1439" s="378"/>
      <c r="AG1439" s="378"/>
    </row>
    <row r="1440">
      <c r="A1440" s="378"/>
      <c r="B1440" s="477"/>
      <c r="C1440" s="378"/>
      <c r="D1440" s="378"/>
      <c r="E1440" s="378"/>
      <c r="F1440" s="378"/>
      <c r="G1440" s="378"/>
      <c r="H1440" s="378"/>
      <c r="I1440" s="376"/>
      <c r="J1440" s="377"/>
      <c r="K1440" s="378"/>
      <c r="L1440" s="378"/>
      <c r="M1440" s="378"/>
      <c r="N1440" s="379"/>
      <c r="O1440" s="380"/>
      <c r="P1440" s="378"/>
      <c r="Q1440" s="378"/>
      <c r="R1440" s="378"/>
      <c r="S1440" s="378"/>
      <c r="T1440" s="378"/>
      <c r="U1440" s="378"/>
      <c r="V1440" s="378"/>
      <c r="W1440" s="378"/>
      <c r="X1440" s="378"/>
      <c r="Y1440" s="378"/>
      <c r="Z1440" s="378"/>
      <c r="AA1440" s="378"/>
      <c r="AB1440" s="378"/>
      <c r="AC1440" s="378"/>
      <c r="AD1440" s="378"/>
      <c r="AE1440" s="378"/>
      <c r="AF1440" s="378"/>
      <c r="AG1440" s="378"/>
    </row>
    <row r="1441">
      <c r="A1441" s="378"/>
      <c r="B1441" s="477"/>
      <c r="C1441" s="378"/>
      <c r="D1441" s="378"/>
      <c r="E1441" s="378"/>
      <c r="F1441" s="378"/>
      <c r="G1441" s="378"/>
      <c r="H1441" s="378"/>
      <c r="I1441" s="376"/>
      <c r="J1441" s="377"/>
      <c r="K1441" s="378"/>
      <c r="L1441" s="378"/>
      <c r="M1441" s="378"/>
      <c r="N1441" s="379"/>
      <c r="O1441" s="380"/>
      <c r="P1441" s="378"/>
      <c r="Q1441" s="378"/>
      <c r="R1441" s="378"/>
      <c r="S1441" s="378"/>
      <c r="T1441" s="378"/>
      <c r="U1441" s="378"/>
      <c r="V1441" s="378"/>
      <c r="W1441" s="378"/>
      <c r="X1441" s="378"/>
      <c r="Y1441" s="378"/>
      <c r="Z1441" s="378"/>
      <c r="AA1441" s="378"/>
      <c r="AB1441" s="378"/>
      <c r="AC1441" s="378"/>
      <c r="AD1441" s="378"/>
      <c r="AE1441" s="378"/>
      <c r="AF1441" s="378"/>
      <c r="AG1441" s="378"/>
    </row>
    <row r="1442">
      <c r="A1442" s="378"/>
      <c r="B1442" s="477"/>
      <c r="C1442" s="378"/>
      <c r="D1442" s="378"/>
      <c r="E1442" s="378"/>
      <c r="F1442" s="378"/>
      <c r="G1442" s="378"/>
      <c r="H1442" s="378"/>
      <c r="I1442" s="376"/>
      <c r="J1442" s="377"/>
      <c r="K1442" s="378"/>
      <c r="L1442" s="378"/>
      <c r="M1442" s="378"/>
      <c r="N1442" s="379"/>
      <c r="O1442" s="380"/>
      <c r="P1442" s="378"/>
      <c r="Q1442" s="378"/>
      <c r="R1442" s="378"/>
      <c r="S1442" s="378"/>
      <c r="T1442" s="378"/>
      <c r="U1442" s="378"/>
      <c r="V1442" s="378"/>
      <c r="W1442" s="378"/>
      <c r="X1442" s="378"/>
      <c r="Y1442" s="378"/>
      <c r="Z1442" s="378"/>
      <c r="AA1442" s="378"/>
      <c r="AB1442" s="378"/>
      <c r="AC1442" s="378"/>
      <c r="AD1442" s="378"/>
      <c r="AE1442" s="378"/>
      <c r="AF1442" s="378"/>
      <c r="AG1442" s="378"/>
    </row>
    <row r="1443">
      <c r="A1443" s="378"/>
      <c r="B1443" s="477"/>
      <c r="C1443" s="378"/>
      <c r="D1443" s="378"/>
      <c r="E1443" s="378"/>
      <c r="F1443" s="378"/>
      <c r="G1443" s="378"/>
      <c r="H1443" s="378"/>
      <c r="I1443" s="376"/>
      <c r="J1443" s="377"/>
      <c r="K1443" s="378"/>
      <c r="L1443" s="378"/>
      <c r="M1443" s="378"/>
      <c r="N1443" s="379"/>
      <c r="O1443" s="380"/>
      <c r="P1443" s="378"/>
      <c r="Q1443" s="378"/>
      <c r="R1443" s="378"/>
      <c r="S1443" s="378"/>
      <c r="T1443" s="378"/>
      <c r="U1443" s="378"/>
      <c r="V1443" s="378"/>
      <c r="W1443" s="378"/>
      <c r="X1443" s="378"/>
      <c r="Y1443" s="378"/>
      <c r="Z1443" s="378"/>
      <c r="AA1443" s="378"/>
      <c r="AB1443" s="378"/>
      <c r="AC1443" s="378"/>
      <c r="AD1443" s="378"/>
      <c r="AE1443" s="378"/>
      <c r="AF1443" s="378"/>
      <c r="AG1443" s="378"/>
    </row>
    <row r="1444">
      <c r="A1444" s="378"/>
      <c r="B1444" s="477"/>
      <c r="C1444" s="378"/>
      <c r="D1444" s="378"/>
      <c r="E1444" s="378"/>
      <c r="F1444" s="378"/>
      <c r="G1444" s="378"/>
      <c r="H1444" s="378"/>
      <c r="I1444" s="376"/>
      <c r="J1444" s="377"/>
      <c r="K1444" s="378"/>
      <c r="L1444" s="378"/>
      <c r="M1444" s="378"/>
      <c r="N1444" s="379"/>
      <c r="O1444" s="380"/>
      <c r="P1444" s="378"/>
      <c r="Q1444" s="378"/>
      <c r="R1444" s="378"/>
      <c r="S1444" s="378"/>
      <c r="T1444" s="378"/>
      <c r="U1444" s="378"/>
      <c r="V1444" s="378"/>
      <c r="W1444" s="378"/>
      <c r="X1444" s="378"/>
      <c r="Y1444" s="378"/>
      <c r="Z1444" s="378"/>
      <c r="AA1444" s="378"/>
      <c r="AB1444" s="378"/>
      <c r="AC1444" s="378"/>
      <c r="AD1444" s="378"/>
      <c r="AE1444" s="378"/>
      <c r="AF1444" s="378"/>
      <c r="AG1444" s="378"/>
    </row>
    <row r="1445">
      <c r="A1445" s="378"/>
      <c r="B1445" s="477"/>
      <c r="C1445" s="378"/>
      <c r="D1445" s="378"/>
      <c r="E1445" s="378"/>
      <c r="F1445" s="378"/>
      <c r="G1445" s="378"/>
      <c r="H1445" s="378"/>
      <c r="I1445" s="376"/>
      <c r="J1445" s="377"/>
      <c r="K1445" s="378"/>
      <c r="L1445" s="378"/>
      <c r="M1445" s="378"/>
      <c r="N1445" s="379"/>
      <c r="O1445" s="380"/>
      <c r="P1445" s="378"/>
      <c r="Q1445" s="378"/>
      <c r="R1445" s="378"/>
      <c r="S1445" s="378"/>
      <c r="T1445" s="378"/>
      <c r="U1445" s="378"/>
      <c r="V1445" s="378"/>
      <c r="W1445" s="378"/>
      <c r="X1445" s="378"/>
      <c r="Y1445" s="378"/>
      <c r="Z1445" s="378"/>
      <c r="AA1445" s="378"/>
      <c r="AB1445" s="378"/>
      <c r="AC1445" s="378"/>
      <c r="AD1445" s="378"/>
      <c r="AE1445" s="378"/>
      <c r="AF1445" s="378"/>
      <c r="AG1445" s="378"/>
    </row>
    <row r="1446">
      <c r="A1446" s="378"/>
      <c r="B1446" s="477"/>
      <c r="C1446" s="378"/>
      <c r="D1446" s="378"/>
      <c r="E1446" s="378"/>
      <c r="F1446" s="378"/>
      <c r="G1446" s="378"/>
      <c r="H1446" s="378"/>
      <c r="I1446" s="376"/>
      <c r="J1446" s="377"/>
      <c r="K1446" s="378"/>
      <c r="L1446" s="378"/>
      <c r="M1446" s="378"/>
      <c r="N1446" s="379"/>
      <c r="O1446" s="380"/>
      <c r="P1446" s="378"/>
      <c r="Q1446" s="378"/>
      <c r="R1446" s="378"/>
      <c r="S1446" s="378"/>
      <c r="T1446" s="378"/>
      <c r="U1446" s="378"/>
      <c r="V1446" s="378"/>
      <c r="W1446" s="378"/>
      <c r="X1446" s="378"/>
      <c r="Y1446" s="378"/>
      <c r="Z1446" s="378"/>
      <c r="AA1446" s="378"/>
      <c r="AB1446" s="378"/>
      <c r="AC1446" s="378"/>
      <c r="AD1446" s="378"/>
      <c r="AE1446" s="378"/>
      <c r="AF1446" s="378"/>
      <c r="AG1446" s="378"/>
    </row>
    <row r="1447">
      <c r="A1447" s="378"/>
      <c r="B1447" s="477"/>
      <c r="C1447" s="378"/>
      <c r="D1447" s="378"/>
      <c r="E1447" s="378"/>
      <c r="F1447" s="378"/>
      <c r="G1447" s="378"/>
      <c r="H1447" s="378"/>
      <c r="I1447" s="376"/>
      <c r="J1447" s="377"/>
      <c r="K1447" s="378"/>
      <c r="L1447" s="378"/>
      <c r="M1447" s="378"/>
      <c r="N1447" s="379"/>
      <c r="O1447" s="380"/>
      <c r="P1447" s="378"/>
      <c r="Q1447" s="378"/>
      <c r="R1447" s="378"/>
      <c r="S1447" s="378"/>
      <c r="T1447" s="378"/>
      <c r="U1447" s="378"/>
      <c r="V1447" s="378"/>
      <c r="W1447" s="378"/>
      <c r="X1447" s="378"/>
      <c r="Y1447" s="378"/>
      <c r="Z1447" s="378"/>
      <c r="AA1447" s="378"/>
      <c r="AB1447" s="378"/>
      <c r="AC1447" s="378"/>
      <c r="AD1447" s="378"/>
      <c r="AE1447" s="378"/>
      <c r="AF1447" s="378"/>
      <c r="AG1447" s="378"/>
    </row>
    <row r="1448">
      <c r="A1448" s="378"/>
      <c r="B1448" s="477"/>
      <c r="C1448" s="378"/>
      <c r="D1448" s="378"/>
      <c r="E1448" s="378"/>
      <c r="F1448" s="378"/>
      <c r="G1448" s="378"/>
      <c r="H1448" s="378"/>
      <c r="I1448" s="376"/>
      <c r="J1448" s="377"/>
      <c r="K1448" s="378"/>
      <c r="L1448" s="378"/>
      <c r="M1448" s="378"/>
      <c r="N1448" s="379"/>
      <c r="O1448" s="380"/>
      <c r="P1448" s="378"/>
      <c r="Q1448" s="378"/>
      <c r="R1448" s="378"/>
      <c r="S1448" s="378"/>
      <c r="T1448" s="378"/>
      <c r="U1448" s="378"/>
      <c r="V1448" s="378"/>
      <c r="W1448" s="378"/>
      <c r="X1448" s="378"/>
      <c r="Y1448" s="378"/>
      <c r="Z1448" s="378"/>
      <c r="AA1448" s="378"/>
      <c r="AB1448" s="378"/>
      <c r="AC1448" s="378"/>
      <c r="AD1448" s="378"/>
      <c r="AE1448" s="378"/>
      <c r="AF1448" s="378"/>
      <c r="AG1448" s="378"/>
    </row>
    <row r="1449">
      <c r="A1449" s="378"/>
      <c r="B1449" s="477"/>
      <c r="C1449" s="378"/>
      <c r="D1449" s="378"/>
      <c r="E1449" s="378"/>
      <c r="F1449" s="378"/>
      <c r="G1449" s="378"/>
      <c r="H1449" s="378"/>
      <c r="I1449" s="376"/>
      <c r="J1449" s="377"/>
      <c r="K1449" s="378"/>
      <c r="L1449" s="378"/>
      <c r="M1449" s="378"/>
      <c r="N1449" s="379"/>
      <c r="O1449" s="380"/>
      <c r="P1449" s="378"/>
      <c r="Q1449" s="378"/>
      <c r="R1449" s="378"/>
      <c r="S1449" s="378"/>
      <c r="T1449" s="378"/>
      <c r="U1449" s="378"/>
      <c r="V1449" s="378"/>
      <c r="W1449" s="378"/>
      <c r="X1449" s="378"/>
      <c r="Y1449" s="378"/>
      <c r="Z1449" s="378"/>
      <c r="AA1449" s="378"/>
      <c r="AB1449" s="378"/>
      <c r="AC1449" s="378"/>
      <c r="AD1449" s="378"/>
      <c r="AE1449" s="378"/>
      <c r="AF1449" s="378"/>
      <c r="AG1449" s="378"/>
    </row>
    <row r="1450">
      <c r="A1450" s="378"/>
      <c r="B1450" s="477"/>
      <c r="C1450" s="378"/>
      <c r="D1450" s="378"/>
      <c r="E1450" s="378"/>
      <c r="F1450" s="378"/>
      <c r="G1450" s="378"/>
      <c r="H1450" s="378"/>
      <c r="I1450" s="376"/>
      <c r="J1450" s="377"/>
      <c r="K1450" s="378"/>
      <c r="L1450" s="378"/>
      <c r="M1450" s="378"/>
      <c r="N1450" s="379"/>
      <c r="O1450" s="380"/>
      <c r="P1450" s="378"/>
      <c r="Q1450" s="378"/>
      <c r="R1450" s="378"/>
      <c r="S1450" s="378"/>
      <c r="T1450" s="378"/>
      <c r="U1450" s="378"/>
      <c r="V1450" s="378"/>
      <c r="W1450" s="378"/>
      <c r="X1450" s="378"/>
      <c r="Y1450" s="378"/>
      <c r="Z1450" s="378"/>
      <c r="AA1450" s="378"/>
      <c r="AB1450" s="378"/>
      <c r="AC1450" s="378"/>
      <c r="AD1450" s="378"/>
      <c r="AE1450" s="378"/>
      <c r="AF1450" s="378"/>
      <c r="AG1450" s="378"/>
    </row>
    <row r="1451">
      <c r="A1451" s="378"/>
      <c r="B1451" s="477"/>
      <c r="C1451" s="378"/>
      <c r="D1451" s="378"/>
      <c r="E1451" s="378"/>
      <c r="F1451" s="378"/>
      <c r="G1451" s="378"/>
      <c r="H1451" s="378"/>
      <c r="I1451" s="376"/>
      <c r="J1451" s="377"/>
      <c r="K1451" s="378"/>
      <c r="L1451" s="378"/>
      <c r="M1451" s="378"/>
      <c r="N1451" s="379"/>
      <c r="O1451" s="380"/>
      <c r="P1451" s="378"/>
      <c r="Q1451" s="378"/>
      <c r="R1451" s="378"/>
      <c r="S1451" s="378"/>
      <c r="T1451" s="378"/>
      <c r="U1451" s="378"/>
      <c r="V1451" s="378"/>
      <c r="W1451" s="378"/>
      <c r="X1451" s="378"/>
      <c r="Y1451" s="378"/>
      <c r="Z1451" s="378"/>
      <c r="AA1451" s="378"/>
      <c r="AB1451" s="378"/>
      <c r="AC1451" s="378"/>
      <c r="AD1451" s="378"/>
      <c r="AE1451" s="378"/>
      <c r="AF1451" s="378"/>
      <c r="AG1451" s="378"/>
    </row>
    <row r="1452">
      <c r="A1452" s="378"/>
      <c r="B1452" s="477"/>
      <c r="C1452" s="378"/>
      <c r="D1452" s="378"/>
      <c r="E1452" s="378"/>
      <c r="F1452" s="378"/>
      <c r="G1452" s="378"/>
      <c r="H1452" s="378"/>
      <c r="I1452" s="376"/>
      <c r="J1452" s="377"/>
      <c r="K1452" s="378"/>
      <c r="L1452" s="378"/>
      <c r="M1452" s="378"/>
      <c r="N1452" s="379"/>
      <c r="O1452" s="380"/>
      <c r="P1452" s="378"/>
      <c r="Q1452" s="378"/>
      <c r="R1452" s="378"/>
      <c r="S1452" s="378"/>
      <c r="T1452" s="378"/>
      <c r="U1452" s="378"/>
      <c r="V1452" s="378"/>
      <c r="W1452" s="378"/>
      <c r="X1452" s="378"/>
      <c r="Y1452" s="378"/>
      <c r="Z1452" s="378"/>
      <c r="AA1452" s="378"/>
      <c r="AB1452" s="378"/>
      <c r="AC1452" s="378"/>
      <c r="AD1452" s="378"/>
      <c r="AE1452" s="378"/>
      <c r="AF1452" s="378"/>
      <c r="AG1452" s="378"/>
    </row>
    <row r="1453">
      <c r="A1453" s="378"/>
      <c r="B1453" s="477"/>
      <c r="C1453" s="378"/>
      <c r="D1453" s="378"/>
      <c r="E1453" s="378"/>
      <c r="F1453" s="378"/>
      <c r="G1453" s="378"/>
      <c r="H1453" s="378"/>
      <c r="I1453" s="376"/>
      <c r="J1453" s="377"/>
      <c r="K1453" s="378"/>
      <c r="L1453" s="378"/>
      <c r="M1453" s="378"/>
      <c r="N1453" s="379"/>
      <c r="O1453" s="380"/>
      <c r="P1453" s="378"/>
      <c r="Q1453" s="378"/>
      <c r="R1453" s="378"/>
      <c r="S1453" s="378"/>
      <c r="T1453" s="378"/>
      <c r="U1453" s="378"/>
      <c r="V1453" s="378"/>
      <c r="W1453" s="378"/>
      <c r="X1453" s="378"/>
      <c r="Y1453" s="378"/>
      <c r="Z1453" s="378"/>
      <c r="AA1453" s="378"/>
      <c r="AB1453" s="378"/>
      <c r="AC1453" s="378"/>
      <c r="AD1453" s="378"/>
      <c r="AE1453" s="378"/>
      <c r="AF1453" s="378"/>
      <c r="AG1453" s="378"/>
    </row>
    <row r="1454">
      <c r="A1454" s="378"/>
      <c r="B1454" s="477"/>
      <c r="C1454" s="378"/>
      <c r="D1454" s="378"/>
      <c r="E1454" s="378"/>
      <c r="F1454" s="378"/>
      <c r="G1454" s="378"/>
      <c r="H1454" s="378"/>
      <c r="I1454" s="376"/>
      <c r="J1454" s="377"/>
      <c r="K1454" s="378"/>
      <c r="L1454" s="378"/>
      <c r="M1454" s="378"/>
      <c r="N1454" s="379"/>
      <c r="O1454" s="380"/>
      <c r="P1454" s="378"/>
      <c r="Q1454" s="378"/>
      <c r="R1454" s="378"/>
      <c r="S1454" s="378"/>
      <c r="T1454" s="378"/>
      <c r="U1454" s="378"/>
      <c r="V1454" s="378"/>
      <c r="W1454" s="378"/>
      <c r="X1454" s="378"/>
      <c r="Y1454" s="378"/>
      <c r="Z1454" s="378"/>
      <c r="AA1454" s="378"/>
      <c r="AB1454" s="378"/>
      <c r="AC1454" s="378"/>
      <c r="AD1454" s="378"/>
      <c r="AE1454" s="378"/>
      <c r="AF1454" s="378"/>
      <c r="AG1454" s="378"/>
    </row>
    <row r="1455">
      <c r="A1455" s="378"/>
      <c r="B1455" s="477"/>
      <c r="C1455" s="378"/>
      <c r="D1455" s="378"/>
      <c r="E1455" s="378"/>
      <c r="F1455" s="378"/>
      <c r="G1455" s="378"/>
      <c r="H1455" s="378"/>
      <c r="I1455" s="376"/>
      <c r="J1455" s="377"/>
      <c r="K1455" s="378"/>
      <c r="L1455" s="378"/>
      <c r="M1455" s="378"/>
      <c r="N1455" s="379"/>
      <c r="O1455" s="380"/>
      <c r="P1455" s="378"/>
      <c r="Q1455" s="378"/>
      <c r="R1455" s="378"/>
      <c r="S1455" s="378"/>
      <c r="T1455" s="378"/>
      <c r="U1455" s="378"/>
      <c r="V1455" s="378"/>
      <c r="W1455" s="378"/>
      <c r="X1455" s="378"/>
      <c r="Y1455" s="378"/>
      <c r="Z1455" s="378"/>
      <c r="AA1455" s="378"/>
      <c r="AB1455" s="378"/>
      <c r="AC1455" s="378"/>
      <c r="AD1455" s="378"/>
      <c r="AE1455" s="378"/>
      <c r="AF1455" s="378"/>
      <c r="AG1455" s="378"/>
    </row>
    <row r="1456">
      <c r="A1456" s="378"/>
      <c r="B1456" s="477"/>
      <c r="C1456" s="378"/>
      <c r="D1456" s="378"/>
      <c r="E1456" s="378"/>
      <c r="F1456" s="378"/>
      <c r="G1456" s="378"/>
      <c r="H1456" s="378"/>
      <c r="I1456" s="376"/>
      <c r="J1456" s="377"/>
      <c r="K1456" s="378"/>
      <c r="L1456" s="378"/>
      <c r="M1456" s="378"/>
      <c r="N1456" s="379"/>
      <c r="O1456" s="380"/>
      <c r="P1456" s="378"/>
      <c r="Q1456" s="378"/>
      <c r="R1456" s="378"/>
      <c r="S1456" s="378"/>
      <c r="T1456" s="378"/>
      <c r="U1456" s="378"/>
      <c r="V1456" s="378"/>
      <c r="W1456" s="378"/>
      <c r="X1456" s="378"/>
      <c r="Y1456" s="378"/>
      <c r="Z1456" s="378"/>
      <c r="AA1456" s="378"/>
      <c r="AB1456" s="378"/>
      <c r="AC1456" s="378"/>
      <c r="AD1456" s="378"/>
      <c r="AE1456" s="378"/>
      <c r="AF1456" s="378"/>
      <c r="AG1456" s="378"/>
    </row>
    <row r="1457">
      <c r="A1457" s="378"/>
      <c r="B1457" s="477"/>
      <c r="C1457" s="378"/>
      <c r="D1457" s="378"/>
      <c r="E1457" s="378"/>
      <c r="F1457" s="378"/>
      <c r="G1457" s="378"/>
      <c r="H1457" s="378"/>
      <c r="I1457" s="376"/>
      <c r="J1457" s="377"/>
      <c r="K1457" s="378"/>
      <c r="L1457" s="378"/>
      <c r="M1457" s="378"/>
      <c r="N1457" s="379"/>
      <c r="O1457" s="380"/>
      <c r="P1457" s="378"/>
      <c r="Q1457" s="378"/>
      <c r="R1457" s="378"/>
      <c r="S1457" s="378"/>
      <c r="T1457" s="378"/>
      <c r="U1457" s="378"/>
      <c r="V1457" s="378"/>
      <c r="W1457" s="378"/>
      <c r="X1457" s="378"/>
      <c r="Y1457" s="378"/>
      <c r="Z1457" s="378"/>
      <c r="AA1457" s="378"/>
      <c r="AB1457" s="378"/>
      <c r="AC1457" s="378"/>
      <c r="AD1457" s="378"/>
      <c r="AE1457" s="378"/>
      <c r="AF1457" s="378"/>
      <c r="AG1457" s="378"/>
    </row>
    <row r="1458">
      <c r="A1458" s="378"/>
      <c r="B1458" s="477"/>
      <c r="C1458" s="378"/>
      <c r="D1458" s="378"/>
      <c r="E1458" s="378"/>
      <c r="F1458" s="378"/>
      <c r="G1458" s="378"/>
      <c r="H1458" s="378"/>
      <c r="I1458" s="376"/>
      <c r="J1458" s="377"/>
      <c r="K1458" s="378"/>
      <c r="L1458" s="378"/>
      <c r="M1458" s="378"/>
      <c r="N1458" s="379"/>
      <c r="O1458" s="380"/>
      <c r="P1458" s="378"/>
      <c r="Q1458" s="378"/>
      <c r="R1458" s="378"/>
      <c r="S1458" s="378"/>
      <c r="T1458" s="378"/>
      <c r="U1458" s="378"/>
      <c r="V1458" s="378"/>
      <c r="W1458" s="378"/>
      <c r="X1458" s="378"/>
      <c r="Y1458" s="378"/>
      <c r="Z1458" s="378"/>
      <c r="AA1458" s="378"/>
      <c r="AB1458" s="378"/>
      <c r="AC1458" s="378"/>
      <c r="AD1458" s="378"/>
      <c r="AE1458" s="378"/>
      <c r="AF1458" s="378"/>
      <c r="AG1458" s="378"/>
    </row>
    <row r="1459">
      <c r="A1459" s="378"/>
      <c r="B1459" s="477"/>
      <c r="C1459" s="378"/>
      <c r="D1459" s="378"/>
      <c r="E1459" s="378"/>
      <c r="F1459" s="378"/>
      <c r="G1459" s="378"/>
      <c r="H1459" s="378"/>
      <c r="I1459" s="376"/>
      <c r="J1459" s="377"/>
      <c r="K1459" s="378"/>
      <c r="L1459" s="378"/>
      <c r="M1459" s="378"/>
      <c r="N1459" s="379"/>
      <c r="O1459" s="380"/>
      <c r="P1459" s="378"/>
      <c r="Q1459" s="378"/>
      <c r="R1459" s="378"/>
      <c r="S1459" s="378"/>
      <c r="T1459" s="378"/>
      <c r="U1459" s="378"/>
      <c r="V1459" s="378"/>
      <c r="W1459" s="378"/>
      <c r="X1459" s="378"/>
      <c r="Y1459" s="378"/>
      <c r="Z1459" s="378"/>
      <c r="AA1459" s="378"/>
      <c r="AB1459" s="378"/>
      <c r="AC1459" s="378"/>
      <c r="AD1459" s="378"/>
      <c r="AE1459" s="378"/>
      <c r="AF1459" s="378"/>
      <c r="AG1459" s="378"/>
    </row>
    <row r="1460">
      <c r="A1460" s="378"/>
      <c r="B1460" s="477"/>
      <c r="C1460" s="378"/>
      <c r="D1460" s="378"/>
      <c r="E1460" s="378"/>
      <c r="F1460" s="378"/>
      <c r="G1460" s="378"/>
      <c r="H1460" s="378"/>
      <c r="I1460" s="376"/>
      <c r="J1460" s="377"/>
      <c r="K1460" s="378"/>
      <c r="L1460" s="378"/>
      <c r="M1460" s="378"/>
      <c r="N1460" s="379"/>
      <c r="O1460" s="380"/>
      <c r="P1460" s="378"/>
      <c r="Q1460" s="378"/>
      <c r="R1460" s="378"/>
      <c r="S1460" s="378"/>
      <c r="T1460" s="378"/>
      <c r="U1460" s="378"/>
      <c r="V1460" s="378"/>
      <c r="W1460" s="378"/>
      <c r="X1460" s="378"/>
      <c r="Y1460" s="378"/>
      <c r="Z1460" s="378"/>
      <c r="AA1460" s="378"/>
      <c r="AB1460" s="378"/>
      <c r="AC1460" s="378"/>
      <c r="AD1460" s="378"/>
      <c r="AE1460" s="378"/>
      <c r="AF1460" s="378"/>
      <c r="AG1460" s="378"/>
    </row>
    <row r="1461">
      <c r="A1461" s="378"/>
      <c r="B1461" s="477"/>
      <c r="C1461" s="378"/>
      <c r="D1461" s="378"/>
      <c r="E1461" s="378"/>
      <c r="F1461" s="378"/>
      <c r="G1461" s="378"/>
      <c r="H1461" s="378"/>
      <c r="I1461" s="376"/>
      <c r="J1461" s="377"/>
      <c r="K1461" s="378"/>
      <c r="L1461" s="378"/>
      <c r="M1461" s="378"/>
      <c r="N1461" s="379"/>
      <c r="O1461" s="380"/>
      <c r="P1461" s="378"/>
      <c r="Q1461" s="378"/>
      <c r="R1461" s="378"/>
      <c r="S1461" s="378"/>
      <c r="T1461" s="378"/>
      <c r="U1461" s="378"/>
      <c r="V1461" s="378"/>
      <c r="W1461" s="378"/>
      <c r="X1461" s="378"/>
      <c r="Y1461" s="378"/>
      <c r="Z1461" s="378"/>
      <c r="AA1461" s="378"/>
      <c r="AB1461" s="378"/>
      <c r="AC1461" s="378"/>
      <c r="AD1461" s="378"/>
      <c r="AE1461" s="378"/>
      <c r="AF1461" s="378"/>
      <c r="AG1461" s="378"/>
    </row>
    <row r="1462">
      <c r="A1462" s="378"/>
      <c r="B1462" s="477"/>
      <c r="C1462" s="378"/>
      <c r="D1462" s="378"/>
      <c r="E1462" s="378"/>
      <c r="F1462" s="378"/>
      <c r="G1462" s="378"/>
      <c r="H1462" s="378"/>
      <c r="I1462" s="376"/>
      <c r="J1462" s="377"/>
      <c r="K1462" s="378"/>
      <c r="L1462" s="378"/>
      <c r="M1462" s="378"/>
      <c r="N1462" s="379"/>
      <c r="O1462" s="380"/>
      <c r="P1462" s="378"/>
      <c r="Q1462" s="378"/>
      <c r="R1462" s="378"/>
      <c r="S1462" s="378"/>
      <c r="T1462" s="378"/>
      <c r="U1462" s="378"/>
      <c r="V1462" s="378"/>
      <c r="W1462" s="378"/>
      <c r="X1462" s="378"/>
      <c r="Y1462" s="378"/>
      <c r="Z1462" s="378"/>
      <c r="AA1462" s="378"/>
      <c r="AB1462" s="378"/>
      <c r="AC1462" s="378"/>
      <c r="AD1462" s="378"/>
      <c r="AE1462" s="378"/>
      <c r="AF1462" s="378"/>
      <c r="AG1462" s="378"/>
    </row>
    <row r="1463">
      <c r="A1463" s="378"/>
      <c r="B1463" s="477"/>
      <c r="C1463" s="378"/>
      <c r="D1463" s="378"/>
      <c r="E1463" s="378"/>
      <c r="F1463" s="378"/>
      <c r="G1463" s="378"/>
      <c r="H1463" s="378"/>
      <c r="I1463" s="376"/>
      <c r="J1463" s="377"/>
      <c r="K1463" s="378"/>
      <c r="L1463" s="378"/>
      <c r="M1463" s="378"/>
      <c r="N1463" s="379"/>
      <c r="O1463" s="380"/>
      <c r="P1463" s="378"/>
      <c r="Q1463" s="378"/>
      <c r="R1463" s="378"/>
      <c r="S1463" s="378"/>
      <c r="T1463" s="378"/>
      <c r="U1463" s="378"/>
      <c r="V1463" s="378"/>
      <c r="W1463" s="378"/>
      <c r="X1463" s="378"/>
      <c r="Y1463" s="378"/>
      <c r="Z1463" s="378"/>
      <c r="AA1463" s="378"/>
      <c r="AB1463" s="378"/>
      <c r="AC1463" s="378"/>
      <c r="AD1463" s="378"/>
      <c r="AE1463" s="378"/>
      <c r="AF1463" s="378"/>
      <c r="AG1463" s="378"/>
    </row>
    <row r="1464">
      <c r="A1464" s="378"/>
      <c r="B1464" s="477"/>
      <c r="C1464" s="378"/>
      <c r="D1464" s="378"/>
      <c r="E1464" s="378"/>
      <c r="F1464" s="378"/>
      <c r="G1464" s="378"/>
      <c r="H1464" s="378"/>
      <c r="I1464" s="376"/>
      <c r="J1464" s="377"/>
      <c r="K1464" s="378"/>
      <c r="L1464" s="378"/>
      <c r="M1464" s="378"/>
      <c r="N1464" s="379"/>
      <c r="O1464" s="380"/>
      <c r="P1464" s="378"/>
      <c r="Q1464" s="378"/>
      <c r="R1464" s="378"/>
      <c r="S1464" s="378"/>
      <c r="T1464" s="378"/>
      <c r="U1464" s="378"/>
      <c r="V1464" s="378"/>
      <c r="W1464" s="378"/>
      <c r="X1464" s="378"/>
      <c r="Y1464" s="378"/>
      <c r="Z1464" s="378"/>
      <c r="AA1464" s="378"/>
      <c r="AB1464" s="378"/>
      <c r="AC1464" s="378"/>
      <c r="AD1464" s="378"/>
      <c r="AE1464" s="378"/>
      <c r="AF1464" s="378"/>
      <c r="AG1464" s="378"/>
    </row>
    <row r="1465">
      <c r="A1465" s="378"/>
      <c r="B1465" s="477"/>
      <c r="C1465" s="378"/>
      <c r="D1465" s="378"/>
      <c r="E1465" s="378"/>
      <c r="F1465" s="378"/>
      <c r="G1465" s="378"/>
      <c r="H1465" s="378"/>
      <c r="I1465" s="376"/>
      <c r="J1465" s="377"/>
      <c r="K1465" s="378"/>
      <c r="L1465" s="378"/>
      <c r="M1465" s="378"/>
      <c r="N1465" s="379"/>
      <c r="O1465" s="380"/>
      <c r="P1465" s="378"/>
      <c r="Q1465" s="378"/>
      <c r="R1465" s="378"/>
      <c r="S1465" s="378"/>
      <c r="T1465" s="378"/>
      <c r="U1465" s="378"/>
      <c r="V1465" s="378"/>
      <c r="W1465" s="378"/>
      <c r="X1465" s="378"/>
      <c r="Y1465" s="378"/>
      <c r="Z1465" s="378"/>
      <c r="AA1465" s="378"/>
      <c r="AB1465" s="378"/>
      <c r="AC1465" s="378"/>
      <c r="AD1465" s="378"/>
      <c r="AE1465" s="378"/>
      <c r="AF1465" s="378"/>
      <c r="AG1465" s="378"/>
    </row>
    <row r="1466">
      <c r="A1466" s="378"/>
      <c r="B1466" s="477"/>
      <c r="C1466" s="378"/>
      <c r="D1466" s="378"/>
      <c r="E1466" s="378"/>
      <c r="F1466" s="378"/>
      <c r="G1466" s="378"/>
      <c r="H1466" s="378"/>
      <c r="I1466" s="376"/>
      <c r="J1466" s="377"/>
      <c r="K1466" s="378"/>
      <c r="L1466" s="378"/>
      <c r="M1466" s="378"/>
      <c r="N1466" s="379"/>
      <c r="O1466" s="380"/>
      <c r="P1466" s="378"/>
      <c r="Q1466" s="378"/>
      <c r="R1466" s="378"/>
      <c r="S1466" s="378"/>
      <c r="T1466" s="378"/>
      <c r="U1466" s="378"/>
      <c r="V1466" s="378"/>
      <c r="W1466" s="378"/>
      <c r="X1466" s="378"/>
      <c r="Y1466" s="378"/>
      <c r="Z1466" s="378"/>
      <c r="AA1466" s="378"/>
      <c r="AB1466" s="378"/>
      <c r="AC1466" s="378"/>
      <c r="AD1466" s="378"/>
      <c r="AE1466" s="378"/>
      <c r="AF1466" s="378"/>
      <c r="AG1466" s="378"/>
    </row>
    <row r="1467">
      <c r="A1467" s="378"/>
      <c r="B1467" s="477"/>
      <c r="C1467" s="378"/>
      <c r="D1467" s="378"/>
      <c r="E1467" s="378"/>
      <c r="F1467" s="378"/>
      <c r="G1467" s="378"/>
      <c r="H1467" s="378"/>
      <c r="I1467" s="376"/>
      <c r="J1467" s="377"/>
      <c r="K1467" s="378"/>
      <c r="L1467" s="378"/>
      <c r="M1467" s="378"/>
      <c r="N1467" s="379"/>
      <c r="O1467" s="380"/>
      <c r="P1467" s="378"/>
      <c r="Q1467" s="378"/>
      <c r="R1467" s="378"/>
      <c r="S1467" s="378"/>
      <c r="T1467" s="378"/>
      <c r="U1467" s="378"/>
      <c r="V1467" s="378"/>
      <c r="W1467" s="378"/>
      <c r="X1467" s="378"/>
      <c r="Y1467" s="378"/>
      <c r="Z1467" s="378"/>
      <c r="AA1467" s="378"/>
      <c r="AB1467" s="378"/>
      <c r="AC1467" s="378"/>
      <c r="AD1467" s="378"/>
      <c r="AE1467" s="378"/>
      <c r="AF1467" s="378"/>
      <c r="AG1467" s="378"/>
    </row>
    <row r="1468">
      <c r="A1468" s="378"/>
      <c r="B1468" s="477"/>
      <c r="C1468" s="378"/>
      <c r="D1468" s="378"/>
      <c r="E1468" s="378"/>
      <c r="F1468" s="378"/>
      <c r="G1468" s="378"/>
      <c r="H1468" s="378"/>
      <c r="I1468" s="376"/>
      <c r="J1468" s="377"/>
      <c r="K1468" s="378"/>
      <c r="L1468" s="378"/>
      <c r="M1468" s="378"/>
      <c r="N1468" s="379"/>
      <c r="O1468" s="380"/>
      <c r="P1468" s="378"/>
      <c r="Q1468" s="378"/>
      <c r="R1468" s="378"/>
      <c r="S1468" s="378"/>
      <c r="T1468" s="378"/>
      <c r="U1468" s="378"/>
      <c r="V1468" s="378"/>
      <c r="W1468" s="378"/>
      <c r="X1468" s="378"/>
      <c r="Y1468" s="378"/>
      <c r="Z1468" s="378"/>
      <c r="AA1468" s="378"/>
      <c r="AB1468" s="378"/>
      <c r="AC1468" s="378"/>
      <c r="AD1468" s="378"/>
      <c r="AE1468" s="378"/>
      <c r="AF1468" s="378"/>
      <c r="AG1468" s="378"/>
    </row>
    <row r="1469">
      <c r="A1469" s="378"/>
      <c r="B1469" s="477"/>
      <c r="C1469" s="378"/>
      <c r="D1469" s="378"/>
      <c r="E1469" s="378"/>
      <c r="F1469" s="378"/>
      <c r="G1469" s="378"/>
      <c r="H1469" s="378"/>
      <c r="I1469" s="376"/>
      <c r="J1469" s="377"/>
      <c r="K1469" s="378"/>
      <c r="L1469" s="378"/>
      <c r="M1469" s="378"/>
      <c r="N1469" s="379"/>
      <c r="O1469" s="380"/>
      <c r="P1469" s="378"/>
      <c r="Q1469" s="378"/>
      <c r="R1469" s="378"/>
      <c r="S1469" s="378"/>
      <c r="T1469" s="378"/>
      <c r="U1469" s="378"/>
      <c r="V1469" s="378"/>
      <c r="W1469" s="378"/>
      <c r="X1469" s="378"/>
      <c r="Y1469" s="378"/>
      <c r="Z1469" s="378"/>
      <c r="AA1469" s="378"/>
      <c r="AB1469" s="378"/>
      <c r="AC1469" s="378"/>
      <c r="AD1469" s="378"/>
      <c r="AE1469" s="378"/>
      <c r="AF1469" s="378"/>
      <c r="AG1469" s="378"/>
    </row>
    <row r="1470">
      <c r="A1470" s="378"/>
      <c r="B1470" s="477"/>
      <c r="C1470" s="378"/>
      <c r="D1470" s="378"/>
      <c r="E1470" s="378"/>
      <c r="F1470" s="378"/>
      <c r="G1470" s="378"/>
      <c r="H1470" s="378"/>
      <c r="I1470" s="376"/>
      <c r="J1470" s="377"/>
      <c r="K1470" s="378"/>
      <c r="L1470" s="378"/>
      <c r="M1470" s="378"/>
      <c r="N1470" s="379"/>
      <c r="O1470" s="380"/>
      <c r="P1470" s="378"/>
      <c r="Q1470" s="378"/>
      <c r="R1470" s="378"/>
      <c r="S1470" s="378"/>
      <c r="T1470" s="378"/>
      <c r="U1470" s="378"/>
      <c r="V1470" s="378"/>
      <c r="W1470" s="378"/>
      <c r="X1470" s="378"/>
      <c r="Y1470" s="378"/>
      <c r="Z1470" s="378"/>
      <c r="AA1470" s="378"/>
      <c r="AB1470" s="378"/>
      <c r="AC1470" s="378"/>
      <c r="AD1470" s="378"/>
      <c r="AE1470" s="378"/>
      <c r="AF1470" s="378"/>
      <c r="AG1470" s="378"/>
    </row>
    <row r="1471">
      <c r="A1471" s="378"/>
      <c r="B1471" s="477"/>
      <c r="C1471" s="378"/>
      <c r="D1471" s="378"/>
      <c r="E1471" s="378"/>
      <c r="F1471" s="378"/>
      <c r="G1471" s="378"/>
      <c r="H1471" s="378"/>
      <c r="I1471" s="376"/>
      <c r="J1471" s="377"/>
      <c r="K1471" s="378"/>
      <c r="L1471" s="378"/>
      <c r="M1471" s="378"/>
      <c r="N1471" s="379"/>
      <c r="O1471" s="380"/>
      <c r="P1471" s="378"/>
      <c r="Q1471" s="378"/>
      <c r="R1471" s="378"/>
      <c r="S1471" s="378"/>
      <c r="T1471" s="378"/>
      <c r="U1471" s="378"/>
      <c r="V1471" s="378"/>
      <c r="W1471" s="378"/>
      <c r="X1471" s="378"/>
      <c r="Y1471" s="378"/>
      <c r="Z1471" s="378"/>
      <c r="AA1471" s="378"/>
      <c r="AB1471" s="378"/>
      <c r="AC1471" s="378"/>
      <c r="AD1471" s="378"/>
      <c r="AE1471" s="378"/>
      <c r="AF1471" s="378"/>
      <c r="AG1471" s="378"/>
    </row>
    <row r="1472">
      <c r="A1472" s="378"/>
      <c r="B1472" s="477"/>
      <c r="C1472" s="378"/>
      <c r="D1472" s="378"/>
      <c r="E1472" s="378"/>
      <c r="F1472" s="378"/>
      <c r="G1472" s="378"/>
      <c r="H1472" s="378"/>
      <c r="I1472" s="376"/>
      <c r="J1472" s="377"/>
      <c r="K1472" s="378"/>
      <c r="L1472" s="378"/>
      <c r="M1472" s="378"/>
      <c r="N1472" s="379"/>
      <c r="O1472" s="380"/>
      <c r="P1472" s="378"/>
      <c r="Q1472" s="378"/>
      <c r="R1472" s="378"/>
      <c r="S1472" s="378"/>
      <c r="T1472" s="378"/>
      <c r="U1472" s="378"/>
      <c r="V1472" s="378"/>
      <c r="W1472" s="378"/>
      <c r="X1472" s="378"/>
      <c r="Y1472" s="378"/>
      <c r="Z1472" s="378"/>
      <c r="AA1472" s="378"/>
      <c r="AB1472" s="378"/>
      <c r="AC1472" s="378"/>
      <c r="AD1472" s="378"/>
      <c r="AE1472" s="378"/>
      <c r="AF1472" s="378"/>
      <c r="AG1472" s="378"/>
    </row>
    <row r="1473">
      <c r="A1473" s="378"/>
      <c r="B1473" s="477"/>
      <c r="C1473" s="378"/>
      <c r="D1473" s="378"/>
      <c r="E1473" s="378"/>
      <c r="F1473" s="378"/>
      <c r="G1473" s="378"/>
      <c r="H1473" s="378"/>
      <c r="I1473" s="376"/>
      <c r="J1473" s="377"/>
      <c r="K1473" s="378"/>
      <c r="L1473" s="378"/>
      <c r="M1473" s="378"/>
      <c r="N1473" s="379"/>
      <c r="O1473" s="380"/>
      <c r="P1473" s="378"/>
      <c r="Q1473" s="378"/>
      <c r="R1473" s="378"/>
      <c r="S1473" s="378"/>
      <c r="T1473" s="378"/>
      <c r="U1473" s="378"/>
      <c r="V1473" s="378"/>
      <c r="W1473" s="378"/>
      <c r="X1473" s="378"/>
      <c r="Y1473" s="378"/>
      <c r="Z1473" s="378"/>
      <c r="AA1473" s="378"/>
      <c r="AB1473" s="378"/>
      <c r="AC1473" s="378"/>
      <c r="AD1473" s="378"/>
      <c r="AE1473" s="378"/>
      <c r="AF1473" s="378"/>
      <c r="AG1473" s="378"/>
    </row>
    <row r="1474">
      <c r="A1474" s="378"/>
      <c r="B1474" s="477"/>
      <c r="C1474" s="378"/>
      <c r="D1474" s="378"/>
      <c r="E1474" s="378"/>
      <c r="F1474" s="378"/>
      <c r="G1474" s="378"/>
      <c r="H1474" s="378"/>
      <c r="I1474" s="376"/>
      <c r="J1474" s="377"/>
      <c r="K1474" s="378"/>
      <c r="L1474" s="378"/>
      <c r="M1474" s="378"/>
      <c r="N1474" s="379"/>
      <c r="O1474" s="380"/>
      <c r="P1474" s="378"/>
      <c r="Q1474" s="378"/>
      <c r="R1474" s="378"/>
      <c r="S1474" s="378"/>
      <c r="T1474" s="378"/>
      <c r="U1474" s="378"/>
      <c r="V1474" s="378"/>
      <c r="W1474" s="378"/>
      <c r="X1474" s="378"/>
      <c r="Y1474" s="378"/>
      <c r="Z1474" s="378"/>
      <c r="AA1474" s="378"/>
      <c r="AB1474" s="378"/>
      <c r="AC1474" s="378"/>
      <c r="AD1474" s="378"/>
      <c r="AE1474" s="378"/>
      <c r="AF1474" s="378"/>
      <c r="AG1474" s="378"/>
    </row>
    <row r="1475">
      <c r="A1475" s="378"/>
      <c r="B1475" s="477"/>
      <c r="C1475" s="378"/>
      <c r="D1475" s="378"/>
      <c r="E1475" s="378"/>
      <c r="F1475" s="378"/>
      <c r="G1475" s="378"/>
      <c r="H1475" s="378"/>
      <c r="I1475" s="376"/>
      <c r="J1475" s="377"/>
      <c r="K1475" s="378"/>
      <c r="L1475" s="378"/>
      <c r="M1475" s="378"/>
      <c r="N1475" s="379"/>
      <c r="O1475" s="380"/>
      <c r="P1475" s="378"/>
      <c r="Q1475" s="378"/>
      <c r="R1475" s="378"/>
      <c r="S1475" s="378"/>
      <c r="T1475" s="378"/>
      <c r="U1475" s="378"/>
      <c r="V1475" s="378"/>
      <c r="W1475" s="378"/>
      <c r="X1475" s="378"/>
      <c r="Y1475" s="378"/>
      <c r="Z1475" s="378"/>
      <c r="AA1475" s="378"/>
      <c r="AB1475" s="378"/>
      <c r="AC1475" s="378"/>
      <c r="AD1475" s="378"/>
      <c r="AE1475" s="378"/>
      <c r="AF1475" s="378"/>
      <c r="AG1475" s="378"/>
    </row>
    <row r="1476">
      <c r="A1476" s="378"/>
      <c r="B1476" s="477"/>
      <c r="C1476" s="378"/>
      <c r="D1476" s="378"/>
      <c r="E1476" s="378"/>
      <c r="F1476" s="378"/>
      <c r="G1476" s="378"/>
      <c r="H1476" s="378"/>
      <c r="I1476" s="376"/>
      <c r="J1476" s="377"/>
      <c r="K1476" s="378"/>
      <c r="L1476" s="378"/>
      <c r="M1476" s="378"/>
      <c r="N1476" s="379"/>
      <c r="O1476" s="380"/>
      <c r="P1476" s="378"/>
      <c r="Q1476" s="378"/>
      <c r="R1476" s="378"/>
      <c r="S1476" s="378"/>
      <c r="T1476" s="378"/>
      <c r="U1476" s="378"/>
      <c r="V1476" s="378"/>
      <c r="W1476" s="378"/>
      <c r="X1476" s="378"/>
      <c r="Y1476" s="378"/>
      <c r="Z1476" s="378"/>
      <c r="AA1476" s="378"/>
      <c r="AB1476" s="378"/>
      <c r="AC1476" s="378"/>
      <c r="AD1476" s="378"/>
      <c r="AE1476" s="378"/>
      <c r="AF1476" s="378"/>
      <c r="AG1476" s="378"/>
    </row>
    <row r="1477">
      <c r="A1477" s="378"/>
      <c r="B1477" s="477"/>
      <c r="C1477" s="378"/>
      <c r="D1477" s="378"/>
      <c r="E1477" s="378"/>
      <c r="F1477" s="378"/>
      <c r="G1477" s="378"/>
      <c r="H1477" s="378"/>
      <c r="I1477" s="376"/>
      <c r="J1477" s="377"/>
      <c r="K1477" s="378"/>
      <c r="L1477" s="378"/>
      <c r="M1477" s="378"/>
      <c r="N1477" s="379"/>
      <c r="O1477" s="380"/>
      <c r="P1477" s="378"/>
      <c r="Q1477" s="378"/>
      <c r="R1477" s="378"/>
      <c r="S1477" s="378"/>
      <c r="T1477" s="378"/>
      <c r="U1477" s="378"/>
      <c r="V1477" s="378"/>
      <c r="W1477" s="378"/>
      <c r="X1477" s="378"/>
      <c r="Y1477" s="378"/>
      <c r="Z1477" s="378"/>
      <c r="AA1477" s="378"/>
      <c r="AB1477" s="378"/>
      <c r="AC1477" s="378"/>
      <c r="AD1477" s="378"/>
      <c r="AE1477" s="378"/>
      <c r="AF1477" s="378"/>
      <c r="AG1477" s="378"/>
    </row>
    <row r="1478">
      <c r="A1478" s="378"/>
      <c r="B1478" s="477"/>
      <c r="C1478" s="378"/>
      <c r="D1478" s="378"/>
      <c r="E1478" s="378"/>
      <c r="F1478" s="378"/>
      <c r="G1478" s="378"/>
      <c r="H1478" s="378"/>
      <c r="I1478" s="376"/>
      <c r="J1478" s="377"/>
      <c r="K1478" s="378"/>
      <c r="L1478" s="378"/>
      <c r="M1478" s="378"/>
      <c r="N1478" s="379"/>
      <c r="O1478" s="380"/>
      <c r="P1478" s="378"/>
      <c r="Q1478" s="378"/>
      <c r="R1478" s="378"/>
      <c r="S1478" s="378"/>
      <c r="T1478" s="378"/>
      <c r="U1478" s="378"/>
      <c r="V1478" s="378"/>
      <c r="W1478" s="378"/>
      <c r="X1478" s="378"/>
      <c r="Y1478" s="378"/>
      <c r="Z1478" s="378"/>
      <c r="AA1478" s="378"/>
      <c r="AB1478" s="378"/>
      <c r="AC1478" s="378"/>
      <c r="AD1478" s="378"/>
      <c r="AE1478" s="378"/>
      <c r="AF1478" s="378"/>
      <c r="AG1478" s="378"/>
    </row>
    <row r="1479">
      <c r="A1479" s="378"/>
      <c r="B1479" s="477"/>
      <c r="C1479" s="378"/>
      <c r="D1479" s="378"/>
      <c r="E1479" s="378"/>
      <c r="F1479" s="378"/>
      <c r="G1479" s="378"/>
      <c r="H1479" s="378"/>
      <c r="I1479" s="376"/>
      <c r="J1479" s="377"/>
      <c r="K1479" s="378"/>
      <c r="L1479" s="378"/>
      <c r="M1479" s="378"/>
      <c r="N1479" s="379"/>
      <c r="O1479" s="380"/>
      <c r="P1479" s="378"/>
      <c r="Q1479" s="378"/>
      <c r="R1479" s="378"/>
      <c r="S1479" s="378"/>
      <c r="T1479" s="378"/>
      <c r="U1479" s="378"/>
      <c r="V1479" s="378"/>
      <c r="W1479" s="378"/>
      <c r="X1479" s="378"/>
      <c r="Y1479" s="378"/>
      <c r="Z1479" s="378"/>
      <c r="AA1479" s="378"/>
      <c r="AB1479" s="378"/>
      <c r="AC1479" s="378"/>
      <c r="AD1479" s="378"/>
      <c r="AE1479" s="378"/>
      <c r="AF1479" s="378"/>
      <c r="AG1479" s="378"/>
    </row>
    <row r="1480">
      <c r="A1480" s="378"/>
      <c r="B1480" s="477"/>
      <c r="C1480" s="378"/>
      <c r="D1480" s="378"/>
      <c r="E1480" s="378"/>
      <c r="F1480" s="378"/>
      <c r="G1480" s="378"/>
      <c r="H1480" s="378"/>
      <c r="I1480" s="376"/>
      <c r="J1480" s="377"/>
      <c r="K1480" s="378"/>
      <c r="L1480" s="378"/>
      <c r="M1480" s="378"/>
      <c r="N1480" s="379"/>
      <c r="O1480" s="380"/>
      <c r="P1480" s="378"/>
      <c r="Q1480" s="378"/>
      <c r="R1480" s="378"/>
      <c r="S1480" s="378"/>
      <c r="T1480" s="378"/>
      <c r="U1480" s="378"/>
      <c r="V1480" s="378"/>
      <c r="W1480" s="378"/>
      <c r="X1480" s="378"/>
      <c r="Y1480" s="378"/>
      <c r="Z1480" s="378"/>
      <c r="AA1480" s="378"/>
      <c r="AB1480" s="378"/>
      <c r="AC1480" s="378"/>
      <c r="AD1480" s="378"/>
      <c r="AE1480" s="378"/>
      <c r="AF1480" s="378"/>
      <c r="AG1480" s="378"/>
    </row>
    <row r="1481">
      <c r="A1481" s="378"/>
      <c r="B1481" s="477"/>
      <c r="C1481" s="378"/>
      <c r="D1481" s="378"/>
      <c r="E1481" s="378"/>
      <c r="F1481" s="378"/>
      <c r="G1481" s="378"/>
      <c r="H1481" s="378"/>
      <c r="I1481" s="376"/>
      <c r="J1481" s="377"/>
      <c r="K1481" s="378"/>
      <c r="L1481" s="378"/>
      <c r="M1481" s="378"/>
      <c r="N1481" s="379"/>
      <c r="O1481" s="380"/>
      <c r="P1481" s="378"/>
      <c r="Q1481" s="378"/>
      <c r="R1481" s="378"/>
      <c r="S1481" s="378"/>
      <c r="T1481" s="378"/>
      <c r="U1481" s="378"/>
      <c r="V1481" s="378"/>
      <c r="W1481" s="378"/>
      <c r="X1481" s="378"/>
      <c r="Y1481" s="378"/>
      <c r="Z1481" s="378"/>
      <c r="AA1481" s="378"/>
      <c r="AB1481" s="378"/>
      <c r="AC1481" s="378"/>
      <c r="AD1481" s="378"/>
      <c r="AE1481" s="378"/>
      <c r="AF1481" s="378"/>
      <c r="AG1481" s="378"/>
    </row>
    <row r="1482">
      <c r="A1482" s="378"/>
      <c r="B1482" s="477"/>
      <c r="C1482" s="378"/>
      <c r="D1482" s="378"/>
      <c r="E1482" s="378"/>
      <c r="F1482" s="378"/>
      <c r="G1482" s="378"/>
      <c r="H1482" s="378"/>
      <c r="I1482" s="376"/>
      <c r="J1482" s="377"/>
      <c r="K1482" s="378"/>
      <c r="L1482" s="378"/>
      <c r="M1482" s="378"/>
      <c r="N1482" s="379"/>
      <c r="O1482" s="380"/>
      <c r="P1482" s="378"/>
      <c r="Q1482" s="378"/>
      <c r="R1482" s="378"/>
      <c r="S1482" s="378"/>
      <c r="T1482" s="378"/>
      <c r="U1482" s="378"/>
      <c r="V1482" s="378"/>
      <c r="W1482" s="378"/>
      <c r="X1482" s="378"/>
      <c r="Y1482" s="378"/>
      <c r="Z1482" s="378"/>
      <c r="AA1482" s="378"/>
      <c r="AB1482" s="378"/>
      <c r="AC1482" s="378"/>
      <c r="AD1482" s="378"/>
      <c r="AE1482" s="378"/>
      <c r="AF1482" s="378"/>
      <c r="AG1482" s="378"/>
    </row>
    <row r="1483">
      <c r="A1483" s="378"/>
      <c r="B1483" s="477"/>
      <c r="C1483" s="378"/>
      <c r="D1483" s="378"/>
      <c r="E1483" s="378"/>
      <c r="F1483" s="378"/>
      <c r="G1483" s="378"/>
      <c r="H1483" s="378"/>
      <c r="I1483" s="376"/>
      <c r="J1483" s="377"/>
      <c r="K1483" s="378"/>
      <c r="L1483" s="378"/>
      <c r="M1483" s="378"/>
      <c r="N1483" s="379"/>
      <c r="O1483" s="380"/>
      <c r="P1483" s="378"/>
      <c r="Q1483" s="378"/>
      <c r="R1483" s="378"/>
      <c r="S1483" s="378"/>
      <c r="T1483" s="378"/>
      <c r="U1483" s="378"/>
      <c r="V1483" s="378"/>
      <c r="W1483" s="378"/>
      <c r="X1483" s="378"/>
      <c r="Y1483" s="378"/>
      <c r="Z1483" s="378"/>
      <c r="AA1483" s="378"/>
      <c r="AB1483" s="378"/>
      <c r="AC1483" s="378"/>
      <c r="AD1483" s="378"/>
      <c r="AE1483" s="378"/>
      <c r="AF1483" s="378"/>
      <c r="AG1483" s="378"/>
    </row>
    <row r="1484">
      <c r="A1484" s="378"/>
      <c r="B1484" s="477"/>
      <c r="C1484" s="378"/>
      <c r="D1484" s="378"/>
      <c r="E1484" s="378"/>
      <c r="F1484" s="378"/>
      <c r="G1484" s="378"/>
      <c r="H1484" s="378"/>
      <c r="I1484" s="376"/>
      <c r="J1484" s="377"/>
      <c r="K1484" s="378"/>
      <c r="L1484" s="378"/>
      <c r="M1484" s="378"/>
      <c r="N1484" s="379"/>
      <c r="O1484" s="380"/>
      <c r="P1484" s="378"/>
      <c r="Q1484" s="378"/>
      <c r="R1484" s="378"/>
      <c r="S1484" s="378"/>
      <c r="T1484" s="378"/>
      <c r="U1484" s="378"/>
      <c r="V1484" s="378"/>
      <c r="W1484" s="378"/>
      <c r="X1484" s="378"/>
      <c r="Y1484" s="378"/>
      <c r="Z1484" s="378"/>
      <c r="AA1484" s="378"/>
      <c r="AB1484" s="378"/>
      <c r="AC1484" s="378"/>
      <c r="AD1484" s="378"/>
      <c r="AE1484" s="378"/>
      <c r="AF1484" s="378"/>
      <c r="AG1484" s="378"/>
    </row>
    <row r="1485">
      <c r="A1485" s="378"/>
      <c r="B1485" s="477"/>
      <c r="C1485" s="378"/>
      <c r="D1485" s="378"/>
      <c r="E1485" s="378"/>
      <c r="F1485" s="378"/>
      <c r="G1485" s="378"/>
      <c r="H1485" s="378"/>
      <c r="I1485" s="376"/>
      <c r="J1485" s="377"/>
      <c r="K1485" s="378"/>
      <c r="L1485" s="378"/>
      <c r="M1485" s="378"/>
      <c r="N1485" s="379"/>
      <c r="O1485" s="380"/>
      <c r="P1485" s="378"/>
      <c r="Q1485" s="378"/>
      <c r="R1485" s="378"/>
      <c r="S1485" s="378"/>
      <c r="T1485" s="378"/>
      <c r="U1485" s="378"/>
      <c r="V1485" s="378"/>
      <c r="W1485" s="378"/>
      <c r="X1485" s="378"/>
      <c r="Y1485" s="378"/>
      <c r="Z1485" s="378"/>
      <c r="AA1485" s="378"/>
      <c r="AB1485" s="378"/>
      <c r="AC1485" s="378"/>
      <c r="AD1485" s="378"/>
      <c r="AE1485" s="378"/>
      <c r="AF1485" s="378"/>
      <c r="AG1485" s="378"/>
    </row>
    <row r="1486">
      <c r="A1486" s="378"/>
      <c r="B1486" s="477"/>
      <c r="C1486" s="378"/>
      <c r="D1486" s="378"/>
      <c r="E1486" s="378"/>
      <c r="F1486" s="378"/>
      <c r="G1486" s="378"/>
      <c r="H1486" s="378"/>
      <c r="I1486" s="376"/>
      <c r="J1486" s="377"/>
      <c r="K1486" s="378"/>
      <c r="L1486" s="378"/>
      <c r="M1486" s="378"/>
      <c r="N1486" s="379"/>
      <c r="O1486" s="380"/>
      <c r="P1486" s="378"/>
      <c r="Q1486" s="378"/>
      <c r="R1486" s="378"/>
      <c r="S1486" s="378"/>
      <c r="T1486" s="378"/>
      <c r="U1486" s="378"/>
      <c r="V1486" s="378"/>
      <c r="W1486" s="378"/>
      <c r="X1486" s="378"/>
      <c r="Y1486" s="378"/>
      <c r="Z1486" s="378"/>
      <c r="AA1486" s="378"/>
      <c r="AB1486" s="378"/>
      <c r="AC1486" s="378"/>
      <c r="AD1486" s="378"/>
      <c r="AE1486" s="378"/>
      <c r="AF1486" s="378"/>
      <c r="AG1486" s="378"/>
    </row>
    <row r="1487">
      <c r="A1487" s="378"/>
      <c r="B1487" s="477"/>
      <c r="C1487" s="378"/>
      <c r="D1487" s="378"/>
      <c r="E1487" s="378"/>
      <c r="F1487" s="378"/>
      <c r="G1487" s="378"/>
      <c r="H1487" s="378"/>
      <c r="I1487" s="376"/>
      <c r="J1487" s="377"/>
      <c r="K1487" s="378"/>
      <c r="L1487" s="378"/>
      <c r="M1487" s="378"/>
      <c r="N1487" s="379"/>
      <c r="O1487" s="380"/>
      <c r="P1487" s="378"/>
      <c r="Q1487" s="378"/>
      <c r="R1487" s="378"/>
      <c r="S1487" s="378"/>
      <c r="T1487" s="378"/>
      <c r="U1487" s="378"/>
      <c r="V1487" s="378"/>
      <c r="W1487" s="378"/>
      <c r="X1487" s="378"/>
      <c r="Y1487" s="378"/>
      <c r="Z1487" s="378"/>
      <c r="AA1487" s="378"/>
      <c r="AB1487" s="378"/>
      <c r="AC1487" s="378"/>
      <c r="AD1487" s="378"/>
      <c r="AE1487" s="378"/>
      <c r="AF1487" s="378"/>
      <c r="AG1487" s="378"/>
    </row>
    <row r="1488">
      <c r="A1488" s="378"/>
      <c r="B1488" s="477"/>
      <c r="C1488" s="378"/>
      <c r="D1488" s="378"/>
      <c r="E1488" s="378"/>
      <c r="F1488" s="378"/>
      <c r="G1488" s="378"/>
      <c r="H1488" s="378"/>
      <c r="I1488" s="376"/>
      <c r="J1488" s="377"/>
      <c r="K1488" s="378"/>
      <c r="L1488" s="378"/>
      <c r="M1488" s="378"/>
      <c r="N1488" s="379"/>
      <c r="O1488" s="380"/>
      <c r="P1488" s="378"/>
      <c r="Q1488" s="378"/>
      <c r="R1488" s="378"/>
      <c r="S1488" s="378"/>
      <c r="T1488" s="378"/>
      <c r="U1488" s="378"/>
      <c r="V1488" s="378"/>
      <c r="W1488" s="378"/>
      <c r="X1488" s="378"/>
      <c r="Y1488" s="378"/>
      <c r="Z1488" s="378"/>
      <c r="AA1488" s="378"/>
      <c r="AB1488" s="378"/>
      <c r="AC1488" s="378"/>
      <c r="AD1488" s="378"/>
      <c r="AE1488" s="378"/>
      <c r="AF1488" s="378"/>
      <c r="AG1488" s="378"/>
    </row>
    <row r="1489">
      <c r="A1489" s="378"/>
      <c r="B1489" s="477"/>
      <c r="C1489" s="378"/>
      <c r="D1489" s="378"/>
      <c r="E1489" s="378"/>
      <c r="F1489" s="378"/>
      <c r="G1489" s="378"/>
      <c r="H1489" s="378"/>
      <c r="I1489" s="376"/>
      <c r="J1489" s="377"/>
      <c r="K1489" s="378"/>
      <c r="L1489" s="378"/>
      <c r="M1489" s="378"/>
      <c r="N1489" s="379"/>
      <c r="O1489" s="380"/>
      <c r="P1489" s="378"/>
      <c r="Q1489" s="378"/>
      <c r="R1489" s="378"/>
      <c r="S1489" s="378"/>
      <c r="T1489" s="378"/>
      <c r="U1489" s="378"/>
      <c r="V1489" s="378"/>
      <c r="W1489" s="378"/>
      <c r="X1489" s="378"/>
      <c r="Y1489" s="378"/>
      <c r="Z1489" s="378"/>
      <c r="AA1489" s="378"/>
      <c r="AB1489" s="378"/>
      <c r="AC1489" s="378"/>
      <c r="AD1489" s="378"/>
      <c r="AE1489" s="378"/>
      <c r="AF1489" s="378"/>
      <c r="AG1489" s="378"/>
    </row>
    <row r="1490">
      <c r="A1490" s="378"/>
      <c r="B1490" s="477"/>
      <c r="C1490" s="378"/>
      <c r="D1490" s="378"/>
      <c r="E1490" s="378"/>
      <c r="F1490" s="378"/>
      <c r="G1490" s="378"/>
      <c r="H1490" s="378"/>
      <c r="I1490" s="376"/>
      <c r="J1490" s="377"/>
      <c r="K1490" s="378"/>
      <c r="L1490" s="378"/>
      <c r="M1490" s="378"/>
      <c r="N1490" s="379"/>
      <c r="O1490" s="380"/>
      <c r="P1490" s="378"/>
      <c r="Q1490" s="378"/>
      <c r="R1490" s="378"/>
      <c r="S1490" s="378"/>
      <c r="T1490" s="378"/>
      <c r="U1490" s="378"/>
      <c r="V1490" s="378"/>
      <c r="W1490" s="378"/>
      <c r="X1490" s="378"/>
      <c r="Y1490" s="378"/>
      <c r="Z1490" s="378"/>
      <c r="AA1490" s="378"/>
      <c r="AB1490" s="378"/>
      <c r="AC1490" s="378"/>
      <c r="AD1490" s="378"/>
      <c r="AE1490" s="378"/>
      <c r="AF1490" s="378"/>
      <c r="AG1490" s="378"/>
    </row>
    <row r="1491">
      <c r="A1491" s="378"/>
      <c r="B1491" s="477"/>
      <c r="C1491" s="378"/>
      <c r="D1491" s="378"/>
      <c r="E1491" s="378"/>
      <c r="F1491" s="378"/>
      <c r="G1491" s="378"/>
      <c r="H1491" s="378"/>
      <c r="I1491" s="376"/>
      <c r="J1491" s="377"/>
      <c r="K1491" s="378"/>
      <c r="L1491" s="378"/>
      <c r="M1491" s="378"/>
      <c r="N1491" s="379"/>
      <c r="O1491" s="380"/>
      <c r="P1491" s="378"/>
      <c r="Q1491" s="378"/>
      <c r="R1491" s="378"/>
      <c r="S1491" s="378"/>
      <c r="T1491" s="378"/>
      <c r="U1491" s="378"/>
      <c r="V1491" s="378"/>
      <c r="W1491" s="378"/>
      <c r="X1491" s="378"/>
      <c r="Y1491" s="378"/>
      <c r="Z1491" s="378"/>
      <c r="AA1491" s="378"/>
      <c r="AB1491" s="378"/>
      <c r="AC1491" s="378"/>
      <c r="AD1491" s="378"/>
      <c r="AE1491" s="378"/>
      <c r="AF1491" s="378"/>
      <c r="AG1491" s="378"/>
    </row>
    <row r="1492">
      <c r="A1492" s="378"/>
      <c r="B1492" s="477"/>
      <c r="C1492" s="378"/>
      <c r="D1492" s="378"/>
      <c r="E1492" s="378"/>
      <c r="F1492" s="378"/>
      <c r="G1492" s="378"/>
      <c r="H1492" s="378"/>
      <c r="I1492" s="376"/>
      <c r="J1492" s="377"/>
      <c r="K1492" s="378"/>
      <c r="L1492" s="378"/>
      <c r="M1492" s="378"/>
      <c r="N1492" s="379"/>
      <c r="O1492" s="380"/>
      <c r="P1492" s="378"/>
      <c r="Q1492" s="378"/>
      <c r="R1492" s="378"/>
      <c r="S1492" s="378"/>
      <c r="T1492" s="378"/>
      <c r="U1492" s="378"/>
      <c r="V1492" s="378"/>
      <c r="W1492" s="378"/>
      <c r="X1492" s="378"/>
      <c r="Y1492" s="378"/>
      <c r="Z1492" s="378"/>
      <c r="AA1492" s="378"/>
      <c r="AB1492" s="378"/>
      <c r="AC1492" s="378"/>
      <c r="AD1492" s="378"/>
      <c r="AE1492" s="378"/>
      <c r="AF1492" s="378"/>
      <c r="AG1492" s="378"/>
    </row>
    <row r="1493">
      <c r="A1493" s="378"/>
      <c r="B1493" s="477"/>
      <c r="C1493" s="378"/>
      <c r="D1493" s="378"/>
      <c r="E1493" s="378"/>
      <c r="F1493" s="378"/>
      <c r="G1493" s="378"/>
      <c r="H1493" s="378"/>
      <c r="I1493" s="376"/>
      <c r="J1493" s="377"/>
      <c r="K1493" s="378"/>
      <c r="L1493" s="378"/>
      <c r="M1493" s="378"/>
      <c r="N1493" s="379"/>
      <c r="O1493" s="380"/>
      <c r="P1493" s="378"/>
      <c r="Q1493" s="378"/>
      <c r="R1493" s="378"/>
      <c r="S1493" s="378"/>
      <c r="T1493" s="378"/>
      <c r="U1493" s="378"/>
      <c r="V1493" s="378"/>
      <c r="W1493" s="378"/>
      <c r="X1493" s="378"/>
      <c r="Y1493" s="378"/>
      <c r="Z1493" s="378"/>
      <c r="AA1493" s="378"/>
      <c r="AB1493" s="378"/>
      <c r="AC1493" s="378"/>
      <c r="AD1493" s="378"/>
      <c r="AE1493" s="378"/>
      <c r="AF1493" s="378"/>
      <c r="AG1493" s="378"/>
    </row>
    <row r="1494">
      <c r="A1494" s="378"/>
      <c r="B1494" s="477"/>
      <c r="C1494" s="378"/>
      <c r="D1494" s="378"/>
      <c r="E1494" s="378"/>
      <c r="F1494" s="378"/>
      <c r="G1494" s="378"/>
      <c r="H1494" s="378"/>
      <c r="I1494" s="376"/>
      <c r="J1494" s="377"/>
      <c r="K1494" s="378"/>
      <c r="L1494" s="378"/>
      <c r="M1494" s="378"/>
      <c r="N1494" s="379"/>
      <c r="O1494" s="380"/>
      <c r="P1494" s="378"/>
      <c r="Q1494" s="378"/>
      <c r="R1494" s="378"/>
      <c r="S1494" s="378"/>
      <c r="T1494" s="378"/>
      <c r="U1494" s="378"/>
      <c r="V1494" s="378"/>
      <c r="W1494" s="378"/>
      <c r="X1494" s="378"/>
      <c r="Y1494" s="378"/>
      <c r="Z1494" s="378"/>
      <c r="AA1494" s="378"/>
      <c r="AB1494" s="378"/>
      <c r="AC1494" s="378"/>
      <c r="AD1494" s="378"/>
      <c r="AE1494" s="378"/>
      <c r="AF1494" s="378"/>
      <c r="AG1494" s="378"/>
    </row>
    <row r="1495">
      <c r="A1495" s="378"/>
      <c r="B1495" s="477"/>
      <c r="C1495" s="378"/>
      <c r="D1495" s="378"/>
      <c r="E1495" s="378"/>
      <c r="F1495" s="378"/>
      <c r="G1495" s="378"/>
      <c r="H1495" s="378"/>
      <c r="I1495" s="376"/>
      <c r="J1495" s="377"/>
      <c r="K1495" s="378"/>
      <c r="L1495" s="378"/>
      <c r="M1495" s="378"/>
      <c r="N1495" s="379"/>
      <c r="O1495" s="380"/>
      <c r="P1495" s="378"/>
      <c r="Q1495" s="378"/>
      <c r="R1495" s="378"/>
      <c r="S1495" s="378"/>
      <c r="T1495" s="378"/>
      <c r="U1495" s="378"/>
      <c r="V1495" s="378"/>
      <c r="W1495" s="378"/>
      <c r="X1495" s="378"/>
      <c r="Y1495" s="378"/>
      <c r="Z1495" s="378"/>
      <c r="AA1495" s="378"/>
      <c r="AB1495" s="378"/>
      <c r="AC1495" s="378"/>
      <c r="AD1495" s="378"/>
      <c r="AE1495" s="378"/>
      <c r="AF1495" s="378"/>
      <c r="AG1495" s="378"/>
    </row>
    <row r="1496">
      <c r="A1496" s="378"/>
      <c r="B1496" s="477"/>
      <c r="C1496" s="378"/>
      <c r="D1496" s="378"/>
      <c r="E1496" s="378"/>
      <c r="F1496" s="378"/>
      <c r="G1496" s="378"/>
      <c r="H1496" s="378"/>
      <c r="I1496" s="376"/>
      <c r="J1496" s="377"/>
      <c r="K1496" s="378"/>
      <c r="L1496" s="378"/>
      <c r="M1496" s="378"/>
      <c r="N1496" s="379"/>
      <c r="O1496" s="380"/>
      <c r="P1496" s="378"/>
      <c r="Q1496" s="378"/>
      <c r="R1496" s="378"/>
      <c r="S1496" s="378"/>
      <c r="T1496" s="378"/>
      <c r="U1496" s="378"/>
      <c r="V1496" s="378"/>
      <c r="W1496" s="378"/>
      <c r="X1496" s="378"/>
      <c r="Y1496" s="378"/>
      <c r="Z1496" s="378"/>
      <c r="AA1496" s="378"/>
      <c r="AB1496" s="378"/>
      <c r="AC1496" s="378"/>
      <c r="AD1496" s="378"/>
      <c r="AE1496" s="378"/>
      <c r="AF1496" s="378"/>
      <c r="AG1496" s="378"/>
    </row>
    <row r="1497">
      <c r="A1497" s="378"/>
      <c r="B1497" s="477"/>
      <c r="C1497" s="378"/>
      <c r="D1497" s="378"/>
      <c r="E1497" s="378"/>
      <c r="F1497" s="378"/>
      <c r="G1497" s="378"/>
      <c r="H1497" s="378"/>
      <c r="I1497" s="376"/>
      <c r="J1497" s="377"/>
      <c r="K1497" s="378"/>
      <c r="L1497" s="378"/>
      <c r="M1497" s="378"/>
      <c r="N1497" s="379"/>
      <c r="O1497" s="380"/>
      <c r="P1497" s="378"/>
      <c r="Q1497" s="378"/>
      <c r="R1497" s="378"/>
      <c r="S1497" s="378"/>
      <c r="T1497" s="378"/>
      <c r="U1497" s="378"/>
      <c r="V1497" s="378"/>
      <c r="W1497" s="378"/>
      <c r="X1497" s="378"/>
      <c r="Y1497" s="378"/>
      <c r="Z1497" s="378"/>
      <c r="AA1497" s="378"/>
      <c r="AB1497" s="378"/>
      <c r="AC1497" s="378"/>
      <c r="AD1497" s="378"/>
      <c r="AE1497" s="378"/>
      <c r="AF1497" s="378"/>
      <c r="AG1497" s="378"/>
    </row>
    <row r="1498">
      <c r="A1498" s="378"/>
      <c r="B1498" s="477"/>
      <c r="C1498" s="378"/>
      <c r="D1498" s="378"/>
      <c r="E1498" s="378"/>
      <c r="F1498" s="378"/>
      <c r="G1498" s="378"/>
      <c r="H1498" s="378"/>
      <c r="I1498" s="376"/>
      <c r="J1498" s="377"/>
      <c r="K1498" s="378"/>
      <c r="L1498" s="378"/>
      <c r="M1498" s="378"/>
      <c r="N1498" s="379"/>
      <c r="O1498" s="380"/>
      <c r="P1498" s="378"/>
      <c r="Q1498" s="378"/>
      <c r="R1498" s="378"/>
      <c r="S1498" s="378"/>
      <c r="T1498" s="378"/>
      <c r="U1498" s="378"/>
      <c r="V1498" s="378"/>
      <c r="W1498" s="378"/>
      <c r="X1498" s="378"/>
      <c r="Y1498" s="378"/>
      <c r="Z1498" s="378"/>
      <c r="AA1498" s="378"/>
      <c r="AB1498" s="378"/>
      <c r="AC1498" s="378"/>
      <c r="AD1498" s="378"/>
      <c r="AE1498" s="378"/>
      <c r="AF1498" s="378"/>
      <c r="AG1498" s="378"/>
    </row>
    <row r="1499">
      <c r="A1499" s="378"/>
      <c r="B1499" s="477"/>
      <c r="C1499" s="378"/>
      <c r="D1499" s="378"/>
      <c r="E1499" s="378"/>
      <c r="F1499" s="378"/>
      <c r="G1499" s="378"/>
      <c r="H1499" s="378"/>
      <c r="I1499" s="376"/>
      <c r="J1499" s="377"/>
      <c r="K1499" s="378"/>
      <c r="L1499" s="378"/>
      <c r="M1499" s="378"/>
      <c r="N1499" s="379"/>
      <c r="O1499" s="380"/>
      <c r="P1499" s="378"/>
      <c r="Q1499" s="378"/>
      <c r="R1499" s="378"/>
      <c r="S1499" s="378"/>
      <c r="T1499" s="378"/>
      <c r="U1499" s="378"/>
      <c r="V1499" s="378"/>
      <c r="W1499" s="378"/>
      <c r="X1499" s="378"/>
      <c r="Y1499" s="378"/>
      <c r="Z1499" s="378"/>
      <c r="AA1499" s="378"/>
      <c r="AB1499" s="378"/>
      <c r="AC1499" s="378"/>
      <c r="AD1499" s="378"/>
      <c r="AE1499" s="378"/>
      <c r="AF1499" s="378"/>
      <c r="AG1499" s="378"/>
    </row>
    <row r="1500">
      <c r="A1500" s="378"/>
      <c r="B1500" s="477"/>
      <c r="C1500" s="378"/>
      <c r="D1500" s="378"/>
      <c r="E1500" s="378"/>
      <c r="F1500" s="378"/>
      <c r="G1500" s="378"/>
      <c r="H1500" s="378"/>
      <c r="I1500" s="376"/>
      <c r="J1500" s="377"/>
      <c r="K1500" s="378"/>
      <c r="L1500" s="378"/>
      <c r="M1500" s="378"/>
      <c r="N1500" s="379"/>
      <c r="O1500" s="380"/>
      <c r="P1500" s="378"/>
      <c r="Q1500" s="378"/>
      <c r="R1500" s="378"/>
      <c r="S1500" s="378"/>
      <c r="T1500" s="378"/>
      <c r="U1500" s="378"/>
      <c r="V1500" s="378"/>
      <c r="W1500" s="378"/>
      <c r="X1500" s="378"/>
      <c r="Y1500" s="378"/>
      <c r="Z1500" s="378"/>
      <c r="AA1500" s="378"/>
      <c r="AB1500" s="378"/>
      <c r="AC1500" s="378"/>
      <c r="AD1500" s="378"/>
      <c r="AE1500" s="378"/>
      <c r="AF1500" s="378"/>
      <c r="AG1500" s="378"/>
    </row>
    <row r="1501">
      <c r="A1501" s="378"/>
      <c r="B1501" s="477"/>
      <c r="C1501" s="378"/>
      <c r="D1501" s="378"/>
      <c r="E1501" s="378"/>
      <c r="F1501" s="378"/>
      <c r="G1501" s="378"/>
      <c r="H1501" s="378"/>
      <c r="I1501" s="376"/>
      <c r="J1501" s="377"/>
      <c r="K1501" s="378"/>
      <c r="L1501" s="378"/>
      <c r="M1501" s="378"/>
      <c r="N1501" s="379"/>
      <c r="O1501" s="380"/>
      <c r="P1501" s="378"/>
      <c r="Q1501" s="378"/>
      <c r="R1501" s="378"/>
      <c r="S1501" s="378"/>
      <c r="T1501" s="378"/>
      <c r="U1501" s="378"/>
      <c r="V1501" s="378"/>
      <c r="W1501" s="378"/>
      <c r="X1501" s="378"/>
      <c r="Y1501" s="378"/>
      <c r="Z1501" s="378"/>
      <c r="AA1501" s="378"/>
      <c r="AB1501" s="378"/>
      <c r="AC1501" s="378"/>
      <c r="AD1501" s="378"/>
      <c r="AE1501" s="378"/>
      <c r="AF1501" s="378"/>
      <c r="AG1501" s="378"/>
    </row>
    <row r="1502">
      <c r="A1502" s="378"/>
      <c r="B1502" s="477"/>
      <c r="C1502" s="378"/>
      <c r="D1502" s="378"/>
      <c r="E1502" s="378"/>
      <c r="F1502" s="378"/>
      <c r="G1502" s="378"/>
      <c r="H1502" s="378"/>
      <c r="I1502" s="376"/>
      <c r="J1502" s="377"/>
      <c r="K1502" s="378"/>
      <c r="L1502" s="378"/>
      <c r="M1502" s="378"/>
      <c r="N1502" s="379"/>
      <c r="O1502" s="380"/>
      <c r="P1502" s="378"/>
      <c r="Q1502" s="378"/>
      <c r="R1502" s="378"/>
      <c r="S1502" s="378"/>
      <c r="T1502" s="378"/>
      <c r="U1502" s="378"/>
      <c r="V1502" s="378"/>
      <c r="W1502" s="378"/>
      <c r="X1502" s="378"/>
      <c r="Y1502" s="378"/>
      <c r="Z1502" s="378"/>
      <c r="AA1502" s="378"/>
      <c r="AB1502" s="378"/>
      <c r="AC1502" s="378"/>
      <c r="AD1502" s="378"/>
      <c r="AE1502" s="378"/>
      <c r="AF1502" s="378"/>
      <c r="AG1502" s="378"/>
    </row>
    <row r="1503">
      <c r="A1503" s="378"/>
      <c r="B1503" s="477"/>
      <c r="C1503" s="378"/>
      <c r="D1503" s="378"/>
      <c r="E1503" s="378"/>
      <c r="F1503" s="378"/>
      <c r="G1503" s="378"/>
      <c r="H1503" s="378"/>
      <c r="I1503" s="376"/>
      <c r="J1503" s="377"/>
      <c r="K1503" s="378"/>
      <c r="L1503" s="378"/>
      <c r="M1503" s="378"/>
      <c r="N1503" s="379"/>
      <c r="O1503" s="380"/>
      <c r="P1503" s="378"/>
      <c r="Q1503" s="378"/>
      <c r="R1503" s="378"/>
      <c r="S1503" s="378"/>
      <c r="T1503" s="378"/>
      <c r="U1503" s="378"/>
      <c r="V1503" s="378"/>
      <c r="W1503" s="378"/>
      <c r="X1503" s="378"/>
      <c r="Y1503" s="378"/>
      <c r="Z1503" s="378"/>
      <c r="AA1503" s="378"/>
      <c r="AB1503" s="378"/>
      <c r="AC1503" s="378"/>
      <c r="AD1503" s="378"/>
      <c r="AE1503" s="378"/>
      <c r="AF1503" s="378"/>
      <c r="AG1503" s="378"/>
    </row>
    <row r="1504">
      <c r="A1504" s="378"/>
      <c r="B1504" s="477"/>
      <c r="C1504" s="378"/>
      <c r="D1504" s="378"/>
      <c r="E1504" s="378"/>
      <c r="F1504" s="378"/>
      <c r="G1504" s="378"/>
      <c r="H1504" s="378"/>
      <c r="I1504" s="376"/>
      <c r="J1504" s="377"/>
      <c r="K1504" s="378"/>
      <c r="L1504" s="378"/>
      <c r="M1504" s="378"/>
      <c r="N1504" s="379"/>
      <c r="O1504" s="380"/>
      <c r="P1504" s="378"/>
      <c r="Q1504" s="378"/>
      <c r="R1504" s="378"/>
      <c r="S1504" s="378"/>
      <c r="T1504" s="378"/>
      <c r="U1504" s="378"/>
      <c r="V1504" s="378"/>
      <c r="W1504" s="378"/>
      <c r="X1504" s="378"/>
      <c r="Y1504" s="378"/>
      <c r="Z1504" s="378"/>
      <c r="AA1504" s="378"/>
      <c r="AB1504" s="378"/>
      <c r="AC1504" s="378"/>
      <c r="AD1504" s="378"/>
      <c r="AE1504" s="378"/>
      <c r="AF1504" s="378"/>
      <c r="AG1504" s="378"/>
    </row>
    <row r="1505">
      <c r="A1505" s="378"/>
      <c r="B1505" s="477"/>
      <c r="C1505" s="378"/>
      <c r="D1505" s="378"/>
      <c r="E1505" s="378"/>
      <c r="F1505" s="378"/>
      <c r="G1505" s="378"/>
      <c r="H1505" s="378"/>
      <c r="I1505" s="376"/>
      <c r="J1505" s="377"/>
      <c r="K1505" s="378"/>
      <c r="L1505" s="378"/>
      <c r="M1505" s="378"/>
      <c r="N1505" s="379"/>
      <c r="O1505" s="380"/>
      <c r="P1505" s="378"/>
      <c r="Q1505" s="378"/>
      <c r="R1505" s="378"/>
      <c r="S1505" s="378"/>
      <c r="T1505" s="378"/>
      <c r="U1505" s="378"/>
      <c r="V1505" s="378"/>
      <c r="W1505" s="378"/>
      <c r="X1505" s="378"/>
      <c r="Y1505" s="378"/>
      <c r="Z1505" s="378"/>
      <c r="AA1505" s="378"/>
      <c r="AB1505" s="378"/>
      <c r="AC1505" s="378"/>
      <c r="AD1505" s="378"/>
      <c r="AE1505" s="378"/>
      <c r="AF1505" s="378"/>
      <c r="AG1505" s="378"/>
    </row>
    <row r="1506">
      <c r="A1506" s="378"/>
      <c r="B1506" s="477"/>
      <c r="C1506" s="378"/>
      <c r="D1506" s="378"/>
      <c r="E1506" s="378"/>
      <c r="F1506" s="378"/>
      <c r="G1506" s="378"/>
      <c r="H1506" s="378"/>
      <c r="I1506" s="376"/>
      <c r="J1506" s="377"/>
      <c r="K1506" s="378"/>
      <c r="L1506" s="378"/>
      <c r="M1506" s="378"/>
      <c r="N1506" s="379"/>
      <c r="O1506" s="380"/>
      <c r="P1506" s="378"/>
      <c r="Q1506" s="378"/>
      <c r="R1506" s="378"/>
      <c r="S1506" s="378"/>
      <c r="T1506" s="378"/>
      <c r="U1506" s="378"/>
      <c r="V1506" s="378"/>
      <c r="W1506" s="378"/>
      <c r="X1506" s="378"/>
      <c r="Y1506" s="378"/>
      <c r="Z1506" s="378"/>
      <c r="AA1506" s="378"/>
      <c r="AB1506" s="378"/>
      <c r="AC1506" s="378"/>
      <c r="AD1506" s="378"/>
      <c r="AE1506" s="378"/>
      <c r="AF1506" s="378"/>
      <c r="AG1506" s="378"/>
    </row>
    <row r="1507">
      <c r="A1507" s="378"/>
      <c r="B1507" s="477"/>
      <c r="C1507" s="378"/>
      <c r="D1507" s="378"/>
      <c r="E1507" s="378"/>
      <c r="F1507" s="378"/>
      <c r="G1507" s="378"/>
      <c r="H1507" s="378"/>
      <c r="I1507" s="376"/>
      <c r="J1507" s="377"/>
      <c r="K1507" s="378"/>
      <c r="L1507" s="378"/>
      <c r="M1507" s="378"/>
      <c r="N1507" s="379"/>
      <c r="O1507" s="380"/>
      <c r="P1507" s="378"/>
      <c r="Q1507" s="378"/>
      <c r="R1507" s="378"/>
      <c r="S1507" s="378"/>
      <c r="T1507" s="378"/>
      <c r="U1507" s="378"/>
      <c r="V1507" s="378"/>
      <c r="W1507" s="378"/>
      <c r="X1507" s="378"/>
      <c r="Y1507" s="378"/>
      <c r="Z1507" s="378"/>
      <c r="AA1507" s="378"/>
      <c r="AB1507" s="378"/>
      <c r="AC1507" s="378"/>
      <c r="AD1507" s="378"/>
      <c r="AE1507" s="378"/>
      <c r="AF1507" s="378"/>
      <c r="AG1507" s="378"/>
    </row>
    <row r="1508">
      <c r="A1508" s="378"/>
      <c r="B1508" s="477"/>
      <c r="C1508" s="378"/>
      <c r="D1508" s="378"/>
      <c r="E1508" s="378"/>
      <c r="F1508" s="378"/>
      <c r="G1508" s="378"/>
      <c r="H1508" s="378"/>
      <c r="I1508" s="376"/>
      <c r="J1508" s="377"/>
      <c r="K1508" s="378"/>
      <c r="L1508" s="378"/>
      <c r="M1508" s="378"/>
      <c r="N1508" s="379"/>
      <c r="O1508" s="380"/>
      <c r="P1508" s="378"/>
      <c r="Q1508" s="378"/>
      <c r="R1508" s="378"/>
      <c r="S1508" s="378"/>
      <c r="T1508" s="378"/>
      <c r="U1508" s="378"/>
      <c r="V1508" s="378"/>
      <c r="W1508" s="378"/>
      <c r="X1508" s="378"/>
      <c r="Y1508" s="378"/>
      <c r="Z1508" s="378"/>
      <c r="AA1508" s="378"/>
      <c r="AB1508" s="378"/>
      <c r="AC1508" s="378"/>
      <c r="AD1508" s="378"/>
      <c r="AE1508" s="378"/>
      <c r="AF1508" s="378"/>
      <c r="AG1508" s="378"/>
    </row>
    <row r="1509">
      <c r="A1509" s="378"/>
      <c r="B1509" s="477"/>
      <c r="C1509" s="378"/>
      <c r="D1509" s="378"/>
      <c r="E1509" s="378"/>
      <c r="F1509" s="378"/>
      <c r="G1509" s="378"/>
      <c r="H1509" s="378"/>
      <c r="I1509" s="376"/>
      <c r="J1509" s="377"/>
      <c r="K1509" s="378"/>
      <c r="L1509" s="378"/>
      <c r="M1509" s="378"/>
      <c r="N1509" s="379"/>
      <c r="O1509" s="380"/>
      <c r="P1509" s="378"/>
      <c r="Q1509" s="378"/>
      <c r="R1509" s="378"/>
      <c r="S1509" s="378"/>
      <c r="T1509" s="378"/>
      <c r="U1509" s="378"/>
      <c r="V1509" s="378"/>
      <c r="W1509" s="378"/>
      <c r="X1509" s="378"/>
      <c r="Y1509" s="378"/>
      <c r="Z1509" s="378"/>
      <c r="AA1509" s="378"/>
      <c r="AB1509" s="378"/>
      <c r="AC1509" s="378"/>
      <c r="AD1509" s="378"/>
      <c r="AE1509" s="378"/>
      <c r="AF1509" s="378"/>
      <c r="AG1509" s="378"/>
    </row>
    <row r="1510">
      <c r="A1510" s="378"/>
      <c r="B1510" s="477"/>
      <c r="C1510" s="378"/>
      <c r="D1510" s="378"/>
      <c r="E1510" s="378"/>
      <c r="F1510" s="378"/>
      <c r="G1510" s="378"/>
      <c r="H1510" s="378"/>
      <c r="I1510" s="376"/>
      <c r="J1510" s="377"/>
      <c r="K1510" s="378"/>
      <c r="L1510" s="378"/>
      <c r="M1510" s="378"/>
      <c r="N1510" s="379"/>
      <c r="O1510" s="380"/>
      <c r="P1510" s="378"/>
      <c r="Q1510" s="378"/>
      <c r="R1510" s="378"/>
      <c r="S1510" s="378"/>
      <c r="T1510" s="378"/>
      <c r="U1510" s="378"/>
      <c r="V1510" s="378"/>
      <c r="W1510" s="378"/>
      <c r="X1510" s="378"/>
      <c r="Y1510" s="378"/>
      <c r="Z1510" s="378"/>
      <c r="AA1510" s="378"/>
      <c r="AB1510" s="378"/>
      <c r="AC1510" s="378"/>
      <c r="AD1510" s="378"/>
      <c r="AE1510" s="378"/>
      <c r="AF1510" s="378"/>
      <c r="AG1510" s="378"/>
    </row>
    <row r="1511">
      <c r="A1511" s="378"/>
      <c r="B1511" s="477"/>
      <c r="C1511" s="378"/>
      <c r="D1511" s="378"/>
      <c r="E1511" s="378"/>
      <c r="F1511" s="378"/>
      <c r="G1511" s="378"/>
      <c r="H1511" s="378"/>
      <c r="I1511" s="376"/>
      <c r="J1511" s="377"/>
      <c r="K1511" s="378"/>
      <c r="L1511" s="378"/>
      <c r="M1511" s="378"/>
      <c r="N1511" s="379"/>
      <c r="O1511" s="380"/>
      <c r="P1511" s="378"/>
      <c r="Q1511" s="378"/>
      <c r="R1511" s="378"/>
      <c r="S1511" s="378"/>
      <c r="T1511" s="378"/>
      <c r="U1511" s="378"/>
      <c r="V1511" s="378"/>
      <c r="W1511" s="378"/>
      <c r="X1511" s="378"/>
      <c r="Y1511" s="378"/>
      <c r="Z1511" s="378"/>
      <c r="AA1511" s="378"/>
      <c r="AB1511" s="378"/>
      <c r="AC1511" s="378"/>
      <c r="AD1511" s="378"/>
      <c r="AE1511" s="378"/>
      <c r="AF1511" s="378"/>
      <c r="AG1511" s="378"/>
    </row>
    <row r="1512">
      <c r="A1512" s="378"/>
      <c r="B1512" s="477"/>
      <c r="C1512" s="378"/>
      <c r="D1512" s="378"/>
      <c r="E1512" s="378"/>
      <c r="F1512" s="378"/>
      <c r="G1512" s="378"/>
      <c r="H1512" s="378"/>
      <c r="I1512" s="376"/>
      <c r="J1512" s="377"/>
      <c r="K1512" s="378"/>
      <c r="L1512" s="378"/>
      <c r="M1512" s="378"/>
      <c r="N1512" s="379"/>
      <c r="O1512" s="380"/>
      <c r="P1512" s="378"/>
      <c r="Q1512" s="378"/>
      <c r="R1512" s="378"/>
      <c r="S1512" s="378"/>
      <c r="T1512" s="378"/>
      <c r="U1512" s="378"/>
      <c r="V1512" s="378"/>
      <c r="W1512" s="378"/>
      <c r="X1512" s="378"/>
      <c r="Y1512" s="378"/>
      <c r="Z1512" s="378"/>
      <c r="AA1512" s="378"/>
      <c r="AB1512" s="378"/>
      <c r="AC1512" s="378"/>
      <c r="AD1512" s="378"/>
      <c r="AE1512" s="378"/>
      <c r="AF1512" s="378"/>
      <c r="AG1512" s="378"/>
    </row>
    <row r="1513">
      <c r="A1513" s="378"/>
      <c r="B1513" s="477"/>
      <c r="C1513" s="378"/>
      <c r="D1513" s="378"/>
      <c r="E1513" s="378"/>
      <c r="F1513" s="378"/>
      <c r="G1513" s="378"/>
      <c r="H1513" s="378"/>
      <c r="I1513" s="376"/>
      <c r="J1513" s="377"/>
      <c r="K1513" s="378"/>
      <c r="L1513" s="378"/>
      <c r="M1513" s="378"/>
      <c r="N1513" s="379"/>
      <c r="O1513" s="380"/>
      <c r="P1513" s="378"/>
      <c r="Q1513" s="378"/>
      <c r="R1513" s="378"/>
      <c r="S1513" s="378"/>
      <c r="T1513" s="378"/>
      <c r="U1513" s="378"/>
      <c r="V1513" s="378"/>
      <c r="W1513" s="378"/>
      <c r="X1513" s="378"/>
      <c r="Y1513" s="378"/>
      <c r="Z1513" s="378"/>
      <c r="AA1513" s="378"/>
      <c r="AB1513" s="378"/>
      <c r="AC1513" s="378"/>
      <c r="AD1513" s="378"/>
      <c r="AE1513" s="378"/>
      <c r="AF1513" s="378"/>
      <c r="AG1513" s="378"/>
    </row>
    <row r="1514">
      <c r="A1514" s="378"/>
      <c r="B1514" s="477"/>
      <c r="C1514" s="378"/>
      <c r="D1514" s="378"/>
      <c r="E1514" s="378"/>
      <c r="F1514" s="378"/>
      <c r="G1514" s="378"/>
      <c r="H1514" s="378"/>
      <c r="I1514" s="376"/>
      <c r="J1514" s="377"/>
      <c r="K1514" s="378"/>
      <c r="L1514" s="378"/>
      <c r="M1514" s="378"/>
      <c r="N1514" s="379"/>
      <c r="O1514" s="380"/>
      <c r="P1514" s="378"/>
      <c r="Q1514" s="378"/>
      <c r="R1514" s="378"/>
      <c r="S1514" s="378"/>
      <c r="T1514" s="378"/>
      <c r="U1514" s="378"/>
      <c r="V1514" s="378"/>
      <c r="W1514" s="378"/>
      <c r="X1514" s="378"/>
      <c r="Y1514" s="378"/>
      <c r="Z1514" s="378"/>
      <c r="AA1514" s="378"/>
      <c r="AB1514" s="378"/>
      <c r="AC1514" s="378"/>
      <c r="AD1514" s="378"/>
      <c r="AE1514" s="378"/>
      <c r="AF1514" s="378"/>
      <c r="AG1514" s="378"/>
    </row>
    <row r="1515">
      <c r="A1515" s="378"/>
      <c r="B1515" s="477"/>
      <c r="C1515" s="378"/>
      <c r="D1515" s="378"/>
      <c r="E1515" s="378"/>
      <c r="F1515" s="378"/>
      <c r="G1515" s="378"/>
      <c r="H1515" s="378"/>
      <c r="I1515" s="376"/>
      <c r="J1515" s="377"/>
      <c r="K1515" s="378"/>
      <c r="L1515" s="378"/>
      <c r="M1515" s="378"/>
      <c r="N1515" s="379"/>
      <c r="O1515" s="380"/>
      <c r="P1515" s="378"/>
      <c r="Q1515" s="378"/>
      <c r="R1515" s="378"/>
      <c r="S1515" s="378"/>
      <c r="T1515" s="378"/>
      <c r="U1515" s="378"/>
      <c r="V1515" s="378"/>
      <c r="W1515" s="378"/>
      <c r="X1515" s="378"/>
      <c r="Y1515" s="378"/>
      <c r="Z1515" s="378"/>
      <c r="AA1515" s="378"/>
      <c r="AB1515" s="378"/>
      <c r="AC1515" s="378"/>
      <c r="AD1515" s="378"/>
      <c r="AE1515" s="378"/>
      <c r="AF1515" s="378"/>
      <c r="AG1515" s="378"/>
    </row>
    <row r="1516">
      <c r="A1516" s="378"/>
      <c r="B1516" s="477"/>
      <c r="C1516" s="378"/>
      <c r="D1516" s="378"/>
      <c r="E1516" s="378"/>
      <c r="F1516" s="378"/>
      <c r="G1516" s="378"/>
      <c r="H1516" s="378"/>
      <c r="I1516" s="376"/>
      <c r="J1516" s="377"/>
      <c r="K1516" s="378"/>
      <c r="L1516" s="378"/>
      <c r="M1516" s="378"/>
      <c r="N1516" s="379"/>
      <c r="O1516" s="380"/>
      <c r="P1516" s="378"/>
      <c r="Q1516" s="378"/>
      <c r="R1516" s="378"/>
      <c r="S1516" s="378"/>
      <c r="T1516" s="378"/>
      <c r="U1516" s="378"/>
      <c r="V1516" s="378"/>
      <c r="W1516" s="378"/>
      <c r="X1516" s="378"/>
      <c r="Y1516" s="378"/>
      <c r="Z1516" s="378"/>
      <c r="AA1516" s="378"/>
      <c r="AB1516" s="378"/>
      <c r="AC1516" s="378"/>
      <c r="AD1516" s="378"/>
      <c r="AE1516" s="378"/>
      <c r="AF1516" s="378"/>
      <c r="AG1516" s="378"/>
    </row>
    <row r="1517">
      <c r="A1517" s="378"/>
      <c r="B1517" s="477"/>
      <c r="C1517" s="378"/>
      <c r="D1517" s="378"/>
      <c r="E1517" s="378"/>
      <c r="F1517" s="378"/>
      <c r="G1517" s="378"/>
      <c r="H1517" s="378"/>
      <c r="I1517" s="376"/>
      <c r="J1517" s="377"/>
      <c r="K1517" s="378"/>
      <c r="L1517" s="378"/>
      <c r="M1517" s="378"/>
      <c r="N1517" s="379"/>
      <c r="O1517" s="380"/>
      <c r="P1517" s="378"/>
      <c r="Q1517" s="378"/>
      <c r="R1517" s="378"/>
      <c r="S1517" s="378"/>
      <c r="T1517" s="378"/>
      <c r="U1517" s="378"/>
      <c r="V1517" s="378"/>
      <c r="W1517" s="378"/>
      <c r="X1517" s="378"/>
      <c r="Y1517" s="378"/>
      <c r="Z1517" s="378"/>
      <c r="AA1517" s="378"/>
      <c r="AB1517" s="378"/>
      <c r="AC1517" s="378"/>
      <c r="AD1517" s="378"/>
      <c r="AE1517" s="378"/>
      <c r="AF1517" s="378"/>
      <c r="AG1517" s="378"/>
    </row>
    <row r="1518">
      <c r="A1518" s="378"/>
      <c r="B1518" s="477"/>
      <c r="C1518" s="378"/>
      <c r="D1518" s="378"/>
      <c r="E1518" s="378"/>
      <c r="F1518" s="378"/>
      <c r="G1518" s="378"/>
      <c r="H1518" s="378"/>
      <c r="I1518" s="376"/>
      <c r="J1518" s="377"/>
      <c r="K1518" s="378"/>
      <c r="L1518" s="378"/>
      <c r="M1518" s="378"/>
      <c r="N1518" s="379"/>
      <c r="O1518" s="380"/>
      <c r="P1518" s="378"/>
      <c r="Q1518" s="378"/>
      <c r="R1518" s="378"/>
      <c r="S1518" s="378"/>
      <c r="T1518" s="378"/>
      <c r="U1518" s="378"/>
      <c r="V1518" s="378"/>
      <c r="W1518" s="378"/>
      <c r="X1518" s="378"/>
      <c r="Y1518" s="378"/>
      <c r="Z1518" s="378"/>
      <c r="AA1518" s="378"/>
      <c r="AB1518" s="378"/>
      <c r="AC1518" s="378"/>
      <c r="AD1518" s="378"/>
      <c r="AE1518" s="378"/>
      <c r="AF1518" s="378"/>
      <c r="AG1518" s="378"/>
    </row>
    <row r="1519">
      <c r="A1519" s="378"/>
      <c r="B1519" s="477"/>
      <c r="C1519" s="378"/>
      <c r="D1519" s="378"/>
      <c r="E1519" s="378"/>
      <c r="F1519" s="378"/>
      <c r="G1519" s="378"/>
      <c r="H1519" s="378"/>
      <c r="I1519" s="376"/>
      <c r="J1519" s="377"/>
      <c r="K1519" s="378"/>
      <c r="L1519" s="378"/>
      <c r="M1519" s="378"/>
      <c r="N1519" s="379"/>
      <c r="O1519" s="380"/>
      <c r="P1519" s="378"/>
      <c r="Q1519" s="378"/>
      <c r="R1519" s="378"/>
      <c r="S1519" s="378"/>
      <c r="T1519" s="378"/>
      <c r="U1519" s="378"/>
      <c r="V1519" s="378"/>
      <c r="W1519" s="378"/>
      <c r="X1519" s="378"/>
      <c r="Y1519" s="378"/>
      <c r="Z1519" s="378"/>
      <c r="AA1519" s="378"/>
      <c r="AB1519" s="378"/>
      <c r="AC1519" s="378"/>
      <c r="AD1519" s="378"/>
      <c r="AE1519" s="378"/>
      <c r="AF1519" s="378"/>
      <c r="AG1519" s="378"/>
    </row>
    <row r="1520">
      <c r="A1520" s="378"/>
      <c r="B1520" s="477"/>
      <c r="C1520" s="378"/>
      <c r="D1520" s="378"/>
      <c r="E1520" s="378"/>
      <c r="F1520" s="378"/>
      <c r="G1520" s="378"/>
      <c r="H1520" s="378"/>
      <c r="I1520" s="376"/>
      <c r="J1520" s="377"/>
      <c r="K1520" s="378"/>
      <c r="L1520" s="378"/>
      <c r="M1520" s="378"/>
      <c r="N1520" s="379"/>
      <c r="O1520" s="380"/>
      <c r="P1520" s="378"/>
      <c r="Q1520" s="378"/>
      <c r="R1520" s="378"/>
      <c r="S1520" s="378"/>
      <c r="T1520" s="378"/>
      <c r="U1520" s="378"/>
      <c r="V1520" s="378"/>
      <c r="W1520" s="378"/>
      <c r="X1520" s="378"/>
      <c r="Y1520" s="378"/>
      <c r="Z1520" s="378"/>
      <c r="AA1520" s="378"/>
      <c r="AB1520" s="378"/>
      <c r="AC1520" s="378"/>
      <c r="AD1520" s="378"/>
      <c r="AE1520" s="378"/>
      <c r="AF1520" s="378"/>
      <c r="AG1520" s="378"/>
    </row>
    <row r="1521">
      <c r="A1521" s="378"/>
      <c r="B1521" s="477"/>
      <c r="C1521" s="378"/>
      <c r="D1521" s="378"/>
      <c r="E1521" s="378"/>
      <c r="F1521" s="378"/>
      <c r="G1521" s="378"/>
      <c r="H1521" s="378"/>
      <c r="I1521" s="376"/>
      <c r="J1521" s="377"/>
      <c r="K1521" s="378"/>
      <c r="L1521" s="378"/>
      <c r="M1521" s="378"/>
      <c r="N1521" s="379"/>
      <c r="O1521" s="380"/>
      <c r="P1521" s="378"/>
      <c r="Q1521" s="378"/>
      <c r="R1521" s="378"/>
      <c r="S1521" s="378"/>
      <c r="T1521" s="378"/>
      <c r="U1521" s="378"/>
      <c r="V1521" s="378"/>
      <c r="W1521" s="378"/>
      <c r="X1521" s="378"/>
      <c r="Y1521" s="378"/>
      <c r="Z1521" s="378"/>
      <c r="AA1521" s="378"/>
      <c r="AB1521" s="378"/>
      <c r="AC1521" s="378"/>
      <c r="AD1521" s="378"/>
      <c r="AE1521" s="378"/>
      <c r="AF1521" s="378"/>
      <c r="AG1521" s="378"/>
    </row>
    <row r="1522">
      <c r="A1522" s="378"/>
      <c r="B1522" s="477"/>
      <c r="C1522" s="378"/>
      <c r="D1522" s="378"/>
      <c r="E1522" s="378"/>
      <c r="F1522" s="378"/>
      <c r="G1522" s="378"/>
      <c r="H1522" s="378"/>
      <c r="I1522" s="376"/>
      <c r="J1522" s="377"/>
      <c r="K1522" s="378"/>
      <c r="L1522" s="378"/>
      <c r="M1522" s="378"/>
      <c r="N1522" s="379"/>
      <c r="O1522" s="380"/>
      <c r="P1522" s="378"/>
      <c r="Q1522" s="378"/>
      <c r="R1522" s="378"/>
      <c r="S1522" s="378"/>
      <c r="T1522" s="378"/>
      <c r="U1522" s="378"/>
      <c r="V1522" s="378"/>
      <c r="W1522" s="378"/>
      <c r="X1522" s="378"/>
      <c r="Y1522" s="378"/>
      <c r="Z1522" s="378"/>
      <c r="AA1522" s="378"/>
      <c r="AB1522" s="378"/>
      <c r="AC1522" s="378"/>
      <c r="AD1522" s="378"/>
      <c r="AE1522" s="378"/>
      <c r="AF1522" s="378"/>
      <c r="AG1522" s="378"/>
    </row>
    <row r="1523">
      <c r="A1523" s="378"/>
      <c r="B1523" s="477"/>
      <c r="C1523" s="378"/>
      <c r="D1523" s="378"/>
      <c r="E1523" s="378"/>
      <c r="F1523" s="378"/>
      <c r="G1523" s="378"/>
      <c r="H1523" s="378"/>
      <c r="I1523" s="376"/>
      <c r="J1523" s="377"/>
      <c r="K1523" s="378"/>
      <c r="L1523" s="378"/>
      <c r="M1523" s="378"/>
      <c r="N1523" s="379"/>
      <c r="O1523" s="380"/>
      <c r="P1523" s="378"/>
      <c r="Q1523" s="378"/>
      <c r="R1523" s="378"/>
      <c r="S1523" s="378"/>
      <c r="T1523" s="378"/>
      <c r="U1523" s="378"/>
      <c r="V1523" s="378"/>
      <c r="W1523" s="378"/>
      <c r="X1523" s="378"/>
      <c r="Y1523" s="378"/>
      <c r="Z1523" s="378"/>
      <c r="AA1523" s="378"/>
      <c r="AB1523" s="378"/>
      <c r="AC1523" s="378"/>
      <c r="AD1523" s="378"/>
      <c r="AE1523" s="378"/>
      <c r="AF1523" s="378"/>
      <c r="AG1523" s="378"/>
    </row>
    <row r="1524">
      <c r="A1524" s="378"/>
      <c r="B1524" s="477"/>
      <c r="C1524" s="378"/>
      <c r="D1524" s="378"/>
      <c r="E1524" s="378"/>
      <c r="F1524" s="378"/>
      <c r="G1524" s="378"/>
      <c r="H1524" s="378"/>
      <c r="I1524" s="376"/>
      <c r="J1524" s="377"/>
      <c r="K1524" s="378"/>
      <c r="L1524" s="378"/>
      <c r="M1524" s="378"/>
      <c r="N1524" s="379"/>
      <c r="O1524" s="380"/>
      <c r="P1524" s="378"/>
      <c r="Q1524" s="378"/>
      <c r="R1524" s="378"/>
      <c r="S1524" s="378"/>
      <c r="T1524" s="378"/>
      <c r="U1524" s="378"/>
      <c r="V1524" s="378"/>
      <c r="W1524" s="378"/>
      <c r="X1524" s="378"/>
      <c r="Y1524" s="378"/>
      <c r="Z1524" s="378"/>
      <c r="AA1524" s="378"/>
      <c r="AB1524" s="378"/>
      <c r="AC1524" s="378"/>
      <c r="AD1524" s="378"/>
      <c r="AE1524" s="378"/>
      <c r="AF1524" s="378"/>
      <c r="AG1524" s="378"/>
    </row>
    <row r="1525">
      <c r="A1525" s="378"/>
      <c r="B1525" s="477"/>
      <c r="C1525" s="378"/>
      <c r="D1525" s="378"/>
      <c r="E1525" s="378"/>
      <c r="F1525" s="378"/>
      <c r="G1525" s="378"/>
      <c r="H1525" s="378"/>
      <c r="I1525" s="376"/>
      <c r="J1525" s="377"/>
      <c r="K1525" s="378"/>
      <c r="L1525" s="378"/>
      <c r="M1525" s="378"/>
      <c r="N1525" s="379"/>
      <c r="O1525" s="380"/>
      <c r="P1525" s="378"/>
      <c r="Q1525" s="378"/>
      <c r="R1525" s="378"/>
      <c r="S1525" s="378"/>
      <c r="T1525" s="378"/>
      <c r="U1525" s="378"/>
      <c r="V1525" s="378"/>
      <c r="W1525" s="378"/>
      <c r="X1525" s="378"/>
      <c r="Y1525" s="378"/>
      <c r="Z1525" s="378"/>
      <c r="AA1525" s="378"/>
      <c r="AB1525" s="378"/>
      <c r="AC1525" s="378"/>
      <c r="AD1525" s="378"/>
      <c r="AE1525" s="378"/>
      <c r="AF1525" s="378"/>
      <c r="AG1525" s="378"/>
    </row>
    <row r="1526">
      <c r="A1526" s="378"/>
      <c r="B1526" s="477"/>
      <c r="C1526" s="378"/>
      <c r="D1526" s="378"/>
      <c r="E1526" s="378"/>
      <c r="F1526" s="378"/>
      <c r="G1526" s="378"/>
      <c r="H1526" s="378"/>
      <c r="I1526" s="376"/>
      <c r="J1526" s="377"/>
      <c r="K1526" s="378"/>
      <c r="L1526" s="378"/>
      <c r="M1526" s="378"/>
      <c r="N1526" s="379"/>
      <c r="O1526" s="380"/>
      <c r="P1526" s="378"/>
      <c r="Q1526" s="378"/>
      <c r="R1526" s="378"/>
      <c r="S1526" s="378"/>
      <c r="T1526" s="378"/>
      <c r="U1526" s="378"/>
      <c r="V1526" s="378"/>
      <c r="W1526" s="378"/>
      <c r="X1526" s="378"/>
      <c r="Y1526" s="378"/>
      <c r="Z1526" s="378"/>
      <c r="AA1526" s="378"/>
      <c r="AB1526" s="378"/>
      <c r="AC1526" s="378"/>
      <c r="AD1526" s="378"/>
      <c r="AE1526" s="378"/>
      <c r="AF1526" s="378"/>
      <c r="AG1526" s="378"/>
    </row>
    <row r="1527">
      <c r="A1527" s="378"/>
      <c r="B1527" s="477"/>
      <c r="C1527" s="378"/>
      <c r="D1527" s="378"/>
      <c r="E1527" s="378"/>
      <c r="F1527" s="378"/>
      <c r="G1527" s="378"/>
      <c r="H1527" s="378"/>
      <c r="I1527" s="376"/>
      <c r="J1527" s="377"/>
      <c r="K1527" s="378"/>
      <c r="L1527" s="378"/>
      <c r="M1527" s="378"/>
      <c r="N1527" s="379"/>
      <c r="O1527" s="380"/>
      <c r="P1527" s="378"/>
      <c r="Q1527" s="378"/>
      <c r="R1527" s="378"/>
      <c r="S1527" s="378"/>
      <c r="T1527" s="378"/>
      <c r="U1527" s="378"/>
      <c r="V1527" s="378"/>
      <c r="W1527" s="378"/>
      <c r="X1527" s="378"/>
      <c r="Y1527" s="378"/>
      <c r="Z1527" s="378"/>
      <c r="AA1527" s="378"/>
      <c r="AB1527" s="378"/>
      <c r="AC1527" s="378"/>
      <c r="AD1527" s="378"/>
      <c r="AE1527" s="378"/>
      <c r="AF1527" s="378"/>
      <c r="AG1527" s="378"/>
    </row>
    <row r="1528">
      <c r="A1528" s="378"/>
      <c r="B1528" s="477"/>
      <c r="C1528" s="378"/>
      <c r="D1528" s="378"/>
      <c r="E1528" s="378"/>
      <c r="F1528" s="378"/>
      <c r="G1528" s="378"/>
      <c r="H1528" s="378"/>
      <c r="I1528" s="376"/>
      <c r="J1528" s="377"/>
      <c r="K1528" s="378"/>
      <c r="L1528" s="378"/>
      <c r="M1528" s="378"/>
      <c r="N1528" s="379"/>
      <c r="O1528" s="380"/>
      <c r="P1528" s="378"/>
      <c r="Q1528" s="378"/>
      <c r="R1528" s="378"/>
      <c r="S1528" s="378"/>
      <c r="T1528" s="378"/>
      <c r="U1528" s="378"/>
      <c r="V1528" s="378"/>
      <c r="W1528" s="378"/>
      <c r="X1528" s="378"/>
      <c r="Y1528" s="378"/>
      <c r="Z1528" s="378"/>
      <c r="AA1528" s="378"/>
      <c r="AB1528" s="378"/>
      <c r="AC1528" s="378"/>
      <c r="AD1528" s="378"/>
      <c r="AE1528" s="378"/>
      <c r="AF1528" s="378"/>
      <c r="AG1528" s="378"/>
    </row>
    <row r="1529">
      <c r="A1529" s="378"/>
      <c r="B1529" s="477"/>
      <c r="C1529" s="378"/>
      <c r="D1529" s="378"/>
      <c r="E1529" s="378"/>
      <c r="F1529" s="378"/>
      <c r="G1529" s="378"/>
      <c r="H1529" s="378"/>
      <c r="I1529" s="376"/>
      <c r="J1529" s="377"/>
      <c r="K1529" s="378"/>
      <c r="L1529" s="378"/>
      <c r="M1529" s="378"/>
      <c r="N1529" s="379"/>
      <c r="O1529" s="380"/>
      <c r="P1529" s="378"/>
      <c r="Q1529" s="378"/>
      <c r="R1529" s="378"/>
      <c r="S1529" s="378"/>
      <c r="T1529" s="378"/>
      <c r="U1529" s="378"/>
      <c r="V1529" s="378"/>
      <c r="W1529" s="378"/>
      <c r="X1529" s="378"/>
      <c r="Y1529" s="378"/>
      <c r="Z1529" s="378"/>
      <c r="AA1529" s="378"/>
      <c r="AB1529" s="378"/>
      <c r="AC1529" s="378"/>
      <c r="AD1529" s="378"/>
      <c r="AE1529" s="378"/>
      <c r="AF1529" s="378"/>
      <c r="AG1529" s="378"/>
    </row>
    <row r="1530">
      <c r="A1530" s="378"/>
      <c r="B1530" s="477"/>
      <c r="C1530" s="378"/>
      <c r="D1530" s="378"/>
      <c r="E1530" s="378"/>
      <c r="F1530" s="378"/>
      <c r="G1530" s="378"/>
      <c r="H1530" s="378"/>
      <c r="I1530" s="376"/>
      <c r="J1530" s="377"/>
      <c r="K1530" s="378"/>
      <c r="L1530" s="378"/>
      <c r="M1530" s="378"/>
      <c r="N1530" s="379"/>
      <c r="O1530" s="380"/>
      <c r="P1530" s="378"/>
      <c r="Q1530" s="378"/>
      <c r="R1530" s="378"/>
      <c r="S1530" s="378"/>
      <c r="T1530" s="378"/>
      <c r="U1530" s="378"/>
      <c r="V1530" s="378"/>
      <c r="W1530" s="378"/>
      <c r="X1530" s="378"/>
      <c r="Y1530" s="378"/>
      <c r="Z1530" s="378"/>
      <c r="AA1530" s="378"/>
      <c r="AB1530" s="378"/>
      <c r="AC1530" s="378"/>
      <c r="AD1530" s="378"/>
      <c r="AE1530" s="378"/>
      <c r="AF1530" s="378"/>
      <c r="AG1530" s="378"/>
    </row>
    <row r="1531">
      <c r="A1531" s="378"/>
      <c r="B1531" s="477"/>
      <c r="C1531" s="378"/>
      <c r="D1531" s="378"/>
      <c r="E1531" s="378"/>
      <c r="F1531" s="378"/>
      <c r="G1531" s="378"/>
      <c r="H1531" s="378"/>
      <c r="I1531" s="376"/>
      <c r="J1531" s="377"/>
      <c r="K1531" s="378"/>
      <c r="L1531" s="378"/>
      <c r="M1531" s="378"/>
      <c r="N1531" s="379"/>
      <c r="O1531" s="380"/>
      <c r="P1531" s="378"/>
      <c r="Q1531" s="378"/>
      <c r="R1531" s="378"/>
      <c r="S1531" s="378"/>
      <c r="T1531" s="378"/>
      <c r="U1531" s="378"/>
      <c r="V1531" s="378"/>
      <c r="W1531" s="378"/>
      <c r="X1531" s="378"/>
      <c r="Y1531" s="378"/>
      <c r="Z1531" s="378"/>
      <c r="AA1531" s="378"/>
      <c r="AB1531" s="378"/>
      <c r="AC1531" s="378"/>
      <c r="AD1531" s="378"/>
      <c r="AE1531" s="378"/>
      <c r="AF1531" s="378"/>
      <c r="AG1531" s="378"/>
    </row>
    <row r="1532">
      <c r="A1532" s="378"/>
      <c r="B1532" s="477"/>
      <c r="C1532" s="378"/>
      <c r="D1532" s="378"/>
      <c r="E1532" s="378"/>
      <c r="F1532" s="378"/>
      <c r="G1532" s="378"/>
      <c r="H1532" s="378"/>
      <c r="I1532" s="376"/>
      <c r="J1532" s="377"/>
      <c r="K1532" s="378"/>
      <c r="L1532" s="378"/>
      <c r="M1532" s="378"/>
      <c r="N1532" s="379"/>
      <c r="O1532" s="380"/>
      <c r="P1532" s="378"/>
      <c r="Q1532" s="378"/>
      <c r="R1532" s="378"/>
      <c r="S1532" s="378"/>
      <c r="T1532" s="378"/>
      <c r="U1532" s="378"/>
      <c r="V1532" s="378"/>
      <c r="W1532" s="378"/>
      <c r="X1532" s="378"/>
      <c r="Y1532" s="378"/>
      <c r="Z1532" s="378"/>
      <c r="AA1532" s="378"/>
      <c r="AB1532" s="378"/>
      <c r="AC1532" s="378"/>
      <c r="AD1532" s="378"/>
      <c r="AE1532" s="378"/>
      <c r="AF1532" s="378"/>
      <c r="AG1532" s="378"/>
    </row>
    <row r="1533">
      <c r="A1533" s="378"/>
      <c r="B1533" s="477"/>
      <c r="C1533" s="378"/>
      <c r="D1533" s="378"/>
      <c r="E1533" s="378"/>
      <c r="F1533" s="378"/>
      <c r="G1533" s="378"/>
      <c r="H1533" s="378"/>
      <c r="I1533" s="376"/>
      <c r="J1533" s="377"/>
      <c r="K1533" s="378"/>
      <c r="L1533" s="378"/>
      <c r="M1533" s="378"/>
      <c r="N1533" s="379"/>
      <c r="O1533" s="380"/>
      <c r="P1533" s="378"/>
      <c r="Q1533" s="378"/>
      <c r="R1533" s="378"/>
      <c r="S1533" s="378"/>
      <c r="T1533" s="378"/>
      <c r="U1533" s="378"/>
      <c r="V1533" s="378"/>
      <c r="W1533" s="378"/>
      <c r="X1533" s="378"/>
      <c r="Y1533" s="378"/>
      <c r="Z1533" s="378"/>
      <c r="AA1533" s="378"/>
      <c r="AB1533" s="378"/>
      <c r="AC1533" s="378"/>
      <c r="AD1533" s="378"/>
      <c r="AE1533" s="378"/>
      <c r="AF1533" s="378"/>
      <c r="AG1533" s="378"/>
    </row>
    <row r="1534">
      <c r="A1534" s="378"/>
      <c r="B1534" s="477"/>
      <c r="C1534" s="378"/>
      <c r="D1534" s="378"/>
      <c r="E1534" s="378"/>
      <c r="F1534" s="378"/>
      <c r="G1534" s="378"/>
      <c r="H1534" s="378"/>
      <c r="I1534" s="376"/>
      <c r="J1534" s="377"/>
      <c r="K1534" s="378"/>
      <c r="L1534" s="378"/>
      <c r="M1534" s="378"/>
      <c r="N1534" s="379"/>
      <c r="O1534" s="380"/>
      <c r="P1534" s="378"/>
      <c r="Q1534" s="378"/>
      <c r="R1534" s="378"/>
      <c r="S1534" s="378"/>
      <c r="T1534" s="378"/>
      <c r="U1534" s="378"/>
      <c r="V1534" s="378"/>
      <c r="W1534" s="378"/>
      <c r="X1534" s="378"/>
      <c r="Y1534" s="378"/>
      <c r="Z1534" s="378"/>
      <c r="AA1534" s="378"/>
      <c r="AB1534" s="378"/>
      <c r="AC1534" s="378"/>
      <c r="AD1534" s="378"/>
      <c r="AE1534" s="378"/>
      <c r="AF1534" s="378"/>
      <c r="AG1534" s="378"/>
    </row>
    <row r="1535">
      <c r="A1535" s="378"/>
      <c r="B1535" s="477"/>
      <c r="C1535" s="378"/>
      <c r="D1535" s="378"/>
      <c r="E1535" s="378"/>
      <c r="F1535" s="378"/>
      <c r="G1535" s="378"/>
      <c r="H1535" s="378"/>
      <c r="I1535" s="376"/>
      <c r="J1535" s="377"/>
      <c r="K1535" s="378"/>
      <c r="L1535" s="378"/>
      <c r="M1535" s="378"/>
      <c r="N1535" s="379"/>
      <c r="O1535" s="380"/>
      <c r="P1535" s="378"/>
      <c r="Q1535" s="378"/>
      <c r="R1535" s="378"/>
      <c r="S1535" s="378"/>
      <c r="T1535" s="378"/>
      <c r="U1535" s="378"/>
      <c r="V1535" s="378"/>
      <c r="W1535" s="378"/>
      <c r="X1535" s="378"/>
      <c r="Y1535" s="378"/>
      <c r="Z1535" s="378"/>
      <c r="AA1535" s="378"/>
      <c r="AB1535" s="378"/>
      <c r="AC1535" s="378"/>
      <c r="AD1535" s="378"/>
      <c r="AE1535" s="378"/>
      <c r="AF1535" s="378"/>
      <c r="AG1535" s="378"/>
    </row>
    <row r="1536">
      <c r="A1536" s="378"/>
      <c r="B1536" s="477"/>
      <c r="C1536" s="378"/>
      <c r="D1536" s="378"/>
      <c r="E1536" s="378"/>
      <c r="F1536" s="378"/>
      <c r="G1536" s="378"/>
      <c r="H1536" s="378"/>
      <c r="I1536" s="376"/>
      <c r="J1536" s="377"/>
      <c r="K1536" s="378"/>
      <c r="L1536" s="378"/>
      <c r="M1536" s="378"/>
      <c r="N1536" s="379"/>
      <c r="O1536" s="380"/>
      <c r="P1536" s="378"/>
      <c r="Q1536" s="378"/>
      <c r="R1536" s="378"/>
      <c r="S1536" s="378"/>
      <c r="T1536" s="378"/>
      <c r="U1536" s="378"/>
      <c r="V1536" s="378"/>
      <c r="W1536" s="378"/>
      <c r="X1536" s="378"/>
      <c r="Y1536" s="378"/>
      <c r="Z1536" s="378"/>
      <c r="AA1536" s="378"/>
      <c r="AB1536" s="378"/>
      <c r="AC1536" s="378"/>
      <c r="AD1536" s="378"/>
      <c r="AE1536" s="378"/>
      <c r="AF1536" s="378"/>
      <c r="AG1536" s="378"/>
    </row>
    <row r="1537">
      <c r="A1537" s="378"/>
      <c r="B1537" s="477"/>
      <c r="C1537" s="378"/>
      <c r="D1537" s="378"/>
      <c r="E1537" s="378"/>
      <c r="F1537" s="378"/>
      <c r="G1537" s="378"/>
      <c r="H1537" s="378"/>
      <c r="I1537" s="376"/>
      <c r="J1537" s="377"/>
      <c r="K1537" s="378"/>
      <c r="L1537" s="378"/>
      <c r="M1537" s="378"/>
      <c r="N1537" s="379"/>
      <c r="O1537" s="380"/>
      <c r="P1537" s="378"/>
      <c r="Q1537" s="378"/>
      <c r="R1537" s="378"/>
      <c r="S1537" s="378"/>
      <c r="T1537" s="378"/>
      <c r="U1537" s="378"/>
      <c r="V1537" s="378"/>
      <c r="W1537" s="378"/>
      <c r="X1537" s="378"/>
      <c r="Y1537" s="378"/>
      <c r="Z1537" s="378"/>
      <c r="AA1537" s="378"/>
      <c r="AB1537" s="378"/>
      <c r="AC1537" s="378"/>
      <c r="AD1537" s="378"/>
      <c r="AE1537" s="378"/>
      <c r="AF1537" s="378"/>
      <c r="AG1537" s="378"/>
    </row>
    <row r="1538">
      <c r="A1538" s="378"/>
      <c r="B1538" s="477"/>
      <c r="C1538" s="378"/>
      <c r="D1538" s="378"/>
      <c r="E1538" s="378"/>
      <c r="F1538" s="378"/>
      <c r="G1538" s="378"/>
      <c r="H1538" s="378"/>
      <c r="I1538" s="376"/>
      <c r="J1538" s="377"/>
      <c r="K1538" s="378"/>
      <c r="L1538" s="378"/>
      <c r="M1538" s="378"/>
      <c r="N1538" s="379"/>
      <c r="O1538" s="380"/>
      <c r="P1538" s="378"/>
      <c r="Q1538" s="378"/>
      <c r="R1538" s="378"/>
      <c r="S1538" s="378"/>
      <c r="T1538" s="378"/>
      <c r="U1538" s="378"/>
      <c r="V1538" s="378"/>
      <c r="W1538" s="378"/>
      <c r="X1538" s="378"/>
      <c r="Y1538" s="378"/>
      <c r="Z1538" s="378"/>
      <c r="AA1538" s="378"/>
      <c r="AB1538" s="378"/>
      <c r="AC1538" s="378"/>
      <c r="AD1538" s="378"/>
      <c r="AE1538" s="378"/>
      <c r="AF1538" s="378"/>
      <c r="AG1538" s="378"/>
    </row>
    <row r="1539">
      <c r="A1539" s="378"/>
      <c r="B1539" s="477"/>
      <c r="C1539" s="378"/>
      <c r="D1539" s="378"/>
      <c r="E1539" s="378"/>
      <c r="F1539" s="378"/>
      <c r="G1539" s="378"/>
      <c r="H1539" s="378"/>
      <c r="I1539" s="376"/>
      <c r="J1539" s="377"/>
      <c r="K1539" s="378"/>
      <c r="L1539" s="378"/>
      <c r="M1539" s="378"/>
      <c r="N1539" s="379"/>
      <c r="O1539" s="380"/>
      <c r="P1539" s="378"/>
      <c r="Q1539" s="378"/>
      <c r="R1539" s="378"/>
      <c r="S1539" s="378"/>
      <c r="T1539" s="378"/>
      <c r="U1539" s="378"/>
      <c r="V1539" s="378"/>
      <c r="W1539" s="378"/>
      <c r="X1539" s="378"/>
      <c r="Y1539" s="378"/>
      <c r="Z1539" s="378"/>
      <c r="AA1539" s="378"/>
      <c r="AB1539" s="378"/>
      <c r="AC1539" s="378"/>
      <c r="AD1539" s="378"/>
      <c r="AE1539" s="378"/>
      <c r="AF1539" s="378"/>
      <c r="AG1539" s="378"/>
    </row>
    <row r="1540">
      <c r="A1540" s="378"/>
      <c r="B1540" s="477"/>
      <c r="C1540" s="378"/>
      <c r="D1540" s="378"/>
      <c r="E1540" s="378"/>
      <c r="F1540" s="378"/>
      <c r="G1540" s="378"/>
      <c r="H1540" s="378"/>
      <c r="I1540" s="376"/>
      <c r="J1540" s="377"/>
      <c r="K1540" s="378"/>
      <c r="L1540" s="378"/>
      <c r="M1540" s="378"/>
      <c r="N1540" s="379"/>
      <c r="O1540" s="380"/>
      <c r="P1540" s="378"/>
      <c r="Q1540" s="378"/>
      <c r="R1540" s="378"/>
      <c r="S1540" s="378"/>
      <c r="T1540" s="378"/>
      <c r="U1540" s="378"/>
      <c r="V1540" s="378"/>
      <c r="W1540" s="378"/>
      <c r="X1540" s="378"/>
      <c r="Y1540" s="378"/>
      <c r="Z1540" s="378"/>
      <c r="AA1540" s="378"/>
      <c r="AB1540" s="378"/>
      <c r="AC1540" s="378"/>
      <c r="AD1540" s="378"/>
      <c r="AE1540" s="378"/>
      <c r="AF1540" s="378"/>
      <c r="AG1540" s="378"/>
    </row>
    <row r="1541">
      <c r="A1541" s="378"/>
      <c r="B1541" s="477"/>
      <c r="C1541" s="378"/>
      <c r="D1541" s="378"/>
      <c r="E1541" s="378"/>
      <c r="F1541" s="378"/>
      <c r="G1541" s="378"/>
      <c r="H1541" s="378"/>
      <c r="I1541" s="376"/>
      <c r="J1541" s="377"/>
      <c r="K1541" s="378"/>
      <c r="L1541" s="378"/>
      <c r="M1541" s="378"/>
      <c r="N1541" s="379"/>
      <c r="O1541" s="380"/>
      <c r="P1541" s="378"/>
      <c r="Q1541" s="378"/>
      <c r="R1541" s="378"/>
      <c r="S1541" s="378"/>
      <c r="T1541" s="378"/>
      <c r="U1541" s="378"/>
      <c r="V1541" s="378"/>
      <c r="W1541" s="378"/>
      <c r="X1541" s="378"/>
      <c r="Y1541" s="378"/>
      <c r="Z1541" s="378"/>
      <c r="AA1541" s="378"/>
      <c r="AB1541" s="378"/>
      <c r="AC1541" s="378"/>
      <c r="AD1541" s="378"/>
      <c r="AE1541" s="378"/>
      <c r="AF1541" s="378"/>
      <c r="AG1541" s="378"/>
    </row>
    <row r="1542">
      <c r="A1542" s="378"/>
      <c r="B1542" s="477"/>
      <c r="C1542" s="378"/>
      <c r="D1542" s="378"/>
      <c r="E1542" s="378"/>
      <c r="F1542" s="378"/>
      <c r="G1542" s="378"/>
      <c r="H1542" s="378"/>
      <c r="I1542" s="376"/>
      <c r="J1542" s="377"/>
      <c r="K1542" s="378"/>
      <c r="L1542" s="378"/>
      <c r="M1542" s="378"/>
      <c r="N1542" s="379"/>
      <c r="O1542" s="380"/>
      <c r="P1542" s="378"/>
      <c r="Q1542" s="378"/>
      <c r="R1542" s="378"/>
      <c r="S1542" s="378"/>
      <c r="T1542" s="378"/>
      <c r="U1542" s="378"/>
      <c r="V1542" s="378"/>
      <c r="W1542" s="378"/>
      <c r="X1542" s="378"/>
      <c r="Y1542" s="378"/>
      <c r="Z1542" s="378"/>
      <c r="AA1542" s="378"/>
      <c r="AB1542" s="378"/>
      <c r="AC1542" s="378"/>
      <c r="AD1542" s="378"/>
      <c r="AE1542" s="378"/>
      <c r="AF1542" s="378"/>
      <c r="AG1542" s="378"/>
    </row>
    <row r="1543">
      <c r="A1543" s="378"/>
      <c r="B1543" s="477"/>
      <c r="C1543" s="378"/>
      <c r="D1543" s="378"/>
      <c r="E1543" s="378"/>
      <c r="F1543" s="378"/>
      <c r="G1543" s="378"/>
      <c r="H1543" s="378"/>
      <c r="I1543" s="376"/>
      <c r="J1543" s="377"/>
      <c r="K1543" s="378"/>
      <c r="L1543" s="378"/>
      <c r="M1543" s="378"/>
      <c r="N1543" s="379"/>
      <c r="O1543" s="380"/>
      <c r="P1543" s="378"/>
      <c r="Q1543" s="378"/>
      <c r="R1543" s="378"/>
      <c r="S1543" s="378"/>
      <c r="T1543" s="378"/>
      <c r="U1543" s="378"/>
      <c r="V1543" s="378"/>
      <c r="W1543" s="378"/>
      <c r="X1543" s="378"/>
      <c r="Y1543" s="378"/>
      <c r="Z1543" s="378"/>
      <c r="AA1543" s="378"/>
      <c r="AB1543" s="378"/>
      <c r="AC1543" s="378"/>
      <c r="AD1543" s="378"/>
      <c r="AE1543" s="378"/>
      <c r="AF1543" s="378"/>
      <c r="AG1543" s="378"/>
    </row>
    <row r="1544">
      <c r="A1544" s="378"/>
      <c r="B1544" s="477"/>
      <c r="C1544" s="378"/>
      <c r="D1544" s="378"/>
      <c r="E1544" s="378"/>
      <c r="F1544" s="378"/>
      <c r="G1544" s="378"/>
      <c r="H1544" s="378"/>
      <c r="I1544" s="376"/>
      <c r="J1544" s="377"/>
      <c r="K1544" s="378"/>
      <c r="L1544" s="378"/>
      <c r="M1544" s="378"/>
      <c r="N1544" s="379"/>
      <c r="O1544" s="380"/>
      <c r="P1544" s="378"/>
      <c r="Q1544" s="378"/>
      <c r="R1544" s="378"/>
      <c r="S1544" s="378"/>
      <c r="T1544" s="378"/>
      <c r="U1544" s="378"/>
      <c r="V1544" s="378"/>
      <c r="W1544" s="378"/>
      <c r="X1544" s="378"/>
      <c r="Y1544" s="378"/>
      <c r="Z1544" s="378"/>
      <c r="AA1544" s="378"/>
      <c r="AB1544" s="378"/>
      <c r="AC1544" s="378"/>
      <c r="AD1544" s="378"/>
      <c r="AE1544" s="378"/>
      <c r="AF1544" s="378"/>
      <c r="AG1544" s="378"/>
    </row>
    <row r="1545">
      <c r="A1545" s="378"/>
      <c r="B1545" s="477"/>
      <c r="C1545" s="378"/>
      <c r="D1545" s="378"/>
      <c r="E1545" s="378"/>
      <c r="F1545" s="378"/>
      <c r="G1545" s="378"/>
      <c r="H1545" s="378"/>
      <c r="I1545" s="376"/>
      <c r="J1545" s="377"/>
      <c r="K1545" s="378"/>
      <c r="L1545" s="378"/>
      <c r="M1545" s="378"/>
      <c r="N1545" s="379"/>
      <c r="O1545" s="380"/>
      <c r="P1545" s="378"/>
      <c r="Q1545" s="378"/>
      <c r="R1545" s="378"/>
      <c r="S1545" s="378"/>
      <c r="T1545" s="378"/>
      <c r="U1545" s="378"/>
      <c r="V1545" s="378"/>
      <c r="W1545" s="378"/>
      <c r="X1545" s="378"/>
      <c r="Y1545" s="378"/>
      <c r="Z1545" s="378"/>
      <c r="AA1545" s="378"/>
      <c r="AB1545" s="378"/>
      <c r="AC1545" s="378"/>
      <c r="AD1545" s="378"/>
      <c r="AE1545" s="378"/>
      <c r="AF1545" s="378"/>
      <c r="AG1545" s="378"/>
    </row>
    <row r="1546">
      <c r="A1546" s="378"/>
      <c r="B1546" s="477"/>
      <c r="C1546" s="378"/>
      <c r="D1546" s="378"/>
      <c r="E1546" s="378"/>
      <c r="F1546" s="378"/>
      <c r="G1546" s="378"/>
      <c r="H1546" s="378"/>
      <c r="I1546" s="376"/>
      <c r="J1546" s="377"/>
      <c r="K1546" s="378"/>
      <c r="L1546" s="378"/>
      <c r="M1546" s="378"/>
      <c r="N1546" s="379"/>
      <c r="O1546" s="380"/>
      <c r="P1546" s="378"/>
      <c r="Q1546" s="378"/>
      <c r="R1546" s="378"/>
      <c r="S1546" s="378"/>
      <c r="T1546" s="378"/>
      <c r="U1546" s="378"/>
      <c r="V1546" s="378"/>
      <c r="W1546" s="378"/>
      <c r="X1546" s="378"/>
      <c r="Y1546" s="378"/>
      <c r="Z1546" s="378"/>
      <c r="AA1546" s="378"/>
      <c r="AB1546" s="378"/>
      <c r="AC1546" s="378"/>
      <c r="AD1546" s="378"/>
      <c r="AE1546" s="378"/>
      <c r="AF1546" s="378"/>
      <c r="AG1546" s="378"/>
    </row>
    <row r="1547">
      <c r="A1547" s="378"/>
      <c r="B1547" s="477"/>
      <c r="C1547" s="378"/>
      <c r="D1547" s="378"/>
      <c r="E1547" s="378"/>
      <c r="F1547" s="378"/>
      <c r="G1547" s="378"/>
      <c r="H1547" s="378"/>
      <c r="I1547" s="376"/>
      <c r="J1547" s="377"/>
      <c r="K1547" s="378"/>
      <c r="L1547" s="378"/>
      <c r="M1547" s="378"/>
      <c r="N1547" s="379"/>
      <c r="O1547" s="380"/>
      <c r="P1547" s="378"/>
      <c r="Q1547" s="378"/>
      <c r="R1547" s="378"/>
      <c r="S1547" s="378"/>
      <c r="T1547" s="378"/>
      <c r="U1547" s="378"/>
      <c r="V1547" s="378"/>
      <c r="W1547" s="378"/>
      <c r="X1547" s="378"/>
      <c r="Y1547" s="378"/>
      <c r="Z1547" s="378"/>
      <c r="AA1547" s="378"/>
      <c r="AB1547" s="378"/>
      <c r="AC1547" s="378"/>
      <c r="AD1547" s="378"/>
      <c r="AE1547" s="378"/>
      <c r="AF1547" s="378"/>
      <c r="AG1547" s="378"/>
    </row>
    <row r="1548">
      <c r="A1548" s="378"/>
      <c r="B1548" s="477"/>
      <c r="C1548" s="378"/>
      <c r="D1548" s="378"/>
      <c r="E1548" s="378"/>
      <c r="F1548" s="378"/>
      <c r="G1548" s="378"/>
      <c r="H1548" s="378"/>
      <c r="I1548" s="376"/>
      <c r="J1548" s="377"/>
      <c r="K1548" s="378"/>
      <c r="L1548" s="378"/>
      <c r="M1548" s="378"/>
      <c r="N1548" s="379"/>
      <c r="O1548" s="380"/>
      <c r="P1548" s="378"/>
      <c r="Q1548" s="378"/>
      <c r="R1548" s="378"/>
      <c r="S1548" s="378"/>
      <c r="T1548" s="378"/>
      <c r="U1548" s="378"/>
      <c r="V1548" s="378"/>
      <c r="W1548" s="378"/>
      <c r="X1548" s="378"/>
      <c r="Y1548" s="378"/>
      <c r="Z1548" s="378"/>
      <c r="AA1548" s="378"/>
      <c r="AB1548" s="378"/>
      <c r="AC1548" s="378"/>
      <c r="AD1548" s="378"/>
      <c r="AE1548" s="378"/>
      <c r="AF1548" s="378"/>
      <c r="AG1548" s="378"/>
    </row>
    <row r="1549">
      <c r="A1549" s="378"/>
      <c r="B1549" s="477"/>
      <c r="C1549" s="378"/>
      <c r="D1549" s="378"/>
      <c r="E1549" s="378"/>
      <c r="F1549" s="378"/>
      <c r="G1549" s="378"/>
      <c r="H1549" s="378"/>
      <c r="I1549" s="376"/>
      <c r="J1549" s="377"/>
      <c r="K1549" s="378"/>
      <c r="L1549" s="378"/>
      <c r="M1549" s="378"/>
      <c r="N1549" s="379"/>
      <c r="O1549" s="380"/>
      <c r="P1549" s="378"/>
      <c r="Q1549" s="378"/>
      <c r="R1549" s="378"/>
      <c r="S1549" s="378"/>
      <c r="T1549" s="378"/>
      <c r="U1549" s="378"/>
      <c r="V1549" s="378"/>
      <c r="W1549" s="378"/>
      <c r="X1549" s="378"/>
      <c r="Y1549" s="378"/>
      <c r="Z1549" s="378"/>
      <c r="AA1549" s="378"/>
      <c r="AB1549" s="378"/>
      <c r="AC1549" s="378"/>
      <c r="AD1549" s="378"/>
      <c r="AE1549" s="378"/>
      <c r="AF1549" s="378"/>
      <c r="AG1549" s="378"/>
    </row>
    <row r="1550">
      <c r="A1550" s="378"/>
      <c r="B1550" s="477"/>
      <c r="C1550" s="378"/>
      <c r="D1550" s="378"/>
      <c r="E1550" s="378"/>
      <c r="F1550" s="378"/>
      <c r="G1550" s="378"/>
      <c r="H1550" s="378"/>
      <c r="I1550" s="376"/>
      <c r="J1550" s="377"/>
      <c r="K1550" s="378"/>
      <c r="L1550" s="378"/>
      <c r="M1550" s="378"/>
      <c r="N1550" s="379"/>
      <c r="O1550" s="380"/>
      <c r="P1550" s="378"/>
      <c r="Q1550" s="378"/>
      <c r="R1550" s="378"/>
      <c r="S1550" s="378"/>
      <c r="T1550" s="378"/>
      <c r="U1550" s="378"/>
      <c r="V1550" s="378"/>
      <c r="W1550" s="378"/>
      <c r="X1550" s="378"/>
      <c r="Y1550" s="378"/>
      <c r="Z1550" s="378"/>
      <c r="AA1550" s="378"/>
      <c r="AB1550" s="378"/>
      <c r="AC1550" s="378"/>
      <c r="AD1550" s="378"/>
      <c r="AE1550" s="378"/>
      <c r="AF1550" s="378"/>
      <c r="AG1550" s="378"/>
    </row>
    <row r="1551">
      <c r="A1551" s="378"/>
      <c r="B1551" s="477"/>
      <c r="C1551" s="378"/>
      <c r="D1551" s="378"/>
      <c r="E1551" s="378"/>
      <c r="F1551" s="378"/>
      <c r="G1551" s="378"/>
      <c r="H1551" s="378"/>
      <c r="I1551" s="376"/>
      <c r="J1551" s="377"/>
      <c r="K1551" s="378"/>
      <c r="L1551" s="378"/>
      <c r="M1551" s="378"/>
      <c r="N1551" s="379"/>
      <c r="O1551" s="380"/>
      <c r="P1551" s="378"/>
      <c r="Q1551" s="378"/>
      <c r="R1551" s="378"/>
      <c r="S1551" s="378"/>
      <c r="T1551" s="378"/>
      <c r="U1551" s="378"/>
      <c r="V1551" s="378"/>
      <c r="W1551" s="378"/>
      <c r="X1551" s="378"/>
      <c r="Y1551" s="378"/>
      <c r="Z1551" s="378"/>
      <c r="AA1551" s="378"/>
      <c r="AB1551" s="378"/>
      <c r="AC1551" s="378"/>
      <c r="AD1551" s="378"/>
      <c r="AE1551" s="378"/>
      <c r="AF1551" s="378"/>
      <c r="AG1551" s="378"/>
    </row>
    <row r="1552">
      <c r="A1552" s="378"/>
      <c r="B1552" s="477"/>
      <c r="C1552" s="378"/>
      <c r="D1552" s="378"/>
      <c r="E1552" s="378"/>
      <c r="F1552" s="378"/>
      <c r="G1552" s="378"/>
      <c r="H1552" s="378"/>
      <c r="I1552" s="376"/>
      <c r="J1552" s="377"/>
      <c r="K1552" s="378"/>
      <c r="L1552" s="378"/>
      <c r="M1552" s="378"/>
      <c r="N1552" s="379"/>
      <c r="O1552" s="380"/>
      <c r="P1552" s="378"/>
      <c r="Q1552" s="378"/>
      <c r="R1552" s="378"/>
      <c r="S1552" s="378"/>
      <c r="T1552" s="378"/>
      <c r="U1552" s="378"/>
      <c r="V1552" s="378"/>
      <c r="W1552" s="378"/>
      <c r="X1552" s="378"/>
      <c r="Y1552" s="378"/>
      <c r="Z1552" s="378"/>
      <c r="AA1552" s="378"/>
      <c r="AB1552" s="378"/>
      <c r="AC1552" s="378"/>
      <c r="AD1552" s="378"/>
      <c r="AE1552" s="378"/>
      <c r="AF1552" s="378"/>
      <c r="AG1552" s="378"/>
    </row>
    <row r="1553">
      <c r="A1553" s="378"/>
      <c r="B1553" s="477"/>
      <c r="C1553" s="378"/>
      <c r="D1553" s="378"/>
      <c r="E1553" s="378"/>
      <c r="F1553" s="378"/>
      <c r="G1553" s="378"/>
      <c r="H1553" s="378"/>
      <c r="I1553" s="376"/>
      <c r="J1553" s="377"/>
      <c r="K1553" s="378"/>
      <c r="L1553" s="378"/>
      <c r="M1553" s="378"/>
      <c r="N1553" s="379"/>
      <c r="O1553" s="380"/>
      <c r="P1553" s="378"/>
      <c r="Q1553" s="378"/>
      <c r="R1553" s="378"/>
      <c r="S1553" s="378"/>
      <c r="T1553" s="378"/>
      <c r="U1553" s="378"/>
      <c r="V1553" s="378"/>
      <c r="W1553" s="378"/>
      <c r="X1553" s="378"/>
      <c r="Y1553" s="378"/>
      <c r="Z1553" s="378"/>
      <c r="AA1553" s="378"/>
      <c r="AB1553" s="378"/>
      <c r="AC1553" s="378"/>
      <c r="AD1553" s="378"/>
      <c r="AE1553" s="378"/>
      <c r="AF1553" s="378"/>
      <c r="AG1553" s="378"/>
    </row>
    <row r="1554">
      <c r="A1554" s="378"/>
      <c r="B1554" s="477"/>
      <c r="C1554" s="378"/>
      <c r="D1554" s="378"/>
      <c r="E1554" s="378"/>
      <c r="F1554" s="378"/>
      <c r="G1554" s="378"/>
      <c r="H1554" s="378"/>
      <c r="I1554" s="376"/>
      <c r="J1554" s="377"/>
      <c r="K1554" s="378"/>
      <c r="L1554" s="378"/>
      <c r="M1554" s="378"/>
      <c r="N1554" s="379"/>
      <c r="O1554" s="380"/>
      <c r="P1554" s="378"/>
      <c r="Q1554" s="378"/>
      <c r="R1554" s="378"/>
      <c r="S1554" s="378"/>
      <c r="T1554" s="378"/>
      <c r="U1554" s="378"/>
      <c r="V1554" s="378"/>
      <c r="W1554" s="378"/>
      <c r="X1554" s="378"/>
      <c r="Y1554" s="378"/>
      <c r="Z1554" s="378"/>
      <c r="AA1554" s="378"/>
      <c r="AB1554" s="378"/>
      <c r="AC1554" s="378"/>
      <c r="AD1554" s="378"/>
      <c r="AE1554" s="378"/>
      <c r="AF1554" s="378"/>
      <c r="AG1554" s="378"/>
    </row>
    <row r="1555">
      <c r="A1555" s="378"/>
      <c r="B1555" s="477"/>
      <c r="C1555" s="378"/>
      <c r="D1555" s="378"/>
      <c r="E1555" s="378"/>
      <c r="F1555" s="378"/>
      <c r="G1555" s="378"/>
      <c r="H1555" s="378"/>
      <c r="I1555" s="376"/>
      <c r="J1555" s="377"/>
      <c r="K1555" s="378"/>
      <c r="L1555" s="378"/>
      <c r="M1555" s="378"/>
      <c r="N1555" s="379"/>
      <c r="O1555" s="380"/>
      <c r="P1555" s="378"/>
      <c r="Q1555" s="378"/>
      <c r="R1555" s="378"/>
      <c r="S1555" s="378"/>
      <c r="T1555" s="378"/>
      <c r="U1555" s="378"/>
      <c r="V1555" s="378"/>
      <c r="W1555" s="378"/>
      <c r="X1555" s="378"/>
      <c r="Y1555" s="378"/>
      <c r="Z1555" s="378"/>
      <c r="AA1555" s="378"/>
      <c r="AB1555" s="378"/>
      <c r="AC1555" s="378"/>
      <c r="AD1555" s="378"/>
      <c r="AE1555" s="378"/>
      <c r="AF1555" s="378"/>
      <c r="AG1555" s="378"/>
    </row>
    <row r="1556">
      <c r="A1556" s="378"/>
      <c r="B1556" s="477"/>
      <c r="C1556" s="378"/>
      <c r="D1556" s="378"/>
      <c r="E1556" s="378"/>
      <c r="F1556" s="378"/>
      <c r="G1556" s="378"/>
      <c r="H1556" s="378"/>
      <c r="I1556" s="376"/>
      <c r="J1556" s="377"/>
      <c r="K1556" s="378"/>
      <c r="L1556" s="378"/>
      <c r="M1556" s="378"/>
      <c r="N1556" s="379"/>
      <c r="O1556" s="380"/>
      <c r="P1556" s="378"/>
      <c r="Q1556" s="378"/>
      <c r="R1556" s="378"/>
      <c r="S1556" s="378"/>
      <c r="T1556" s="378"/>
      <c r="U1556" s="378"/>
      <c r="V1556" s="378"/>
      <c r="W1556" s="378"/>
      <c r="X1556" s="378"/>
      <c r="Y1556" s="378"/>
      <c r="Z1556" s="378"/>
      <c r="AA1556" s="378"/>
      <c r="AB1556" s="378"/>
      <c r="AC1556" s="378"/>
      <c r="AD1556" s="378"/>
      <c r="AE1556" s="378"/>
      <c r="AF1556" s="378"/>
      <c r="AG1556" s="378"/>
    </row>
    <row r="1557">
      <c r="A1557" s="378"/>
      <c r="B1557" s="477"/>
      <c r="C1557" s="378"/>
      <c r="D1557" s="378"/>
      <c r="E1557" s="378"/>
      <c r="F1557" s="378"/>
      <c r="G1557" s="378"/>
      <c r="H1557" s="378"/>
      <c r="I1557" s="376"/>
      <c r="J1557" s="377"/>
      <c r="K1557" s="378"/>
      <c r="L1557" s="378"/>
      <c r="M1557" s="378"/>
      <c r="N1557" s="379"/>
      <c r="O1557" s="380"/>
      <c r="P1557" s="378"/>
      <c r="Q1557" s="378"/>
      <c r="R1557" s="378"/>
      <c r="S1557" s="378"/>
      <c r="T1557" s="378"/>
      <c r="U1557" s="378"/>
      <c r="V1557" s="378"/>
      <c r="W1557" s="378"/>
      <c r="X1557" s="378"/>
      <c r="Y1557" s="378"/>
      <c r="Z1557" s="378"/>
      <c r="AA1557" s="378"/>
      <c r="AB1557" s="378"/>
      <c r="AC1557" s="378"/>
      <c r="AD1557" s="378"/>
      <c r="AE1557" s="378"/>
      <c r="AF1557" s="378"/>
      <c r="AG1557" s="378"/>
    </row>
    <row r="1558">
      <c r="A1558" s="378"/>
      <c r="B1558" s="477"/>
      <c r="C1558" s="378"/>
      <c r="D1558" s="378"/>
      <c r="E1558" s="378"/>
      <c r="F1558" s="378"/>
      <c r="G1558" s="378"/>
      <c r="H1558" s="378"/>
      <c r="I1558" s="376"/>
      <c r="J1558" s="377"/>
      <c r="K1558" s="378"/>
      <c r="L1558" s="378"/>
      <c r="M1558" s="378"/>
      <c r="N1558" s="379"/>
      <c r="O1558" s="380"/>
      <c r="P1558" s="378"/>
      <c r="Q1558" s="378"/>
      <c r="R1558" s="378"/>
      <c r="S1558" s="378"/>
      <c r="T1558" s="378"/>
      <c r="U1558" s="378"/>
      <c r="V1558" s="378"/>
      <c r="W1558" s="378"/>
      <c r="X1558" s="378"/>
      <c r="Y1558" s="378"/>
      <c r="Z1558" s="378"/>
      <c r="AA1558" s="378"/>
      <c r="AB1558" s="378"/>
      <c r="AC1558" s="378"/>
      <c r="AD1558" s="378"/>
      <c r="AE1558" s="378"/>
      <c r="AF1558" s="378"/>
      <c r="AG1558" s="378"/>
    </row>
    <row r="1559">
      <c r="A1559" s="378"/>
      <c r="B1559" s="477"/>
      <c r="C1559" s="378"/>
      <c r="D1559" s="378"/>
      <c r="E1559" s="378"/>
      <c r="F1559" s="378"/>
      <c r="G1559" s="378"/>
      <c r="H1559" s="378"/>
      <c r="I1559" s="376"/>
      <c r="J1559" s="377"/>
      <c r="K1559" s="378"/>
      <c r="L1559" s="378"/>
      <c r="M1559" s="378"/>
      <c r="N1559" s="379"/>
      <c r="O1559" s="380"/>
      <c r="P1559" s="378"/>
      <c r="Q1559" s="378"/>
      <c r="R1559" s="378"/>
      <c r="S1559" s="378"/>
      <c r="T1559" s="378"/>
      <c r="U1559" s="378"/>
      <c r="V1559" s="378"/>
      <c r="W1559" s="378"/>
      <c r="X1559" s="378"/>
      <c r="Y1559" s="378"/>
      <c r="Z1559" s="378"/>
      <c r="AA1559" s="378"/>
      <c r="AB1559" s="378"/>
      <c r="AC1559" s="378"/>
      <c r="AD1559" s="378"/>
      <c r="AE1559" s="378"/>
      <c r="AF1559" s="378"/>
      <c r="AG1559" s="378"/>
    </row>
    <row r="1560">
      <c r="A1560" s="378"/>
      <c r="B1560" s="477"/>
      <c r="C1560" s="378"/>
      <c r="D1560" s="378"/>
      <c r="E1560" s="378"/>
      <c r="F1560" s="378"/>
      <c r="G1560" s="378"/>
      <c r="H1560" s="378"/>
      <c r="I1560" s="376"/>
      <c r="J1560" s="377"/>
      <c r="K1560" s="378"/>
      <c r="L1560" s="378"/>
      <c r="M1560" s="378"/>
      <c r="N1560" s="379"/>
      <c r="O1560" s="380"/>
      <c r="P1560" s="378"/>
      <c r="Q1560" s="378"/>
      <c r="R1560" s="378"/>
      <c r="S1560" s="378"/>
      <c r="T1560" s="378"/>
      <c r="U1560" s="378"/>
      <c r="V1560" s="378"/>
      <c r="W1560" s="378"/>
      <c r="X1560" s="378"/>
      <c r="Y1560" s="378"/>
      <c r="Z1560" s="378"/>
      <c r="AA1560" s="378"/>
      <c r="AB1560" s="378"/>
      <c r="AC1560" s="378"/>
      <c r="AD1560" s="378"/>
      <c r="AE1560" s="378"/>
      <c r="AF1560" s="378"/>
      <c r="AG1560" s="378"/>
    </row>
    <row r="1561">
      <c r="A1561" s="378"/>
      <c r="B1561" s="477"/>
      <c r="C1561" s="378"/>
      <c r="D1561" s="378"/>
      <c r="E1561" s="378"/>
      <c r="F1561" s="378"/>
      <c r="G1561" s="378"/>
      <c r="H1561" s="378"/>
      <c r="I1561" s="376"/>
      <c r="J1561" s="377"/>
      <c r="K1561" s="378"/>
      <c r="L1561" s="378"/>
      <c r="M1561" s="378"/>
      <c r="N1561" s="379"/>
      <c r="O1561" s="380"/>
      <c r="P1561" s="378"/>
      <c r="Q1561" s="378"/>
      <c r="R1561" s="378"/>
      <c r="S1561" s="378"/>
      <c r="T1561" s="378"/>
      <c r="U1561" s="378"/>
      <c r="V1561" s="378"/>
      <c r="W1561" s="378"/>
      <c r="X1561" s="378"/>
      <c r="Y1561" s="378"/>
      <c r="Z1561" s="378"/>
      <c r="AA1561" s="378"/>
      <c r="AB1561" s="378"/>
      <c r="AC1561" s="378"/>
      <c r="AD1561" s="378"/>
      <c r="AE1561" s="378"/>
      <c r="AF1561" s="378"/>
      <c r="AG1561" s="378"/>
    </row>
    <row r="1562">
      <c r="A1562" s="378"/>
      <c r="B1562" s="477"/>
      <c r="C1562" s="378"/>
      <c r="D1562" s="378"/>
      <c r="E1562" s="378"/>
      <c r="F1562" s="378"/>
      <c r="G1562" s="378"/>
      <c r="H1562" s="378"/>
      <c r="I1562" s="376"/>
      <c r="J1562" s="377"/>
      <c r="K1562" s="378"/>
      <c r="L1562" s="378"/>
      <c r="M1562" s="378"/>
      <c r="N1562" s="379"/>
      <c r="O1562" s="380"/>
      <c r="P1562" s="378"/>
      <c r="Q1562" s="378"/>
      <c r="R1562" s="378"/>
      <c r="S1562" s="378"/>
      <c r="T1562" s="378"/>
      <c r="U1562" s="378"/>
      <c r="V1562" s="378"/>
      <c r="W1562" s="378"/>
      <c r="X1562" s="378"/>
      <c r="Y1562" s="378"/>
      <c r="Z1562" s="378"/>
      <c r="AA1562" s="378"/>
      <c r="AB1562" s="378"/>
      <c r="AC1562" s="378"/>
      <c r="AD1562" s="378"/>
      <c r="AE1562" s="378"/>
      <c r="AF1562" s="378"/>
      <c r="AG1562" s="378"/>
    </row>
    <row r="1563">
      <c r="A1563" s="378"/>
      <c r="B1563" s="477"/>
      <c r="C1563" s="378"/>
      <c r="D1563" s="378"/>
      <c r="E1563" s="378"/>
      <c r="F1563" s="378"/>
      <c r="G1563" s="378"/>
      <c r="H1563" s="378"/>
      <c r="I1563" s="376"/>
      <c r="J1563" s="377"/>
      <c r="K1563" s="378"/>
      <c r="L1563" s="378"/>
      <c r="M1563" s="378"/>
      <c r="N1563" s="379"/>
      <c r="O1563" s="380"/>
      <c r="P1563" s="378"/>
      <c r="Q1563" s="378"/>
      <c r="R1563" s="378"/>
      <c r="S1563" s="378"/>
      <c r="T1563" s="378"/>
      <c r="U1563" s="378"/>
      <c r="V1563" s="378"/>
      <c r="W1563" s="378"/>
      <c r="X1563" s="378"/>
      <c r="Y1563" s="378"/>
      <c r="Z1563" s="378"/>
      <c r="AA1563" s="378"/>
      <c r="AB1563" s="378"/>
      <c r="AC1563" s="378"/>
      <c r="AD1563" s="378"/>
      <c r="AE1563" s="378"/>
      <c r="AF1563" s="378"/>
      <c r="AG1563" s="378"/>
    </row>
    <row r="1564">
      <c r="A1564" s="378"/>
      <c r="B1564" s="477"/>
      <c r="C1564" s="378"/>
      <c r="D1564" s="378"/>
      <c r="E1564" s="378"/>
      <c r="F1564" s="378"/>
      <c r="G1564" s="378"/>
      <c r="H1564" s="378"/>
      <c r="I1564" s="376"/>
      <c r="J1564" s="377"/>
      <c r="K1564" s="378"/>
      <c r="L1564" s="378"/>
      <c r="M1564" s="378"/>
      <c r="N1564" s="379"/>
      <c r="O1564" s="380"/>
      <c r="P1564" s="378"/>
      <c r="Q1564" s="378"/>
      <c r="R1564" s="378"/>
      <c r="S1564" s="378"/>
      <c r="T1564" s="378"/>
      <c r="U1564" s="378"/>
      <c r="V1564" s="378"/>
      <c r="W1564" s="378"/>
      <c r="X1564" s="378"/>
      <c r="Y1564" s="378"/>
      <c r="Z1564" s="378"/>
      <c r="AA1564" s="378"/>
      <c r="AB1564" s="378"/>
      <c r="AC1564" s="378"/>
      <c r="AD1564" s="378"/>
      <c r="AE1564" s="378"/>
      <c r="AF1564" s="378"/>
      <c r="AG1564" s="378"/>
    </row>
    <row r="1565">
      <c r="A1565" s="378"/>
      <c r="B1565" s="477"/>
      <c r="C1565" s="378"/>
      <c r="D1565" s="378"/>
      <c r="E1565" s="378"/>
      <c r="F1565" s="378"/>
      <c r="G1565" s="378"/>
      <c r="H1565" s="378"/>
      <c r="I1565" s="376"/>
      <c r="J1565" s="377"/>
      <c r="K1565" s="378"/>
      <c r="L1565" s="378"/>
      <c r="M1565" s="378"/>
      <c r="N1565" s="379"/>
      <c r="O1565" s="380"/>
      <c r="P1565" s="378"/>
      <c r="Q1565" s="378"/>
      <c r="R1565" s="378"/>
      <c r="S1565" s="378"/>
      <c r="T1565" s="378"/>
      <c r="U1565" s="378"/>
      <c r="V1565" s="378"/>
      <c r="W1565" s="378"/>
      <c r="X1565" s="378"/>
      <c r="Y1565" s="378"/>
      <c r="Z1565" s="378"/>
      <c r="AA1565" s="378"/>
      <c r="AB1565" s="378"/>
      <c r="AC1565" s="378"/>
      <c r="AD1565" s="378"/>
      <c r="AE1565" s="378"/>
      <c r="AF1565" s="378"/>
      <c r="AG1565" s="378"/>
    </row>
    <row r="1566">
      <c r="A1566" s="378"/>
      <c r="B1566" s="477"/>
      <c r="C1566" s="378"/>
      <c r="D1566" s="378"/>
      <c r="E1566" s="378"/>
      <c r="F1566" s="378"/>
      <c r="G1566" s="378"/>
      <c r="H1566" s="378"/>
      <c r="I1566" s="376"/>
      <c r="J1566" s="377"/>
      <c r="K1566" s="378"/>
      <c r="L1566" s="378"/>
      <c r="M1566" s="378"/>
      <c r="N1566" s="379"/>
      <c r="O1566" s="380"/>
      <c r="P1566" s="378"/>
      <c r="Q1566" s="378"/>
      <c r="R1566" s="378"/>
      <c r="S1566" s="378"/>
      <c r="T1566" s="378"/>
      <c r="U1566" s="378"/>
      <c r="V1566" s="378"/>
      <c r="W1566" s="378"/>
      <c r="X1566" s="378"/>
      <c r="Y1566" s="378"/>
      <c r="Z1566" s="378"/>
      <c r="AA1566" s="378"/>
      <c r="AB1566" s="378"/>
      <c r="AC1566" s="378"/>
      <c r="AD1566" s="378"/>
      <c r="AE1566" s="378"/>
      <c r="AF1566" s="378"/>
      <c r="AG1566" s="378"/>
    </row>
    <row r="1567">
      <c r="A1567" s="378"/>
      <c r="B1567" s="477"/>
      <c r="C1567" s="378"/>
      <c r="D1567" s="378"/>
      <c r="E1567" s="378"/>
      <c r="F1567" s="378"/>
      <c r="G1567" s="378"/>
      <c r="H1567" s="378"/>
      <c r="I1567" s="376"/>
      <c r="J1567" s="377"/>
      <c r="K1567" s="378"/>
      <c r="L1567" s="378"/>
      <c r="M1567" s="378"/>
      <c r="N1567" s="379"/>
      <c r="O1567" s="380"/>
      <c r="P1567" s="378"/>
      <c r="Q1567" s="378"/>
      <c r="R1567" s="378"/>
      <c r="S1567" s="378"/>
      <c r="T1567" s="378"/>
      <c r="U1567" s="378"/>
      <c r="V1567" s="378"/>
      <c r="W1567" s="378"/>
      <c r="X1567" s="378"/>
      <c r="Y1567" s="378"/>
      <c r="Z1567" s="378"/>
      <c r="AA1567" s="378"/>
      <c r="AB1567" s="378"/>
      <c r="AC1567" s="378"/>
      <c r="AD1567" s="378"/>
      <c r="AE1567" s="378"/>
      <c r="AF1567" s="378"/>
      <c r="AG1567" s="378"/>
    </row>
    <row r="1568">
      <c r="A1568" s="378"/>
      <c r="B1568" s="477"/>
      <c r="C1568" s="378"/>
      <c r="D1568" s="378"/>
      <c r="E1568" s="378"/>
      <c r="F1568" s="378"/>
      <c r="G1568" s="378"/>
      <c r="H1568" s="378"/>
      <c r="I1568" s="376"/>
      <c r="J1568" s="377"/>
      <c r="K1568" s="378"/>
      <c r="L1568" s="378"/>
      <c r="M1568" s="378"/>
      <c r="N1568" s="379"/>
      <c r="O1568" s="380"/>
      <c r="P1568" s="378"/>
      <c r="Q1568" s="378"/>
      <c r="R1568" s="378"/>
      <c r="S1568" s="378"/>
      <c r="T1568" s="378"/>
      <c r="U1568" s="378"/>
      <c r="V1568" s="378"/>
      <c r="W1568" s="378"/>
      <c r="X1568" s="378"/>
      <c r="Y1568" s="378"/>
      <c r="Z1568" s="378"/>
      <c r="AA1568" s="378"/>
      <c r="AB1568" s="378"/>
      <c r="AC1568" s="378"/>
      <c r="AD1568" s="378"/>
      <c r="AE1568" s="378"/>
      <c r="AF1568" s="378"/>
      <c r="AG1568" s="378"/>
    </row>
    <row r="1569">
      <c r="A1569" s="378"/>
      <c r="B1569" s="477"/>
      <c r="C1569" s="378"/>
      <c r="D1569" s="378"/>
      <c r="E1569" s="378"/>
      <c r="F1569" s="378"/>
      <c r="G1569" s="378"/>
      <c r="H1569" s="378"/>
      <c r="I1569" s="376"/>
      <c r="J1569" s="377"/>
      <c r="K1569" s="378"/>
      <c r="L1569" s="378"/>
      <c r="M1569" s="378"/>
      <c r="N1569" s="379"/>
      <c r="O1569" s="380"/>
      <c r="P1569" s="378"/>
      <c r="Q1569" s="378"/>
      <c r="R1569" s="378"/>
      <c r="S1569" s="378"/>
      <c r="T1569" s="378"/>
      <c r="U1569" s="378"/>
      <c r="V1569" s="378"/>
      <c r="W1569" s="378"/>
      <c r="X1569" s="378"/>
      <c r="Y1569" s="378"/>
      <c r="Z1569" s="378"/>
      <c r="AA1569" s="378"/>
      <c r="AB1569" s="378"/>
      <c r="AC1569" s="378"/>
      <c r="AD1569" s="378"/>
      <c r="AE1569" s="378"/>
      <c r="AF1569" s="378"/>
      <c r="AG1569" s="378"/>
    </row>
    <row r="1570">
      <c r="A1570" s="378"/>
      <c r="B1570" s="477"/>
      <c r="C1570" s="378"/>
      <c r="D1570" s="378"/>
      <c r="E1570" s="378"/>
      <c r="F1570" s="378"/>
      <c r="G1570" s="378"/>
      <c r="H1570" s="378"/>
      <c r="I1570" s="376"/>
      <c r="J1570" s="377"/>
      <c r="K1570" s="378"/>
      <c r="L1570" s="378"/>
      <c r="M1570" s="378"/>
      <c r="N1570" s="379"/>
      <c r="O1570" s="380"/>
      <c r="P1570" s="378"/>
      <c r="Q1570" s="378"/>
      <c r="R1570" s="378"/>
      <c r="S1570" s="378"/>
      <c r="T1570" s="378"/>
      <c r="U1570" s="378"/>
      <c r="V1570" s="378"/>
      <c r="W1570" s="378"/>
      <c r="X1570" s="378"/>
      <c r="Y1570" s="378"/>
      <c r="Z1570" s="378"/>
      <c r="AA1570" s="378"/>
      <c r="AB1570" s="378"/>
      <c r="AC1570" s="378"/>
      <c r="AD1570" s="378"/>
      <c r="AE1570" s="378"/>
      <c r="AF1570" s="378"/>
      <c r="AG1570" s="378"/>
    </row>
    <row r="1571">
      <c r="A1571" s="378"/>
      <c r="B1571" s="477"/>
      <c r="C1571" s="378"/>
      <c r="D1571" s="378"/>
      <c r="E1571" s="378"/>
      <c r="F1571" s="378"/>
      <c r="G1571" s="378"/>
      <c r="H1571" s="378"/>
      <c r="I1571" s="376"/>
      <c r="J1571" s="377"/>
      <c r="K1571" s="378"/>
      <c r="L1571" s="378"/>
      <c r="M1571" s="378"/>
      <c r="N1571" s="379"/>
      <c r="O1571" s="380"/>
      <c r="P1571" s="378"/>
      <c r="Q1571" s="378"/>
      <c r="R1571" s="378"/>
      <c r="S1571" s="378"/>
      <c r="T1571" s="378"/>
      <c r="U1571" s="378"/>
      <c r="V1571" s="378"/>
      <c r="W1571" s="378"/>
      <c r="X1571" s="378"/>
      <c r="Y1571" s="378"/>
      <c r="Z1571" s="378"/>
      <c r="AA1571" s="378"/>
      <c r="AB1571" s="378"/>
      <c r="AC1571" s="378"/>
      <c r="AD1571" s="378"/>
      <c r="AE1571" s="378"/>
      <c r="AF1571" s="378"/>
      <c r="AG1571" s="378"/>
    </row>
    <row r="1572">
      <c r="A1572" s="378"/>
      <c r="B1572" s="477"/>
      <c r="C1572" s="378"/>
      <c r="D1572" s="378"/>
      <c r="E1572" s="378"/>
      <c r="F1572" s="378"/>
      <c r="G1572" s="378"/>
      <c r="H1572" s="378"/>
      <c r="I1572" s="376"/>
      <c r="J1572" s="377"/>
      <c r="K1572" s="378"/>
      <c r="L1572" s="378"/>
      <c r="M1572" s="378"/>
      <c r="N1572" s="379"/>
      <c r="O1572" s="380"/>
      <c r="P1572" s="378"/>
      <c r="Q1572" s="378"/>
      <c r="R1572" s="378"/>
      <c r="S1572" s="378"/>
      <c r="T1572" s="378"/>
      <c r="U1572" s="378"/>
      <c r="V1572" s="378"/>
      <c r="W1572" s="378"/>
      <c r="X1572" s="378"/>
      <c r="Y1572" s="378"/>
      <c r="Z1572" s="378"/>
      <c r="AA1572" s="378"/>
      <c r="AB1572" s="378"/>
      <c r="AC1572" s="378"/>
      <c r="AD1572" s="378"/>
      <c r="AE1572" s="378"/>
      <c r="AF1572" s="378"/>
      <c r="AG1572" s="378"/>
    </row>
    <row r="1573">
      <c r="A1573" s="378"/>
      <c r="B1573" s="477"/>
      <c r="C1573" s="378"/>
      <c r="D1573" s="378"/>
      <c r="E1573" s="378"/>
      <c r="F1573" s="378"/>
      <c r="G1573" s="378"/>
      <c r="H1573" s="378"/>
      <c r="I1573" s="376"/>
      <c r="J1573" s="377"/>
      <c r="K1573" s="378"/>
      <c r="L1573" s="378"/>
      <c r="M1573" s="378"/>
      <c r="N1573" s="379"/>
      <c r="O1573" s="380"/>
      <c r="P1573" s="378"/>
      <c r="Q1573" s="378"/>
      <c r="R1573" s="378"/>
      <c r="S1573" s="378"/>
      <c r="T1573" s="378"/>
      <c r="U1573" s="378"/>
      <c r="V1573" s="378"/>
      <c r="W1573" s="378"/>
      <c r="X1573" s="378"/>
      <c r="Y1573" s="378"/>
      <c r="Z1573" s="378"/>
      <c r="AA1573" s="378"/>
      <c r="AB1573" s="378"/>
      <c r="AC1573" s="378"/>
      <c r="AD1573" s="378"/>
      <c r="AE1573" s="378"/>
      <c r="AF1573" s="378"/>
      <c r="AG1573" s="378"/>
    </row>
    <row r="1574">
      <c r="A1574" s="378"/>
      <c r="B1574" s="477"/>
      <c r="C1574" s="378"/>
      <c r="D1574" s="378"/>
      <c r="E1574" s="378"/>
      <c r="F1574" s="378"/>
      <c r="G1574" s="378"/>
      <c r="H1574" s="378"/>
      <c r="I1574" s="376"/>
      <c r="J1574" s="377"/>
      <c r="K1574" s="378"/>
      <c r="L1574" s="378"/>
      <c r="M1574" s="378"/>
      <c r="N1574" s="379"/>
      <c r="O1574" s="380"/>
      <c r="P1574" s="378"/>
      <c r="Q1574" s="378"/>
      <c r="R1574" s="378"/>
      <c r="S1574" s="378"/>
      <c r="T1574" s="378"/>
      <c r="U1574" s="378"/>
      <c r="V1574" s="378"/>
      <c r="W1574" s="378"/>
      <c r="X1574" s="378"/>
      <c r="Y1574" s="378"/>
      <c r="Z1574" s="378"/>
      <c r="AA1574" s="378"/>
      <c r="AB1574" s="378"/>
      <c r="AC1574" s="378"/>
      <c r="AD1574" s="378"/>
      <c r="AE1574" s="378"/>
      <c r="AF1574" s="378"/>
      <c r="AG1574" s="378"/>
    </row>
    <row r="1575">
      <c r="A1575" s="378"/>
      <c r="B1575" s="477"/>
      <c r="C1575" s="378"/>
      <c r="D1575" s="378"/>
      <c r="E1575" s="378"/>
      <c r="F1575" s="378"/>
      <c r="G1575" s="378"/>
      <c r="H1575" s="378"/>
      <c r="I1575" s="376"/>
      <c r="J1575" s="377"/>
      <c r="K1575" s="378"/>
      <c r="L1575" s="378"/>
      <c r="M1575" s="378"/>
      <c r="N1575" s="379"/>
      <c r="O1575" s="380"/>
      <c r="P1575" s="378"/>
      <c r="Q1575" s="378"/>
      <c r="R1575" s="378"/>
      <c r="S1575" s="378"/>
      <c r="T1575" s="378"/>
      <c r="U1575" s="378"/>
      <c r="V1575" s="378"/>
      <c r="W1575" s="378"/>
      <c r="X1575" s="378"/>
      <c r="Y1575" s="378"/>
      <c r="Z1575" s="378"/>
      <c r="AA1575" s="378"/>
      <c r="AB1575" s="378"/>
      <c r="AC1575" s="378"/>
      <c r="AD1575" s="378"/>
      <c r="AE1575" s="378"/>
      <c r="AF1575" s="378"/>
      <c r="AG1575" s="378"/>
    </row>
    <row r="1576">
      <c r="A1576" s="378"/>
      <c r="B1576" s="477"/>
      <c r="C1576" s="378"/>
      <c r="D1576" s="378"/>
      <c r="E1576" s="378"/>
      <c r="F1576" s="378"/>
      <c r="G1576" s="378"/>
      <c r="H1576" s="378"/>
      <c r="I1576" s="376"/>
      <c r="J1576" s="377"/>
      <c r="K1576" s="378"/>
      <c r="L1576" s="378"/>
      <c r="M1576" s="378"/>
      <c r="N1576" s="379"/>
      <c r="O1576" s="380"/>
      <c r="P1576" s="378"/>
      <c r="Q1576" s="378"/>
      <c r="R1576" s="378"/>
      <c r="S1576" s="378"/>
      <c r="T1576" s="378"/>
      <c r="U1576" s="378"/>
      <c r="V1576" s="378"/>
      <c r="W1576" s="378"/>
      <c r="X1576" s="378"/>
      <c r="Y1576" s="378"/>
      <c r="Z1576" s="378"/>
      <c r="AA1576" s="378"/>
      <c r="AB1576" s="378"/>
      <c r="AC1576" s="378"/>
      <c r="AD1576" s="378"/>
      <c r="AE1576" s="378"/>
      <c r="AF1576" s="378"/>
      <c r="AG1576" s="378"/>
    </row>
    <row r="1577">
      <c r="A1577" s="378"/>
      <c r="B1577" s="477"/>
      <c r="C1577" s="378"/>
      <c r="D1577" s="378"/>
      <c r="E1577" s="378"/>
      <c r="F1577" s="378"/>
      <c r="G1577" s="378"/>
      <c r="H1577" s="378"/>
      <c r="I1577" s="376"/>
      <c r="J1577" s="377"/>
      <c r="K1577" s="378"/>
      <c r="L1577" s="378"/>
      <c r="M1577" s="378"/>
      <c r="N1577" s="379"/>
      <c r="O1577" s="380"/>
      <c r="P1577" s="378"/>
      <c r="Q1577" s="378"/>
      <c r="R1577" s="378"/>
      <c r="S1577" s="378"/>
      <c r="T1577" s="378"/>
      <c r="U1577" s="378"/>
      <c r="V1577" s="378"/>
      <c r="W1577" s="378"/>
      <c r="X1577" s="378"/>
      <c r="Y1577" s="378"/>
      <c r="Z1577" s="378"/>
      <c r="AA1577" s="378"/>
      <c r="AB1577" s="378"/>
      <c r="AC1577" s="378"/>
      <c r="AD1577" s="378"/>
      <c r="AE1577" s="378"/>
      <c r="AF1577" s="378"/>
      <c r="AG1577" s="378"/>
    </row>
    <row r="1578">
      <c r="A1578" s="378"/>
      <c r="B1578" s="477"/>
      <c r="C1578" s="378"/>
      <c r="D1578" s="378"/>
      <c r="E1578" s="378"/>
      <c r="F1578" s="378"/>
      <c r="G1578" s="378"/>
      <c r="H1578" s="378"/>
      <c r="I1578" s="376"/>
      <c r="J1578" s="377"/>
      <c r="K1578" s="378"/>
      <c r="L1578" s="378"/>
      <c r="M1578" s="378"/>
      <c r="N1578" s="379"/>
      <c r="O1578" s="380"/>
      <c r="P1578" s="378"/>
      <c r="Q1578" s="378"/>
      <c r="R1578" s="378"/>
      <c r="S1578" s="378"/>
      <c r="T1578" s="378"/>
      <c r="U1578" s="378"/>
      <c r="V1578" s="378"/>
      <c r="W1578" s="378"/>
      <c r="X1578" s="378"/>
      <c r="Y1578" s="378"/>
      <c r="Z1578" s="378"/>
      <c r="AA1578" s="378"/>
      <c r="AB1578" s="378"/>
      <c r="AC1578" s="378"/>
      <c r="AD1578" s="378"/>
      <c r="AE1578" s="378"/>
      <c r="AF1578" s="378"/>
      <c r="AG1578" s="378"/>
    </row>
    <row r="1579">
      <c r="A1579" s="378"/>
      <c r="B1579" s="477"/>
      <c r="C1579" s="378"/>
      <c r="D1579" s="378"/>
      <c r="E1579" s="378"/>
      <c r="F1579" s="378"/>
      <c r="G1579" s="378"/>
      <c r="H1579" s="378"/>
      <c r="I1579" s="376"/>
      <c r="J1579" s="377"/>
      <c r="K1579" s="378"/>
      <c r="L1579" s="378"/>
      <c r="M1579" s="378"/>
      <c r="N1579" s="379"/>
      <c r="O1579" s="380"/>
      <c r="P1579" s="378"/>
      <c r="Q1579" s="378"/>
      <c r="R1579" s="378"/>
      <c r="S1579" s="378"/>
      <c r="T1579" s="378"/>
      <c r="U1579" s="378"/>
      <c r="V1579" s="378"/>
      <c r="W1579" s="378"/>
      <c r="X1579" s="378"/>
      <c r="Y1579" s="378"/>
      <c r="Z1579" s="378"/>
      <c r="AA1579" s="378"/>
      <c r="AB1579" s="378"/>
      <c r="AC1579" s="378"/>
      <c r="AD1579" s="378"/>
      <c r="AE1579" s="378"/>
      <c r="AF1579" s="378"/>
      <c r="AG1579" s="378"/>
    </row>
    <row r="1580">
      <c r="A1580" s="378"/>
      <c r="B1580" s="477"/>
      <c r="C1580" s="378"/>
      <c r="D1580" s="378"/>
      <c r="E1580" s="378"/>
      <c r="F1580" s="378"/>
      <c r="G1580" s="378"/>
      <c r="H1580" s="378"/>
      <c r="I1580" s="376"/>
      <c r="J1580" s="377"/>
      <c r="K1580" s="378"/>
      <c r="L1580" s="378"/>
      <c r="M1580" s="378"/>
      <c r="N1580" s="379"/>
      <c r="O1580" s="380"/>
      <c r="P1580" s="378"/>
      <c r="Q1580" s="378"/>
      <c r="R1580" s="378"/>
      <c r="S1580" s="378"/>
      <c r="T1580" s="378"/>
      <c r="U1580" s="378"/>
      <c r="V1580" s="378"/>
      <c r="W1580" s="378"/>
      <c r="X1580" s="378"/>
      <c r="Y1580" s="378"/>
      <c r="Z1580" s="378"/>
      <c r="AA1580" s="378"/>
      <c r="AB1580" s="378"/>
      <c r="AC1580" s="378"/>
      <c r="AD1580" s="378"/>
      <c r="AE1580" s="378"/>
      <c r="AF1580" s="378"/>
      <c r="AG1580" s="378"/>
    </row>
    <row r="1581">
      <c r="A1581" s="378"/>
      <c r="B1581" s="477"/>
      <c r="C1581" s="378"/>
      <c r="D1581" s="378"/>
      <c r="E1581" s="378"/>
      <c r="F1581" s="378"/>
      <c r="G1581" s="378"/>
      <c r="H1581" s="378"/>
      <c r="I1581" s="376"/>
      <c r="J1581" s="377"/>
      <c r="K1581" s="378"/>
      <c r="L1581" s="378"/>
      <c r="M1581" s="378"/>
      <c r="N1581" s="379"/>
      <c r="O1581" s="380"/>
      <c r="P1581" s="378"/>
      <c r="Q1581" s="378"/>
      <c r="R1581" s="378"/>
      <c r="S1581" s="378"/>
      <c r="T1581" s="378"/>
      <c r="U1581" s="378"/>
      <c r="V1581" s="378"/>
      <c r="W1581" s="378"/>
      <c r="X1581" s="378"/>
      <c r="Y1581" s="378"/>
      <c r="Z1581" s="378"/>
      <c r="AA1581" s="378"/>
      <c r="AB1581" s="378"/>
      <c r="AC1581" s="378"/>
      <c r="AD1581" s="378"/>
      <c r="AE1581" s="378"/>
      <c r="AF1581" s="378"/>
      <c r="AG1581" s="378"/>
    </row>
    <row r="1582">
      <c r="A1582" s="378"/>
      <c r="B1582" s="477"/>
      <c r="C1582" s="378"/>
      <c r="D1582" s="378"/>
      <c r="E1582" s="378"/>
      <c r="F1582" s="378"/>
      <c r="G1582" s="378"/>
      <c r="H1582" s="378"/>
      <c r="I1582" s="376"/>
      <c r="J1582" s="377"/>
      <c r="K1582" s="378"/>
      <c r="L1582" s="378"/>
      <c r="M1582" s="378"/>
      <c r="N1582" s="379"/>
      <c r="O1582" s="380"/>
      <c r="P1582" s="378"/>
      <c r="Q1582" s="378"/>
      <c r="R1582" s="378"/>
      <c r="S1582" s="378"/>
      <c r="T1582" s="378"/>
      <c r="U1582" s="378"/>
      <c r="V1582" s="378"/>
      <c r="W1582" s="378"/>
      <c r="X1582" s="378"/>
      <c r="Y1582" s="378"/>
      <c r="Z1582" s="378"/>
      <c r="AA1582" s="378"/>
      <c r="AB1582" s="378"/>
      <c r="AC1582" s="378"/>
      <c r="AD1582" s="378"/>
      <c r="AE1582" s="378"/>
      <c r="AF1582" s="378"/>
      <c r="AG1582" s="378"/>
    </row>
    <row r="1583">
      <c r="A1583" s="378"/>
      <c r="B1583" s="477"/>
      <c r="C1583" s="378"/>
      <c r="D1583" s="378"/>
      <c r="E1583" s="378"/>
      <c r="F1583" s="378"/>
      <c r="G1583" s="378"/>
      <c r="H1583" s="378"/>
      <c r="I1583" s="376"/>
      <c r="J1583" s="377"/>
      <c r="K1583" s="378"/>
      <c r="L1583" s="378"/>
      <c r="M1583" s="378"/>
      <c r="N1583" s="379"/>
      <c r="O1583" s="380"/>
      <c r="P1583" s="378"/>
      <c r="Q1583" s="378"/>
      <c r="R1583" s="378"/>
      <c r="S1583" s="378"/>
      <c r="T1583" s="378"/>
      <c r="U1583" s="378"/>
      <c r="V1583" s="378"/>
      <c r="W1583" s="378"/>
      <c r="X1583" s="378"/>
      <c r="Y1583" s="378"/>
      <c r="Z1583" s="378"/>
      <c r="AA1583" s="378"/>
      <c r="AB1583" s="378"/>
      <c r="AC1583" s="378"/>
      <c r="AD1583" s="378"/>
      <c r="AE1583" s="378"/>
      <c r="AF1583" s="378"/>
      <c r="AG1583" s="378"/>
    </row>
    <row r="1584">
      <c r="A1584" s="378"/>
      <c r="B1584" s="477"/>
      <c r="C1584" s="378"/>
      <c r="D1584" s="378"/>
      <c r="E1584" s="378"/>
      <c r="F1584" s="378"/>
      <c r="G1584" s="378"/>
      <c r="H1584" s="378"/>
      <c r="I1584" s="376"/>
      <c r="J1584" s="377"/>
      <c r="K1584" s="378"/>
      <c r="L1584" s="378"/>
      <c r="M1584" s="378"/>
      <c r="N1584" s="379"/>
      <c r="O1584" s="380"/>
      <c r="P1584" s="378"/>
      <c r="Q1584" s="378"/>
      <c r="R1584" s="378"/>
      <c r="S1584" s="378"/>
      <c r="T1584" s="378"/>
      <c r="U1584" s="378"/>
      <c r="V1584" s="378"/>
      <c r="W1584" s="378"/>
      <c r="X1584" s="378"/>
      <c r="Y1584" s="378"/>
      <c r="Z1584" s="378"/>
      <c r="AA1584" s="378"/>
      <c r="AB1584" s="378"/>
      <c r="AC1584" s="378"/>
      <c r="AD1584" s="378"/>
      <c r="AE1584" s="378"/>
      <c r="AF1584" s="378"/>
      <c r="AG1584" s="378"/>
    </row>
    <row r="1585">
      <c r="A1585" s="378"/>
      <c r="B1585" s="477"/>
      <c r="C1585" s="378"/>
      <c r="D1585" s="378"/>
      <c r="E1585" s="378"/>
      <c r="F1585" s="378"/>
      <c r="G1585" s="378"/>
      <c r="H1585" s="378"/>
      <c r="I1585" s="376"/>
      <c r="J1585" s="377"/>
      <c r="K1585" s="378"/>
      <c r="L1585" s="378"/>
      <c r="M1585" s="378"/>
      <c r="N1585" s="379"/>
      <c r="O1585" s="380"/>
      <c r="P1585" s="378"/>
      <c r="Q1585" s="378"/>
      <c r="R1585" s="378"/>
      <c r="S1585" s="378"/>
      <c r="T1585" s="378"/>
      <c r="U1585" s="378"/>
      <c r="V1585" s="378"/>
      <c r="W1585" s="378"/>
      <c r="X1585" s="378"/>
      <c r="Y1585" s="378"/>
      <c r="Z1585" s="378"/>
      <c r="AA1585" s="378"/>
      <c r="AB1585" s="378"/>
      <c r="AC1585" s="378"/>
      <c r="AD1585" s="378"/>
      <c r="AE1585" s="378"/>
      <c r="AF1585" s="378"/>
      <c r="AG1585" s="378"/>
    </row>
    <row r="1586">
      <c r="A1586" s="378"/>
      <c r="B1586" s="477"/>
      <c r="C1586" s="378"/>
      <c r="D1586" s="378"/>
      <c r="E1586" s="378"/>
      <c r="F1586" s="378"/>
      <c r="G1586" s="378"/>
      <c r="H1586" s="378"/>
      <c r="I1586" s="376"/>
      <c r="J1586" s="377"/>
      <c r="K1586" s="378"/>
      <c r="L1586" s="378"/>
      <c r="M1586" s="378"/>
      <c r="N1586" s="379"/>
      <c r="O1586" s="380"/>
      <c r="P1586" s="378"/>
      <c r="Q1586" s="378"/>
      <c r="R1586" s="378"/>
      <c r="S1586" s="378"/>
      <c r="T1586" s="378"/>
      <c r="U1586" s="378"/>
      <c r="V1586" s="378"/>
      <c r="W1586" s="378"/>
      <c r="X1586" s="378"/>
      <c r="Y1586" s="378"/>
      <c r="Z1586" s="378"/>
      <c r="AA1586" s="378"/>
      <c r="AB1586" s="378"/>
      <c r="AC1586" s="378"/>
      <c r="AD1586" s="378"/>
      <c r="AE1586" s="378"/>
      <c r="AF1586" s="378"/>
      <c r="AG1586" s="378"/>
    </row>
    <row r="1587">
      <c r="A1587" s="378"/>
      <c r="B1587" s="477"/>
      <c r="C1587" s="378"/>
      <c r="D1587" s="378"/>
      <c r="E1587" s="378"/>
      <c r="F1587" s="378"/>
      <c r="G1587" s="378"/>
      <c r="H1587" s="378"/>
      <c r="I1587" s="376"/>
      <c r="J1587" s="377"/>
      <c r="K1587" s="378"/>
      <c r="L1587" s="378"/>
      <c r="M1587" s="378"/>
      <c r="N1587" s="379"/>
      <c r="O1587" s="380"/>
      <c r="P1587" s="378"/>
      <c r="Q1587" s="378"/>
      <c r="R1587" s="378"/>
      <c r="S1587" s="378"/>
      <c r="T1587" s="378"/>
      <c r="U1587" s="378"/>
      <c r="V1587" s="378"/>
      <c r="W1587" s="378"/>
      <c r="X1587" s="378"/>
      <c r="Y1587" s="378"/>
      <c r="Z1587" s="378"/>
      <c r="AA1587" s="378"/>
      <c r="AB1587" s="378"/>
      <c r="AC1587" s="378"/>
      <c r="AD1587" s="378"/>
      <c r="AE1587" s="378"/>
      <c r="AF1587" s="378"/>
      <c r="AG1587" s="378"/>
    </row>
    <row r="1588">
      <c r="A1588" s="378"/>
      <c r="B1588" s="477"/>
      <c r="C1588" s="378"/>
      <c r="D1588" s="378"/>
      <c r="E1588" s="378"/>
      <c r="F1588" s="378"/>
      <c r="G1588" s="378"/>
      <c r="H1588" s="378"/>
      <c r="I1588" s="376"/>
      <c r="J1588" s="377"/>
      <c r="K1588" s="378"/>
      <c r="L1588" s="378"/>
      <c r="M1588" s="378"/>
      <c r="N1588" s="379"/>
      <c r="O1588" s="380"/>
      <c r="P1588" s="378"/>
      <c r="Q1588" s="378"/>
      <c r="R1588" s="378"/>
      <c r="S1588" s="378"/>
      <c r="T1588" s="378"/>
      <c r="U1588" s="378"/>
      <c r="V1588" s="378"/>
      <c r="W1588" s="378"/>
      <c r="X1588" s="378"/>
      <c r="Y1588" s="378"/>
      <c r="Z1588" s="378"/>
      <c r="AA1588" s="378"/>
      <c r="AB1588" s="378"/>
      <c r="AC1588" s="378"/>
      <c r="AD1588" s="378"/>
      <c r="AE1588" s="378"/>
      <c r="AF1588" s="378"/>
      <c r="AG1588" s="378"/>
    </row>
    <row r="1589">
      <c r="A1589" s="378"/>
      <c r="B1589" s="477"/>
      <c r="C1589" s="378"/>
      <c r="D1589" s="378"/>
      <c r="E1589" s="378"/>
      <c r="F1589" s="378"/>
      <c r="G1589" s="378"/>
      <c r="H1589" s="378"/>
      <c r="I1589" s="376"/>
      <c r="J1589" s="377"/>
      <c r="K1589" s="378"/>
      <c r="L1589" s="378"/>
      <c r="M1589" s="378"/>
      <c r="N1589" s="379"/>
      <c r="O1589" s="380"/>
      <c r="P1589" s="378"/>
      <c r="Q1589" s="378"/>
      <c r="R1589" s="378"/>
      <c r="S1589" s="378"/>
      <c r="T1589" s="378"/>
      <c r="U1589" s="378"/>
      <c r="V1589" s="378"/>
      <c r="W1589" s="378"/>
      <c r="X1589" s="378"/>
      <c r="Y1589" s="378"/>
      <c r="Z1589" s="378"/>
      <c r="AA1589" s="378"/>
      <c r="AB1589" s="378"/>
      <c r="AC1589" s="378"/>
      <c r="AD1589" s="378"/>
      <c r="AE1589" s="378"/>
      <c r="AF1589" s="378"/>
      <c r="AG1589" s="378"/>
    </row>
    <row r="1590">
      <c r="A1590" s="378"/>
      <c r="B1590" s="477"/>
      <c r="C1590" s="378"/>
      <c r="D1590" s="378"/>
      <c r="E1590" s="378"/>
      <c r="F1590" s="378"/>
      <c r="G1590" s="378"/>
      <c r="H1590" s="378"/>
      <c r="I1590" s="376"/>
      <c r="J1590" s="377"/>
      <c r="K1590" s="378"/>
      <c r="L1590" s="378"/>
      <c r="M1590" s="378"/>
      <c r="N1590" s="379"/>
      <c r="O1590" s="380"/>
      <c r="P1590" s="378"/>
      <c r="Q1590" s="378"/>
      <c r="R1590" s="378"/>
      <c r="S1590" s="378"/>
      <c r="T1590" s="378"/>
      <c r="U1590" s="378"/>
      <c r="V1590" s="378"/>
      <c r="W1590" s="378"/>
      <c r="X1590" s="378"/>
      <c r="Y1590" s="378"/>
      <c r="Z1590" s="378"/>
      <c r="AA1590" s="378"/>
      <c r="AB1590" s="378"/>
      <c r="AC1590" s="378"/>
      <c r="AD1590" s="378"/>
      <c r="AE1590" s="378"/>
      <c r="AF1590" s="378"/>
      <c r="AG1590" s="378"/>
    </row>
    <row r="1591">
      <c r="A1591" s="378"/>
      <c r="B1591" s="477"/>
      <c r="C1591" s="378"/>
      <c r="D1591" s="378"/>
      <c r="E1591" s="378"/>
      <c r="F1591" s="378"/>
      <c r="G1591" s="378"/>
      <c r="H1591" s="378"/>
      <c r="I1591" s="376"/>
      <c r="J1591" s="377"/>
      <c r="K1591" s="378"/>
      <c r="L1591" s="378"/>
      <c r="M1591" s="378"/>
      <c r="N1591" s="379"/>
      <c r="O1591" s="380"/>
      <c r="P1591" s="378"/>
      <c r="Q1591" s="378"/>
      <c r="R1591" s="378"/>
      <c r="S1591" s="378"/>
      <c r="T1591" s="378"/>
      <c r="U1591" s="378"/>
      <c r="V1591" s="378"/>
      <c r="W1591" s="378"/>
      <c r="X1591" s="378"/>
      <c r="Y1591" s="378"/>
      <c r="Z1591" s="378"/>
      <c r="AA1591" s="378"/>
      <c r="AB1591" s="378"/>
      <c r="AC1591" s="378"/>
      <c r="AD1591" s="378"/>
      <c r="AE1591" s="378"/>
      <c r="AF1591" s="378"/>
      <c r="AG1591" s="378"/>
    </row>
    <row r="1592">
      <c r="A1592" s="378"/>
      <c r="B1592" s="477"/>
      <c r="C1592" s="378"/>
      <c r="D1592" s="378"/>
      <c r="E1592" s="378"/>
      <c r="F1592" s="378"/>
      <c r="G1592" s="378"/>
      <c r="H1592" s="378"/>
      <c r="I1592" s="376"/>
      <c r="J1592" s="377"/>
      <c r="K1592" s="378"/>
      <c r="L1592" s="378"/>
      <c r="M1592" s="378"/>
      <c r="N1592" s="379"/>
      <c r="O1592" s="380"/>
      <c r="P1592" s="378"/>
      <c r="Q1592" s="378"/>
      <c r="R1592" s="378"/>
      <c r="S1592" s="378"/>
      <c r="T1592" s="378"/>
      <c r="U1592" s="378"/>
      <c r="V1592" s="378"/>
      <c r="W1592" s="378"/>
      <c r="X1592" s="378"/>
      <c r="Y1592" s="378"/>
      <c r="Z1592" s="378"/>
      <c r="AA1592" s="378"/>
      <c r="AB1592" s="378"/>
      <c r="AC1592" s="378"/>
      <c r="AD1592" s="378"/>
      <c r="AE1592" s="378"/>
      <c r="AF1592" s="378"/>
      <c r="AG1592" s="378"/>
    </row>
    <row r="1593">
      <c r="A1593" s="378"/>
      <c r="B1593" s="477"/>
      <c r="C1593" s="378"/>
      <c r="D1593" s="378"/>
      <c r="E1593" s="378"/>
      <c r="F1593" s="378"/>
      <c r="G1593" s="378"/>
      <c r="H1593" s="378"/>
      <c r="I1593" s="376"/>
      <c r="J1593" s="377"/>
      <c r="K1593" s="378"/>
      <c r="L1593" s="378"/>
      <c r="M1593" s="378"/>
      <c r="N1593" s="379"/>
      <c r="O1593" s="380"/>
      <c r="P1593" s="378"/>
      <c r="Q1593" s="378"/>
      <c r="R1593" s="378"/>
      <c r="S1593" s="378"/>
      <c r="T1593" s="378"/>
      <c r="U1593" s="378"/>
      <c r="V1593" s="378"/>
      <c r="W1593" s="378"/>
      <c r="X1593" s="378"/>
      <c r="Y1593" s="378"/>
      <c r="Z1593" s="378"/>
      <c r="AA1593" s="378"/>
      <c r="AB1593" s="378"/>
      <c r="AC1593" s="378"/>
      <c r="AD1593" s="378"/>
      <c r="AE1593" s="378"/>
      <c r="AF1593" s="378"/>
      <c r="AG1593" s="378"/>
    </row>
    <row r="1594">
      <c r="A1594" s="378"/>
      <c r="B1594" s="477"/>
      <c r="C1594" s="378"/>
      <c r="D1594" s="378"/>
      <c r="E1594" s="378"/>
      <c r="F1594" s="378"/>
      <c r="G1594" s="378"/>
      <c r="H1594" s="378"/>
      <c r="I1594" s="376"/>
      <c r="J1594" s="377"/>
      <c r="K1594" s="378"/>
      <c r="L1594" s="378"/>
      <c r="M1594" s="378"/>
      <c r="N1594" s="379"/>
      <c r="O1594" s="380"/>
      <c r="P1594" s="378"/>
      <c r="Q1594" s="378"/>
      <c r="R1594" s="378"/>
      <c r="S1594" s="378"/>
      <c r="T1594" s="378"/>
      <c r="U1594" s="378"/>
      <c r="V1594" s="378"/>
      <c r="W1594" s="378"/>
      <c r="X1594" s="378"/>
      <c r="Y1594" s="378"/>
      <c r="Z1594" s="378"/>
      <c r="AA1594" s="378"/>
      <c r="AB1594" s="378"/>
      <c r="AC1594" s="378"/>
      <c r="AD1594" s="378"/>
      <c r="AE1594" s="378"/>
      <c r="AF1594" s="378"/>
      <c r="AG1594" s="378"/>
    </row>
    <row r="1595">
      <c r="A1595" s="378"/>
      <c r="B1595" s="477"/>
      <c r="C1595" s="378"/>
      <c r="D1595" s="378"/>
      <c r="E1595" s="378"/>
      <c r="F1595" s="378"/>
      <c r="G1595" s="378"/>
      <c r="H1595" s="378"/>
      <c r="I1595" s="376"/>
      <c r="J1595" s="377"/>
      <c r="K1595" s="378"/>
      <c r="L1595" s="378"/>
      <c r="M1595" s="378"/>
      <c r="N1595" s="379"/>
      <c r="O1595" s="380"/>
      <c r="P1595" s="378"/>
      <c r="Q1595" s="378"/>
      <c r="R1595" s="378"/>
      <c r="S1595" s="378"/>
      <c r="T1595" s="378"/>
      <c r="U1595" s="378"/>
      <c r="V1595" s="378"/>
      <c r="W1595" s="378"/>
      <c r="X1595" s="378"/>
      <c r="Y1595" s="378"/>
      <c r="Z1595" s="378"/>
      <c r="AA1595" s="378"/>
      <c r="AB1595" s="378"/>
      <c r="AC1595" s="378"/>
      <c r="AD1595" s="378"/>
      <c r="AE1595" s="378"/>
      <c r="AF1595" s="378"/>
      <c r="AG1595" s="378"/>
    </row>
    <row r="1596">
      <c r="A1596" s="378"/>
      <c r="B1596" s="477"/>
      <c r="C1596" s="378"/>
      <c r="D1596" s="378"/>
      <c r="E1596" s="378"/>
      <c r="F1596" s="378"/>
      <c r="G1596" s="378"/>
      <c r="H1596" s="378"/>
      <c r="I1596" s="376"/>
      <c r="J1596" s="377"/>
      <c r="K1596" s="378"/>
      <c r="L1596" s="378"/>
      <c r="M1596" s="378"/>
      <c r="N1596" s="379"/>
      <c r="O1596" s="380"/>
      <c r="P1596" s="378"/>
      <c r="Q1596" s="378"/>
      <c r="R1596" s="378"/>
      <c r="S1596" s="378"/>
      <c r="T1596" s="378"/>
      <c r="U1596" s="378"/>
      <c r="V1596" s="378"/>
      <c r="W1596" s="378"/>
      <c r="X1596" s="378"/>
      <c r="Y1596" s="378"/>
      <c r="Z1596" s="378"/>
      <c r="AA1596" s="378"/>
      <c r="AB1596" s="378"/>
      <c r="AC1596" s="378"/>
      <c r="AD1596" s="378"/>
      <c r="AE1596" s="378"/>
      <c r="AF1596" s="378"/>
      <c r="AG1596" s="378"/>
    </row>
    <row r="1597">
      <c r="A1597" s="378"/>
      <c r="B1597" s="477"/>
      <c r="C1597" s="378"/>
      <c r="D1597" s="378"/>
      <c r="E1597" s="378"/>
      <c r="F1597" s="378"/>
      <c r="G1597" s="378"/>
      <c r="H1597" s="378"/>
      <c r="I1597" s="376"/>
      <c r="J1597" s="377"/>
      <c r="K1597" s="378"/>
      <c r="L1597" s="378"/>
      <c r="M1597" s="378"/>
      <c r="N1597" s="379"/>
      <c r="O1597" s="380"/>
      <c r="P1597" s="378"/>
      <c r="Q1597" s="378"/>
      <c r="R1597" s="378"/>
      <c r="S1597" s="378"/>
      <c r="T1597" s="378"/>
      <c r="U1597" s="378"/>
      <c r="V1597" s="378"/>
      <c r="W1597" s="378"/>
      <c r="X1597" s="378"/>
      <c r="Y1597" s="378"/>
      <c r="Z1597" s="378"/>
      <c r="AA1597" s="378"/>
      <c r="AB1597" s="378"/>
      <c r="AC1597" s="378"/>
      <c r="AD1597" s="378"/>
      <c r="AE1597" s="378"/>
      <c r="AF1597" s="378"/>
      <c r="AG1597" s="378"/>
    </row>
    <row r="1598">
      <c r="A1598" s="378"/>
      <c r="B1598" s="477"/>
      <c r="C1598" s="378"/>
      <c r="D1598" s="378"/>
      <c r="E1598" s="378"/>
      <c r="F1598" s="378"/>
      <c r="G1598" s="378"/>
      <c r="H1598" s="378"/>
      <c r="I1598" s="376"/>
      <c r="J1598" s="377"/>
      <c r="K1598" s="378"/>
      <c r="L1598" s="378"/>
      <c r="M1598" s="378"/>
      <c r="N1598" s="379"/>
      <c r="O1598" s="380"/>
      <c r="P1598" s="378"/>
      <c r="Q1598" s="378"/>
      <c r="R1598" s="378"/>
      <c r="S1598" s="378"/>
      <c r="T1598" s="378"/>
      <c r="U1598" s="378"/>
      <c r="V1598" s="378"/>
      <c r="W1598" s="378"/>
      <c r="X1598" s="378"/>
      <c r="Y1598" s="378"/>
      <c r="Z1598" s="378"/>
      <c r="AA1598" s="378"/>
      <c r="AB1598" s="378"/>
      <c r="AC1598" s="378"/>
      <c r="AD1598" s="378"/>
      <c r="AE1598" s="378"/>
      <c r="AF1598" s="378"/>
      <c r="AG1598" s="378"/>
    </row>
    <row r="1599">
      <c r="A1599" s="378"/>
      <c r="B1599" s="477"/>
      <c r="C1599" s="378"/>
      <c r="D1599" s="378"/>
      <c r="E1599" s="378"/>
      <c r="F1599" s="378"/>
      <c r="G1599" s="378"/>
      <c r="H1599" s="378"/>
      <c r="I1599" s="376"/>
      <c r="J1599" s="377"/>
      <c r="K1599" s="378"/>
      <c r="L1599" s="378"/>
      <c r="M1599" s="378"/>
      <c r="N1599" s="379"/>
      <c r="O1599" s="380"/>
      <c r="P1599" s="378"/>
      <c r="Q1599" s="378"/>
      <c r="R1599" s="378"/>
      <c r="S1599" s="378"/>
      <c r="T1599" s="378"/>
      <c r="U1599" s="378"/>
      <c r="V1599" s="378"/>
      <c r="W1599" s="378"/>
      <c r="X1599" s="378"/>
      <c r="Y1599" s="378"/>
      <c r="Z1599" s="378"/>
      <c r="AA1599" s="378"/>
      <c r="AB1599" s="378"/>
      <c r="AC1599" s="378"/>
      <c r="AD1599" s="378"/>
      <c r="AE1599" s="378"/>
      <c r="AF1599" s="378"/>
      <c r="AG1599" s="378"/>
    </row>
    <row r="1600">
      <c r="A1600" s="378"/>
      <c r="B1600" s="477"/>
      <c r="C1600" s="378"/>
      <c r="D1600" s="378"/>
      <c r="E1600" s="378"/>
      <c r="F1600" s="378"/>
      <c r="G1600" s="378"/>
      <c r="H1600" s="378"/>
      <c r="I1600" s="376"/>
      <c r="J1600" s="377"/>
      <c r="K1600" s="378"/>
      <c r="L1600" s="378"/>
      <c r="M1600" s="378"/>
      <c r="N1600" s="379"/>
      <c r="O1600" s="380"/>
      <c r="P1600" s="378"/>
      <c r="Q1600" s="378"/>
      <c r="R1600" s="378"/>
      <c r="S1600" s="378"/>
      <c r="T1600" s="378"/>
      <c r="U1600" s="378"/>
      <c r="V1600" s="378"/>
      <c r="W1600" s="378"/>
      <c r="X1600" s="378"/>
      <c r="Y1600" s="378"/>
      <c r="Z1600" s="378"/>
      <c r="AA1600" s="378"/>
      <c r="AB1600" s="378"/>
      <c r="AC1600" s="378"/>
      <c r="AD1600" s="378"/>
      <c r="AE1600" s="378"/>
      <c r="AF1600" s="378"/>
      <c r="AG1600" s="378"/>
    </row>
    <row r="1601">
      <c r="A1601" s="378"/>
      <c r="B1601" s="477"/>
      <c r="C1601" s="378"/>
      <c r="D1601" s="378"/>
      <c r="E1601" s="378"/>
      <c r="F1601" s="378"/>
      <c r="G1601" s="378"/>
      <c r="H1601" s="378"/>
      <c r="I1601" s="376"/>
      <c r="J1601" s="377"/>
      <c r="K1601" s="378"/>
      <c r="L1601" s="378"/>
      <c r="M1601" s="378"/>
      <c r="N1601" s="379"/>
      <c r="O1601" s="380"/>
      <c r="P1601" s="378"/>
      <c r="Q1601" s="378"/>
      <c r="R1601" s="378"/>
      <c r="S1601" s="378"/>
      <c r="T1601" s="378"/>
      <c r="U1601" s="378"/>
      <c r="V1601" s="378"/>
      <c r="W1601" s="378"/>
      <c r="X1601" s="378"/>
      <c r="Y1601" s="378"/>
      <c r="Z1601" s="378"/>
      <c r="AA1601" s="378"/>
      <c r="AB1601" s="378"/>
      <c r="AC1601" s="378"/>
      <c r="AD1601" s="378"/>
      <c r="AE1601" s="378"/>
      <c r="AF1601" s="378"/>
      <c r="AG1601" s="378"/>
    </row>
    <row r="1602">
      <c r="A1602" s="378"/>
      <c r="B1602" s="477"/>
      <c r="C1602" s="378"/>
      <c r="D1602" s="378"/>
      <c r="E1602" s="378"/>
      <c r="F1602" s="378"/>
      <c r="G1602" s="378"/>
      <c r="H1602" s="378"/>
      <c r="I1602" s="376"/>
      <c r="J1602" s="377"/>
      <c r="K1602" s="378"/>
      <c r="L1602" s="378"/>
      <c r="M1602" s="378"/>
      <c r="N1602" s="379"/>
      <c r="O1602" s="380"/>
      <c r="P1602" s="378"/>
      <c r="Q1602" s="378"/>
      <c r="R1602" s="378"/>
      <c r="S1602" s="378"/>
      <c r="T1602" s="378"/>
      <c r="U1602" s="378"/>
      <c r="V1602" s="378"/>
      <c r="W1602" s="378"/>
      <c r="X1602" s="378"/>
      <c r="Y1602" s="378"/>
      <c r="Z1602" s="378"/>
      <c r="AA1602" s="378"/>
      <c r="AB1602" s="378"/>
      <c r="AC1602" s="378"/>
      <c r="AD1602" s="378"/>
      <c r="AE1602" s="378"/>
      <c r="AF1602" s="378"/>
      <c r="AG1602" s="378"/>
    </row>
    <row r="1603">
      <c r="A1603" s="378"/>
      <c r="B1603" s="477"/>
      <c r="C1603" s="378"/>
      <c r="D1603" s="378"/>
      <c r="E1603" s="378"/>
      <c r="F1603" s="378"/>
      <c r="G1603" s="378"/>
      <c r="H1603" s="378"/>
      <c r="I1603" s="376"/>
      <c r="J1603" s="377"/>
      <c r="K1603" s="378"/>
      <c r="L1603" s="378"/>
      <c r="M1603" s="378"/>
      <c r="N1603" s="379"/>
      <c r="O1603" s="380"/>
      <c r="P1603" s="378"/>
      <c r="Q1603" s="378"/>
      <c r="R1603" s="378"/>
      <c r="S1603" s="378"/>
      <c r="T1603" s="378"/>
      <c r="U1603" s="378"/>
      <c r="V1603" s="378"/>
      <c r="W1603" s="378"/>
      <c r="X1603" s="378"/>
      <c r="Y1603" s="378"/>
      <c r="Z1603" s="378"/>
      <c r="AA1603" s="378"/>
      <c r="AB1603" s="378"/>
      <c r="AC1603" s="378"/>
      <c r="AD1603" s="378"/>
      <c r="AE1603" s="378"/>
      <c r="AF1603" s="378"/>
      <c r="AG1603" s="378"/>
    </row>
    <row r="1604">
      <c r="A1604" s="378"/>
      <c r="B1604" s="477"/>
      <c r="C1604" s="378"/>
      <c r="D1604" s="378"/>
      <c r="E1604" s="378"/>
      <c r="F1604" s="378"/>
      <c r="G1604" s="378"/>
      <c r="H1604" s="378"/>
      <c r="I1604" s="376"/>
      <c r="J1604" s="377"/>
      <c r="K1604" s="378"/>
      <c r="L1604" s="378"/>
      <c r="M1604" s="378"/>
      <c r="N1604" s="379"/>
      <c r="O1604" s="380"/>
      <c r="P1604" s="378"/>
      <c r="Q1604" s="378"/>
      <c r="R1604" s="378"/>
      <c r="S1604" s="378"/>
      <c r="T1604" s="378"/>
      <c r="U1604" s="378"/>
      <c r="V1604" s="378"/>
      <c r="W1604" s="378"/>
      <c r="X1604" s="378"/>
      <c r="Y1604" s="378"/>
      <c r="Z1604" s="378"/>
      <c r="AA1604" s="378"/>
      <c r="AB1604" s="378"/>
      <c r="AC1604" s="378"/>
      <c r="AD1604" s="378"/>
      <c r="AE1604" s="378"/>
      <c r="AF1604" s="378"/>
      <c r="AG1604" s="378"/>
    </row>
    <row r="1605">
      <c r="A1605" s="378"/>
      <c r="B1605" s="477"/>
      <c r="C1605" s="378"/>
      <c r="D1605" s="378"/>
      <c r="E1605" s="378"/>
      <c r="F1605" s="378"/>
      <c r="G1605" s="378"/>
      <c r="H1605" s="378"/>
      <c r="I1605" s="376"/>
      <c r="J1605" s="377"/>
      <c r="K1605" s="378"/>
      <c r="L1605" s="378"/>
      <c r="M1605" s="378"/>
      <c r="N1605" s="379"/>
      <c r="O1605" s="380"/>
      <c r="P1605" s="378"/>
      <c r="Q1605" s="378"/>
      <c r="R1605" s="378"/>
      <c r="S1605" s="378"/>
      <c r="T1605" s="378"/>
      <c r="U1605" s="378"/>
      <c r="V1605" s="378"/>
      <c r="W1605" s="378"/>
      <c r="X1605" s="378"/>
      <c r="Y1605" s="378"/>
      <c r="Z1605" s="378"/>
      <c r="AA1605" s="378"/>
      <c r="AB1605" s="378"/>
      <c r="AC1605" s="378"/>
      <c r="AD1605" s="378"/>
      <c r="AE1605" s="378"/>
      <c r="AF1605" s="378"/>
      <c r="AG1605" s="378"/>
    </row>
    <row r="1606">
      <c r="A1606" s="378"/>
      <c r="B1606" s="477"/>
      <c r="C1606" s="378"/>
      <c r="D1606" s="378"/>
      <c r="E1606" s="378"/>
      <c r="F1606" s="378"/>
      <c r="G1606" s="378"/>
      <c r="H1606" s="378"/>
      <c r="I1606" s="376"/>
      <c r="J1606" s="377"/>
      <c r="K1606" s="378"/>
      <c r="L1606" s="378"/>
      <c r="M1606" s="378"/>
      <c r="N1606" s="379"/>
      <c r="O1606" s="380"/>
      <c r="P1606" s="378"/>
      <c r="Q1606" s="378"/>
      <c r="R1606" s="378"/>
      <c r="S1606" s="378"/>
      <c r="T1606" s="378"/>
      <c r="U1606" s="378"/>
      <c r="V1606" s="378"/>
      <c r="W1606" s="378"/>
      <c r="X1606" s="378"/>
      <c r="Y1606" s="378"/>
      <c r="Z1606" s="378"/>
      <c r="AA1606" s="378"/>
      <c r="AB1606" s="378"/>
      <c r="AC1606" s="378"/>
      <c r="AD1606" s="378"/>
      <c r="AE1606" s="378"/>
      <c r="AF1606" s="378"/>
      <c r="AG1606" s="378"/>
    </row>
    <row r="1607">
      <c r="A1607" s="378"/>
      <c r="B1607" s="477"/>
      <c r="C1607" s="378"/>
      <c r="D1607" s="378"/>
      <c r="E1607" s="378"/>
      <c r="F1607" s="378"/>
      <c r="G1607" s="378"/>
      <c r="H1607" s="378"/>
      <c r="I1607" s="376"/>
      <c r="J1607" s="377"/>
      <c r="K1607" s="378"/>
      <c r="L1607" s="378"/>
      <c r="M1607" s="378"/>
      <c r="N1607" s="379"/>
      <c r="O1607" s="380"/>
      <c r="P1607" s="378"/>
      <c r="Q1607" s="378"/>
      <c r="R1607" s="378"/>
      <c r="S1607" s="378"/>
      <c r="T1607" s="378"/>
      <c r="U1607" s="378"/>
      <c r="V1607" s="378"/>
      <c r="W1607" s="378"/>
      <c r="X1607" s="378"/>
      <c r="Y1607" s="378"/>
      <c r="Z1607" s="378"/>
      <c r="AA1607" s="378"/>
      <c r="AB1607" s="378"/>
      <c r="AC1607" s="378"/>
      <c r="AD1607" s="378"/>
      <c r="AE1607" s="378"/>
      <c r="AF1607" s="378"/>
      <c r="AG1607" s="378"/>
    </row>
    <row r="1608">
      <c r="A1608" s="378"/>
      <c r="B1608" s="477"/>
      <c r="C1608" s="378"/>
      <c r="D1608" s="378"/>
      <c r="E1608" s="378"/>
      <c r="F1608" s="378"/>
      <c r="G1608" s="378"/>
      <c r="H1608" s="378"/>
      <c r="I1608" s="376"/>
      <c r="J1608" s="377"/>
      <c r="K1608" s="378"/>
      <c r="L1608" s="378"/>
      <c r="M1608" s="378"/>
      <c r="N1608" s="379"/>
      <c r="O1608" s="380"/>
      <c r="P1608" s="378"/>
      <c r="Q1608" s="378"/>
      <c r="R1608" s="378"/>
      <c r="S1608" s="378"/>
      <c r="T1608" s="378"/>
      <c r="U1608" s="378"/>
      <c r="V1608" s="378"/>
      <c r="W1608" s="378"/>
      <c r="X1608" s="378"/>
      <c r="Y1608" s="378"/>
      <c r="Z1608" s="378"/>
      <c r="AA1608" s="378"/>
      <c r="AB1608" s="378"/>
      <c r="AC1608" s="378"/>
      <c r="AD1608" s="378"/>
      <c r="AE1608" s="378"/>
      <c r="AF1608" s="378"/>
      <c r="AG1608" s="378"/>
    </row>
    <row r="1609">
      <c r="A1609" s="378"/>
      <c r="B1609" s="477"/>
      <c r="C1609" s="378"/>
      <c r="D1609" s="378"/>
      <c r="E1609" s="378"/>
      <c r="F1609" s="378"/>
      <c r="G1609" s="378"/>
      <c r="H1609" s="378"/>
      <c r="I1609" s="376"/>
      <c r="J1609" s="377"/>
      <c r="K1609" s="378"/>
      <c r="L1609" s="378"/>
      <c r="M1609" s="378"/>
      <c r="N1609" s="379"/>
      <c r="O1609" s="380"/>
      <c r="P1609" s="378"/>
      <c r="Q1609" s="378"/>
      <c r="R1609" s="378"/>
      <c r="S1609" s="378"/>
      <c r="T1609" s="378"/>
      <c r="U1609" s="378"/>
      <c r="V1609" s="378"/>
      <c r="W1609" s="378"/>
      <c r="X1609" s="378"/>
      <c r="Y1609" s="378"/>
      <c r="Z1609" s="378"/>
      <c r="AA1609" s="378"/>
      <c r="AB1609" s="378"/>
      <c r="AC1609" s="378"/>
      <c r="AD1609" s="378"/>
      <c r="AE1609" s="378"/>
      <c r="AF1609" s="378"/>
      <c r="AG1609" s="378"/>
    </row>
    <row r="1610">
      <c r="A1610" s="378"/>
      <c r="B1610" s="477"/>
      <c r="C1610" s="378"/>
      <c r="D1610" s="378"/>
      <c r="E1610" s="378"/>
      <c r="F1610" s="378"/>
      <c r="G1610" s="378"/>
      <c r="H1610" s="378"/>
      <c r="I1610" s="376"/>
      <c r="J1610" s="377"/>
      <c r="K1610" s="378"/>
      <c r="L1610" s="378"/>
      <c r="M1610" s="378"/>
      <c r="N1610" s="379"/>
      <c r="O1610" s="380"/>
      <c r="P1610" s="378"/>
      <c r="Q1610" s="378"/>
      <c r="R1610" s="378"/>
      <c r="S1610" s="378"/>
      <c r="T1610" s="378"/>
      <c r="U1610" s="378"/>
      <c r="V1610" s="378"/>
      <c r="W1610" s="378"/>
      <c r="X1610" s="378"/>
      <c r="Y1610" s="378"/>
      <c r="Z1610" s="378"/>
      <c r="AA1610" s="378"/>
      <c r="AB1610" s="378"/>
      <c r="AC1610" s="378"/>
      <c r="AD1610" s="378"/>
      <c r="AE1610" s="378"/>
      <c r="AF1610" s="378"/>
      <c r="AG1610" s="378"/>
    </row>
    <row r="1611">
      <c r="A1611" s="378"/>
      <c r="B1611" s="477"/>
      <c r="C1611" s="378"/>
      <c r="D1611" s="378"/>
      <c r="E1611" s="378"/>
      <c r="F1611" s="378"/>
      <c r="G1611" s="378"/>
      <c r="H1611" s="378"/>
      <c r="I1611" s="376"/>
      <c r="J1611" s="377"/>
      <c r="K1611" s="378"/>
      <c r="L1611" s="378"/>
      <c r="M1611" s="378"/>
      <c r="N1611" s="379"/>
      <c r="O1611" s="380"/>
      <c r="P1611" s="378"/>
      <c r="Q1611" s="378"/>
      <c r="R1611" s="378"/>
      <c r="S1611" s="378"/>
      <c r="T1611" s="378"/>
      <c r="U1611" s="378"/>
      <c r="V1611" s="378"/>
      <c r="W1611" s="378"/>
      <c r="X1611" s="378"/>
      <c r="Y1611" s="378"/>
      <c r="Z1611" s="378"/>
      <c r="AA1611" s="378"/>
      <c r="AB1611" s="378"/>
      <c r="AC1611" s="378"/>
      <c r="AD1611" s="378"/>
      <c r="AE1611" s="378"/>
      <c r="AF1611" s="378"/>
      <c r="AG1611" s="378"/>
    </row>
    <row r="1612">
      <c r="A1612" s="378"/>
      <c r="B1612" s="477"/>
      <c r="C1612" s="378"/>
      <c r="D1612" s="378"/>
      <c r="E1612" s="378"/>
      <c r="F1612" s="378"/>
      <c r="G1612" s="378"/>
      <c r="H1612" s="378"/>
      <c r="I1612" s="376"/>
      <c r="J1612" s="377"/>
      <c r="K1612" s="378"/>
      <c r="L1612" s="378"/>
      <c r="M1612" s="378"/>
      <c r="N1612" s="379"/>
      <c r="O1612" s="380"/>
      <c r="P1612" s="378"/>
      <c r="Q1612" s="378"/>
      <c r="R1612" s="378"/>
      <c r="S1612" s="378"/>
      <c r="T1612" s="378"/>
      <c r="U1612" s="378"/>
      <c r="V1612" s="378"/>
      <c r="W1612" s="378"/>
      <c r="X1612" s="378"/>
      <c r="Y1612" s="378"/>
      <c r="Z1612" s="378"/>
      <c r="AA1612" s="378"/>
      <c r="AB1612" s="378"/>
      <c r="AC1612" s="378"/>
      <c r="AD1612" s="378"/>
      <c r="AE1612" s="378"/>
      <c r="AF1612" s="378"/>
      <c r="AG1612" s="378"/>
    </row>
    <row r="1613">
      <c r="A1613" s="378"/>
      <c r="B1613" s="477"/>
      <c r="C1613" s="378"/>
      <c r="D1613" s="378"/>
      <c r="E1613" s="378"/>
      <c r="F1613" s="378"/>
      <c r="G1613" s="378"/>
      <c r="H1613" s="378"/>
      <c r="I1613" s="376"/>
      <c r="J1613" s="377"/>
      <c r="K1613" s="378"/>
      <c r="L1613" s="378"/>
      <c r="M1613" s="378"/>
      <c r="N1613" s="379"/>
      <c r="O1613" s="380"/>
      <c r="P1613" s="378"/>
      <c r="Q1613" s="378"/>
      <c r="R1613" s="378"/>
      <c r="S1613" s="378"/>
      <c r="T1613" s="378"/>
      <c r="U1613" s="378"/>
      <c r="V1613" s="378"/>
      <c r="W1613" s="378"/>
      <c r="X1613" s="378"/>
      <c r="Y1613" s="378"/>
      <c r="Z1613" s="378"/>
      <c r="AA1613" s="378"/>
      <c r="AB1613" s="378"/>
      <c r="AC1613" s="378"/>
      <c r="AD1613" s="378"/>
      <c r="AE1613" s="378"/>
      <c r="AF1613" s="378"/>
      <c r="AG1613" s="378"/>
    </row>
    <row r="1614">
      <c r="A1614" s="378"/>
      <c r="B1614" s="477"/>
      <c r="C1614" s="378"/>
      <c r="D1614" s="378"/>
      <c r="E1614" s="378"/>
      <c r="F1614" s="378"/>
      <c r="G1614" s="378"/>
      <c r="H1614" s="378"/>
      <c r="I1614" s="376"/>
      <c r="J1614" s="377"/>
      <c r="K1614" s="378"/>
      <c r="L1614" s="378"/>
      <c r="M1614" s="378"/>
      <c r="N1614" s="379"/>
      <c r="O1614" s="380"/>
      <c r="P1614" s="378"/>
      <c r="Q1614" s="378"/>
      <c r="R1614" s="378"/>
      <c r="S1614" s="378"/>
      <c r="T1614" s="378"/>
      <c r="U1614" s="378"/>
      <c r="V1614" s="378"/>
      <c r="W1614" s="378"/>
      <c r="X1614" s="378"/>
      <c r="Y1614" s="378"/>
      <c r="Z1614" s="378"/>
      <c r="AA1614" s="378"/>
      <c r="AB1614" s="378"/>
      <c r="AC1614" s="378"/>
      <c r="AD1614" s="378"/>
      <c r="AE1614" s="378"/>
      <c r="AF1614" s="378"/>
      <c r="AG1614" s="378"/>
    </row>
    <row r="1615">
      <c r="A1615" s="378"/>
      <c r="B1615" s="477"/>
      <c r="C1615" s="378"/>
      <c r="D1615" s="378"/>
      <c r="E1615" s="378"/>
      <c r="F1615" s="378"/>
      <c r="G1615" s="378"/>
      <c r="H1615" s="378"/>
      <c r="I1615" s="376"/>
      <c r="J1615" s="377"/>
      <c r="K1615" s="378"/>
      <c r="L1615" s="378"/>
      <c r="M1615" s="378"/>
      <c r="N1615" s="379"/>
      <c r="O1615" s="380"/>
      <c r="P1615" s="378"/>
      <c r="Q1615" s="378"/>
      <c r="R1615" s="378"/>
      <c r="S1615" s="378"/>
      <c r="T1615" s="378"/>
      <c r="U1615" s="378"/>
      <c r="V1615" s="378"/>
      <c r="W1615" s="378"/>
      <c r="X1615" s="378"/>
      <c r="Y1615" s="378"/>
      <c r="Z1615" s="378"/>
      <c r="AA1615" s="378"/>
      <c r="AB1615" s="378"/>
      <c r="AC1615" s="378"/>
      <c r="AD1615" s="378"/>
      <c r="AE1615" s="378"/>
      <c r="AF1615" s="378"/>
      <c r="AG1615" s="378"/>
    </row>
    <row r="1616">
      <c r="A1616" s="378"/>
      <c r="B1616" s="477"/>
      <c r="C1616" s="378"/>
      <c r="D1616" s="378"/>
      <c r="E1616" s="378"/>
      <c r="F1616" s="378"/>
      <c r="G1616" s="378"/>
      <c r="H1616" s="378"/>
      <c r="I1616" s="376"/>
      <c r="J1616" s="377"/>
      <c r="K1616" s="378"/>
      <c r="L1616" s="378"/>
      <c r="M1616" s="378"/>
      <c r="N1616" s="379"/>
      <c r="O1616" s="380"/>
      <c r="P1616" s="378"/>
      <c r="Q1616" s="378"/>
      <c r="R1616" s="378"/>
      <c r="S1616" s="378"/>
      <c r="T1616" s="378"/>
      <c r="U1616" s="378"/>
      <c r="V1616" s="378"/>
      <c r="W1616" s="378"/>
      <c r="X1616" s="378"/>
      <c r="Y1616" s="378"/>
      <c r="Z1616" s="378"/>
      <c r="AA1616" s="378"/>
      <c r="AB1616" s="378"/>
      <c r="AC1616" s="378"/>
      <c r="AD1616" s="378"/>
      <c r="AE1616" s="378"/>
      <c r="AF1616" s="378"/>
      <c r="AG1616" s="378"/>
    </row>
    <row r="1617">
      <c r="A1617" s="378"/>
      <c r="B1617" s="477"/>
      <c r="C1617" s="378"/>
      <c r="D1617" s="378"/>
      <c r="E1617" s="378"/>
      <c r="F1617" s="378"/>
      <c r="G1617" s="378"/>
      <c r="H1617" s="378"/>
      <c r="I1617" s="376"/>
      <c r="J1617" s="377"/>
      <c r="K1617" s="378"/>
      <c r="L1617" s="378"/>
      <c r="M1617" s="378"/>
      <c r="N1617" s="379"/>
      <c r="O1617" s="380"/>
      <c r="P1617" s="378"/>
      <c r="Q1617" s="378"/>
      <c r="R1617" s="378"/>
      <c r="S1617" s="378"/>
      <c r="T1617" s="378"/>
      <c r="U1617" s="378"/>
      <c r="V1617" s="378"/>
      <c r="W1617" s="378"/>
      <c r="X1617" s="378"/>
      <c r="Y1617" s="378"/>
      <c r="Z1617" s="378"/>
      <c r="AA1617" s="378"/>
      <c r="AB1617" s="378"/>
      <c r="AC1617" s="378"/>
      <c r="AD1617" s="378"/>
      <c r="AE1617" s="378"/>
      <c r="AF1617" s="378"/>
      <c r="AG1617" s="378"/>
    </row>
    <row r="1618">
      <c r="A1618" s="378"/>
      <c r="B1618" s="477"/>
      <c r="C1618" s="378"/>
      <c r="D1618" s="378"/>
      <c r="E1618" s="378"/>
      <c r="F1618" s="378"/>
      <c r="G1618" s="378"/>
      <c r="H1618" s="378"/>
      <c r="I1618" s="376"/>
      <c r="J1618" s="377"/>
      <c r="K1618" s="378"/>
      <c r="L1618" s="378"/>
      <c r="M1618" s="378"/>
      <c r="N1618" s="379"/>
      <c r="O1618" s="380"/>
      <c r="P1618" s="378"/>
      <c r="Q1618" s="378"/>
      <c r="R1618" s="378"/>
      <c r="S1618" s="378"/>
      <c r="T1618" s="378"/>
      <c r="U1618" s="378"/>
      <c r="V1618" s="378"/>
      <c r="W1618" s="378"/>
      <c r="X1618" s="378"/>
      <c r="Y1618" s="378"/>
      <c r="Z1618" s="378"/>
      <c r="AA1618" s="378"/>
      <c r="AB1618" s="378"/>
      <c r="AC1618" s="378"/>
      <c r="AD1618" s="378"/>
      <c r="AE1618" s="378"/>
      <c r="AF1618" s="378"/>
      <c r="AG1618" s="378"/>
    </row>
    <row r="1619">
      <c r="A1619" s="378"/>
      <c r="B1619" s="477"/>
      <c r="C1619" s="378"/>
      <c r="D1619" s="378"/>
      <c r="E1619" s="378"/>
      <c r="F1619" s="378"/>
      <c r="G1619" s="378"/>
      <c r="H1619" s="378"/>
      <c r="I1619" s="376"/>
      <c r="J1619" s="377"/>
      <c r="K1619" s="378"/>
      <c r="L1619" s="378"/>
      <c r="M1619" s="378"/>
      <c r="N1619" s="379"/>
      <c r="O1619" s="380"/>
      <c r="P1619" s="378"/>
      <c r="Q1619" s="378"/>
      <c r="R1619" s="378"/>
      <c r="S1619" s="378"/>
      <c r="T1619" s="378"/>
      <c r="U1619" s="378"/>
      <c r="V1619" s="378"/>
      <c r="W1619" s="378"/>
      <c r="X1619" s="378"/>
      <c r="Y1619" s="378"/>
      <c r="Z1619" s="378"/>
      <c r="AA1619" s="378"/>
      <c r="AB1619" s="378"/>
      <c r="AC1619" s="378"/>
      <c r="AD1619" s="378"/>
      <c r="AE1619" s="378"/>
      <c r="AF1619" s="378"/>
      <c r="AG1619" s="378"/>
    </row>
    <row r="1620">
      <c r="A1620" s="378"/>
      <c r="B1620" s="477"/>
      <c r="C1620" s="378"/>
      <c r="D1620" s="378"/>
      <c r="E1620" s="378"/>
      <c r="F1620" s="378"/>
      <c r="G1620" s="378"/>
      <c r="H1620" s="378"/>
      <c r="I1620" s="376"/>
      <c r="J1620" s="377"/>
      <c r="K1620" s="378"/>
      <c r="L1620" s="378"/>
      <c r="M1620" s="378"/>
      <c r="N1620" s="379"/>
      <c r="O1620" s="380"/>
      <c r="P1620" s="378"/>
      <c r="Q1620" s="378"/>
      <c r="R1620" s="378"/>
      <c r="S1620" s="378"/>
      <c r="T1620" s="378"/>
      <c r="U1620" s="378"/>
      <c r="V1620" s="378"/>
      <c r="W1620" s="378"/>
      <c r="X1620" s="378"/>
      <c r="Y1620" s="378"/>
      <c r="Z1620" s="378"/>
      <c r="AA1620" s="378"/>
      <c r="AB1620" s="378"/>
      <c r="AC1620" s="378"/>
      <c r="AD1620" s="378"/>
      <c r="AE1620" s="378"/>
      <c r="AF1620" s="378"/>
      <c r="AG1620" s="378"/>
    </row>
    <row r="1621">
      <c r="A1621" s="378"/>
      <c r="B1621" s="477"/>
      <c r="C1621" s="378"/>
      <c r="D1621" s="378"/>
      <c r="E1621" s="378"/>
      <c r="F1621" s="378"/>
      <c r="G1621" s="378"/>
      <c r="H1621" s="378"/>
      <c r="I1621" s="376"/>
      <c r="J1621" s="377"/>
      <c r="K1621" s="378"/>
      <c r="L1621" s="378"/>
      <c r="M1621" s="378"/>
      <c r="N1621" s="379"/>
      <c r="O1621" s="380"/>
      <c r="P1621" s="378"/>
      <c r="Q1621" s="378"/>
      <c r="R1621" s="378"/>
      <c r="S1621" s="378"/>
      <c r="T1621" s="378"/>
      <c r="U1621" s="378"/>
      <c r="V1621" s="378"/>
      <c r="W1621" s="378"/>
      <c r="X1621" s="378"/>
      <c r="Y1621" s="378"/>
      <c r="Z1621" s="378"/>
      <c r="AA1621" s="378"/>
      <c r="AB1621" s="378"/>
      <c r="AC1621" s="378"/>
      <c r="AD1621" s="378"/>
      <c r="AE1621" s="378"/>
      <c r="AF1621" s="378"/>
      <c r="AG1621" s="378"/>
    </row>
    <row r="1622">
      <c r="A1622" s="378"/>
      <c r="B1622" s="477"/>
      <c r="C1622" s="378"/>
      <c r="D1622" s="378"/>
      <c r="E1622" s="378"/>
      <c r="F1622" s="378"/>
      <c r="G1622" s="378"/>
      <c r="H1622" s="378"/>
      <c r="I1622" s="376"/>
      <c r="J1622" s="377"/>
      <c r="K1622" s="378"/>
      <c r="L1622" s="378"/>
      <c r="M1622" s="378"/>
      <c r="N1622" s="379"/>
      <c r="O1622" s="380"/>
      <c r="P1622" s="378"/>
      <c r="Q1622" s="378"/>
      <c r="R1622" s="378"/>
      <c r="S1622" s="378"/>
      <c r="T1622" s="378"/>
      <c r="U1622" s="378"/>
      <c r="V1622" s="378"/>
      <c r="W1622" s="378"/>
      <c r="X1622" s="378"/>
      <c r="Y1622" s="378"/>
      <c r="Z1622" s="378"/>
      <c r="AA1622" s="378"/>
      <c r="AB1622" s="378"/>
      <c r="AC1622" s="378"/>
      <c r="AD1622" s="378"/>
      <c r="AE1622" s="378"/>
      <c r="AF1622" s="378"/>
      <c r="AG1622" s="378"/>
    </row>
    <row r="1623">
      <c r="A1623" s="378"/>
      <c r="B1623" s="477"/>
      <c r="C1623" s="378"/>
      <c r="D1623" s="378"/>
      <c r="E1623" s="378"/>
      <c r="F1623" s="378"/>
      <c r="G1623" s="378"/>
      <c r="H1623" s="378"/>
      <c r="I1623" s="376"/>
      <c r="J1623" s="377"/>
      <c r="K1623" s="378"/>
      <c r="L1623" s="378"/>
      <c r="M1623" s="378"/>
      <c r="N1623" s="379"/>
      <c r="O1623" s="380"/>
      <c r="P1623" s="378"/>
      <c r="Q1623" s="378"/>
      <c r="R1623" s="378"/>
      <c r="S1623" s="378"/>
      <c r="T1623" s="378"/>
      <c r="U1623" s="378"/>
      <c r="V1623" s="378"/>
      <c r="W1623" s="378"/>
      <c r="X1623" s="378"/>
      <c r="Y1623" s="378"/>
      <c r="Z1623" s="378"/>
      <c r="AA1623" s="378"/>
      <c r="AB1623" s="378"/>
      <c r="AC1623" s="378"/>
      <c r="AD1623" s="378"/>
      <c r="AE1623" s="378"/>
      <c r="AF1623" s="378"/>
      <c r="AG1623" s="378"/>
    </row>
    <row r="1624">
      <c r="A1624" s="378"/>
      <c r="B1624" s="477"/>
      <c r="C1624" s="378"/>
      <c r="D1624" s="378"/>
      <c r="E1624" s="378"/>
      <c r="F1624" s="378"/>
      <c r="G1624" s="378"/>
      <c r="H1624" s="378"/>
      <c r="I1624" s="376"/>
      <c r="J1624" s="377"/>
      <c r="K1624" s="378"/>
      <c r="L1624" s="378"/>
      <c r="M1624" s="378"/>
      <c r="N1624" s="379"/>
      <c r="O1624" s="380"/>
      <c r="P1624" s="378"/>
      <c r="Q1624" s="378"/>
      <c r="R1624" s="378"/>
      <c r="S1624" s="378"/>
      <c r="T1624" s="378"/>
      <c r="U1624" s="378"/>
      <c r="V1624" s="378"/>
      <c r="W1624" s="378"/>
      <c r="X1624" s="378"/>
      <c r="Y1624" s="378"/>
      <c r="Z1624" s="378"/>
      <c r="AA1624" s="378"/>
      <c r="AB1624" s="378"/>
      <c r="AC1624" s="378"/>
      <c r="AD1624" s="378"/>
      <c r="AE1624" s="378"/>
      <c r="AF1624" s="378"/>
      <c r="AG1624" s="378"/>
    </row>
    <row r="1625">
      <c r="A1625" s="378"/>
      <c r="B1625" s="477"/>
      <c r="C1625" s="378"/>
      <c r="D1625" s="378"/>
      <c r="E1625" s="378"/>
      <c r="F1625" s="378"/>
      <c r="G1625" s="378"/>
      <c r="H1625" s="378"/>
      <c r="I1625" s="376"/>
      <c r="J1625" s="377"/>
      <c r="K1625" s="378"/>
      <c r="L1625" s="378"/>
      <c r="M1625" s="378"/>
      <c r="N1625" s="379"/>
      <c r="O1625" s="380"/>
      <c r="P1625" s="378"/>
      <c r="Q1625" s="378"/>
      <c r="R1625" s="378"/>
      <c r="S1625" s="378"/>
      <c r="T1625" s="378"/>
      <c r="U1625" s="378"/>
      <c r="V1625" s="378"/>
      <c r="W1625" s="378"/>
      <c r="X1625" s="378"/>
      <c r="Y1625" s="378"/>
      <c r="Z1625" s="378"/>
      <c r="AA1625" s="378"/>
      <c r="AB1625" s="378"/>
      <c r="AC1625" s="378"/>
      <c r="AD1625" s="378"/>
      <c r="AE1625" s="378"/>
      <c r="AF1625" s="378"/>
      <c r="AG1625" s="378"/>
    </row>
    <row r="1626">
      <c r="A1626" s="378"/>
      <c r="B1626" s="477"/>
      <c r="C1626" s="378"/>
      <c r="D1626" s="378"/>
      <c r="E1626" s="378"/>
      <c r="F1626" s="378"/>
      <c r="G1626" s="378"/>
      <c r="H1626" s="378"/>
      <c r="I1626" s="376"/>
      <c r="J1626" s="377"/>
      <c r="K1626" s="378"/>
      <c r="L1626" s="378"/>
      <c r="M1626" s="378"/>
      <c r="N1626" s="379"/>
      <c r="O1626" s="380"/>
      <c r="P1626" s="378"/>
      <c r="Q1626" s="378"/>
      <c r="R1626" s="378"/>
      <c r="S1626" s="378"/>
      <c r="T1626" s="378"/>
      <c r="U1626" s="378"/>
      <c r="V1626" s="378"/>
      <c r="W1626" s="378"/>
      <c r="X1626" s="378"/>
      <c r="Y1626" s="378"/>
      <c r="Z1626" s="378"/>
      <c r="AA1626" s="378"/>
      <c r="AB1626" s="378"/>
      <c r="AC1626" s="378"/>
      <c r="AD1626" s="378"/>
      <c r="AE1626" s="378"/>
      <c r="AF1626" s="378"/>
      <c r="AG1626" s="378"/>
    </row>
    <row r="1627">
      <c r="A1627" s="378"/>
      <c r="B1627" s="477"/>
      <c r="C1627" s="378"/>
      <c r="D1627" s="378"/>
      <c r="E1627" s="378"/>
      <c r="F1627" s="378"/>
      <c r="G1627" s="378"/>
      <c r="H1627" s="378"/>
      <c r="I1627" s="376"/>
      <c r="J1627" s="377"/>
      <c r="K1627" s="378"/>
      <c r="L1627" s="378"/>
      <c r="M1627" s="378"/>
      <c r="N1627" s="379"/>
      <c r="O1627" s="380"/>
      <c r="P1627" s="378"/>
      <c r="Q1627" s="378"/>
      <c r="R1627" s="378"/>
      <c r="S1627" s="378"/>
      <c r="T1627" s="378"/>
      <c r="U1627" s="378"/>
      <c r="V1627" s="378"/>
      <c r="W1627" s="378"/>
      <c r="X1627" s="378"/>
      <c r="Y1627" s="378"/>
      <c r="Z1627" s="378"/>
      <c r="AA1627" s="378"/>
      <c r="AB1627" s="378"/>
      <c r="AC1627" s="378"/>
      <c r="AD1627" s="378"/>
      <c r="AE1627" s="378"/>
      <c r="AF1627" s="378"/>
      <c r="AG1627" s="378"/>
    </row>
    <row r="1628">
      <c r="A1628" s="378"/>
      <c r="B1628" s="477"/>
      <c r="C1628" s="378"/>
      <c r="D1628" s="378"/>
      <c r="E1628" s="378"/>
      <c r="F1628" s="378"/>
      <c r="G1628" s="378"/>
      <c r="H1628" s="378"/>
      <c r="I1628" s="376"/>
      <c r="J1628" s="377"/>
      <c r="K1628" s="378"/>
      <c r="L1628" s="378"/>
      <c r="M1628" s="378"/>
      <c r="N1628" s="379"/>
      <c r="O1628" s="380"/>
      <c r="P1628" s="378"/>
      <c r="Q1628" s="378"/>
      <c r="R1628" s="378"/>
      <c r="S1628" s="378"/>
      <c r="T1628" s="378"/>
      <c r="U1628" s="378"/>
      <c r="V1628" s="378"/>
      <c r="W1628" s="378"/>
      <c r="X1628" s="378"/>
      <c r="Y1628" s="378"/>
      <c r="Z1628" s="378"/>
      <c r="AA1628" s="378"/>
      <c r="AB1628" s="378"/>
      <c r="AC1628" s="378"/>
      <c r="AD1628" s="378"/>
      <c r="AE1628" s="378"/>
      <c r="AF1628" s="378"/>
      <c r="AG1628" s="378"/>
    </row>
    <row r="1629">
      <c r="A1629" s="378"/>
      <c r="B1629" s="477"/>
      <c r="C1629" s="378"/>
      <c r="D1629" s="378"/>
      <c r="E1629" s="378"/>
      <c r="F1629" s="378"/>
      <c r="G1629" s="378"/>
      <c r="H1629" s="378"/>
      <c r="I1629" s="376"/>
      <c r="J1629" s="377"/>
      <c r="K1629" s="378"/>
      <c r="L1629" s="378"/>
      <c r="M1629" s="378"/>
      <c r="N1629" s="379"/>
      <c r="O1629" s="380"/>
      <c r="P1629" s="378"/>
      <c r="Q1629" s="378"/>
      <c r="R1629" s="378"/>
      <c r="S1629" s="378"/>
      <c r="T1629" s="378"/>
      <c r="U1629" s="378"/>
      <c r="V1629" s="378"/>
      <c r="W1629" s="378"/>
      <c r="X1629" s="378"/>
      <c r="Y1629" s="378"/>
      <c r="Z1629" s="378"/>
      <c r="AA1629" s="378"/>
      <c r="AB1629" s="378"/>
      <c r="AC1629" s="378"/>
      <c r="AD1629" s="378"/>
      <c r="AE1629" s="378"/>
      <c r="AF1629" s="378"/>
      <c r="AG1629" s="378"/>
    </row>
    <row r="1630">
      <c r="A1630" s="378"/>
      <c r="B1630" s="477"/>
      <c r="C1630" s="378"/>
      <c r="D1630" s="378"/>
      <c r="E1630" s="378"/>
      <c r="F1630" s="378"/>
      <c r="G1630" s="378"/>
      <c r="H1630" s="378"/>
      <c r="I1630" s="376"/>
      <c r="J1630" s="377"/>
      <c r="K1630" s="378"/>
      <c r="L1630" s="378"/>
      <c r="M1630" s="378"/>
      <c r="N1630" s="379"/>
      <c r="O1630" s="380"/>
      <c r="P1630" s="378"/>
      <c r="Q1630" s="378"/>
      <c r="R1630" s="378"/>
      <c r="S1630" s="378"/>
      <c r="T1630" s="378"/>
      <c r="U1630" s="378"/>
      <c r="V1630" s="378"/>
      <c r="W1630" s="378"/>
      <c r="X1630" s="378"/>
      <c r="Y1630" s="378"/>
      <c r="Z1630" s="378"/>
      <c r="AA1630" s="378"/>
      <c r="AB1630" s="378"/>
      <c r="AC1630" s="378"/>
      <c r="AD1630" s="378"/>
      <c r="AE1630" s="378"/>
      <c r="AF1630" s="378"/>
      <c r="AG1630" s="378"/>
    </row>
    <row r="1631">
      <c r="A1631" s="378"/>
      <c r="B1631" s="477"/>
      <c r="C1631" s="378"/>
      <c r="D1631" s="378"/>
      <c r="E1631" s="378"/>
      <c r="F1631" s="378"/>
      <c r="G1631" s="378"/>
      <c r="H1631" s="378"/>
      <c r="I1631" s="376"/>
      <c r="J1631" s="377"/>
      <c r="K1631" s="378"/>
      <c r="L1631" s="378"/>
      <c r="M1631" s="378"/>
      <c r="N1631" s="379"/>
      <c r="O1631" s="380"/>
      <c r="P1631" s="378"/>
      <c r="Q1631" s="378"/>
      <c r="R1631" s="378"/>
      <c r="S1631" s="378"/>
      <c r="T1631" s="378"/>
      <c r="U1631" s="378"/>
      <c r="V1631" s="378"/>
      <c r="W1631" s="378"/>
      <c r="X1631" s="378"/>
      <c r="Y1631" s="378"/>
      <c r="Z1631" s="378"/>
      <c r="AA1631" s="378"/>
      <c r="AB1631" s="378"/>
      <c r="AC1631" s="378"/>
      <c r="AD1631" s="378"/>
      <c r="AE1631" s="378"/>
      <c r="AF1631" s="378"/>
      <c r="AG1631" s="378"/>
    </row>
    <row r="1632">
      <c r="A1632" s="378"/>
      <c r="B1632" s="477"/>
      <c r="C1632" s="378"/>
      <c r="D1632" s="378"/>
      <c r="E1632" s="378"/>
      <c r="F1632" s="378"/>
      <c r="G1632" s="378"/>
      <c r="H1632" s="378"/>
      <c r="I1632" s="376"/>
      <c r="J1632" s="377"/>
      <c r="K1632" s="378"/>
      <c r="L1632" s="378"/>
      <c r="M1632" s="378"/>
      <c r="N1632" s="379"/>
      <c r="O1632" s="380"/>
      <c r="P1632" s="378"/>
      <c r="Q1632" s="378"/>
      <c r="R1632" s="378"/>
      <c r="S1632" s="378"/>
      <c r="T1632" s="378"/>
      <c r="U1632" s="378"/>
      <c r="V1632" s="378"/>
      <c r="W1632" s="378"/>
      <c r="X1632" s="378"/>
      <c r="Y1632" s="378"/>
      <c r="Z1632" s="378"/>
      <c r="AA1632" s="378"/>
      <c r="AB1632" s="378"/>
      <c r="AC1632" s="378"/>
      <c r="AD1632" s="378"/>
      <c r="AE1632" s="378"/>
      <c r="AF1632" s="378"/>
      <c r="AG1632" s="378"/>
    </row>
    <row r="1633">
      <c r="A1633" s="378"/>
      <c r="B1633" s="477"/>
      <c r="C1633" s="378"/>
      <c r="D1633" s="378"/>
      <c r="E1633" s="378"/>
      <c r="F1633" s="378"/>
      <c r="G1633" s="378"/>
      <c r="H1633" s="378"/>
      <c r="I1633" s="376"/>
      <c r="J1633" s="377"/>
      <c r="K1633" s="378"/>
      <c r="L1633" s="378"/>
      <c r="M1633" s="378"/>
      <c r="N1633" s="379"/>
      <c r="O1633" s="380"/>
      <c r="P1633" s="378"/>
      <c r="Q1633" s="378"/>
      <c r="R1633" s="378"/>
      <c r="S1633" s="378"/>
      <c r="T1633" s="378"/>
      <c r="U1633" s="378"/>
      <c r="V1633" s="378"/>
      <c r="W1633" s="378"/>
      <c r="X1633" s="378"/>
      <c r="Y1633" s="378"/>
      <c r="Z1633" s="378"/>
      <c r="AA1633" s="378"/>
      <c r="AB1633" s="378"/>
      <c r="AC1633" s="378"/>
      <c r="AD1633" s="378"/>
      <c r="AE1633" s="378"/>
      <c r="AF1633" s="378"/>
      <c r="AG1633" s="378"/>
    </row>
    <row r="1634">
      <c r="A1634" s="378"/>
      <c r="B1634" s="477"/>
      <c r="C1634" s="378"/>
      <c r="D1634" s="378"/>
      <c r="E1634" s="378"/>
      <c r="F1634" s="378"/>
      <c r="G1634" s="378"/>
      <c r="H1634" s="378"/>
      <c r="I1634" s="376"/>
      <c r="J1634" s="377"/>
      <c r="K1634" s="378"/>
      <c r="L1634" s="378"/>
      <c r="M1634" s="378"/>
      <c r="N1634" s="379"/>
      <c r="O1634" s="380"/>
      <c r="P1634" s="378"/>
      <c r="Q1634" s="378"/>
      <c r="R1634" s="378"/>
      <c r="S1634" s="378"/>
      <c r="T1634" s="378"/>
      <c r="U1634" s="378"/>
      <c r="V1634" s="378"/>
      <c r="W1634" s="378"/>
      <c r="X1634" s="378"/>
      <c r="Y1634" s="378"/>
      <c r="Z1634" s="378"/>
      <c r="AA1634" s="378"/>
      <c r="AB1634" s="378"/>
      <c r="AC1634" s="378"/>
      <c r="AD1634" s="378"/>
      <c r="AE1634" s="378"/>
      <c r="AF1634" s="378"/>
      <c r="AG1634" s="378"/>
    </row>
    <row r="1635">
      <c r="A1635" s="378"/>
      <c r="B1635" s="477"/>
      <c r="C1635" s="378"/>
      <c r="D1635" s="378"/>
      <c r="E1635" s="378"/>
      <c r="F1635" s="378"/>
      <c r="G1635" s="378"/>
      <c r="H1635" s="378"/>
      <c r="I1635" s="376"/>
      <c r="J1635" s="377"/>
      <c r="K1635" s="378"/>
      <c r="L1635" s="378"/>
      <c r="M1635" s="378"/>
      <c r="N1635" s="379"/>
      <c r="O1635" s="380"/>
      <c r="P1635" s="378"/>
      <c r="Q1635" s="378"/>
      <c r="R1635" s="378"/>
      <c r="S1635" s="378"/>
      <c r="T1635" s="378"/>
      <c r="U1635" s="378"/>
      <c r="V1635" s="378"/>
      <c r="W1635" s="378"/>
      <c r="X1635" s="378"/>
      <c r="Y1635" s="378"/>
      <c r="Z1635" s="378"/>
      <c r="AA1635" s="378"/>
      <c r="AB1635" s="378"/>
      <c r="AC1635" s="378"/>
      <c r="AD1635" s="378"/>
      <c r="AE1635" s="378"/>
      <c r="AF1635" s="378"/>
      <c r="AG1635" s="378"/>
    </row>
    <row r="1636">
      <c r="A1636" s="378"/>
      <c r="B1636" s="477"/>
      <c r="C1636" s="378"/>
      <c r="D1636" s="378"/>
      <c r="E1636" s="378"/>
      <c r="F1636" s="378"/>
      <c r="G1636" s="378"/>
      <c r="H1636" s="378"/>
      <c r="I1636" s="376"/>
      <c r="J1636" s="377"/>
      <c r="K1636" s="378"/>
      <c r="L1636" s="378"/>
      <c r="M1636" s="378"/>
      <c r="N1636" s="379"/>
      <c r="O1636" s="380"/>
      <c r="P1636" s="378"/>
      <c r="Q1636" s="378"/>
      <c r="R1636" s="378"/>
      <c r="S1636" s="378"/>
      <c r="T1636" s="378"/>
      <c r="U1636" s="378"/>
      <c r="V1636" s="378"/>
      <c r="W1636" s="378"/>
      <c r="X1636" s="378"/>
      <c r="Y1636" s="378"/>
      <c r="Z1636" s="378"/>
      <c r="AA1636" s="378"/>
      <c r="AB1636" s="378"/>
      <c r="AC1636" s="378"/>
      <c r="AD1636" s="378"/>
      <c r="AE1636" s="378"/>
      <c r="AF1636" s="378"/>
      <c r="AG1636" s="378"/>
    </row>
    <row r="1637">
      <c r="A1637" s="378"/>
      <c r="B1637" s="477"/>
      <c r="C1637" s="378"/>
      <c r="D1637" s="378"/>
      <c r="E1637" s="378"/>
      <c r="F1637" s="378"/>
      <c r="G1637" s="378"/>
      <c r="H1637" s="378"/>
      <c r="I1637" s="376"/>
      <c r="J1637" s="377"/>
      <c r="K1637" s="378"/>
      <c r="L1637" s="378"/>
      <c r="M1637" s="378"/>
      <c r="N1637" s="379"/>
      <c r="O1637" s="380"/>
      <c r="P1637" s="378"/>
      <c r="Q1637" s="378"/>
      <c r="R1637" s="378"/>
      <c r="S1637" s="378"/>
      <c r="T1637" s="378"/>
      <c r="U1637" s="378"/>
      <c r="V1637" s="378"/>
      <c r="W1637" s="378"/>
      <c r="X1637" s="378"/>
      <c r="Y1637" s="378"/>
      <c r="Z1637" s="378"/>
      <c r="AA1637" s="378"/>
      <c r="AB1637" s="378"/>
      <c r="AC1637" s="378"/>
      <c r="AD1637" s="378"/>
      <c r="AE1637" s="378"/>
      <c r="AF1637" s="378"/>
      <c r="AG1637" s="378"/>
    </row>
    <row r="1638">
      <c r="A1638" s="378"/>
      <c r="B1638" s="477"/>
      <c r="C1638" s="378"/>
      <c r="D1638" s="378"/>
      <c r="E1638" s="378"/>
      <c r="F1638" s="378"/>
      <c r="G1638" s="378"/>
      <c r="H1638" s="378"/>
      <c r="I1638" s="376"/>
      <c r="J1638" s="377"/>
      <c r="K1638" s="378"/>
      <c r="L1638" s="378"/>
      <c r="M1638" s="378"/>
      <c r="N1638" s="379"/>
      <c r="O1638" s="380"/>
      <c r="P1638" s="378"/>
      <c r="Q1638" s="378"/>
      <c r="R1638" s="378"/>
      <c r="S1638" s="378"/>
      <c r="T1638" s="378"/>
      <c r="U1638" s="378"/>
      <c r="V1638" s="378"/>
      <c r="W1638" s="378"/>
      <c r="X1638" s="378"/>
      <c r="Y1638" s="378"/>
      <c r="Z1638" s="378"/>
      <c r="AA1638" s="378"/>
      <c r="AB1638" s="378"/>
      <c r="AC1638" s="378"/>
      <c r="AD1638" s="378"/>
      <c r="AE1638" s="378"/>
      <c r="AF1638" s="378"/>
      <c r="AG1638" s="378"/>
    </row>
    <row r="1639">
      <c r="A1639" s="378"/>
      <c r="B1639" s="477"/>
      <c r="C1639" s="378"/>
      <c r="D1639" s="378"/>
      <c r="E1639" s="378"/>
      <c r="F1639" s="378"/>
      <c r="G1639" s="378"/>
      <c r="H1639" s="378"/>
      <c r="I1639" s="376"/>
      <c r="J1639" s="377"/>
      <c r="K1639" s="378"/>
      <c r="L1639" s="378"/>
      <c r="M1639" s="378"/>
      <c r="N1639" s="379"/>
      <c r="O1639" s="380"/>
      <c r="P1639" s="378"/>
      <c r="Q1639" s="378"/>
      <c r="R1639" s="378"/>
      <c r="S1639" s="378"/>
      <c r="T1639" s="378"/>
      <c r="U1639" s="378"/>
      <c r="V1639" s="378"/>
      <c r="W1639" s="378"/>
      <c r="X1639" s="378"/>
      <c r="Y1639" s="378"/>
      <c r="Z1639" s="378"/>
      <c r="AA1639" s="378"/>
      <c r="AB1639" s="378"/>
      <c r="AC1639" s="378"/>
      <c r="AD1639" s="378"/>
      <c r="AE1639" s="378"/>
      <c r="AF1639" s="378"/>
      <c r="AG1639" s="378"/>
    </row>
    <row r="1640">
      <c r="A1640" s="378"/>
      <c r="B1640" s="477"/>
      <c r="C1640" s="378"/>
      <c r="D1640" s="378"/>
      <c r="E1640" s="378"/>
      <c r="F1640" s="378"/>
      <c r="G1640" s="378"/>
      <c r="H1640" s="378"/>
      <c r="I1640" s="376"/>
      <c r="J1640" s="377"/>
      <c r="K1640" s="378"/>
      <c r="L1640" s="378"/>
      <c r="M1640" s="378"/>
      <c r="N1640" s="379"/>
      <c r="O1640" s="380"/>
      <c r="P1640" s="378"/>
      <c r="Q1640" s="378"/>
      <c r="R1640" s="378"/>
      <c r="S1640" s="378"/>
      <c r="T1640" s="378"/>
      <c r="U1640" s="378"/>
      <c r="V1640" s="378"/>
      <c r="W1640" s="378"/>
      <c r="X1640" s="378"/>
      <c r="Y1640" s="378"/>
      <c r="Z1640" s="378"/>
      <c r="AA1640" s="378"/>
      <c r="AB1640" s="378"/>
      <c r="AC1640" s="378"/>
      <c r="AD1640" s="378"/>
      <c r="AE1640" s="378"/>
      <c r="AF1640" s="378"/>
      <c r="AG1640" s="378"/>
    </row>
    <row r="1641">
      <c r="A1641" s="378"/>
      <c r="B1641" s="477"/>
      <c r="C1641" s="378"/>
      <c r="D1641" s="378"/>
      <c r="E1641" s="378"/>
      <c r="F1641" s="378"/>
      <c r="G1641" s="378"/>
      <c r="H1641" s="378"/>
      <c r="I1641" s="376"/>
      <c r="J1641" s="377"/>
      <c r="K1641" s="378"/>
      <c r="L1641" s="378"/>
      <c r="M1641" s="378"/>
      <c r="N1641" s="379"/>
      <c r="O1641" s="380"/>
      <c r="P1641" s="378"/>
      <c r="Q1641" s="378"/>
      <c r="R1641" s="378"/>
      <c r="S1641" s="378"/>
      <c r="T1641" s="378"/>
      <c r="U1641" s="378"/>
      <c r="V1641" s="378"/>
      <c r="W1641" s="378"/>
      <c r="X1641" s="378"/>
      <c r="Y1641" s="378"/>
      <c r="Z1641" s="378"/>
      <c r="AA1641" s="378"/>
      <c r="AB1641" s="378"/>
      <c r="AC1641" s="378"/>
      <c r="AD1641" s="378"/>
      <c r="AE1641" s="378"/>
      <c r="AF1641" s="378"/>
      <c r="AG1641" s="378"/>
    </row>
    <row r="1642">
      <c r="A1642" s="378"/>
      <c r="B1642" s="477"/>
      <c r="C1642" s="378"/>
      <c r="D1642" s="378"/>
      <c r="E1642" s="378"/>
      <c r="F1642" s="378"/>
      <c r="G1642" s="378"/>
      <c r="H1642" s="378"/>
      <c r="I1642" s="376"/>
      <c r="J1642" s="377"/>
      <c r="K1642" s="378"/>
      <c r="L1642" s="378"/>
      <c r="M1642" s="378"/>
      <c r="N1642" s="379"/>
      <c r="O1642" s="380"/>
      <c r="P1642" s="378"/>
      <c r="Q1642" s="378"/>
      <c r="R1642" s="378"/>
      <c r="S1642" s="378"/>
      <c r="T1642" s="378"/>
      <c r="U1642" s="378"/>
      <c r="V1642" s="378"/>
      <c r="W1642" s="378"/>
      <c r="X1642" s="378"/>
      <c r="Y1642" s="378"/>
      <c r="Z1642" s="378"/>
      <c r="AA1642" s="378"/>
      <c r="AB1642" s="378"/>
      <c r="AC1642" s="378"/>
      <c r="AD1642" s="378"/>
      <c r="AE1642" s="378"/>
      <c r="AF1642" s="378"/>
      <c r="AG1642" s="378"/>
    </row>
    <row r="1643">
      <c r="A1643" s="378"/>
      <c r="B1643" s="477"/>
      <c r="C1643" s="378"/>
      <c r="D1643" s="378"/>
      <c r="E1643" s="378"/>
      <c r="F1643" s="378"/>
      <c r="G1643" s="378"/>
      <c r="H1643" s="378"/>
      <c r="I1643" s="376"/>
      <c r="J1643" s="377"/>
      <c r="K1643" s="378"/>
      <c r="L1643" s="378"/>
      <c r="M1643" s="378"/>
      <c r="N1643" s="379"/>
      <c r="O1643" s="380"/>
      <c r="P1643" s="378"/>
      <c r="Q1643" s="378"/>
      <c r="R1643" s="378"/>
      <c r="S1643" s="378"/>
      <c r="T1643" s="378"/>
      <c r="U1643" s="378"/>
      <c r="V1643" s="378"/>
      <c r="W1643" s="378"/>
      <c r="X1643" s="378"/>
      <c r="Y1643" s="378"/>
      <c r="Z1643" s="378"/>
      <c r="AA1643" s="378"/>
      <c r="AB1643" s="378"/>
      <c r="AC1643" s="378"/>
      <c r="AD1643" s="378"/>
      <c r="AE1643" s="378"/>
      <c r="AF1643" s="378"/>
      <c r="AG1643" s="378"/>
    </row>
    <row r="1644">
      <c r="A1644" s="378"/>
      <c r="B1644" s="477"/>
      <c r="C1644" s="378"/>
      <c r="D1644" s="378"/>
      <c r="E1644" s="378"/>
      <c r="F1644" s="378"/>
      <c r="G1644" s="378"/>
      <c r="H1644" s="378"/>
      <c r="I1644" s="376"/>
      <c r="J1644" s="377"/>
      <c r="K1644" s="378"/>
      <c r="L1644" s="378"/>
      <c r="M1644" s="378"/>
      <c r="N1644" s="379"/>
      <c r="O1644" s="380"/>
      <c r="P1644" s="378"/>
      <c r="Q1644" s="378"/>
      <c r="R1644" s="378"/>
      <c r="S1644" s="378"/>
      <c r="T1644" s="378"/>
      <c r="U1644" s="378"/>
      <c r="V1644" s="378"/>
      <c r="W1644" s="378"/>
      <c r="X1644" s="378"/>
      <c r="Y1644" s="378"/>
      <c r="Z1644" s="378"/>
      <c r="AA1644" s="378"/>
      <c r="AB1644" s="378"/>
      <c r="AC1644" s="378"/>
      <c r="AD1644" s="378"/>
      <c r="AE1644" s="378"/>
      <c r="AF1644" s="378"/>
      <c r="AG1644" s="378"/>
    </row>
    <row r="1645">
      <c r="A1645" s="378"/>
      <c r="B1645" s="477"/>
      <c r="C1645" s="378"/>
      <c r="D1645" s="378"/>
      <c r="E1645" s="378"/>
      <c r="F1645" s="378"/>
      <c r="G1645" s="378"/>
      <c r="H1645" s="378"/>
      <c r="I1645" s="376"/>
      <c r="J1645" s="377"/>
      <c r="K1645" s="378"/>
      <c r="L1645" s="378"/>
      <c r="M1645" s="378"/>
      <c r="N1645" s="379"/>
      <c r="O1645" s="380"/>
      <c r="P1645" s="378"/>
      <c r="Q1645" s="378"/>
      <c r="R1645" s="378"/>
      <c r="S1645" s="378"/>
      <c r="T1645" s="378"/>
      <c r="U1645" s="378"/>
      <c r="V1645" s="378"/>
      <c r="W1645" s="378"/>
      <c r="X1645" s="378"/>
      <c r="Y1645" s="378"/>
      <c r="Z1645" s="378"/>
      <c r="AA1645" s="378"/>
      <c r="AB1645" s="378"/>
      <c r="AC1645" s="378"/>
      <c r="AD1645" s="378"/>
      <c r="AE1645" s="378"/>
      <c r="AF1645" s="378"/>
      <c r="AG1645" s="378"/>
    </row>
    <row r="1646">
      <c r="A1646" s="378"/>
      <c r="B1646" s="477"/>
      <c r="C1646" s="378"/>
      <c r="D1646" s="378"/>
      <c r="E1646" s="378"/>
      <c r="F1646" s="378"/>
      <c r="G1646" s="378"/>
      <c r="H1646" s="378"/>
      <c r="I1646" s="376"/>
      <c r="J1646" s="377"/>
      <c r="K1646" s="378"/>
      <c r="L1646" s="378"/>
      <c r="M1646" s="378"/>
      <c r="N1646" s="379"/>
      <c r="O1646" s="380"/>
      <c r="P1646" s="378"/>
      <c r="Q1646" s="378"/>
      <c r="R1646" s="378"/>
      <c r="S1646" s="378"/>
      <c r="T1646" s="378"/>
      <c r="U1646" s="378"/>
      <c r="V1646" s="378"/>
      <c r="W1646" s="378"/>
      <c r="X1646" s="378"/>
      <c r="Y1646" s="378"/>
      <c r="Z1646" s="378"/>
      <c r="AA1646" s="378"/>
      <c r="AB1646" s="378"/>
      <c r="AC1646" s="378"/>
      <c r="AD1646" s="378"/>
      <c r="AE1646" s="378"/>
      <c r="AF1646" s="378"/>
      <c r="AG1646" s="378"/>
    </row>
    <row r="1647">
      <c r="A1647" s="378"/>
      <c r="B1647" s="477"/>
      <c r="C1647" s="378"/>
      <c r="D1647" s="378"/>
      <c r="E1647" s="378"/>
      <c r="F1647" s="378"/>
      <c r="G1647" s="378"/>
      <c r="H1647" s="378"/>
      <c r="I1647" s="376"/>
      <c r="J1647" s="377"/>
      <c r="K1647" s="378"/>
      <c r="L1647" s="378"/>
      <c r="M1647" s="378"/>
      <c r="N1647" s="379"/>
      <c r="O1647" s="380"/>
      <c r="P1647" s="378"/>
      <c r="Q1647" s="378"/>
      <c r="R1647" s="378"/>
      <c r="S1647" s="378"/>
      <c r="T1647" s="378"/>
      <c r="U1647" s="378"/>
      <c r="V1647" s="378"/>
      <c r="W1647" s="378"/>
      <c r="X1647" s="378"/>
      <c r="Y1647" s="378"/>
      <c r="Z1647" s="378"/>
      <c r="AA1647" s="378"/>
      <c r="AB1647" s="378"/>
      <c r="AC1647" s="378"/>
      <c r="AD1647" s="378"/>
      <c r="AE1647" s="378"/>
      <c r="AF1647" s="378"/>
      <c r="AG1647" s="378"/>
    </row>
    <row r="1648">
      <c r="A1648" s="378"/>
      <c r="B1648" s="477"/>
      <c r="C1648" s="378"/>
      <c r="D1648" s="378"/>
      <c r="E1648" s="378"/>
      <c r="F1648" s="378"/>
      <c r="G1648" s="378"/>
      <c r="H1648" s="378"/>
      <c r="I1648" s="376"/>
      <c r="J1648" s="377"/>
      <c r="K1648" s="378"/>
      <c r="L1648" s="378"/>
      <c r="M1648" s="378"/>
      <c r="N1648" s="379"/>
      <c r="O1648" s="380"/>
      <c r="P1648" s="378"/>
      <c r="Q1648" s="378"/>
      <c r="R1648" s="378"/>
      <c r="S1648" s="378"/>
      <c r="T1648" s="378"/>
      <c r="U1648" s="378"/>
      <c r="V1648" s="378"/>
      <c r="W1648" s="378"/>
      <c r="X1648" s="378"/>
      <c r="Y1648" s="378"/>
      <c r="Z1648" s="378"/>
      <c r="AA1648" s="378"/>
      <c r="AB1648" s="378"/>
      <c r="AC1648" s="378"/>
      <c r="AD1648" s="378"/>
      <c r="AE1648" s="378"/>
      <c r="AF1648" s="378"/>
      <c r="AG1648" s="378"/>
    </row>
    <row r="1649">
      <c r="A1649" s="378"/>
      <c r="B1649" s="477"/>
      <c r="C1649" s="378"/>
      <c r="D1649" s="378"/>
      <c r="E1649" s="378"/>
      <c r="F1649" s="378"/>
      <c r="G1649" s="378"/>
      <c r="H1649" s="378"/>
      <c r="I1649" s="376"/>
      <c r="J1649" s="377"/>
      <c r="K1649" s="378"/>
      <c r="L1649" s="378"/>
      <c r="M1649" s="378"/>
      <c r="N1649" s="379"/>
      <c r="O1649" s="380"/>
      <c r="P1649" s="378"/>
      <c r="Q1649" s="378"/>
      <c r="R1649" s="378"/>
      <c r="S1649" s="378"/>
      <c r="T1649" s="378"/>
      <c r="U1649" s="378"/>
      <c r="V1649" s="378"/>
      <c r="W1649" s="378"/>
      <c r="X1649" s="378"/>
      <c r="Y1649" s="378"/>
      <c r="Z1649" s="378"/>
      <c r="AA1649" s="378"/>
      <c r="AB1649" s="378"/>
      <c r="AC1649" s="378"/>
      <c r="AD1649" s="378"/>
      <c r="AE1649" s="378"/>
      <c r="AF1649" s="378"/>
      <c r="AG1649" s="378"/>
    </row>
    <row r="1650">
      <c r="A1650" s="378"/>
      <c r="B1650" s="477"/>
      <c r="C1650" s="378"/>
      <c r="D1650" s="378"/>
      <c r="E1650" s="378"/>
      <c r="F1650" s="378"/>
      <c r="G1650" s="378"/>
      <c r="H1650" s="378"/>
      <c r="I1650" s="376"/>
      <c r="J1650" s="377"/>
      <c r="K1650" s="378"/>
      <c r="L1650" s="378"/>
      <c r="M1650" s="378"/>
      <c r="N1650" s="379"/>
      <c r="O1650" s="380"/>
      <c r="P1650" s="378"/>
      <c r="Q1650" s="378"/>
      <c r="R1650" s="378"/>
      <c r="S1650" s="378"/>
      <c r="T1650" s="378"/>
      <c r="U1650" s="378"/>
      <c r="V1650" s="378"/>
      <c r="W1650" s="378"/>
      <c r="X1650" s="378"/>
      <c r="Y1650" s="378"/>
      <c r="Z1650" s="378"/>
      <c r="AA1650" s="378"/>
      <c r="AB1650" s="378"/>
      <c r="AC1650" s="378"/>
      <c r="AD1650" s="378"/>
      <c r="AE1650" s="378"/>
      <c r="AF1650" s="378"/>
      <c r="AG1650" s="378"/>
    </row>
    <row r="1651">
      <c r="A1651" s="378"/>
      <c r="B1651" s="477"/>
      <c r="C1651" s="378"/>
      <c r="D1651" s="378"/>
      <c r="E1651" s="378"/>
      <c r="F1651" s="378"/>
      <c r="G1651" s="378"/>
      <c r="H1651" s="378"/>
      <c r="I1651" s="376"/>
      <c r="J1651" s="377"/>
      <c r="K1651" s="378"/>
      <c r="L1651" s="378"/>
      <c r="M1651" s="378"/>
      <c r="N1651" s="379"/>
      <c r="O1651" s="380"/>
      <c r="P1651" s="378"/>
      <c r="Q1651" s="378"/>
      <c r="R1651" s="378"/>
      <c r="S1651" s="378"/>
      <c r="T1651" s="378"/>
      <c r="U1651" s="378"/>
      <c r="V1651" s="378"/>
      <c r="W1651" s="378"/>
      <c r="X1651" s="378"/>
      <c r="Y1651" s="378"/>
      <c r="Z1651" s="378"/>
      <c r="AA1651" s="378"/>
      <c r="AB1651" s="378"/>
      <c r="AC1651" s="378"/>
      <c r="AD1651" s="378"/>
      <c r="AE1651" s="378"/>
      <c r="AF1651" s="378"/>
      <c r="AG1651" s="378"/>
    </row>
    <row r="1652">
      <c r="A1652" s="378"/>
      <c r="B1652" s="477"/>
      <c r="C1652" s="378"/>
      <c r="D1652" s="378"/>
      <c r="E1652" s="378"/>
      <c r="F1652" s="378"/>
      <c r="G1652" s="378"/>
      <c r="H1652" s="378"/>
      <c r="I1652" s="376"/>
      <c r="J1652" s="377"/>
      <c r="K1652" s="378"/>
      <c r="L1652" s="378"/>
      <c r="M1652" s="378"/>
      <c r="N1652" s="379"/>
      <c r="O1652" s="380"/>
      <c r="P1652" s="378"/>
      <c r="Q1652" s="378"/>
      <c r="R1652" s="378"/>
      <c r="S1652" s="378"/>
      <c r="T1652" s="378"/>
      <c r="U1652" s="378"/>
      <c r="V1652" s="378"/>
      <c r="W1652" s="378"/>
      <c r="X1652" s="378"/>
      <c r="Y1652" s="378"/>
      <c r="Z1652" s="378"/>
      <c r="AA1652" s="378"/>
      <c r="AB1652" s="378"/>
      <c r="AC1652" s="378"/>
      <c r="AD1652" s="378"/>
      <c r="AE1652" s="378"/>
      <c r="AF1652" s="378"/>
      <c r="AG1652" s="378"/>
    </row>
    <row r="1653">
      <c r="A1653" s="378"/>
      <c r="B1653" s="477"/>
      <c r="C1653" s="378"/>
      <c r="D1653" s="378"/>
      <c r="E1653" s="378"/>
      <c r="F1653" s="378"/>
      <c r="G1653" s="378"/>
      <c r="H1653" s="378"/>
      <c r="I1653" s="376"/>
      <c r="J1653" s="377"/>
      <c r="K1653" s="378"/>
      <c r="L1653" s="378"/>
      <c r="M1653" s="378"/>
      <c r="N1653" s="379"/>
      <c r="O1653" s="380"/>
      <c r="P1653" s="378"/>
      <c r="Q1653" s="378"/>
      <c r="R1653" s="378"/>
      <c r="S1653" s="378"/>
      <c r="T1653" s="378"/>
      <c r="U1653" s="378"/>
      <c r="V1653" s="378"/>
      <c r="W1653" s="378"/>
      <c r="X1653" s="378"/>
      <c r="Y1653" s="378"/>
      <c r="Z1653" s="378"/>
      <c r="AA1653" s="378"/>
      <c r="AB1653" s="378"/>
      <c r="AC1653" s="378"/>
      <c r="AD1653" s="378"/>
      <c r="AE1653" s="378"/>
      <c r="AF1653" s="378"/>
      <c r="AG1653" s="378"/>
    </row>
    <row r="1654">
      <c r="A1654" s="378"/>
      <c r="B1654" s="477"/>
      <c r="C1654" s="378"/>
      <c r="D1654" s="378"/>
      <c r="E1654" s="378"/>
      <c r="F1654" s="378"/>
      <c r="G1654" s="378"/>
      <c r="H1654" s="378"/>
      <c r="I1654" s="376"/>
      <c r="J1654" s="377"/>
      <c r="K1654" s="378"/>
      <c r="L1654" s="378"/>
      <c r="M1654" s="378"/>
      <c r="N1654" s="379"/>
      <c r="O1654" s="380"/>
      <c r="P1654" s="378"/>
      <c r="Q1654" s="378"/>
      <c r="R1654" s="378"/>
      <c r="S1654" s="378"/>
      <c r="T1654" s="378"/>
      <c r="U1654" s="378"/>
      <c r="V1654" s="378"/>
      <c r="W1654" s="378"/>
      <c r="X1654" s="378"/>
      <c r="Y1654" s="378"/>
      <c r="Z1654" s="378"/>
      <c r="AA1654" s="378"/>
      <c r="AB1654" s="378"/>
      <c r="AC1654" s="378"/>
      <c r="AD1654" s="378"/>
      <c r="AE1654" s="378"/>
      <c r="AF1654" s="378"/>
      <c r="AG1654" s="378"/>
    </row>
    <row r="1655">
      <c r="A1655" s="378"/>
      <c r="B1655" s="477"/>
      <c r="C1655" s="378"/>
      <c r="D1655" s="378"/>
      <c r="E1655" s="378"/>
      <c r="F1655" s="378"/>
      <c r="G1655" s="378"/>
      <c r="H1655" s="378"/>
      <c r="I1655" s="376"/>
      <c r="J1655" s="377"/>
      <c r="K1655" s="378"/>
      <c r="L1655" s="378"/>
      <c r="M1655" s="378"/>
      <c r="N1655" s="379"/>
      <c r="O1655" s="380"/>
      <c r="P1655" s="378"/>
      <c r="Q1655" s="378"/>
      <c r="R1655" s="378"/>
      <c r="S1655" s="378"/>
      <c r="T1655" s="378"/>
      <c r="U1655" s="378"/>
      <c r="V1655" s="378"/>
      <c r="W1655" s="378"/>
      <c r="X1655" s="378"/>
      <c r="Y1655" s="378"/>
      <c r="Z1655" s="378"/>
      <c r="AA1655" s="378"/>
      <c r="AB1655" s="378"/>
      <c r="AC1655" s="378"/>
      <c r="AD1655" s="378"/>
      <c r="AE1655" s="378"/>
      <c r="AF1655" s="378"/>
      <c r="AG1655" s="378"/>
    </row>
    <row r="1656">
      <c r="A1656" s="378"/>
      <c r="B1656" s="477"/>
      <c r="C1656" s="378"/>
      <c r="D1656" s="378"/>
      <c r="E1656" s="378"/>
      <c r="F1656" s="378"/>
      <c r="G1656" s="378"/>
      <c r="H1656" s="378"/>
      <c r="I1656" s="376"/>
      <c r="J1656" s="377"/>
      <c r="K1656" s="378"/>
      <c r="L1656" s="378"/>
      <c r="M1656" s="378"/>
      <c r="N1656" s="379"/>
      <c r="O1656" s="380"/>
      <c r="P1656" s="378"/>
      <c r="Q1656" s="378"/>
      <c r="R1656" s="378"/>
      <c r="S1656" s="378"/>
      <c r="T1656" s="378"/>
      <c r="U1656" s="378"/>
      <c r="V1656" s="378"/>
      <c r="W1656" s="378"/>
      <c r="X1656" s="378"/>
      <c r="Y1656" s="378"/>
      <c r="Z1656" s="378"/>
      <c r="AA1656" s="378"/>
      <c r="AB1656" s="378"/>
      <c r="AC1656" s="378"/>
      <c r="AD1656" s="378"/>
      <c r="AE1656" s="378"/>
      <c r="AF1656" s="378"/>
      <c r="AG1656" s="378"/>
    </row>
    <row r="1657">
      <c r="A1657" s="378"/>
      <c r="B1657" s="477"/>
      <c r="C1657" s="378"/>
      <c r="D1657" s="378"/>
      <c r="E1657" s="378"/>
      <c r="F1657" s="378"/>
      <c r="G1657" s="378"/>
      <c r="H1657" s="378"/>
      <c r="I1657" s="376"/>
      <c r="J1657" s="377"/>
      <c r="K1657" s="378"/>
      <c r="L1657" s="378"/>
      <c r="M1657" s="378"/>
      <c r="N1657" s="379"/>
      <c r="O1657" s="380"/>
      <c r="P1657" s="378"/>
      <c r="Q1657" s="378"/>
      <c r="R1657" s="378"/>
      <c r="S1657" s="378"/>
      <c r="T1657" s="378"/>
      <c r="U1657" s="378"/>
      <c r="V1657" s="378"/>
      <c r="W1657" s="378"/>
      <c r="X1657" s="378"/>
      <c r="Y1657" s="378"/>
      <c r="Z1657" s="378"/>
      <c r="AA1657" s="378"/>
      <c r="AB1657" s="378"/>
      <c r="AC1657" s="378"/>
      <c r="AD1657" s="378"/>
      <c r="AE1657" s="378"/>
      <c r="AF1657" s="378"/>
      <c r="AG1657" s="378"/>
    </row>
    <row r="1658">
      <c r="A1658" s="378"/>
      <c r="B1658" s="477"/>
      <c r="C1658" s="378"/>
      <c r="D1658" s="378"/>
      <c r="E1658" s="378"/>
      <c r="F1658" s="378"/>
      <c r="G1658" s="378"/>
      <c r="H1658" s="378"/>
      <c r="I1658" s="376"/>
      <c r="J1658" s="377"/>
      <c r="K1658" s="378"/>
      <c r="L1658" s="378"/>
      <c r="M1658" s="378"/>
      <c r="N1658" s="379"/>
      <c r="O1658" s="380"/>
      <c r="P1658" s="378"/>
      <c r="Q1658" s="378"/>
      <c r="R1658" s="378"/>
      <c r="S1658" s="378"/>
      <c r="T1658" s="378"/>
      <c r="U1658" s="378"/>
      <c r="V1658" s="378"/>
      <c r="W1658" s="378"/>
      <c r="X1658" s="378"/>
      <c r="Y1658" s="378"/>
      <c r="Z1658" s="378"/>
      <c r="AA1658" s="378"/>
      <c r="AB1658" s="378"/>
      <c r="AC1658" s="378"/>
      <c r="AD1658" s="378"/>
      <c r="AE1658" s="378"/>
      <c r="AF1658" s="378"/>
      <c r="AG1658" s="378"/>
    </row>
    <row r="1659">
      <c r="A1659" s="378"/>
      <c r="B1659" s="477"/>
      <c r="C1659" s="378"/>
      <c r="D1659" s="378"/>
      <c r="E1659" s="378"/>
      <c r="F1659" s="378"/>
      <c r="G1659" s="378"/>
      <c r="H1659" s="378"/>
      <c r="I1659" s="376"/>
      <c r="J1659" s="377"/>
      <c r="K1659" s="378"/>
      <c r="L1659" s="378"/>
      <c r="M1659" s="378"/>
      <c r="N1659" s="379"/>
      <c r="O1659" s="380"/>
      <c r="P1659" s="378"/>
      <c r="Q1659" s="378"/>
      <c r="R1659" s="378"/>
      <c r="S1659" s="378"/>
      <c r="T1659" s="378"/>
      <c r="U1659" s="378"/>
      <c r="V1659" s="378"/>
      <c r="W1659" s="378"/>
      <c r="X1659" s="378"/>
      <c r="Y1659" s="378"/>
      <c r="Z1659" s="378"/>
      <c r="AA1659" s="378"/>
      <c r="AB1659" s="378"/>
      <c r="AC1659" s="378"/>
      <c r="AD1659" s="378"/>
      <c r="AE1659" s="378"/>
      <c r="AF1659" s="378"/>
      <c r="AG1659" s="378"/>
    </row>
    <row r="1660">
      <c r="A1660" s="378"/>
      <c r="B1660" s="477"/>
      <c r="C1660" s="378"/>
      <c r="D1660" s="378"/>
      <c r="E1660" s="378"/>
      <c r="F1660" s="378"/>
      <c r="G1660" s="378"/>
      <c r="H1660" s="378"/>
      <c r="I1660" s="376"/>
      <c r="J1660" s="377"/>
      <c r="K1660" s="378"/>
      <c r="L1660" s="378"/>
      <c r="M1660" s="378"/>
      <c r="N1660" s="379"/>
      <c r="O1660" s="380"/>
      <c r="P1660" s="378"/>
      <c r="Q1660" s="378"/>
      <c r="R1660" s="378"/>
      <c r="S1660" s="378"/>
      <c r="T1660" s="378"/>
      <c r="U1660" s="378"/>
      <c r="V1660" s="378"/>
      <c r="W1660" s="378"/>
      <c r="X1660" s="378"/>
      <c r="Y1660" s="378"/>
      <c r="Z1660" s="378"/>
      <c r="AA1660" s="378"/>
      <c r="AB1660" s="378"/>
      <c r="AC1660" s="378"/>
      <c r="AD1660" s="378"/>
      <c r="AE1660" s="378"/>
      <c r="AF1660" s="378"/>
      <c r="AG1660" s="378"/>
    </row>
    <row r="1661">
      <c r="A1661" s="378"/>
      <c r="B1661" s="477"/>
      <c r="C1661" s="378"/>
      <c r="D1661" s="378"/>
      <c r="E1661" s="378"/>
      <c r="F1661" s="378"/>
      <c r="G1661" s="378"/>
      <c r="H1661" s="378"/>
      <c r="I1661" s="376"/>
      <c r="J1661" s="377"/>
      <c r="K1661" s="378"/>
      <c r="L1661" s="378"/>
      <c r="M1661" s="378"/>
      <c r="N1661" s="379"/>
      <c r="O1661" s="380"/>
      <c r="P1661" s="378"/>
      <c r="Q1661" s="378"/>
      <c r="R1661" s="378"/>
      <c r="S1661" s="378"/>
      <c r="T1661" s="378"/>
      <c r="U1661" s="378"/>
      <c r="V1661" s="378"/>
      <c r="W1661" s="378"/>
      <c r="X1661" s="378"/>
      <c r="Y1661" s="378"/>
      <c r="Z1661" s="378"/>
      <c r="AA1661" s="378"/>
      <c r="AB1661" s="378"/>
      <c r="AC1661" s="378"/>
      <c r="AD1661" s="378"/>
      <c r="AE1661" s="378"/>
      <c r="AF1661" s="378"/>
      <c r="AG1661" s="378"/>
    </row>
    <row r="1662">
      <c r="A1662" s="378"/>
      <c r="B1662" s="477"/>
      <c r="C1662" s="378"/>
      <c r="D1662" s="378"/>
      <c r="E1662" s="378"/>
      <c r="F1662" s="378"/>
      <c r="G1662" s="378"/>
      <c r="H1662" s="378"/>
      <c r="I1662" s="376"/>
      <c r="J1662" s="377"/>
      <c r="K1662" s="378"/>
      <c r="L1662" s="378"/>
      <c r="M1662" s="378"/>
      <c r="N1662" s="379"/>
      <c r="O1662" s="380"/>
      <c r="P1662" s="378"/>
      <c r="Q1662" s="378"/>
      <c r="R1662" s="378"/>
      <c r="S1662" s="378"/>
      <c r="T1662" s="378"/>
      <c r="U1662" s="378"/>
      <c r="V1662" s="378"/>
      <c r="W1662" s="378"/>
      <c r="X1662" s="378"/>
      <c r="Y1662" s="378"/>
      <c r="Z1662" s="378"/>
      <c r="AA1662" s="378"/>
      <c r="AB1662" s="378"/>
      <c r="AC1662" s="378"/>
      <c r="AD1662" s="378"/>
      <c r="AE1662" s="378"/>
      <c r="AF1662" s="378"/>
      <c r="AG1662" s="378"/>
    </row>
    <row r="1663">
      <c r="A1663" s="378"/>
      <c r="B1663" s="477"/>
      <c r="C1663" s="378"/>
      <c r="D1663" s="378"/>
      <c r="E1663" s="378"/>
      <c r="F1663" s="378"/>
      <c r="G1663" s="378"/>
      <c r="H1663" s="378"/>
      <c r="I1663" s="376"/>
      <c r="J1663" s="377"/>
      <c r="K1663" s="378"/>
      <c r="L1663" s="378"/>
      <c r="M1663" s="378"/>
      <c r="N1663" s="379"/>
      <c r="O1663" s="380"/>
      <c r="P1663" s="378"/>
      <c r="Q1663" s="378"/>
      <c r="R1663" s="378"/>
      <c r="S1663" s="378"/>
      <c r="T1663" s="378"/>
      <c r="U1663" s="378"/>
      <c r="V1663" s="378"/>
      <c r="W1663" s="378"/>
      <c r="X1663" s="378"/>
      <c r="Y1663" s="378"/>
      <c r="Z1663" s="378"/>
      <c r="AA1663" s="378"/>
      <c r="AB1663" s="378"/>
      <c r="AC1663" s="378"/>
      <c r="AD1663" s="378"/>
      <c r="AE1663" s="378"/>
      <c r="AF1663" s="378"/>
      <c r="AG1663" s="378"/>
    </row>
    <row r="1664">
      <c r="A1664" s="378"/>
      <c r="B1664" s="477"/>
      <c r="C1664" s="378"/>
      <c r="D1664" s="378"/>
      <c r="E1664" s="378"/>
      <c r="F1664" s="378"/>
      <c r="G1664" s="378"/>
      <c r="H1664" s="378"/>
      <c r="I1664" s="376"/>
      <c r="J1664" s="377"/>
      <c r="K1664" s="378"/>
      <c r="L1664" s="378"/>
      <c r="M1664" s="378"/>
      <c r="N1664" s="379"/>
      <c r="O1664" s="380"/>
      <c r="P1664" s="378"/>
      <c r="Q1664" s="378"/>
      <c r="R1664" s="378"/>
      <c r="S1664" s="378"/>
      <c r="T1664" s="378"/>
      <c r="U1664" s="378"/>
      <c r="V1664" s="378"/>
      <c r="W1664" s="378"/>
      <c r="X1664" s="378"/>
      <c r="Y1664" s="378"/>
      <c r="Z1664" s="378"/>
      <c r="AA1664" s="378"/>
      <c r="AB1664" s="378"/>
      <c r="AC1664" s="378"/>
      <c r="AD1664" s="378"/>
      <c r="AE1664" s="378"/>
      <c r="AF1664" s="378"/>
      <c r="AG1664" s="378"/>
    </row>
    <row r="1665">
      <c r="A1665" s="378"/>
      <c r="B1665" s="477"/>
      <c r="C1665" s="378"/>
      <c r="D1665" s="378"/>
      <c r="E1665" s="378"/>
      <c r="F1665" s="378"/>
      <c r="G1665" s="378"/>
      <c r="H1665" s="378"/>
      <c r="I1665" s="376"/>
      <c r="J1665" s="377"/>
      <c r="K1665" s="378"/>
      <c r="L1665" s="378"/>
      <c r="M1665" s="378"/>
      <c r="N1665" s="379"/>
      <c r="O1665" s="380"/>
      <c r="P1665" s="378"/>
      <c r="Q1665" s="378"/>
      <c r="R1665" s="378"/>
      <c r="S1665" s="378"/>
      <c r="T1665" s="378"/>
      <c r="U1665" s="378"/>
      <c r="V1665" s="378"/>
      <c r="W1665" s="378"/>
      <c r="X1665" s="378"/>
      <c r="Y1665" s="378"/>
      <c r="Z1665" s="378"/>
      <c r="AA1665" s="378"/>
      <c r="AB1665" s="378"/>
      <c r="AC1665" s="378"/>
      <c r="AD1665" s="378"/>
      <c r="AE1665" s="378"/>
      <c r="AF1665" s="378"/>
      <c r="AG1665" s="378"/>
    </row>
    <row r="1666">
      <c r="A1666" s="378"/>
      <c r="B1666" s="477"/>
      <c r="C1666" s="378"/>
      <c r="D1666" s="378"/>
      <c r="E1666" s="378"/>
      <c r="F1666" s="378"/>
      <c r="G1666" s="378"/>
      <c r="H1666" s="378"/>
      <c r="I1666" s="376"/>
      <c r="J1666" s="377"/>
      <c r="K1666" s="378"/>
      <c r="L1666" s="378"/>
      <c r="M1666" s="378"/>
      <c r="N1666" s="379"/>
      <c r="O1666" s="380"/>
      <c r="P1666" s="378"/>
      <c r="Q1666" s="378"/>
      <c r="R1666" s="378"/>
      <c r="S1666" s="378"/>
      <c r="T1666" s="378"/>
      <c r="U1666" s="378"/>
      <c r="V1666" s="378"/>
      <c r="W1666" s="378"/>
      <c r="X1666" s="378"/>
      <c r="Y1666" s="378"/>
      <c r="Z1666" s="378"/>
      <c r="AA1666" s="378"/>
      <c r="AB1666" s="378"/>
      <c r="AC1666" s="378"/>
      <c r="AD1666" s="378"/>
      <c r="AE1666" s="378"/>
      <c r="AF1666" s="378"/>
      <c r="AG1666" s="378"/>
    </row>
    <row r="1667">
      <c r="A1667" s="378"/>
      <c r="B1667" s="477"/>
      <c r="C1667" s="378"/>
      <c r="D1667" s="378"/>
      <c r="E1667" s="378"/>
      <c r="F1667" s="378"/>
      <c r="G1667" s="378"/>
      <c r="H1667" s="378"/>
      <c r="I1667" s="376"/>
      <c r="J1667" s="377"/>
      <c r="K1667" s="378"/>
      <c r="L1667" s="378"/>
      <c r="M1667" s="378"/>
      <c r="N1667" s="379"/>
      <c r="O1667" s="380"/>
      <c r="P1667" s="378"/>
      <c r="Q1667" s="378"/>
      <c r="R1667" s="378"/>
      <c r="S1667" s="378"/>
      <c r="T1667" s="378"/>
      <c r="U1667" s="378"/>
      <c r="V1667" s="378"/>
      <c r="W1667" s="378"/>
      <c r="X1667" s="378"/>
      <c r="Y1667" s="378"/>
      <c r="Z1667" s="378"/>
      <c r="AA1667" s="378"/>
      <c r="AB1667" s="378"/>
      <c r="AC1667" s="378"/>
      <c r="AD1667" s="378"/>
      <c r="AE1667" s="378"/>
      <c r="AF1667" s="378"/>
      <c r="AG1667" s="378"/>
    </row>
    <row r="1668">
      <c r="A1668" s="378"/>
      <c r="B1668" s="477"/>
      <c r="C1668" s="378"/>
      <c r="D1668" s="378"/>
      <c r="E1668" s="378"/>
      <c r="F1668" s="378"/>
      <c r="G1668" s="378"/>
      <c r="H1668" s="378"/>
      <c r="I1668" s="376"/>
      <c r="J1668" s="377"/>
      <c r="K1668" s="378"/>
      <c r="L1668" s="378"/>
      <c r="M1668" s="378"/>
      <c r="N1668" s="379"/>
      <c r="O1668" s="380"/>
      <c r="P1668" s="378"/>
      <c r="Q1668" s="378"/>
      <c r="R1668" s="378"/>
      <c r="S1668" s="378"/>
      <c r="T1668" s="378"/>
      <c r="U1668" s="378"/>
      <c r="V1668" s="378"/>
      <c r="W1668" s="378"/>
      <c r="X1668" s="378"/>
      <c r="Y1668" s="378"/>
      <c r="Z1668" s="378"/>
      <c r="AA1668" s="378"/>
      <c r="AB1668" s="378"/>
      <c r="AC1668" s="378"/>
      <c r="AD1668" s="378"/>
      <c r="AE1668" s="378"/>
      <c r="AF1668" s="378"/>
      <c r="AG1668" s="378"/>
    </row>
    <row r="1669">
      <c r="A1669" s="378"/>
      <c r="B1669" s="477"/>
      <c r="C1669" s="378"/>
      <c r="D1669" s="378"/>
      <c r="E1669" s="378"/>
      <c r="F1669" s="378"/>
      <c r="G1669" s="378"/>
      <c r="H1669" s="378"/>
      <c r="I1669" s="376"/>
      <c r="J1669" s="377"/>
      <c r="K1669" s="378"/>
      <c r="L1669" s="378"/>
      <c r="M1669" s="378"/>
      <c r="N1669" s="379"/>
      <c r="O1669" s="380"/>
      <c r="P1669" s="378"/>
      <c r="Q1669" s="378"/>
      <c r="R1669" s="378"/>
      <c r="S1669" s="378"/>
      <c r="T1669" s="378"/>
      <c r="U1669" s="378"/>
      <c r="V1669" s="378"/>
      <c r="W1669" s="378"/>
      <c r="X1669" s="378"/>
      <c r="Y1669" s="378"/>
      <c r="Z1669" s="378"/>
      <c r="AA1669" s="378"/>
      <c r="AB1669" s="378"/>
      <c r="AC1669" s="378"/>
      <c r="AD1669" s="378"/>
      <c r="AE1669" s="378"/>
      <c r="AF1669" s="378"/>
      <c r="AG1669" s="378"/>
    </row>
    <row r="1670">
      <c r="A1670" s="378"/>
      <c r="B1670" s="477"/>
      <c r="C1670" s="378"/>
      <c r="D1670" s="378"/>
      <c r="E1670" s="378"/>
      <c r="F1670" s="378"/>
      <c r="G1670" s="378"/>
      <c r="H1670" s="378"/>
      <c r="I1670" s="376"/>
      <c r="J1670" s="377"/>
      <c r="K1670" s="378"/>
      <c r="L1670" s="378"/>
      <c r="M1670" s="378"/>
      <c r="N1670" s="379"/>
      <c r="O1670" s="380"/>
      <c r="P1670" s="378"/>
      <c r="Q1670" s="378"/>
      <c r="R1670" s="378"/>
      <c r="S1670" s="378"/>
      <c r="T1670" s="378"/>
      <c r="U1670" s="378"/>
      <c r="V1670" s="378"/>
      <c r="W1670" s="378"/>
      <c r="X1670" s="378"/>
      <c r="Y1670" s="378"/>
      <c r="Z1670" s="378"/>
      <c r="AA1670" s="378"/>
      <c r="AB1670" s="378"/>
      <c r="AC1670" s="378"/>
      <c r="AD1670" s="378"/>
      <c r="AE1670" s="378"/>
      <c r="AF1670" s="378"/>
      <c r="AG1670" s="378"/>
    </row>
    <row r="1671">
      <c r="A1671" s="378"/>
      <c r="B1671" s="477"/>
      <c r="C1671" s="378"/>
      <c r="D1671" s="378"/>
      <c r="E1671" s="378"/>
      <c r="F1671" s="378"/>
      <c r="G1671" s="378"/>
      <c r="H1671" s="378"/>
      <c r="I1671" s="376"/>
      <c r="J1671" s="377"/>
      <c r="K1671" s="378"/>
      <c r="L1671" s="378"/>
      <c r="M1671" s="378"/>
      <c r="N1671" s="379"/>
      <c r="O1671" s="380"/>
      <c r="P1671" s="378"/>
      <c r="Q1671" s="378"/>
      <c r="R1671" s="378"/>
      <c r="S1671" s="378"/>
      <c r="T1671" s="378"/>
      <c r="U1671" s="378"/>
      <c r="V1671" s="378"/>
      <c r="W1671" s="378"/>
      <c r="X1671" s="378"/>
      <c r="Y1671" s="378"/>
      <c r="Z1671" s="378"/>
      <c r="AA1671" s="378"/>
      <c r="AB1671" s="378"/>
      <c r="AC1671" s="378"/>
      <c r="AD1671" s="378"/>
      <c r="AE1671" s="378"/>
      <c r="AF1671" s="378"/>
      <c r="AG1671" s="378"/>
    </row>
    <row r="1672">
      <c r="A1672" s="378"/>
      <c r="B1672" s="477"/>
      <c r="C1672" s="378"/>
      <c r="D1672" s="378"/>
      <c r="E1672" s="378"/>
      <c r="F1672" s="378"/>
      <c r="G1672" s="378"/>
      <c r="H1672" s="378"/>
      <c r="I1672" s="376"/>
      <c r="J1672" s="377"/>
      <c r="K1672" s="378"/>
      <c r="L1672" s="378"/>
      <c r="M1672" s="378"/>
      <c r="N1672" s="379"/>
      <c r="O1672" s="380"/>
      <c r="P1672" s="378"/>
      <c r="Q1672" s="378"/>
      <c r="R1672" s="378"/>
      <c r="S1672" s="378"/>
      <c r="T1672" s="378"/>
      <c r="U1672" s="378"/>
      <c r="V1672" s="378"/>
      <c r="W1672" s="378"/>
      <c r="X1672" s="378"/>
      <c r="Y1672" s="378"/>
      <c r="Z1672" s="378"/>
      <c r="AA1672" s="378"/>
      <c r="AB1672" s="378"/>
      <c r="AC1672" s="378"/>
      <c r="AD1672" s="378"/>
      <c r="AE1672" s="378"/>
      <c r="AF1672" s="378"/>
      <c r="AG1672" s="378"/>
    </row>
    <row r="1673">
      <c r="A1673" s="378"/>
      <c r="B1673" s="477"/>
      <c r="C1673" s="378"/>
      <c r="D1673" s="378"/>
      <c r="E1673" s="378"/>
      <c r="F1673" s="378"/>
      <c r="G1673" s="378"/>
      <c r="H1673" s="378"/>
      <c r="I1673" s="376"/>
      <c r="J1673" s="377"/>
      <c r="K1673" s="378"/>
      <c r="L1673" s="378"/>
      <c r="M1673" s="378"/>
      <c r="N1673" s="379"/>
      <c r="O1673" s="380"/>
      <c r="P1673" s="378"/>
      <c r="Q1673" s="378"/>
      <c r="R1673" s="378"/>
      <c r="S1673" s="378"/>
      <c r="T1673" s="378"/>
      <c r="U1673" s="378"/>
      <c r="V1673" s="378"/>
      <c r="W1673" s="378"/>
      <c r="X1673" s="378"/>
      <c r="Y1673" s="378"/>
      <c r="Z1673" s="378"/>
      <c r="AA1673" s="378"/>
      <c r="AB1673" s="378"/>
      <c r="AC1673" s="378"/>
      <c r="AD1673" s="378"/>
      <c r="AE1673" s="378"/>
      <c r="AF1673" s="378"/>
      <c r="AG1673" s="378"/>
    </row>
    <row r="1674">
      <c r="A1674" s="378"/>
      <c r="B1674" s="477"/>
      <c r="C1674" s="378"/>
      <c r="D1674" s="378"/>
      <c r="E1674" s="378"/>
      <c r="F1674" s="378"/>
      <c r="G1674" s="378"/>
      <c r="H1674" s="378"/>
      <c r="I1674" s="376"/>
      <c r="J1674" s="377"/>
      <c r="K1674" s="378"/>
      <c r="L1674" s="378"/>
      <c r="M1674" s="378"/>
      <c r="N1674" s="379"/>
      <c r="O1674" s="380"/>
      <c r="P1674" s="378"/>
      <c r="Q1674" s="378"/>
      <c r="R1674" s="378"/>
      <c r="S1674" s="378"/>
      <c r="T1674" s="378"/>
      <c r="U1674" s="378"/>
      <c r="V1674" s="378"/>
      <c r="W1674" s="378"/>
      <c r="X1674" s="378"/>
      <c r="Y1674" s="378"/>
      <c r="Z1674" s="378"/>
      <c r="AA1674" s="378"/>
      <c r="AB1674" s="378"/>
      <c r="AC1674" s="378"/>
      <c r="AD1674" s="378"/>
      <c r="AE1674" s="378"/>
      <c r="AF1674" s="378"/>
      <c r="AG1674" s="378"/>
    </row>
    <row r="1675">
      <c r="A1675" s="378"/>
      <c r="B1675" s="477"/>
      <c r="C1675" s="378"/>
      <c r="D1675" s="378"/>
      <c r="E1675" s="378"/>
      <c r="F1675" s="378"/>
      <c r="G1675" s="378"/>
      <c r="H1675" s="378"/>
      <c r="I1675" s="376"/>
      <c r="J1675" s="377"/>
      <c r="K1675" s="378"/>
      <c r="L1675" s="378"/>
      <c r="M1675" s="378"/>
      <c r="N1675" s="379"/>
      <c r="O1675" s="380"/>
      <c r="P1675" s="378"/>
      <c r="Q1675" s="378"/>
      <c r="R1675" s="378"/>
      <c r="S1675" s="378"/>
      <c r="T1675" s="378"/>
      <c r="U1675" s="378"/>
      <c r="V1675" s="378"/>
      <c r="W1675" s="378"/>
      <c r="X1675" s="378"/>
      <c r="Y1675" s="378"/>
      <c r="Z1675" s="378"/>
      <c r="AA1675" s="378"/>
      <c r="AB1675" s="378"/>
      <c r="AC1675" s="378"/>
      <c r="AD1675" s="378"/>
      <c r="AE1675" s="378"/>
      <c r="AF1675" s="378"/>
      <c r="AG1675" s="378"/>
    </row>
    <row r="1676">
      <c r="A1676" s="378"/>
      <c r="B1676" s="477"/>
      <c r="C1676" s="378"/>
      <c r="D1676" s="378"/>
      <c r="E1676" s="378"/>
      <c r="F1676" s="378"/>
      <c r="G1676" s="378"/>
      <c r="H1676" s="378"/>
      <c r="I1676" s="376"/>
      <c r="J1676" s="377"/>
      <c r="K1676" s="378"/>
      <c r="L1676" s="378"/>
      <c r="M1676" s="378"/>
      <c r="N1676" s="379"/>
      <c r="O1676" s="380"/>
      <c r="P1676" s="378"/>
      <c r="Q1676" s="378"/>
      <c r="R1676" s="378"/>
      <c r="S1676" s="378"/>
      <c r="T1676" s="378"/>
      <c r="U1676" s="378"/>
      <c r="V1676" s="378"/>
      <c r="W1676" s="378"/>
      <c r="X1676" s="378"/>
      <c r="Y1676" s="378"/>
      <c r="Z1676" s="378"/>
      <c r="AA1676" s="378"/>
      <c r="AB1676" s="378"/>
      <c r="AC1676" s="378"/>
      <c r="AD1676" s="378"/>
      <c r="AE1676" s="378"/>
      <c r="AF1676" s="378"/>
      <c r="AG1676" s="378"/>
    </row>
    <row r="1677">
      <c r="A1677" s="378"/>
      <c r="B1677" s="477"/>
      <c r="C1677" s="378"/>
      <c r="D1677" s="378"/>
      <c r="E1677" s="378"/>
      <c r="F1677" s="378"/>
      <c r="G1677" s="378"/>
      <c r="H1677" s="378"/>
      <c r="I1677" s="376"/>
      <c r="J1677" s="377"/>
      <c r="K1677" s="378"/>
      <c r="L1677" s="378"/>
      <c r="M1677" s="378"/>
      <c r="N1677" s="379"/>
      <c r="O1677" s="380"/>
      <c r="P1677" s="378"/>
      <c r="Q1677" s="378"/>
      <c r="R1677" s="378"/>
      <c r="S1677" s="378"/>
      <c r="T1677" s="378"/>
      <c r="U1677" s="378"/>
      <c r="V1677" s="378"/>
      <c r="W1677" s="378"/>
      <c r="X1677" s="378"/>
      <c r="Y1677" s="378"/>
      <c r="Z1677" s="378"/>
      <c r="AA1677" s="378"/>
      <c r="AB1677" s="378"/>
      <c r="AC1677" s="378"/>
      <c r="AD1677" s="378"/>
      <c r="AE1677" s="378"/>
      <c r="AF1677" s="378"/>
      <c r="AG1677" s="378"/>
    </row>
    <row r="1678">
      <c r="A1678" s="378"/>
      <c r="B1678" s="477"/>
      <c r="C1678" s="378"/>
      <c r="D1678" s="378"/>
      <c r="E1678" s="378"/>
      <c r="F1678" s="378"/>
      <c r="G1678" s="378"/>
      <c r="H1678" s="378"/>
      <c r="I1678" s="376"/>
      <c r="J1678" s="377"/>
      <c r="K1678" s="378"/>
      <c r="L1678" s="378"/>
      <c r="M1678" s="378"/>
      <c r="N1678" s="379"/>
      <c r="O1678" s="380"/>
      <c r="P1678" s="378"/>
      <c r="Q1678" s="378"/>
      <c r="R1678" s="378"/>
      <c r="S1678" s="378"/>
      <c r="T1678" s="378"/>
      <c r="U1678" s="378"/>
      <c r="V1678" s="378"/>
      <c r="W1678" s="378"/>
      <c r="X1678" s="378"/>
      <c r="Y1678" s="378"/>
      <c r="Z1678" s="378"/>
      <c r="AA1678" s="378"/>
      <c r="AB1678" s="378"/>
      <c r="AC1678" s="378"/>
      <c r="AD1678" s="378"/>
      <c r="AE1678" s="378"/>
      <c r="AF1678" s="378"/>
      <c r="AG1678" s="378"/>
    </row>
    <row r="1679">
      <c r="A1679" s="378"/>
      <c r="B1679" s="477"/>
      <c r="C1679" s="378"/>
      <c r="D1679" s="378"/>
      <c r="E1679" s="378"/>
      <c r="F1679" s="378"/>
      <c r="G1679" s="378"/>
      <c r="H1679" s="378"/>
      <c r="I1679" s="376"/>
      <c r="J1679" s="377"/>
      <c r="K1679" s="378"/>
      <c r="L1679" s="378"/>
      <c r="M1679" s="378"/>
      <c r="N1679" s="379"/>
      <c r="O1679" s="380"/>
      <c r="P1679" s="378"/>
      <c r="Q1679" s="378"/>
      <c r="R1679" s="378"/>
      <c r="S1679" s="378"/>
      <c r="T1679" s="378"/>
      <c r="U1679" s="378"/>
      <c r="V1679" s="378"/>
      <c r="W1679" s="378"/>
      <c r="X1679" s="378"/>
      <c r="Y1679" s="378"/>
      <c r="Z1679" s="378"/>
      <c r="AA1679" s="378"/>
      <c r="AB1679" s="378"/>
      <c r="AC1679" s="378"/>
      <c r="AD1679" s="378"/>
      <c r="AE1679" s="378"/>
      <c r="AF1679" s="378"/>
      <c r="AG1679" s="378"/>
    </row>
    <row r="1680">
      <c r="A1680" s="378"/>
      <c r="B1680" s="477"/>
      <c r="C1680" s="378"/>
      <c r="D1680" s="378"/>
      <c r="E1680" s="378"/>
      <c r="F1680" s="378"/>
      <c r="G1680" s="378"/>
      <c r="H1680" s="378"/>
      <c r="I1680" s="376"/>
      <c r="J1680" s="377"/>
      <c r="K1680" s="378"/>
      <c r="L1680" s="378"/>
      <c r="M1680" s="378"/>
      <c r="N1680" s="379"/>
      <c r="O1680" s="380"/>
      <c r="P1680" s="378"/>
      <c r="Q1680" s="378"/>
      <c r="R1680" s="378"/>
      <c r="S1680" s="378"/>
      <c r="T1680" s="378"/>
      <c r="U1680" s="378"/>
      <c r="V1680" s="378"/>
      <c r="W1680" s="378"/>
      <c r="X1680" s="378"/>
      <c r="Y1680" s="378"/>
      <c r="Z1680" s="378"/>
      <c r="AA1680" s="378"/>
      <c r="AB1680" s="378"/>
      <c r="AC1680" s="378"/>
      <c r="AD1680" s="378"/>
      <c r="AE1680" s="378"/>
      <c r="AF1680" s="378"/>
      <c r="AG1680" s="378"/>
    </row>
    <row r="1681">
      <c r="A1681" s="378"/>
      <c r="B1681" s="477"/>
      <c r="C1681" s="378"/>
      <c r="D1681" s="378"/>
      <c r="E1681" s="378"/>
      <c r="F1681" s="378"/>
      <c r="G1681" s="378"/>
      <c r="H1681" s="378"/>
      <c r="I1681" s="376"/>
      <c r="J1681" s="377"/>
      <c r="K1681" s="378"/>
      <c r="L1681" s="378"/>
      <c r="M1681" s="378"/>
      <c r="N1681" s="379"/>
      <c r="O1681" s="380"/>
      <c r="P1681" s="378"/>
      <c r="Q1681" s="378"/>
      <c r="R1681" s="378"/>
      <c r="S1681" s="378"/>
      <c r="T1681" s="378"/>
      <c r="U1681" s="378"/>
      <c r="V1681" s="378"/>
      <c r="W1681" s="378"/>
      <c r="X1681" s="378"/>
      <c r="Y1681" s="378"/>
      <c r="Z1681" s="378"/>
      <c r="AA1681" s="378"/>
      <c r="AB1681" s="378"/>
      <c r="AC1681" s="378"/>
      <c r="AD1681" s="378"/>
      <c r="AE1681" s="378"/>
      <c r="AF1681" s="378"/>
      <c r="AG1681" s="378"/>
    </row>
    <row r="1682">
      <c r="A1682" s="378"/>
      <c r="B1682" s="477"/>
      <c r="C1682" s="378"/>
      <c r="D1682" s="378"/>
      <c r="E1682" s="378"/>
      <c r="F1682" s="378"/>
      <c r="G1682" s="378"/>
      <c r="H1682" s="378"/>
      <c r="I1682" s="376"/>
      <c r="J1682" s="377"/>
      <c r="K1682" s="378"/>
      <c r="L1682" s="378"/>
      <c r="M1682" s="378"/>
      <c r="N1682" s="379"/>
      <c r="O1682" s="380"/>
      <c r="P1682" s="378"/>
      <c r="Q1682" s="378"/>
      <c r="R1682" s="378"/>
      <c r="S1682" s="378"/>
      <c r="T1682" s="378"/>
      <c r="U1682" s="378"/>
      <c r="V1682" s="378"/>
      <c r="W1682" s="378"/>
      <c r="X1682" s="378"/>
      <c r="Y1682" s="378"/>
      <c r="Z1682" s="378"/>
      <c r="AA1682" s="378"/>
      <c r="AB1682" s="378"/>
      <c r="AC1682" s="378"/>
      <c r="AD1682" s="378"/>
      <c r="AE1682" s="378"/>
      <c r="AF1682" s="378"/>
      <c r="AG1682" s="378"/>
    </row>
    <row r="1683">
      <c r="A1683" s="378"/>
      <c r="B1683" s="477"/>
      <c r="C1683" s="378"/>
      <c r="D1683" s="378"/>
      <c r="E1683" s="378"/>
      <c r="F1683" s="378"/>
      <c r="G1683" s="378"/>
      <c r="H1683" s="378"/>
      <c r="I1683" s="376"/>
      <c r="J1683" s="377"/>
      <c r="K1683" s="378"/>
      <c r="L1683" s="378"/>
      <c r="M1683" s="378"/>
      <c r="N1683" s="379"/>
      <c r="O1683" s="380"/>
      <c r="P1683" s="378"/>
      <c r="Q1683" s="378"/>
      <c r="R1683" s="378"/>
      <c r="S1683" s="378"/>
      <c r="T1683" s="378"/>
      <c r="U1683" s="378"/>
      <c r="V1683" s="378"/>
      <c r="W1683" s="378"/>
      <c r="X1683" s="378"/>
      <c r="Y1683" s="378"/>
      <c r="Z1683" s="378"/>
      <c r="AA1683" s="378"/>
      <c r="AB1683" s="378"/>
      <c r="AC1683" s="378"/>
      <c r="AD1683" s="378"/>
      <c r="AE1683" s="378"/>
      <c r="AF1683" s="378"/>
      <c r="AG1683" s="378"/>
    </row>
    <row r="1684">
      <c r="A1684" s="378"/>
      <c r="B1684" s="477"/>
      <c r="C1684" s="378"/>
      <c r="D1684" s="378"/>
      <c r="E1684" s="378"/>
      <c r="F1684" s="378"/>
      <c r="G1684" s="378"/>
      <c r="H1684" s="378"/>
      <c r="I1684" s="376"/>
      <c r="J1684" s="377"/>
      <c r="K1684" s="378"/>
      <c r="L1684" s="378"/>
      <c r="M1684" s="378"/>
      <c r="N1684" s="379"/>
      <c r="O1684" s="380"/>
      <c r="P1684" s="378"/>
      <c r="Q1684" s="378"/>
      <c r="R1684" s="378"/>
      <c r="S1684" s="378"/>
      <c r="T1684" s="378"/>
      <c r="U1684" s="378"/>
      <c r="V1684" s="378"/>
      <c r="W1684" s="378"/>
      <c r="X1684" s="378"/>
      <c r="Y1684" s="378"/>
      <c r="Z1684" s="378"/>
      <c r="AA1684" s="378"/>
      <c r="AB1684" s="378"/>
      <c r="AC1684" s="378"/>
      <c r="AD1684" s="378"/>
      <c r="AE1684" s="378"/>
      <c r="AF1684" s="378"/>
      <c r="AG1684" s="378"/>
    </row>
    <row r="1685">
      <c r="A1685" s="378"/>
      <c r="B1685" s="477"/>
      <c r="C1685" s="378"/>
      <c r="D1685" s="378"/>
      <c r="E1685" s="378"/>
      <c r="F1685" s="378"/>
      <c r="G1685" s="378"/>
      <c r="H1685" s="378"/>
      <c r="I1685" s="376"/>
      <c r="J1685" s="377"/>
      <c r="K1685" s="378"/>
      <c r="L1685" s="378"/>
      <c r="M1685" s="378"/>
      <c r="N1685" s="379"/>
      <c r="O1685" s="380"/>
      <c r="P1685" s="378"/>
      <c r="Q1685" s="378"/>
      <c r="R1685" s="378"/>
      <c r="S1685" s="378"/>
      <c r="T1685" s="378"/>
      <c r="U1685" s="378"/>
      <c r="V1685" s="378"/>
      <c r="W1685" s="378"/>
      <c r="X1685" s="378"/>
      <c r="Y1685" s="378"/>
      <c r="Z1685" s="378"/>
      <c r="AA1685" s="378"/>
      <c r="AB1685" s="378"/>
      <c r="AC1685" s="378"/>
      <c r="AD1685" s="378"/>
      <c r="AE1685" s="378"/>
      <c r="AF1685" s="378"/>
      <c r="AG1685" s="378"/>
    </row>
    <row r="1686">
      <c r="A1686" s="378"/>
      <c r="B1686" s="477"/>
      <c r="C1686" s="378"/>
      <c r="D1686" s="378"/>
      <c r="E1686" s="378"/>
      <c r="F1686" s="378"/>
      <c r="G1686" s="378"/>
      <c r="H1686" s="378"/>
      <c r="I1686" s="376"/>
      <c r="J1686" s="377"/>
      <c r="K1686" s="378"/>
      <c r="L1686" s="378"/>
      <c r="M1686" s="378"/>
      <c r="N1686" s="379"/>
      <c r="O1686" s="380"/>
      <c r="P1686" s="378"/>
      <c r="Q1686" s="378"/>
      <c r="R1686" s="378"/>
      <c r="S1686" s="378"/>
      <c r="T1686" s="378"/>
      <c r="U1686" s="378"/>
      <c r="V1686" s="378"/>
      <c r="W1686" s="378"/>
      <c r="X1686" s="378"/>
      <c r="Y1686" s="378"/>
      <c r="Z1686" s="378"/>
      <c r="AA1686" s="378"/>
      <c r="AB1686" s="378"/>
      <c r="AC1686" s="378"/>
      <c r="AD1686" s="378"/>
      <c r="AE1686" s="378"/>
      <c r="AF1686" s="378"/>
      <c r="AG1686" s="378"/>
    </row>
    <row r="1687">
      <c r="A1687" s="378"/>
      <c r="B1687" s="477"/>
      <c r="C1687" s="378"/>
      <c r="D1687" s="378"/>
      <c r="E1687" s="378"/>
      <c r="F1687" s="378"/>
      <c r="G1687" s="378"/>
      <c r="H1687" s="378"/>
      <c r="I1687" s="376"/>
      <c r="J1687" s="377"/>
      <c r="K1687" s="378"/>
      <c r="L1687" s="378"/>
      <c r="M1687" s="378"/>
      <c r="N1687" s="379"/>
      <c r="O1687" s="380"/>
      <c r="P1687" s="378"/>
      <c r="Q1687" s="378"/>
      <c r="R1687" s="378"/>
      <c r="S1687" s="378"/>
      <c r="T1687" s="378"/>
      <c r="U1687" s="378"/>
      <c r="V1687" s="378"/>
      <c r="W1687" s="378"/>
      <c r="X1687" s="378"/>
      <c r="Y1687" s="378"/>
      <c r="Z1687" s="378"/>
      <c r="AA1687" s="378"/>
      <c r="AB1687" s="378"/>
      <c r="AC1687" s="378"/>
      <c r="AD1687" s="378"/>
      <c r="AE1687" s="378"/>
      <c r="AF1687" s="378"/>
      <c r="AG1687" s="378"/>
    </row>
    <row r="1688">
      <c r="A1688" s="378"/>
      <c r="B1688" s="477"/>
      <c r="C1688" s="378"/>
      <c r="D1688" s="378"/>
      <c r="E1688" s="378"/>
      <c r="F1688" s="378"/>
      <c r="G1688" s="378"/>
      <c r="H1688" s="378"/>
      <c r="I1688" s="376"/>
      <c r="J1688" s="377"/>
      <c r="K1688" s="378"/>
      <c r="L1688" s="378"/>
      <c r="M1688" s="378"/>
      <c r="N1688" s="379"/>
      <c r="O1688" s="380"/>
      <c r="P1688" s="378"/>
      <c r="Q1688" s="378"/>
      <c r="R1688" s="378"/>
      <c r="S1688" s="378"/>
      <c r="T1688" s="378"/>
      <c r="U1688" s="378"/>
      <c r="V1688" s="378"/>
      <c r="W1688" s="378"/>
      <c r="X1688" s="378"/>
      <c r="Y1688" s="378"/>
      <c r="Z1688" s="378"/>
      <c r="AA1688" s="378"/>
      <c r="AB1688" s="378"/>
      <c r="AC1688" s="378"/>
      <c r="AD1688" s="378"/>
      <c r="AE1688" s="378"/>
      <c r="AF1688" s="378"/>
      <c r="AG1688" s="378"/>
    </row>
    <row r="1689">
      <c r="A1689" s="378"/>
      <c r="B1689" s="477"/>
      <c r="C1689" s="378"/>
      <c r="D1689" s="378"/>
      <c r="E1689" s="378"/>
      <c r="F1689" s="378"/>
      <c r="G1689" s="378"/>
      <c r="H1689" s="378"/>
      <c r="I1689" s="376"/>
      <c r="J1689" s="377"/>
      <c r="K1689" s="378"/>
      <c r="L1689" s="378"/>
      <c r="M1689" s="378"/>
      <c r="N1689" s="379"/>
      <c r="O1689" s="380"/>
      <c r="P1689" s="378"/>
      <c r="Q1689" s="378"/>
      <c r="R1689" s="378"/>
      <c r="S1689" s="378"/>
      <c r="T1689" s="378"/>
      <c r="U1689" s="378"/>
      <c r="V1689" s="378"/>
      <c r="W1689" s="378"/>
      <c r="X1689" s="378"/>
      <c r="Y1689" s="378"/>
      <c r="Z1689" s="378"/>
      <c r="AA1689" s="378"/>
      <c r="AB1689" s="378"/>
      <c r="AC1689" s="378"/>
      <c r="AD1689" s="378"/>
      <c r="AE1689" s="378"/>
      <c r="AF1689" s="378"/>
      <c r="AG1689" s="378"/>
    </row>
    <row r="1690">
      <c r="A1690" s="378"/>
      <c r="B1690" s="477"/>
      <c r="C1690" s="378"/>
      <c r="D1690" s="378"/>
      <c r="E1690" s="378"/>
      <c r="F1690" s="378"/>
      <c r="G1690" s="378"/>
      <c r="H1690" s="378"/>
      <c r="I1690" s="376"/>
      <c r="J1690" s="377"/>
      <c r="K1690" s="378"/>
      <c r="L1690" s="378"/>
      <c r="M1690" s="378"/>
      <c r="N1690" s="379"/>
      <c r="O1690" s="380"/>
      <c r="P1690" s="378"/>
      <c r="Q1690" s="378"/>
      <c r="R1690" s="378"/>
      <c r="S1690" s="378"/>
      <c r="T1690" s="378"/>
      <c r="U1690" s="378"/>
      <c r="V1690" s="378"/>
      <c r="W1690" s="378"/>
      <c r="X1690" s="378"/>
      <c r="Y1690" s="378"/>
      <c r="Z1690" s="378"/>
      <c r="AA1690" s="378"/>
      <c r="AB1690" s="378"/>
      <c r="AC1690" s="378"/>
      <c r="AD1690" s="378"/>
      <c r="AE1690" s="378"/>
      <c r="AF1690" s="378"/>
      <c r="AG1690" s="378"/>
    </row>
    <row r="1691">
      <c r="A1691" s="378"/>
      <c r="B1691" s="477"/>
      <c r="C1691" s="378"/>
      <c r="D1691" s="378"/>
      <c r="E1691" s="378"/>
      <c r="F1691" s="378"/>
      <c r="G1691" s="378"/>
      <c r="H1691" s="378"/>
      <c r="I1691" s="376"/>
      <c r="J1691" s="377"/>
      <c r="K1691" s="378"/>
      <c r="L1691" s="378"/>
      <c r="M1691" s="378"/>
      <c r="N1691" s="379"/>
      <c r="O1691" s="380"/>
      <c r="P1691" s="378"/>
      <c r="Q1691" s="378"/>
      <c r="R1691" s="378"/>
      <c r="S1691" s="378"/>
      <c r="T1691" s="378"/>
      <c r="U1691" s="378"/>
      <c r="V1691" s="378"/>
      <c r="W1691" s="378"/>
      <c r="X1691" s="378"/>
      <c r="Y1691" s="378"/>
      <c r="Z1691" s="378"/>
      <c r="AA1691" s="378"/>
      <c r="AB1691" s="378"/>
      <c r="AC1691" s="378"/>
      <c r="AD1691" s="378"/>
      <c r="AE1691" s="378"/>
      <c r="AF1691" s="378"/>
      <c r="AG1691" s="378"/>
    </row>
    <row r="1692">
      <c r="A1692" s="378"/>
      <c r="B1692" s="477"/>
      <c r="C1692" s="378"/>
      <c r="D1692" s="378"/>
      <c r="E1692" s="378"/>
      <c r="F1692" s="378"/>
      <c r="G1692" s="378"/>
      <c r="H1692" s="378"/>
      <c r="I1692" s="376"/>
      <c r="J1692" s="377"/>
      <c r="K1692" s="378"/>
      <c r="L1692" s="378"/>
      <c r="M1692" s="378"/>
      <c r="N1692" s="379"/>
      <c r="O1692" s="380"/>
      <c r="P1692" s="378"/>
      <c r="Q1692" s="378"/>
      <c r="R1692" s="378"/>
      <c r="S1692" s="378"/>
      <c r="T1692" s="378"/>
      <c r="U1692" s="378"/>
      <c r="V1692" s="378"/>
      <c r="W1692" s="378"/>
      <c r="X1692" s="378"/>
      <c r="Y1692" s="378"/>
      <c r="Z1692" s="378"/>
      <c r="AA1692" s="378"/>
      <c r="AB1692" s="378"/>
      <c r="AC1692" s="378"/>
      <c r="AD1692" s="378"/>
      <c r="AE1692" s="378"/>
      <c r="AF1692" s="378"/>
      <c r="AG1692" s="378"/>
    </row>
    <row r="1693">
      <c r="A1693" s="378"/>
      <c r="B1693" s="477"/>
      <c r="C1693" s="378"/>
      <c r="D1693" s="378"/>
      <c r="E1693" s="378"/>
      <c r="F1693" s="378"/>
      <c r="G1693" s="378"/>
      <c r="H1693" s="378"/>
      <c r="I1693" s="376"/>
      <c r="J1693" s="377"/>
      <c r="K1693" s="378"/>
      <c r="L1693" s="378"/>
      <c r="M1693" s="378"/>
      <c r="N1693" s="379"/>
      <c r="O1693" s="380"/>
      <c r="P1693" s="378"/>
      <c r="Q1693" s="378"/>
      <c r="R1693" s="378"/>
      <c r="S1693" s="378"/>
      <c r="T1693" s="378"/>
      <c r="U1693" s="378"/>
      <c r="V1693" s="378"/>
      <c r="W1693" s="378"/>
      <c r="X1693" s="378"/>
      <c r="Y1693" s="378"/>
      <c r="Z1693" s="378"/>
      <c r="AA1693" s="378"/>
      <c r="AB1693" s="378"/>
      <c r="AC1693" s="378"/>
      <c r="AD1693" s="378"/>
      <c r="AE1693" s="378"/>
      <c r="AF1693" s="378"/>
      <c r="AG1693" s="378"/>
    </row>
    <row r="1694">
      <c r="A1694" s="378"/>
      <c r="B1694" s="477"/>
      <c r="C1694" s="378"/>
      <c r="D1694" s="378"/>
      <c r="E1694" s="378"/>
      <c r="F1694" s="378"/>
      <c r="G1694" s="378"/>
      <c r="H1694" s="378"/>
      <c r="I1694" s="376"/>
      <c r="J1694" s="377"/>
      <c r="K1694" s="378"/>
      <c r="L1694" s="378"/>
      <c r="M1694" s="378"/>
      <c r="N1694" s="379"/>
      <c r="O1694" s="380"/>
      <c r="P1694" s="378"/>
      <c r="Q1694" s="378"/>
      <c r="R1694" s="378"/>
      <c r="S1694" s="378"/>
      <c r="T1694" s="378"/>
      <c r="U1694" s="378"/>
      <c r="V1694" s="378"/>
      <c r="W1694" s="378"/>
      <c r="X1694" s="378"/>
      <c r="Y1694" s="378"/>
      <c r="Z1694" s="378"/>
      <c r="AA1694" s="378"/>
      <c r="AB1694" s="378"/>
      <c r="AC1694" s="378"/>
      <c r="AD1694" s="378"/>
      <c r="AE1694" s="378"/>
      <c r="AF1694" s="378"/>
      <c r="AG1694" s="378"/>
    </row>
    <row r="1695">
      <c r="A1695" s="378"/>
      <c r="B1695" s="477"/>
      <c r="C1695" s="378"/>
      <c r="D1695" s="378"/>
      <c r="E1695" s="378"/>
      <c r="F1695" s="378"/>
      <c r="G1695" s="378"/>
      <c r="H1695" s="378"/>
      <c r="I1695" s="376"/>
      <c r="J1695" s="377"/>
      <c r="K1695" s="378"/>
      <c r="L1695" s="378"/>
      <c r="M1695" s="378"/>
      <c r="N1695" s="379"/>
      <c r="O1695" s="380"/>
      <c r="P1695" s="378"/>
      <c r="Q1695" s="378"/>
      <c r="R1695" s="378"/>
      <c r="S1695" s="378"/>
      <c r="T1695" s="378"/>
      <c r="U1695" s="378"/>
      <c r="V1695" s="378"/>
      <c r="W1695" s="378"/>
      <c r="X1695" s="378"/>
      <c r="Y1695" s="378"/>
      <c r="Z1695" s="378"/>
      <c r="AA1695" s="378"/>
      <c r="AB1695" s="378"/>
      <c r="AC1695" s="378"/>
      <c r="AD1695" s="378"/>
      <c r="AE1695" s="378"/>
      <c r="AF1695" s="378"/>
      <c r="AG1695" s="378"/>
    </row>
    <row r="1696">
      <c r="A1696" s="378"/>
      <c r="B1696" s="477"/>
      <c r="C1696" s="378"/>
      <c r="D1696" s="378"/>
      <c r="E1696" s="378"/>
      <c r="F1696" s="378"/>
      <c r="G1696" s="378"/>
      <c r="H1696" s="378"/>
      <c r="I1696" s="376"/>
      <c r="J1696" s="377"/>
      <c r="K1696" s="378"/>
      <c r="L1696" s="378"/>
      <c r="M1696" s="378"/>
      <c r="N1696" s="379"/>
      <c r="O1696" s="380"/>
      <c r="P1696" s="378"/>
      <c r="Q1696" s="378"/>
      <c r="R1696" s="378"/>
      <c r="S1696" s="378"/>
      <c r="T1696" s="378"/>
      <c r="U1696" s="378"/>
      <c r="V1696" s="378"/>
      <c r="W1696" s="378"/>
      <c r="X1696" s="378"/>
      <c r="Y1696" s="378"/>
      <c r="Z1696" s="378"/>
      <c r="AA1696" s="378"/>
      <c r="AB1696" s="378"/>
      <c r="AC1696" s="378"/>
      <c r="AD1696" s="378"/>
      <c r="AE1696" s="378"/>
      <c r="AF1696" s="378"/>
      <c r="AG1696" s="378"/>
    </row>
    <row r="1697">
      <c r="A1697" s="378"/>
      <c r="B1697" s="477"/>
      <c r="C1697" s="378"/>
      <c r="D1697" s="378"/>
      <c r="E1697" s="378"/>
      <c r="F1697" s="378"/>
      <c r="G1697" s="378"/>
      <c r="H1697" s="378"/>
      <c r="I1697" s="376"/>
      <c r="J1697" s="377"/>
      <c r="K1697" s="378"/>
      <c r="L1697" s="378"/>
      <c r="M1697" s="378"/>
      <c r="N1697" s="379"/>
      <c r="O1697" s="380"/>
      <c r="P1697" s="378"/>
      <c r="Q1697" s="378"/>
      <c r="R1697" s="378"/>
      <c r="S1697" s="378"/>
      <c r="T1697" s="378"/>
      <c r="U1697" s="378"/>
      <c r="V1697" s="378"/>
      <c r="W1697" s="378"/>
      <c r="X1697" s="378"/>
      <c r="Y1697" s="378"/>
      <c r="Z1697" s="378"/>
      <c r="AA1697" s="378"/>
      <c r="AB1697" s="378"/>
      <c r="AC1697" s="378"/>
      <c r="AD1697" s="378"/>
      <c r="AE1697" s="378"/>
      <c r="AF1697" s="378"/>
      <c r="AG1697" s="378"/>
    </row>
    <row r="1698">
      <c r="A1698" s="378"/>
      <c r="B1698" s="477"/>
      <c r="C1698" s="378"/>
      <c r="D1698" s="378"/>
      <c r="E1698" s="378"/>
      <c r="F1698" s="378"/>
      <c r="G1698" s="378"/>
      <c r="H1698" s="378"/>
      <c r="I1698" s="376"/>
      <c r="J1698" s="377"/>
      <c r="K1698" s="378"/>
      <c r="L1698" s="378"/>
      <c r="M1698" s="378"/>
      <c r="N1698" s="379"/>
      <c r="O1698" s="380"/>
      <c r="P1698" s="378"/>
      <c r="Q1698" s="378"/>
      <c r="R1698" s="378"/>
      <c r="S1698" s="378"/>
      <c r="T1698" s="378"/>
      <c r="U1698" s="378"/>
      <c r="V1698" s="378"/>
      <c r="W1698" s="378"/>
      <c r="X1698" s="378"/>
      <c r="Y1698" s="378"/>
      <c r="Z1698" s="378"/>
      <c r="AA1698" s="378"/>
      <c r="AB1698" s="378"/>
      <c r="AC1698" s="378"/>
      <c r="AD1698" s="378"/>
      <c r="AE1698" s="378"/>
      <c r="AF1698" s="378"/>
      <c r="AG1698" s="378"/>
    </row>
    <row r="1699">
      <c r="A1699" s="378"/>
      <c r="B1699" s="477"/>
      <c r="C1699" s="378"/>
      <c r="D1699" s="378"/>
      <c r="E1699" s="378"/>
      <c r="F1699" s="378"/>
      <c r="G1699" s="378"/>
      <c r="H1699" s="378"/>
      <c r="I1699" s="376"/>
      <c r="J1699" s="377"/>
      <c r="K1699" s="378"/>
      <c r="L1699" s="378"/>
      <c r="M1699" s="378"/>
      <c r="N1699" s="379"/>
      <c r="O1699" s="380"/>
      <c r="P1699" s="378"/>
      <c r="Q1699" s="378"/>
      <c r="R1699" s="378"/>
      <c r="S1699" s="378"/>
      <c r="T1699" s="378"/>
      <c r="U1699" s="378"/>
      <c r="V1699" s="378"/>
      <c r="W1699" s="378"/>
      <c r="X1699" s="378"/>
      <c r="Y1699" s="378"/>
      <c r="Z1699" s="378"/>
      <c r="AA1699" s="378"/>
      <c r="AB1699" s="378"/>
      <c r="AC1699" s="378"/>
      <c r="AD1699" s="378"/>
      <c r="AE1699" s="378"/>
      <c r="AF1699" s="378"/>
      <c r="AG1699" s="378"/>
    </row>
    <row r="1700">
      <c r="A1700" s="378"/>
      <c r="B1700" s="477"/>
      <c r="C1700" s="378"/>
      <c r="D1700" s="378"/>
      <c r="E1700" s="378"/>
      <c r="F1700" s="378"/>
      <c r="G1700" s="378"/>
      <c r="H1700" s="378"/>
      <c r="I1700" s="376"/>
      <c r="J1700" s="377"/>
      <c r="K1700" s="378"/>
      <c r="L1700" s="378"/>
      <c r="M1700" s="378"/>
      <c r="N1700" s="379"/>
      <c r="O1700" s="380"/>
      <c r="P1700" s="378"/>
      <c r="Q1700" s="378"/>
      <c r="R1700" s="378"/>
      <c r="S1700" s="378"/>
      <c r="T1700" s="378"/>
      <c r="U1700" s="378"/>
      <c r="V1700" s="378"/>
      <c r="W1700" s="378"/>
      <c r="X1700" s="378"/>
      <c r="Y1700" s="378"/>
      <c r="Z1700" s="378"/>
      <c r="AA1700" s="378"/>
      <c r="AB1700" s="378"/>
      <c r="AC1700" s="378"/>
      <c r="AD1700" s="378"/>
      <c r="AE1700" s="378"/>
      <c r="AF1700" s="378"/>
      <c r="AG1700" s="378"/>
    </row>
    <row r="1701">
      <c r="A1701" s="378"/>
      <c r="B1701" s="477"/>
      <c r="C1701" s="378"/>
      <c r="D1701" s="378"/>
      <c r="E1701" s="378"/>
      <c r="F1701" s="378"/>
      <c r="G1701" s="378"/>
      <c r="H1701" s="378"/>
      <c r="I1701" s="376"/>
      <c r="J1701" s="377"/>
      <c r="K1701" s="378"/>
      <c r="L1701" s="378"/>
      <c r="M1701" s="378"/>
      <c r="N1701" s="379"/>
      <c r="O1701" s="380"/>
      <c r="P1701" s="378"/>
      <c r="Q1701" s="378"/>
      <c r="R1701" s="378"/>
      <c r="S1701" s="378"/>
      <c r="T1701" s="378"/>
      <c r="U1701" s="378"/>
      <c r="V1701" s="378"/>
      <c r="W1701" s="378"/>
      <c r="X1701" s="378"/>
      <c r="Y1701" s="378"/>
      <c r="Z1701" s="378"/>
      <c r="AA1701" s="378"/>
      <c r="AB1701" s="378"/>
      <c r="AC1701" s="378"/>
      <c r="AD1701" s="378"/>
      <c r="AE1701" s="378"/>
      <c r="AF1701" s="378"/>
      <c r="AG1701" s="378"/>
    </row>
    <row r="1702">
      <c r="A1702" s="378"/>
      <c r="B1702" s="477"/>
      <c r="C1702" s="378"/>
      <c r="D1702" s="378"/>
      <c r="E1702" s="378"/>
      <c r="F1702" s="378"/>
      <c r="G1702" s="378"/>
      <c r="H1702" s="378"/>
      <c r="I1702" s="376"/>
      <c r="J1702" s="377"/>
      <c r="K1702" s="378"/>
      <c r="L1702" s="378"/>
      <c r="M1702" s="378"/>
      <c r="N1702" s="379"/>
      <c r="O1702" s="380"/>
      <c r="P1702" s="378"/>
      <c r="Q1702" s="378"/>
      <c r="R1702" s="378"/>
      <c r="S1702" s="378"/>
      <c r="T1702" s="378"/>
      <c r="U1702" s="378"/>
      <c r="V1702" s="378"/>
      <c r="W1702" s="378"/>
      <c r="X1702" s="378"/>
      <c r="Y1702" s="378"/>
      <c r="Z1702" s="378"/>
      <c r="AA1702" s="378"/>
      <c r="AB1702" s="378"/>
      <c r="AC1702" s="378"/>
      <c r="AD1702" s="378"/>
      <c r="AE1702" s="378"/>
      <c r="AF1702" s="378"/>
      <c r="AG1702" s="378"/>
    </row>
    <row r="1703">
      <c r="A1703" s="378"/>
      <c r="B1703" s="477"/>
      <c r="C1703" s="378"/>
      <c r="D1703" s="378"/>
      <c r="E1703" s="378"/>
      <c r="F1703" s="378"/>
      <c r="G1703" s="378"/>
      <c r="H1703" s="378"/>
      <c r="I1703" s="376"/>
      <c r="J1703" s="377"/>
      <c r="K1703" s="378"/>
      <c r="L1703" s="378"/>
      <c r="M1703" s="378"/>
      <c r="N1703" s="379"/>
      <c r="O1703" s="380"/>
      <c r="P1703" s="378"/>
      <c r="Q1703" s="378"/>
      <c r="R1703" s="378"/>
      <c r="S1703" s="378"/>
      <c r="T1703" s="378"/>
      <c r="U1703" s="378"/>
      <c r="V1703" s="378"/>
      <c r="W1703" s="378"/>
      <c r="X1703" s="378"/>
      <c r="Y1703" s="378"/>
      <c r="Z1703" s="378"/>
      <c r="AA1703" s="378"/>
      <c r="AB1703" s="378"/>
      <c r="AC1703" s="378"/>
      <c r="AD1703" s="378"/>
      <c r="AE1703" s="378"/>
      <c r="AF1703" s="378"/>
      <c r="AG1703" s="378"/>
    </row>
    <row r="1704">
      <c r="A1704" s="378"/>
      <c r="B1704" s="477"/>
      <c r="C1704" s="378"/>
      <c r="D1704" s="378"/>
      <c r="E1704" s="378"/>
      <c r="F1704" s="378"/>
      <c r="G1704" s="378"/>
      <c r="H1704" s="378"/>
      <c r="I1704" s="376"/>
      <c r="J1704" s="377"/>
      <c r="K1704" s="378"/>
      <c r="L1704" s="378"/>
      <c r="M1704" s="378"/>
      <c r="N1704" s="379"/>
      <c r="O1704" s="380"/>
      <c r="P1704" s="378"/>
      <c r="Q1704" s="378"/>
      <c r="R1704" s="378"/>
      <c r="S1704" s="378"/>
      <c r="T1704" s="378"/>
      <c r="U1704" s="378"/>
      <c r="V1704" s="378"/>
      <c r="W1704" s="378"/>
      <c r="X1704" s="378"/>
      <c r="Y1704" s="378"/>
      <c r="Z1704" s="378"/>
      <c r="AA1704" s="378"/>
      <c r="AB1704" s="378"/>
      <c r="AC1704" s="378"/>
      <c r="AD1704" s="378"/>
      <c r="AE1704" s="378"/>
      <c r="AF1704" s="378"/>
      <c r="AG1704" s="378"/>
    </row>
    <row r="1705">
      <c r="A1705" s="378"/>
      <c r="B1705" s="477"/>
      <c r="C1705" s="378"/>
      <c r="D1705" s="378"/>
      <c r="E1705" s="378"/>
      <c r="F1705" s="378"/>
      <c r="G1705" s="378"/>
      <c r="H1705" s="378"/>
      <c r="I1705" s="376"/>
      <c r="J1705" s="377"/>
      <c r="K1705" s="378"/>
      <c r="L1705" s="378"/>
      <c r="M1705" s="378"/>
      <c r="N1705" s="379"/>
      <c r="O1705" s="380"/>
      <c r="P1705" s="378"/>
      <c r="Q1705" s="378"/>
      <c r="R1705" s="378"/>
      <c r="S1705" s="378"/>
      <c r="T1705" s="378"/>
      <c r="U1705" s="378"/>
      <c r="V1705" s="378"/>
      <c r="W1705" s="378"/>
      <c r="X1705" s="378"/>
      <c r="Y1705" s="378"/>
      <c r="Z1705" s="378"/>
      <c r="AA1705" s="378"/>
      <c r="AB1705" s="378"/>
      <c r="AC1705" s="378"/>
      <c r="AD1705" s="378"/>
      <c r="AE1705" s="378"/>
      <c r="AF1705" s="378"/>
      <c r="AG1705" s="378"/>
    </row>
    <row r="1706">
      <c r="A1706" s="378"/>
      <c r="B1706" s="477"/>
      <c r="C1706" s="378"/>
      <c r="D1706" s="378"/>
      <c r="E1706" s="378"/>
      <c r="F1706" s="378"/>
      <c r="G1706" s="378"/>
      <c r="H1706" s="378"/>
      <c r="I1706" s="376"/>
      <c r="J1706" s="377"/>
      <c r="K1706" s="378"/>
      <c r="L1706" s="378"/>
      <c r="M1706" s="378"/>
      <c r="N1706" s="379"/>
      <c r="O1706" s="380"/>
      <c r="P1706" s="378"/>
      <c r="Q1706" s="378"/>
      <c r="R1706" s="378"/>
      <c r="S1706" s="378"/>
      <c r="T1706" s="378"/>
      <c r="U1706" s="378"/>
      <c r="V1706" s="378"/>
      <c r="W1706" s="378"/>
      <c r="X1706" s="378"/>
      <c r="Y1706" s="378"/>
      <c r="Z1706" s="378"/>
      <c r="AA1706" s="378"/>
      <c r="AB1706" s="378"/>
      <c r="AC1706" s="378"/>
      <c r="AD1706" s="378"/>
      <c r="AE1706" s="378"/>
      <c r="AF1706" s="378"/>
      <c r="AG1706" s="378"/>
    </row>
    <row r="1707">
      <c r="A1707" s="378"/>
      <c r="B1707" s="477"/>
      <c r="C1707" s="378"/>
      <c r="D1707" s="378"/>
      <c r="E1707" s="378"/>
      <c r="F1707" s="378"/>
      <c r="G1707" s="378"/>
      <c r="H1707" s="378"/>
      <c r="I1707" s="376"/>
      <c r="J1707" s="377"/>
      <c r="K1707" s="378"/>
      <c r="L1707" s="378"/>
      <c r="M1707" s="378"/>
      <c r="N1707" s="379"/>
      <c r="O1707" s="380"/>
      <c r="P1707" s="378"/>
      <c r="Q1707" s="378"/>
      <c r="R1707" s="378"/>
      <c r="S1707" s="378"/>
      <c r="T1707" s="378"/>
      <c r="U1707" s="378"/>
      <c r="V1707" s="378"/>
      <c r="W1707" s="378"/>
      <c r="X1707" s="378"/>
      <c r="Y1707" s="378"/>
      <c r="Z1707" s="378"/>
      <c r="AA1707" s="378"/>
      <c r="AB1707" s="378"/>
      <c r="AC1707" s="378"/>
      <c r="AD1707" s="378"/>
      <c r="AE1707" s="378"/>
      <c r="AF1707" s="378"/>
      <c r="AG1707" s="378"/>
    </row>
    <row r="1708">
      <c r="A1708" s="378"/>
      <c r="B1708" s="477"/>
      <c r="C1708" s="378"/>
      <c r="D1708" s="378"/>
      <c r="E1708" s="378"/>
      <c r="F1708" s="378"/>
      <c r="G1708" s="378"/>
      <c r="H1708" s="378"/>
      <c r="I1708" s="376"/>
      <c r="J1708" s="377"/>
      <c r="K1708" s="378"/>
      <c r="L1708" s="378"/>
      <c r="M1708" s="378"/>
      <c r="N1708" s="379"/>
      <c r="O1708" s="380"/>
      <c r="P1708" s="378"/>
      <c r="Q1708" s="378"/>
      <c r="R1708" s="378"/>
      <c r="S1708" s="378"/>
      <c r="T1708" s="378"/>
      <c r="U1708" s="378"/>
      <c r="V1708" s="378"/>
      <c r="W1708" s="378"/>
      <c r="X1708" s="378"/>
      <c r="Y1708" s="378"/>
      <c r="Z1708" s="378"/>
      <c r="AA1708" s="378"/>
      <c r="AB1708" s="378"/>
      <c r="AC1708" s="378"/>
      <c r="AD1708" s="378"/>
      <c r="AE1708" s="378"/>
      <c r="AF1708" s="378"/>
      <c r="AG1708" s="378"/>
    </row>
    <row r="1709">
      <c r="A1709" s="378"/>
      <c r="B1709" s="477"/>
      <c r="C1709" s="378"/>
      <c r="D1709" s="378"/>
      <c r="E1709" s="378"/>
      <c r="F1709" s="378"/>
      <c r="G1709" s="378"/>
      <c r="H1709" s="378"/>
      <c r="I1709" s="376"/>
      <c r="J1709" s="377"/>
      <c r="K1709" s="378"/>
      <c r="L1709" s="378"/>
      <c r="M1709" s="378"/>
      <c r="N1709" s="379"/>
      <c r="O1709" s="380"/>
      <c r="P1709" s="378"/>
      <c r="Q1709" s="378"/>
      <c r="R1709" s="378"/>
      <c r="S1709" s="378"/>
      <c r="T1709" s="378"/>
      <c r="U1709" s="378"/>
      <c r="V1709" s="378"/>
      <c r="W1709" s="378"/>
      <c r="X1709" s="378"/>
      <c r="Y1709" s="378"/>
      <c r="Z1709" s="378"/>
      <c r="AA1709" s="378"/>
      <c r="AB1709" s="378"/>
      <c r="AC1709" s="378"/>
      <c r="AD1709" s="378"/>
      <c r="AE1709" s="378"/>
      <c r="AF1709" s="378"/>
      <c r="AG1709" s="378"/>
    </row>
    <row r="1710">
      <c r="A1710" s="378"/>
      <c r="B1710" s="477"/>
      <c r="C1710" s="378"/>
      <c r="D1710" s="378"/>
      <c r="E1710" s="378"/>
      <c r="F1710" s="378"/>
      <c r="G1710" s="378"/>
      <c r="H1710" s="378"/>
      <c r="I1710" s="376"/>
      <c r="J1710" s="377"/>
      <c r="K1710" s="378"/>
      <c r="L1710" s="378"/>
      <c r="M1710" s="378"/>
      <c r="N1710" s="379"/>
      <c r="O1710" s="380"/>
      <c r="P1710" s="378"/>
      <c r="Q1710" s="378"/>
      <c r="R1710" s="378"/>
      <c r="S1710" s="378"/>
      <c r="T1710" s="378"/>
      <c r="U1710" s="378"/>
      <c r="V1710" s="378"/>
      <c r="W1710" s="378"/>
      <c r="X1710" s="378"/>
      <c r="Y1710" s="378"/>
      <c r="Z1710" s="378"/>
      <c r="AA1710" s="378"/>
      <c r="AB1710" s="378"/>
      <c r="AC1710" s="378"/>
      <c r="AD1710" s="378"/>
      <c r="AE1710" s="378"/>
      <c r="AF1710" s="378"/>
      <c r="AG1710" s="378"/>
    </row>
    <row r="1711">
      <c r="A1711" s="378"/>
      <c r="B1711" s="477"/>
      <c r="C1711" s="378"/>
      <c r="D1711" s="378"/>
      <c r="E1711" s="378"/>
      <c r="F1711" s="378"/>
      <c r="G1711" s="378"/>
      <c r="H1711" s="378"/>
      <c r="I1711" s="376"/>
      <c r="J1711" s="377"/>
      <c r="K1711" s="378"/>
      <c r="L1711" s="378"/>
      <c r="M1711" s="378"/>
      <c r="N1711" s="379"/>
      <c r="O1711" s="380"/>
      <c r="P1711" s="378"/>
      <c r="Q1711" s="378"/>
      <c r="R1711" s="378"/>
      <c r="S1711" s="378"/>
      <c r="T1711" s="378"/>
      <c r="U1711" s="378"/>
      <c r="V1711" s="378"/>
      <c r="W1711" s="378"/>
      <c r="X1711" s="378"/>
      <c r="Y1711" s="378"/>
      <c r="Z1711" s="378"/>
      <c r="AA1711" s="378"/>
      <c r="AB1711" s="378"/>
      <c r="AC1711" s="378"/>
      <c r="AD1711" s="378"/>
      <c r="AE1711" s="378"/>
      <c r="AF1711" s="378"/>
      <c r="AG1711" s="378"/>
    </row>
    <row r="1712">
      <c r="A1712" s="378"/>
      <c r="B1712" s="477"/>
      <c r="C1712" s="378"/>
      <c r="D1712" s="378"/>
      <c r="E1712" s="378"/>
      <c r="F1712" s="378"/>
      <c r="G1712" s="378"/>
      <c r="H1712" s="378"/>
      <c r="I1712" s="376"/>
      <c r="J1712" s="377"/>
      <c r="K1712" s="378"/>
      <c r="L1712" s="378"/>
      <c r="M1712" s="378"/>
      <c r="N1712" s="379"/>
      <c r="O1712" s="380"/>
      <c r="P1712" s="378"/>
      <c r="Q1712" s="378"/>
      <c r="R1712" s="378"/>
      <c r="S1712" s="378"/>
      <c r="T1712" s="378"/>
      <c r="U1712" s="378"/>
      <c r="V1712" s="378"/>
      <c r="W1712" s="378"/>
      <c r="X1712" s="378"/>
      <c r="Y1712" s="378"/>
      <c r="Z1712" s="378"/>
      <c r="AA1712" s="378"/>
      <c r="AB1712" s="378"/>
      <c r="AC1712" s="378"/>
      <c r="AD1712" s="378"/>
      <c r="AE1712" s="378"/>
      <c r="AF1712" s="378"/>
      <c r="AG1712" s="378"/>
    </row>
    <row r="1713">
      <c r="A1713" s="378"/>
      <c r="B1713" s="477"/>
      <c r="C1713" s="378"/>
      <c r="D1713" s="378"/>
      <c r="E1713" s="378"/>
      <c r="F1713" s="378"/>
      <c r="G1713" s="378"/>
      <c r="H1713" s="378"/>
      <c r="I1713" s="376"/>
      <c r="J1713" s="377"/>
      <c r="K1713" s="378"/>
      <c r="L1713" s="378"/>
      <c r="M1713" s="378"/>
      <c r="N1713" s="379"/>
      <c r="O1713" s="380"/>
      <c r="P1713" s="378"/>
      <c r="Q1713" s="378"/>
      <c r="R1713" s="378"/>
      <c r="S1713" s="378"/>
      <c r="T1713" s="378"/>
      <c r="U1713" s="378"/>
      <c r="V1713" s="378"/>
      <c r="W1713" s="378"/>
      <c r="X1713" s="378"/>
      <c r="Y1713" s="378"/>
      <c r="Z1713" s="378"/>
      <c r="AA1713" s="378"/>
      <c r="AB1713" s="378"/>
      <c r="AC1713" s="378"/>
      <c r="AD1713" s="378"/>
      <c r="AE1713" s="378"/>
      <c r="AF1713" s="378"/>
      <c r="AG1713" s="378"/>
    </row>
    <row r="1714">
      <c r="A1714" s="378"/>
      <c r="B1714" s="477"/>
      <c r="C1714" s="378"/>
      <c r="D1714" s="378"/>
      <c r="E1714" s="378"/>
      <c r="F1714" s="378"/>
      <c r="G1714" s="378"/>
      <c r="H1714" s="378"/>
      <c r="I1714" s="376"/>
      <c r="J1714" s="377"/>
      <c r="K1714" s="378"/>
      <c r="L1714" s="378"/>
      <c r="M1714" s="378"/>
      <c r="N1714" s="379"/>
      <c r="O1714" s="380"/>
      <c r="P1714" s="378"/>
      <c r="Q1714" s="378"/>
      <c r="R1714" s="378"/>
      <c r="S1714" s="378"/>
      <c r="T1714" s="378"/>
      <c r="U1714" s="378"/>
      <c r="V1714" s="378"/>
      <c r="W1714" s="378"/>
      <c r="X1714" s="378"/>
      <c r="Y1714" s="378"/>
      <c r="Z1714" s="378"/>
      <c r="AA1714" s="378"/>
      <c r="AB1714" s="378"/>
      <c r="AC1714" s="378"/>
      <c r="AD1714" s="378"/>
      <c r="AE1714" s="378"/>
      <c r="AF1714" s="378"/>
      <c r="AG1714" s="378"/>
    </row>
    <row r="1715">
      <c r="A1715" s="378"/>
      <c r="B1715" s="477"/>
      <c r="C1715" s="378"/>
      <c r="D1715" s="378"/>
      <c r="E1715" s="378"/>
      <c r="F1715" s="378"/>
      <c r="G1715" s="378"/>
      <c r="H1715" s="378"/>
      <c r="I1715" s="376"/>
      <c r="J1715" s="377"/>
      <c r="K1715" s="378"/>
      <c r="L1715" s="378"/>
      <c r="M1715" s="378"/>
      <c r="N1715" s="379"/>
      <c r="O1715" s="380"/>
      <c r="P1715" s="378"/>
      <c r="Q1715" s="378"/>
      <c r="R1715" s="378"/>
      <c r="S1715" s="378"/>
      <c r="T1715" s="378"/>
      <c r="U1715" s="378"/>
      <c r="V1715" s="378"/>
      <c r="W1715" s="378"/>
      <c r="X1715" s="378"/>
      <c r="Y1715" s="378"/>
      <c r="Z1715" s="378"/>
      <c r="AA1715" s="378"/>
      <c r="AB1715" s="378"/>
      <c r="AC1715" s="378"/>
      <c r="AD1715" s="378"/>
      <c r="AE1715" s="378"/>
      <c r="AF1715" s="378"/>
      <c r="AG1715" s="378"/>
    </row>
    <row r="1716">
      <c r="A1716" s="378"/>
      <c r="B1716" s="477"/>
      <c r="C1716" s="378"/>
      <c r="D1716" s="378"/>
      <c r="E1716" s="378"/>
      <c r="F1716" s="378"/>
      <c r="G1716" s="378"/>
      <c r="H1716" s="378"/>
      <c r="I1716" s="376"/>
      <c r="J1716" s="377"/>
      <c r="K1716" s="378"/>
      <c r="L1716" s="378"/>
      <c r="M1716" s="378"/>
      <c r="N1716" s="379"/>
      <c r="O1716" s="380"/>
      <c r="P1716" s="378"/>
      <c r="Q1716" s="378"/>
      <c r="R1716" s="378"/>
      <c r="S1716" s="378"/>
      <c r="T1716" s="378"/>
      <c r="U1716" s="378"/>
      <c r="V1716" s="378"/>
      <c r="W1716" s="378"/>
      <c r="X1716" s="378"/>
      <c r="Y1716" s="378"/>
      <c r="Z1716" s="378"/>
      <c r="AA1716" s="378"/>
      <c r="AB1716" s="378"/>
      <c r="AC1716" s="378"/>
      <c r="AD1716" s="378"/>
      <c r="AE1716" s="378"/>
      <c r="AF1716" s="378"/>
      <c r="AG1716" s="378"/>
    </row>
    <row r="1717">
      <c r="A1717" s="378"/>
      <c r="B1717" s="477"/>
      <c r="C1717" s="378"/>
      <c r="D1717" s="378"/>
      <c r="E1717" s="378"/>
      <c r="F1717" s="378"/>
      <c r="G1717" s="378"/>
      <c r="H1717" s="378"/>
      <c r="I1717" s="376"/>
      <c r="J1717" s="377"/>
      <c r="K1717" s="378"/>
      <c r="L1717" s="378"/>
      <c r="M1717" s="378"/>
      <c r="N1717" s="379"/>
      <c r="O1717" s="380"/>
      <c r="P1717" s="378"/>
      <c r="Q1717" s="378"/>
      <c r="R1717" s="378"/>
      <c r="S1717" s="378"/>
      <c r="T1717" s="378"/>
      <c r="U1717" s="378"/>
      <c r="V1717" s="378"/>
      <c r="W1717" s="378"/>
      <c r="X1717" s="378"/>
      <c r="Y1717" s="378"/>
      <c r="Z1717" s="378"/>
      <c r="AA1717" s="378"/>
      <c r="AB1717" s="378"/>
      <c r="AC1717" s="378"/>
      <c r="AD1717" s="378"/>
      <c r="AE1717" s="378"/>
      <c r="AF1717" s="378"/>
      <c r="AG1717" s="378"/>
    </row>
    <row r="1718">
      <c r="A1718" s="378"/>
      <c r="B1718" s="477"/>
      <c r="C1718" s="378"/>
      <c r="D1718" s="378"/>
      <c r="E1718" s="378"/>
      <c r="F1718" s="378"/>
      <c r="G1718" s="378"/>
      <c r="H1718" s="378"/>
      <c r="I1718" s="376"/>
      <c r="J1718" s="377"/>
      <c r="K1718" s="378"/>
      <c r="L1718" s="378"/>
      <c r="M1718" s="378"/>
      <c r="N1718" s="379"/>
      <c r="O1718" s="380"/>
      <c r="P1718" s="378"/>
      <c r="Q1718" s="378"/>
      <c r="R1718" s="378"/>
      <c r="S1718" s="378"/>
      <c r="T1718" s="378"/>
      <c r="U1718" s="378"/>
      <c r="V1718" s="378"/>
      <c r="W1718" s="378"/>
      <c r="X1718" s="378"/>
      <c r="Y1718" s="378"/>
      <c r="Z1718" s="378"/>
      <c r="AA1718" s="378"/>
      <c r="AB1718" s="378"/>
      <c r="AC1718" s="378"/>
      <c r="AD1718" s="378"/>
      <c r="AE1718" s="378"/>
      <c r="AF1718" s="378"/>
      <c r="AG1718" s="378"/>
    </row>
    <row r="1719">
      <c r="A1719" s="378"/>
      <c r="B1719" s="477"/>
      <c r="C1719" s="378"/>
      <c r="D1719" s="378"/>
      <c r="E1719" s="378"/>
      <c r="F1719" s="378"/>
      <c r="G1719" s="378"/>
      <c r="H1719" s="378"/>
      <c r="I1719" s="376"/>
      <c r="J1719" s="377"/>
      <c r="K1719" s="378"/>
      <c r="L1719" s="378"/>
      <c r="M1719" s="378"/>
      <c r="N1719" s="379"/>
      <c r="O1719" s="380"/>
      <c r="P1719" s="378"/>
      <c r="Q1719" s="378"/>
      <c r="R1719" s="378"/>
      <c r="S1719" s="378"/>
      <c r="T1719" s="378"/>
      <c r="U1719" s="378"/>
      <c r="V1719" s="378"/>
      <c r="W1719" s="378"/>
      <c r="X1719" s="378"/>
      <c r="Y1719" s="378"/>
      <c r="Z1719" s="378"/>
      <c r="AA1719" s="378"/>
      <c r="AB1719" s="378"/>
      <c r="AC1719" s="378"/>
      <c r="AD1719" s="378"/>
      <c r="AE1719" s="378"/>
      <c r="AF1719" s="378"/>
      <c r="AG1719" s="378"/>
    </row>
    <row r="1720">
      <c r="A1720" s="378"/>
      <c r="B1720" s="477"/>
      <c r="C1720" s="378"/>
      <c r="D1720" s="378"/>
      <c r="E1720" s="378"/>
      <c r="F1720" s="378"/>
      <c r="G1720" s="378"/>
      <c r="H1720" s="378"/>
      <c r="I1720" s="376"/>
      <c r="J1720" s="377"/>
      <c r="K1720" s="378"/>
      <c r="L1720" s="378"/>
      <c r="M1720" s="378"/>
      <c r="N1720" s="379"/>
      <c r="O1720" s="380"/>
      <c r="P1720" s="378"/>
      <c r="Q1720" s="378"/>
      <c r="R1720" s="378"/>
      <c r="S1720" s="378"/>
      <c r="T1720" s="378"/>
      <c r="U1720" s="378"/>
      <c r="V1720" s="378"/>
      <c r="W1720" s="378"/>
      <c r="X1720" s="378"/>
      <c r="Y1720" s="378"/>
      <c r="Z1720" s="378"/>
      <c r="AA1720" s="378"/>
      <c r="AB1720" s="378"/>
      <c r="AC1720" s="378"/>
      <c r="AD1720" s="378"/>
      <c r="AE1720" s="378"/>
      <c r="AF1720" s="378"/>
      <c r="AG1720" s="378"/>
    </row>
    <row r="1721">
      <c r="A1721" s="378"/>
      <c r="B1721" s="477"/>
      <c r="C1721" s="378"/>
      <c r="D1721" s="378"/>
      <c r="E1721" s="378"/>
      <c r="F1721" s="378"/>
      <c r="G1721" s="378"/>
      <c r="H1721" s="378"/>
      <c r="I1721" s="376"/>
      <c r="J1721" s="377"/>
      <c r="K1721" s="378"/>
      <c r="L1721" s="378"/>
      <c r="M1721" s="378"/>
      <c r="N1721" s="379"/>
      <c r="O1721" s="380"/>
      <c r="P1721" s="378"/>
      <c r="Q1721" s="378"/>
      <c r="R1721" s="378"/>
      <c r="S1721" s="378"/>
      <c r="T1721" s="378"/>
      <c r="U1721" s="378"/>
      <c r="V1721" s="378"/>
      <c r="W1721" s="378"/>
      <c r="X1721" s="378"/>
      <c r="Y1721" s="378"/>
      <c r="Z1721" s="378"/>
      <c r="AA1721" s="378"/>
      <c r="AB1721" s="378"/>
      <c r="AC1721" s="378"/>
      <c r="AD1721" s="378"/>
      <c r="AE1721" s="378"/>
      <c r="AF1721" s="378"/>
      <c r="AG1721" s="378"/>
    </row>
    <row r="1722">
      <c r="A1722" s="378"/>
      <c r="B1722" s="477"/>
      <c r="C1722" s="378"/>
      <c r="D1722" s="378"/>
      <c r="E1722" s="378"/>
      <c r="F1722" s="378"/>
      <c r="G1722" s="378"/>
      <c r="H1722" s="378"/>
      <c r="I1722" s="376"/>
      <c r="J1722" s="377"/>
      <c r="K1722" s="378"/>
      <c r="L1722" s="378"/>
      <c r="M1722" s="378"/>
      <c r="N1722" s="379"/>
      <c r="O1722" s="380"/>
      <c r="P1722" s="378"/>
      <c r="Q1722" s="378"/>
      <c r="R1722" s="378"/>
      <c r="S1722" s="378"/>
      <c r="T1722" s="378"/>
      <c r="U1722" s="378"/>
      <c r="V1722" s="378"/>
      <c r="W1722" s="378"/>
      <c r="X1722" s="378"/>
      <c r="Y1722" s="378"/>
      <c r="Z1722" s="378"/>
      <c r="AA1722" s="378"/>
      <c r="AB1722" s="378"/>
      <c r="AC1722" s="378"/>
      <c r="AD1722" s="378"/>
      <c r="AE1722" s="378"/>
      <c r="AF1722" s="378"/>
      <c r="AG1722" s="378"/>
    </row>
    <row r="1723">
      <c r="A1723" s="378"/>
      <c r="B1723" s="477"/>
      <c r="C1723" s="378"/>
      <c r="D1723" s="378"/>
      <c r="E1723" s="378"/>
      <c r="F1723" s="378"/>
      <c r="G1723" s="378"/>
      <c r="H1723" s="378"/>
      <c r="I1723" s="376"/>
      <c r="J1723" s="377"/>
      <c r="K1723" s="378"/>
      <c r="L1723" s="378"/>
      <c r="M1723" s="378"/>
      <c r="N1723" s="379"/>
      <c r="O1723" s="380"/>
      <c r="P1723" s="378"/>
      <c r="Q1723" s="378"/>
      <c r="R1723" s="378"/>
      <c r="S1723" s="378"/>
      <c r="T1723" s="378"/>
      <c r="U1723" s="378"/>
      <c r="V1723" s="378"/>
      <c r="W1723" s="378"/>
      <c r="X1723" s="378"/>
      <c r="Y1723" s="378"/>
      <c r="Z1723" s="378"/>
      <c r="AA1723" s="378"/>
      <c r="AB1723" s="378"/>
      <c r="AC1723" s="378"/>
      <c r="AD1723" s="378"/>
      <c r="AE1723" s="378"/>
      <c r="AF1723" s="378"/>
      <c r="AG1723" s="378"/>
    </row>
    <row r="1724">
      <c r="A1724" s="378"/>
      <c r="B1724" s="477"/>
      <c r="C1724" s="378"/>
      <c r="D1724" s="378"/>
      <c r="E1724" s="378"/>
      <c r="F1724" s="378"/>
      <c r="G1724" s="378"/>
      <c r="H1724" s="378"/>
      <c r="I1724" s="376"/>
      <c r="J1724" s="377"/>
      <c r="K1724" s="378"/>
      <c r="L1724" s="378"/>
      <c r="M1724" s="378"/>
      <c r="N1724" s="379"/>
      <c r="O1724" s="380"/>
      <c r="P1724" s="378"/>
      <c r="Q1724" s="378"/>
      <c r="R1724" s="378"/>
      <c r="S1724" s="378"/>
      <c r="T1724" s="378"/>
      <c r="U1724" s="378"/>
      <c r="V1724" s="378"/>
      <c r="W1724" s="378"/>
      <c r="X1724" s="378"/>
      <c r="Y1724" s="378"/>
      <c r="Z1724" s="378"/>
      <c r="AA1724" s="378"/>
      <c r="AB1724" s="378"/>
      <c r="AC1724" s="378"/>
      <c r="AD1724" s="378"/>
      <c r="AE1724" s="378"/>
      <c r="AF1724" s="378"/>
      <c r="AG1724" s="378"/>
    </row>
    <row r="1725">
      <c r="A1725" s="378"/>
      <c r="B1725" s="477"/>
      <c r="C1725" s="378"/>
      <c r="D1725" s="378"/>
      <c r="E1725" s="378"/>
      <c r="F1725" s="378"/>
      <c r="G1725" s="378"/>
      <c r="H1725" s="378"/>
      <c r="I1725" s="376"/>
      <c r="J1725" s="377"/>
      <c r="K1725" s="378"/>
      <c r="L1725" s="378"/>
      <c r="M1725" s="378"/>
      <c r="N1725" s="379"/>
      <c r="O1725" s="380"/>
      <c r="P1725" s="378"/>
      <c r="Q1725" s="378"/>
      <c r="R1725" s="378"/>
      <c r="S1725" s="378"/>
      <c r="T1725" s="378"/>
      <c r="U1725" s="378"/>
      <c r="V1725" s="378"/>
      <c r="W1725" s="378"/>
      <c r="X1725" s="378"/>
      <c r="Y1725" s="378"/>
      <c r="Z1725" s="378"/>
      <c r="AA1725" s="378"/>
      <c r="AB1725" s="378"/>
      <c r="AC1725" s="378"/>
      <c r="AD1725" s="378"/>
      <c r="AE1725" s="378"/>
      <c r="AF1725" s="378"/>
      <c r="AG1725" s="378"/>
    </row>
    <row r="1726">
      <c r="A1726" s="378"/>
      <c r="B1726" s="477"/>
      <c r="C1726" s="378"/>
      <c r="D1726" s="378"/>
      <c r="E1726" s="378"/>
      <c r="F1726" s="378"/>
      <c r="G1726" s="378"/>
      <c r="H1726" s="378"/>
      <c r="I1726" s="376"/>
      <c r="J1726" s="377"/>
      <c r="K1726" s="378"/>
      <c r="L1726" s="378"/>
      <c r="M1726" s="378"/>
      <c r="N1726" s="379"/>
      <c r="O1726" s="380"/>
      <c r="P1726" s="378"/>
      <c r="Q1726" s="378"/>
      <c r="R1726" s="378"/>
      <c r="S1726" s="378"/>
      <c r="T1726" s="378"/>
      <c r="U1726" s="378"/>
      <c r="V1726" s="378"/>
      <c r="W1726" s="378"/>
      <c r="X1726" s="378"/>
      <c r="Y1726" s="378"/>
      <c r="Z1726" s="378"/>
      <c r="AA1726" s="378"/>
      <c r="AB1726" s="378"/>
      <c r="AC1726" s="378"/>
      <c r="AD1726" s="378"/>
      <c r="AE1726" s="378"/>
      <c r="AF1726" s="378"/>
      <c r="AG1726" s="378"/>
    </row>
    <row r="1727">
      <c r="A1727" s="378"/>
      <c r="B1727" s="477"/>
      <c r="C1727" s="378"/>
      <c r="D1727" s="378"/>
      <c r="E1727" s="378"/>
      <c r="F1727" s="378"/>
      <c r="G1727" s="378"/>
      <c r="H1727" s="378"/>
      <c r="I1727" s="376"/>
      <c r="J1727" s="377"/>
      <c r="K1727" s="378"/>
      <c r="L1727" s="378"/>
      <c r="M1727" s="378"/>
      <c r="N1727" s="379"/>
      <c r="O1727" s="380"/>
      <c r="P1727" s="378"/>
      <c r="Q1727" s="378"/>
      <c r="R1727" s="378"/>
      <c r="S1727" s="378"/>
      <c r="T1727" s="378"/>
      <c r="U1727" s="378"/>
      <c r="V1727" s="378"/>
      <c r="W1727" s="378"/>
      <c r="X1727" s="378"/>
      <c r="Y1727" s="378"/>
      <c r="Z1727" s="378"/>
      <c r="AA1727" s="378"/>
      <c r="AB1727" s="378"/>
      <c r="AC1727" s="378"/>
      <c r="AD1727" s="378"/>
      <c r="AE1727" s="378"/>
      <c r="AF1727" s="378"/>
      <c r="AG1727" s="378"/>
    </row>
    <row r="1728">
      <c r="A1728" s="378"/>
      <c r="B1728" s="477"/>
      <c r="C1728" s="378"/>
      <c r="D1728" s="378"/>
      <c r="E1728" s="378"/>
      <c r="F1728" s="378"/>
      <c r="G1728" s="378"/>
      <c r="H1728" s="378"/>
      <c r="I1728" s="376"/>
      <c r="J1728" s="377"/>
      <c r="K1728" s="378"/>
      <c r="L1728" s="378"/>
      <c r="M1728" s="378"/>
      <c r="N1728" s="379"/>
      <c r="O1728" s="380"/>
      <c r="P1728" s="378"/>
      <c r="Q1728" s="378"/>
      <c r="R1728" s="378"/>
      <c r="S1728" s="378"/>
      <c r="T1728" s="378"/>
      <c r="U1728" s="378"/>
      <c r="V1728" s="378"/>
      <c r="W1728" s="378"/>
      <c r="X1728" s="378"/>
      <c r="Y1728" s="378"/>
      <c r="Z1728" s="378"/>
      <c r="AA1728" s="378"/>
      <c r="AB1728" s="378"/>
      <c r="AC1728" s="378"/>
      <c r="AD1728" s="378"/>
      <c r="AE1728" s="378"/>
      <c r="AF1728" s="378"/>
      <c r="AG1728" s="378"/>
    </row>
    <row r="1729">
      <c r="A1729" s="378"/>
      <c r="B1729" s="477"/>
      <c r="C1729" s="378"/>
      <c r="D1729" s="378"/>
      <c r="E1729" s="378"/>
      <c r="F1729" s="378"/>
      <c r="G1729" s="378"/>
      <c r="H1729" s="378"/>
      <c r="I1729" s="376"/>
      <c r="J1729" s="377"/>
      <c r="K1729" s="378"/>
      <c r="L1729" s="378"/>
      <c r="M1729" s="378"/>
      <c r="N1729" s="379"/>
      <c r="O1729" s="380"/>
      <c r="P1729" s="378"/>
      <c r="Q1729" s="378"/>
      <c r="R1729" s="378"/>
      <c r="S1729" s="378"/>
      <c r="T1729" s="378"/>
      <c r="U1729" s="378"/>
      <c r="V1729" s="378"/>
      <c r="W1729" s="378"/>
      <c r="X1729" s="378"/>
      <c r="Y1729" s="378"/>
      <c r="Z1729" s="378"/>
      <c r="AA1729" s="378"/>
      <c r="AB1729" s="378"/>
      <c r="AC1729" s="378"/>
      <c r="AD1729" s="378"/>
      <c r="AE1729" s="378"/>
      <c r="AF1729" s="378"/>
      <c r="AG1729" s="378"/>
    </row>
    <row r="1730">
      <c r="A1730" s="378"/>
      <c r="B1730" s="477"/>
      <c r="C1730" s="378"/>
      <c r="D1730" s="378"/>
      <c r="E1730" s="378"/>
      <c r="F1730" s="378"/>
      <c r="G1730" s="378"/>
      <c r="H1730" s="378"/>
      <c r="I1730" s="376"/>
      <c r="J1730" s="377"/>
      <c r="K1730" s="378"/>
      <c r="L1730" s="378"/>
      <c r="M1730" s="378"/>
      <c r="N1730" s="379"/>
      <c r="O1730" s="380"/>
      <c r="P1730" s="378"/>
      <c r="Q1730" s="378"/>
      <c r="R1730" s="378"/>
      <c r="S1730" s="378"/>
      <c r="T1730" s="378"/>
      <c r="U1730" s="378"/>
      <c r="V1730" s="378"/>
      <c r="W1730" s="378"/>
      <c r="X1730" s="378"/>
      <c r="Y1730" s="378"/>
      <c r="Z1730" s="378"/>
      <c r="AA1730" s="378"/>
      <c r="AB1730" s="378"/>
      <c r="AC1730" s="378"/>
      <c r="AD1730" s="378"/>
      <c r="AE1730" s="378"/>
      <c r="AF1730" s="378"/>
      <c r="AG1730" s="378"/>
    </row>
    <row r="1731">
      <c r="A1731" s="378"/>
      <c r="B1731" s="477"/>
      <c r="C1731" s="378"/>
      <c r="D1731" s="378"/>
      <c r="E1731" s="378"/>
      <c r="F1731" s="378"/>
      <c r="G1731" s="378"/>
      <c r="H1731" s="378"/>
      <c r="I1731" s="376"/>
      <c r="J1731" s="377"/>
      <c r="K1731" s="378"/>
      <c r="L1731" s="378"/>
      <c r="M1731" s="378"/>
      <c r="N1731" s="379"/>
      <c r="O1731" s="380"/>
      <c r="P1731" s="378"/>
      <c r="Q1731" s="378"/>
      <c r="R1731" s="378"/>
      <c r="S1731" s="378"/>
      <c r="T1731" s="378"/>
      <c r="U1731" s="378"/>
      <c r="V1731" s="378"/>
      <c r="W1731" s="378"/>
      <c r="X1731" s="378"/>
      <c r="Y1731" s="378"/>
      <c r="Z1731" s="378"/>
      <c r="AA1731" s="378"/>
      <c r="AB1731" s="378"/>
      <c r="AC1731" s="378"/>
      <c r="AD1731" s="378"/>
      <c r="AE1731" s="378"/>
      <c r="AF1731" s="378"/>
      <c r="AG1731" s="378"/>
    </row>
    <row r="1732">
      <c r="A1732" s="378"/>
      <c r="B1732" s="477"/>
      <c r="C1732" s="378"/>
      <c r="D1732" s="378"/>
      <c r="E1732" s="378"/>
      <c r="F1732" s="378"/>
      <c r="G1732" s="378"/>
      <c r="H1732" s="378"/>
      <c r="I1732" s="376"/>
      <c r="J1732" s="377"/>
      <c r="K1732" s="378"/>
      <c r="L1732" s="378"/>
      <c r="M1732" s="378"/>
      <c r="N1732" s="379"/>
      <c r="O1732" s="380"/>
      <c r="P1732" s="378"/>
      <c r="Q1732" s="378"/>
      <c r="R1732" s="378"/>
      <c r="S1732" s="378"/>
      <c r="T1732" s="378"/>
      <c r="U1732" s="378"/>
      <c r="V1732" s="378"/>
      <c r="W1732" s="378"/>
      <c r="X1732" s="378"/>
      <c r="Y1732" s="378"/>
      <c r="Z1732" s="378"/>
      <c r="AA1732" s="378"/>
      <c r="AB1732" s="378"/>
      <c r="AC1732" s="378"/>
      <c r="AD1732" s="378"/>
      <c r="AE1732" s="378"/>
      <c r="AF1732" s="378"/>
      <c r="AG1732" s="378"/>
    </row>
    <row r="1733">
      <c r="A1733" s="378"/>
      <c r="B1733" s="477"/>
      <c r="C1733" s="378"/>
      <c r="D1733" s="378"/>
      <c r="E1733" s="378"/>
      <c r="F1733" s="378"/>
      <c r="G1733" s="378"/>
      <c r="H1733" s="378"/>
      <c r="I1733" s="376"/>
      <c r="J1733" s="377"/>
      <c r="K1733" s="378"/>
      <c r="L1733" s="378"/>
      <c r="M1733" s="378"/>
      <c r="N1733" s="379"/>
      <c r="O1733" s="380"/>
      <c r="P1733" s="378"/>
      <c r="Q1733" s="378"/>
      <c r="R1733" s="378"/>
      <c r="S1733" s="378"/>
      <c r="T1733" s="378"/>
      <c r="U1733" s="378"/>
      <c r="V1733" s="378"/>
      <c r="W1733" s="378"/>
      <c r="X1733" s="378"/>
      <c r="Y1733" s="378"/>
      <c r="Z1733" s="378"/>
      <c r="AA1733" s="378"/>
      <c r="AB1733" s="378"/>
      <c r="AC1733" s="378"/>
      <c r="AD1733" s="378"/>
      <c r="AE1733" s="378"/>
      <c r="AF1733" s="378"/>
      <c r="AG1733" s="378"/>
    </row>
    <row r="1734">
      <c r="A1734" s="378"/>
      <c r="B1734" s="477"/>
      <c r="C1734" s="378"/>
      <c r="D1734" s="378"/>
      <c r="E1734" s="378"/>
      <c r="F1734" s="378"/>
      <c r="G1734" s="378"/>
      <c r="H1734" s="378"/>
      <c r="I1734" s="376"/>
      <c r="J1734" s="377"/>
      <c r="K1734" s="378"/>
      <c r="L1734" s="378"/>
      <c r="M1734" s="378"/>
      <c r="N1734" s="379"/>
      <c r="O1734" s="380"/>
      <c r="P1734" s="378"/>
      <c r="Q1734" s="378"/>
      <c r="R1734" s="378"/>
      <c r="S1734" s="378"/>
      <c r="T1734" s="378"/>
      <c r="U1734" s="378"/>
      <c r="V1734" s="378"/>
      <c r="W1734" s="378"/>
      <c r="X1734" s="378"/>
      <c r="Y1734" s="378"/>
      <c r="Z1734" s="378"/>
      <c r="AA1734" s="378"/>
      <c r="AB1734" s="378"/>
      <c r="AC1734" s="378"/>
      <c r="AD1734" s="378"/>
      <c r="AE1734" s="378"/>
      <c r="AF1734" s="378"/>
      <c r="AG1734" s="378"/>
    </row>
    <row r="1735">
      <c r="A1735" s="378"/>
      <c r="B1735" s="477"/>
      <c r="C1735" s="378"/>
      <c r="D1735" s="378"/>
      <c r="E1735" s="378"/>
      <c r="F1735" s="378"/>
      <c r="G1735" s="378"/>
      <c r="H1735" s="378"/>
      <c r="I1735" s="376"/>
      <c r="J1735" s="377"/>
      <c r="K1735" s="378"/>
      <c r="L1735" s="378"/>
      <c r="M1735" s="378"/>
      <c r="N1735" s="379"/>
      <c r="O1735" s="380"/>
      <c r="P1735" s="378"/>
      <c r="Q1735" s="378"/>
      <c r="R1735" s="378"/>
      <c r="S1735" s="378"/>
      <c r="T1735" s="378"/>
      <c r="U1735" s="378"/>
      <c r="V1735" s="378"/>
      <c r="W1735" s="378"/>
      <c r="X1735" s="378"/>
      <c r="Y1735" s="378"/>
      <c r="Z1735" s="378"/>
      <c r="AA1735" s="378"/>
      <c r="AB1735" s="378"/>
      <c r="AC1735" s="378"/>
      <c r="AD1735" s="378"/>
      <c r="AE1735" s="378"/>
      <c r="AF1735" s="378"/>
      <c r="AG1735" s="378"/>
    </row>
    <row r="1736">
      <c r="A1736" s="378"/>
      <c r="B1736" s="477"/>
      <c r="C1736" s="378"/>
      <c r="D1736" s="378"/>
      <c r="E1736" s="378"/>
      <c r="F1736" s="378"/>
      <c r="G1736" s="378"/>
      <c r="H1736" s="378"/>
      <c r="I1736" s="376"/>
      <c r="J1736" s="377"/>
      <c r="K1736" s="378"/>
      <c r="L1736" s="378"/>
      <c r="M1736" s="378"/>
      <c r="N1736" s="379"/>
      <c r="O1736" s="380"/>
      <c r="P1736" s="378"/>
      <c r="Q1736" s="378"/>
      <c r="R1736" s="378"/>
      <c r="S1736" s="378"/>
      <c r="T1736" s="378"/>
      <c r="U1736" s="378"/>
      <c r="V1736" s="378"/>
      <c r="W1736" s="378"/>
      <c r="X1736" s="378"/>
      <c r="Y1736" s="378"/>
      <c r="Z1736" s="378"/>
      <c r="AA1736" s="378"/>
      <c r="AB1736" s="378"/>
      <c r="AC1736" s="378"/>
      <c r="AD1736" s="378"/>
      <c r="AE1736" s="378"/>
      <c r="AF1736" s="378"/>
      <c r="AG1736" s="378"/>
    </row>
    <row r="1737">
      <c r="A1737" s="378"/>
      <c r="B1737" s="477"/>
      <c r="C1737" s="378"/>
      <c r="D1737" s="378"/>
      <c r="E1737" s="378"/>
      <c r="F1737" s="378"/>
      <c r="G1737" s="378"/>
      <c r="H1737" s="378"/>
      <c r="I1737" s="376"/>
      <c r="J1737" s="377"/>
      <c r="K1737" s="378"/>
      <c r="L1737" s="378"/>
      <c r="M1737" s="378"/>
      <c r="N1737" s="379"/>
      <c r="O1737" s="380"/>
      <c r="P1737" s="378"/>
      <c r="Q1737" s="378"/>
      <c r="R1737" s="378"/>
      <c r="S1737" s="378"/>
      <c r="T1737" s="378"/>
      <c r="U1737" s="378"/>
      <c r="V1737" s="378"/>
      <c r="W1737" s="378"/>
      <c r="X1737" s="378"/>
      <c r="Y1737" s="378"/>
      <c r="Z1737" s="378"/>
      <c r="AA1737" s="378"/>
      <c r="AB1737" s="378"/>
      <c r="AC1737" s="378"/>
      <c r="AD1737" s="378"/>
      <c r="AE1737" s="378"/>
      <c r="AF1737" s="378"/>
      <c r="AG1737" s="378"/>
    </row>
    <row r="1738">
      <c r="A1738" s="378"/>
      <c r="B1738" s="477"/>
      <c r="C1738" s="378"/>
      <c r="D1738" s="378"/>
      <c r="E1738" s="378"/>
      <c r="F1738" s="378"/>
      <c r="G1738" s="378"/>
      <c r="H1738" s="378"/>
      <c r="I1738" s="376"/>
      <c r="J1738" s="377"/>
      <c r="K1738" s="378"/>
      <c r="L1738" s="378"/>
      <c r="M1738" s="378"/>
      <c r="N1738" s="379"/>
      <c r="O1738" s="380"/>
      <c r="P1738" s="378"/>
      <c r="Q1738" s="378"/>
      <c r="R1738" s="378"/>
      <c r="S1738" s="378"/>
      <c r="T1738" s="378"/>
      <c r="U1738" s="378"/>
      <c r="V1738" s="378"/>
      <c r="W1738" s="378"/>
      <c r="X1738" s="378"/>
      <c r="Y1738" s="378"/>
      <c r="Z1738" s="378"/>
      <c r="AA1738" s="378"/>
      <c r="AB1738" s="378"/>
      <c r="AC1738" s="378"/>
      <c r="AD1738" s="378"/>
      <c r="AE1738" s="378"/>
      <c r="AF1738" s="378"/>
      <c r="AG1738" s="378"/>
    </row>
    <row r="1739">
      <c r="A1739" s="378"/>
      <c r="B1739" s="477"/>
      <c r="C1739" s="378"/>
      <c r="D1739" s="378"/>
      <c r="E1739" s="378"/>
      <c r="F1739" s="378"/>
      <c r="G1739" s="378"/>
      <c r="H1739" s="378"/>
      <c r="I1739" s="376"/>
      <c r="J1739" s="377"/>
      <c r="K1739" s="378"/>
      <c r="L1739" s="378"/>
      <c r="M1739" s="378"/>
      <c r="N1739" s="379"/>
      <c r="O1739" s="380"/>
      <c r="P1739" s="378"/>
      <c r="Q1739" s="378"/>
      <c r="R1739" s="378"/>
      <c r="S1739" s="378"/>
      <c r="T1739" s="378"/>
      <c r="U1739" s="378"/>
      <c r="V1739" s="378"/>
      <c r="W1739" s="378"/>
      <c r="X1739" s="378"/>
      <c r="Y1739" s="378"/>
      <c r="Z1739" s="378"/>
      <c r="AA1739" s="378"/>
      <c r="AB1739" s="378"/>
      <c r="AC1739" s="378"/>
      <c r="AD1739" s="378"/>
      <c r="AE1739" s="378"/>
      <c r="AF1739" s="378"/>
      <c r="AG1739" s="378"/>
    </row>
    <row r="1740">
      <c r="A1740" s="378"/>
      <c r="B1740" s="477"/>
      <c r="C1740" s="378"/>
      <c r="D1740" s="378"/>
      <c r="E1740" s="378"/>
      <c r="F1740" s="378"/>
      <c r="G1740" s="378"/>
      <c r="H1740" s="378"/>
      <c r="I1740" s="376"/>
      <c r="J1740" s="377"/>
      <c r="K1740" s="378"/>
      <c r="L1740" s="378"/>
      <c r="M1740" s="378"/>
      <c r="N1740" s="379"/>
      <c r="O1740" s="380"/>
      <c r="P1740" s="378"/>
      <c r="Q1740" s="378"/>
      <c r="R1740" s="378"/>
      <c r="S1740" s="378"/>
      <c r="T1740" s="378"/>
      <c r="U1740" s="378"/>
      <c r="V1740" s="378"/>
      <c r="W1740" s="378"/>
      <c r="X1740" s="378"/>
      <c r="Y1740" s="378"/>
      <c r="Z1740" s="378"/>
      <c r="AA1740" s="378"/>
      <c r="AB1740" s="378"/>
      <c r="AC1740" s="378"/>
      <c r="AD1740" s="378"/>
      <c r="AE1740" s="378"/>
      <c r="AF1740" s="378"/>
      <c r="AG1740" s="378"/>
    </row>
    <row r="1741">
      <c r="A1741" s="378"/>
      <c r="B1741" s="477"/>
      <c r="C1741" s="378"/>
      <c r="D1741" s="378"/>
      <c r="E1741" s="378"/>
      <c r="F1741" s="378"/>
      <c r="G1741" s="378"/>
      <c r="H1741" s="378"/>
      <c r="I1741" s="376"/>
      <c r="J1741" s="377"/>
      <c r="K1741" s="378"/>
      <c r="L1741" s="378"/>
      <c r="M1741" s="378"/>
      <c r="N1741" s="379"/>
      <c r="O1741" s="380"/>
      <c r="P1741" s="378"/>
      <c r="Q1741" s="378"/>
      <c r="R1741" s="378"/>
      <c r="S1741" s="378"/>
      <c r="T1741" s="378"/>
      <c r="U1741" s="378"/>
      <c r="V1741" s="378"/>
      <c r="W1741" s="378"/>
      <c r="X1741" s="378"/>
      <c r="Y1741" s="378"/>
      <c r="Z1741" s="378"/>
      <c r="AA1741" s="378"/>
      <c r="AB1741" s="378"/>
      <c r="AC1741" s="378"/>
      <c r="AD1741" s="378"/>
      <c r="AE1741" s="378"/>
      <c r="AF1741" s="378"/>
      <c r="AG1741" s="378"/>
    </row>
    <row r="1742">
      <c r="A1742" s="378"/>
      <c r="B1742" s="477"/>
      <c r="C1742" s="378"/>
      <c r="D1742" s="378"/>
      <c r="E1742" s="378"/>
      <c r="F1742" s="378"/>
      <c r="G1742" s="378"/>
      <c r="H1742" s="378"/>
      <c r="I1742" s="376"/>
      <c r="J1742" s="377"/>
      <c r="K1742" s="378"/>
      <c r="L1742" s="378"/>
      <c r="M1742" s="378"/>
      <c r="N1742" s="379"/>
      <c r="O1742" s="380"/>
      <c r="P1742" s="378"/>
      <c r="Q1742" s="378"/>
      <c r="R1742" s="378"/>
      <c r="S1742" s="378"/>
      <c r="T1742" s="378"/>
      <c r="U1742" s="378"/>
      <c r="V1742" s="378"/>
      <c r="W1742" s="378"/>
      <c r="X1742" s="378"/>
      <c r="Y1742" s="378"/>
      <c r="Z1742" s="378"/>
      <c r="AA1742" s="378"/>
      <c r="AB1742" s="378"/>
      <c r="AC1742" s="378"/>
      <c r="AD1742" s="378"/>
      <c r="AE1742" s="378"/>
      <c r="AF1742" s="378"/>
      <c r="AG1742" s="378"/>
    </row>
    <row r="1743">
      <c r="A1743" s="378"/>
      <c r="B1743" s="477"/>
      <c r="C1743" s="378"/>
      <c r="D1743" s="378"/>
      <c r="E1743" s="378"/>
      <c r="F1743" s="378"/>
      <c r="G1743" s="378"/>
      <c r="H1743" s="378"/>
      <c r="I1743" s="376"/>
      <c r="J1743" s="377"/>
      <c r="K1743" s="378"/>
      <c r="L1743" s="378"/>
      <c r="M1743" s="378"/>
      <c r="N1743" s="379"/>
      <c r="O1743" s="380"/>
      <c r="P1743" s="378"/>
      <c r="Q1743" s="378"/>
      <c r="R1743" s="378"/>
      <c r="S1743" s="378"/>
      <c r="T1743" s="378"/>
      <c r="U1743" s="378"/>
      <c r="V1743" s="378"/>
      <c r="W1743" s="378"/>
      <c r="X1743" s="378"/>
      <c r="Y1743" s="378"/>
      <c r="Z1743" s="378"/>
      <c r="AA1743" s="378"/>
      <c r="AB1743" s="378"/>
      <c r="AC1743" s="378"/>
      <c r="AD1743" s="378"/>
      <c r="AE1743" s="378"/>
      <c r="AF1743" s="378"/>
      <c r="AG1743" s="378"/>
    </row>
    <row r="1744">
      <c r="A1744" s="378"/>
      <c r="B1744" s="477"/>
      <c r="C1744" s="378"/>
      <c r="D1744" s="378"/>
      <c r="E1744" s="378"/>
      <c r="F1744" s="378"/>
      <c r="G1744" s="378"/>
      <c r="H1744" s="378"/>
      <c r="I1744" s="376"/>
      <c r="J1744" s="377"/>
      <c r="K1744" s="378"/>
      <c r="L1744" s="378"/>
      <c r="M1744" s="378"/>
      <c r="N1744" s="379"/>
      <c r="O1744" s="380"/>
      <c r="P1744" s="378"/>
      <c r="Q1744" s="378"/>
      <c r="R1744" s="378"/>
      <c r="S1744" s="378"/>
      <c r="T1744" s="378"/>
      <c r="U1744" s="378"/>
      <c r="V1744" s="378"/>
      <c r="W1744" s="378"/>
      <c r="X1744" s="378"/>
      <c r="Y1744" s="378"/>
      <c r="Z1744" s="378"/>
      <c r="AA1744" s="378"/>
      <c r="AB1744" s="378"/>
      <c r="AC1744" s="378"/>
      <c r="AD1744" s="378"/>
      <c r="AE1744" s="378"/>
      <c r="AF1744" s="378"/>
      <c r="AG1744" s="378"/>
    </row>
    <row r="1745">
      <c r="A1745" s="378"/>
      <c r="B1745" s="477"/>
      <c r="C1745" s="378"/>
      <c r="D1745" s="378"/>
      <c r="E1745" s="378"/>
      <c r="F1745" s="378"/>
      <c r="G1745" s="378"/>
      <c r="H1745" s="378"/>
      <c r="I1745" s="376"/>
      <c r="J1745" s="377"/>
      <c r="K1745" s="378"/>
      <c r="L1745" s="378"/>
      <c r="M1745" s="378"/>
      <c r="N1745" s="379"/>
      <c r="O1745" s="380"/>
      <c r="P1745" s="378"/>
      <c r="Q1745" s="378"/>
      <c r="R1745" s="378"/>
      <c r="S1745" s="378"/>
      <c r="T1745" s="378"/>
      <c r="U1745" s="378"/>
      <c r="V1745" s="378"/>
      <c r="W1745" s="378"/>
      <c r="X1745" s="378"/>
      <c r="Y1745" s="378"/>
      <c r="Z1745" s="378"/>
      <c r="AA1745" s="378"/>
      <c r="AB1745" s="378"/>
      <c r="AC1745" s="378"/>
      <c r="AD1745" s="378"/>
      <c r="AE1745" s="378"/>
      <c r="AF1745" s="378"/>
      <c r="AG1745" s="378"/>
    </row>
    <row r="1746">
      <c r="A1746" s="378"/>
      <c r="B1746" s="477"/>
      <c r="C1746" s="378"/>
      <c r="D1746" s="378"/>
      <c r="E1746" s="378"/>
      <c r="F1746" s="378"/>
      <c r="G1746" s="378"/>
      <c r="H1746" s="378"/>
      <c r="I1746" s="376"/>
      <c r="J1746" s="377"/>
      <c r="K1746" s="378"/>
      <c r="L1746" s="378"/>
      <c r="M1746" s="378"/>
      <c r="N1746" s="379"/>
      <c r="O1746" s="380"/>
      <c r="P1746" s="378"/>
      <c r="Q1746" s="378"/>
      <c r="R1746" s="378"/>
      <c r="S1746" s="378"/>
      <c r="T1746" s="378"/>
      <c r="U1746" s="378"/>
      <c r="V1746" s="378"/>
      <c r="W1746" s="378"/>
      <c r="X1746" s="378"/>
      <c r="Y1746" s="378"/>
      <c r="Z1746" s="378"/>
      <c r="AA1746" s="378"/>
      <c r="AB1746" s="378"/>
      <c r="AC1746" s="378"/>
      <c r="AD1746" s="378"/>
      <c r="AE1746" s="378"/>
      <c r="AF1746" s="378"/>
      <c r="AG1746" s="378"/>
    </row>
    <row r="1747">
      <c r="A1747" s="378"/>
      <c r="B1747" s="477"/>
      <c r="C1747" s="378"/>
      <c r="D1747" s="378"/>
      <c r="E1747" s="378"/>
      <c r="F1747" s="378"/>
      <c r="G1747" s="378"/>
      <c r="H1747" s="378"/>
      <c r="I1747" s="376"/>
      <c r="J1747" s="377"/>
      <c r="K1747" s="378"/>
      <c r="L1747" s="378"/>
      <c r="M1747" s="378"/>
      <c r="N1747" s="379"/>
      <c r="O1747" s="380"/>
      <c r="P1747" s="378"/>
      <c r="Q1747" s="378"/>
      <c r="R1747" s="378"/>
      <c r="S1747" s="378"/>
      <c r="T1747" s="378"/>
      <c r="U1747" s="378"/>
      <c r="V1747" s="378"/>
      <c r="W1747" s="378"/>
      <c r="X1747" s="378"/>
      <c r="Y1747" s="378"/>
      <c r="Z1747" s="378"/>
      <c r="AA1747" s="378"/>
      <c r="AB1747" s="378"/>
      <c r="AC1747" s="378"/>
      <c r="AD1747" s="378"/>
      <c r="AE1747" s="378"/>
      <c r="AF1747" s="378"/>
      <c r="AG1747" s="378"/>
    </row>
    <row r="1748">
      <c r="A1748" s="378"/>
      <c r="B1748" s="477"/>
      <c r="C1748" s="378"/>
      <c r="D1748" s="378"/>
      <c r="E1748" s="378"/>
      <c r="F1748" s="378"/>
      <c r="G1748" s="378"/>
      <c r="H1748" s="378"/>
      <c r="I1748" s="376"/>
      <c r="J1748" s="377"/>
      <c r="K1748" s="378"/>
      <c r="L1748" s="378"/>
      <c r="M1748" s="378"/>
      <c r="N1748" s="379"/>
      <c r="O1748" s="380"/>
      <c r="P1748" s="378"/>
      <c r="Q1748" s="378"/>
      <c r="R1748" s="378"/>
      <c r="S1748" s="378"/>
      <c r="T1748" s="378"/>
      <c r="U1748" s="378"/>
      <c r="V1748" s="378"/>
      <c r="W1748" s="378"/>
      <c r="X1748" s="378"/>
      <c r="Y1748" s="378"/>
      <c r="Z1748" s="378"/>
      <c r="AA1748" s="378"/>
      <c r="AB1748" s="378"/>
      <c r="AC1748" s="378"/>
      <c r="AD1748" s="378"/>
      <c r="AE1748" s="378"/>
      <c r="AF1748" s="378"/>
      <c r="AG1748" s="378"/>
    </row>
    <row r="1749">
      <c r="A1749" s="378"/>
      <c r="B1749" s="477"/>
      <c r="C1749" s="378"/>
      <c r="D1749" s="378"/>
      <c r="E1749" s="378"/>
      <c r="F1749" s="378"/>
      <c r="G1749" s="378"/>
      <c r="H1749" s="378"/>
      <c r="I1749" s="376"/>
      <c r="J1749" s="377"/>
      <c r="K1749" s="378"/>
      <c r="L1749" s="378"/>
      <c r="M1749" s="378"/>
      <c r="N1749" s="379"/>
      <c r="O1749" s="380"/>
      <c r="P1749" s="378"/>
      <c r="Q1749" s="378"/>
      <c r="R1749" s="378"/>
      <c r="S1749" s="378"/>
      <c r="T1749" s="378"/>
      <c r="U1749" s="378"/>
      <c r="V1749" s="378"/>
      <c r="W1749" s="378"/>
      <c r="X1749" s="378"/>
      <c r="Y1749" s="378"/>
      <c r="Z1749" s="378"/>
      <c r="AA1749" s="378"/>
      <c r="AB1749" s="378"/>
      <c r="AC1749" s="378"/>
      <c r="AD1749" s="378"/>
      <c r="AE1749" s="378"/>
      <c r="AF1749" s="378"/>
      <c r="AG1749" s="378"/>
    </row>
    <row r="1750">
      <c r="A1750" s="378"/>
      <c r="B1750" s="477"/>
      <c r="C1750" s="378"/>
      <c r="D1750" s="378"/>
      <c r="E1750" s="378"/>
      <c r="F1750" s="378"/>
      <c r="G1750" s="378"/>
      <c r="H1750" s="378"/>
      <c r="I1750" s="376"/>
      <c r="J1750" s="377"/>
      <c r="K1750" s="378"/>
      <c r="L1750" s="378"/>
      <c r="M1750" s="378"/>
      <c r="N1750" s="379"/>
      <c r="O1750" s="380"/>
      <c r="P1750" s="378"/>
      <c r="Q1750" s="378"/>
      <c r="R1750" s="378"/>
      <c r="S1750" s="378"/>
      <c r="T1750" s="378"/>
      <c r="U1750" s="378"/>
      <c r="V1750" s="378"/>
      <c r="W1750" s="378"/>
      <c r="X1750" s="378"/>
      <c r="Y1750" s="378"/>
      <c r="Z1750" s="378"/>
      <c r="AA1750" s="378"/>
      <c r="AB1750" s="378"/>
      <c r="AC1750" s="378"/>
      <c r="AD1750" s="378"/>
      <c r="AE1750" s="378"/>
      <c r="AF1750" s="378"/>
      <c r="AG1750" s="378"/>
    </row>
    <row r="1751">
      <c r="A1751" s="378"/>
      <c r="B1751" s="477"/>
      <c r="C1751" s="378"/>
      <c r="D1751" s="378"/>
      <c r="E1751" s="378"/>
      <c r="F1751" s="378"/>
      <c r="G1751" s="378"/>
      <c r="H1751" s="378"/>
      <c r="I1751" s="376"/>
      <c r="J1751" s="377"/>
      <c r="K1751" s="378"/>
      <c r="L1751" s="378"/>
      <c r="M1751" s="378"/>
      <c r="N1751" s="379"/>
      <c r="O1751" s="380"/>
      <c r="P1751" s="378"/>
      <c r="Q1751" s="378"/>
      <c r="R1751" s="378"/>
      <c r="S1751" s="378"/>
      <c r="T1751" s="378"/>
      <c r="U1751" s="378"/>
      <c r="V1751" s="378"/>
      <c r="W1751" s="378"/>
      <c r="X1751" s="378"/>
      <c r="Y1751" s="378"/>
      <c r="Z1751" s="378"/>
      <c r="AA1751" s="378"/>
      <c r="AB1751" s="378"/>
      <c r="AC1751" s="378"/>
      <c r="AD1751" s="378"/>
      <c r="AE1751" s="378"/>
      <c r="AF1751" s="378"/>
      <c r="AG1751" s="378"/>
    </row>
    <row r="1752">
      <c r="A1752" s="378"/>
      <c r="B1752" s="477"/>
      <c r="C1752" s="378"/>
      <c r="D1752" s="378"/>
      <c r="E1752" s="378"/>
      <c r="F1752" s="378"/>
      <c r="G1752" s="378"/>
      <c r="H1752" s="378"/>
      <c r="I1752" s="376"/>
      <c r="J1752" s="377"/>
      <c r="K1752" s="378"/>
      <c r="L1752" s="378"/>
      <c r="M1752" s="378"/>
      <c r="N1752" s="379"/>
      <c r="O1752" s="380"/>
      <c r="P1752" s="378"/>
      <c r="Q1752" s="378"/>
      <c r="R1752" s="378"/>
      <c r="S1752" s="378"/>
      <c r="T1752" s="378"/>
      <c r="U1752" s="378"/>
      <c r="V1752" s="378"/>
      <c r="W1752" s="378"/>
      <c r="X1752" s="378"/>
      <c r="Y1752" s="378"/>
      <c r="Z1752" s="378"/>
      <c r="AA1752" s="378"/>
      <c r="AB1752" s="378"/>
      <c r="AC1752" s="378"/>
      <c r="AD1752" s="378"/>
      <c r="AE1752" s="378"/>
      <c r="AF1752" s="378"/>
      <c r="AG1752" s="378"/>
    </row>
    <row r="1753">
      <c r="A1753" s="378"/>
      <c r="B1753" s="477"/>
      <c r="C1753" s="378"/>
      <c r="D1753" s="378"/>
      <c r="E1753" s="378"/>
      <c r="F1753" s="378"/>
      <c r="G1753" s="378"/>
      <c r="H1753" s="378"/>
      <c r="I1753" s="376"/>
      <c r="J1753" s="377"/>
      <c r="K1753" s="378"/>
      <c r="L1753" s="378"/>
      <c r="M1753" s="378"/>
      <c r="N1753" s="379"/>
      <c r="O1753" s="380"/>
      <c r="P1753" s="378"/>
      <c r="Q1753" s="378"/>
      <c r="R1753" s="378"/>
      <c r="S1753" s="378"/>
      <c r="T1753" s="378"/>
      <c r="U1753" s="378"/>
      <c r="V1753" s="378"/>
      <c r="W1753" s="378"/>
      <c r="X1753" s="378"/>
      <c r="Y1753" s="378"/>
      <c r="Z1753" s="378"/>
      <c r="AA1753" s="378"/>
      <c r="AB1753" s="378"/>
      <c r="AC1753" s="378"/>
      <c r="AD1753" s="378"/>
      <c r="AE1753" s="378"/>
      <c r="AF1753" s="378"/>
      <c r="AG1753" s="378"/>
    </row>
    <row r="1754">
      <c r="A1754" s="378"/>
      <c r="B1754" s="477"/>
      <c r="C1754" s="378"/>
      <c r="D1754" s="378"/>
      <c r="E1754" s="378"/>
      <c r="F1754" s="378"/>
      <c r="G1754" s="378"/>
      <c r="H1754" s="378"/>
      <c r="I1754" s="376"/>
      <c r="J1754" s="377"/>
      <c r="K1754" s="378"/>
      <c r="L1754" s="378"/>
      <c r="M1754" s="378"/>
      <c r="N1754" s="379"/>
      <c r="O1754" s="380"/>
      <c r="P1754" s="378"/>
      <c r="Q1754" s="378"/>
      <c r="R1754" s="378"/>
      <c r="S1754" s="378"/>
      <c r="T1754" s="378"/>
      <c r="U1754" s="378"/>
      <c r="V1754" s="378"/>
      <c r="W1754" s="378"/>
      <c r="X1754" s="378"/>
      <c r="Y1754" s="378"/>
      <c r="Z1754" s="378"/>
      <c r="AA1754" s="378"/>
      <c r="AB1754" s="378"/>
      <c r="AC1754" s="378"/>
      <c r="AD1754" s="378"/>
      <c r="AE1754" s="378"/>
      <c r="AF1754" s="378"/>
      <c r="AG1754" s="378"/>
    </row>
    <row r="1755">
      <c r="A1755" s="378"/>
      <c r="B1755" s="477"/>
      <c r="C1755" s="378"/>
      <c r="D1755" s="378"/>
      <c r="E1755" s="378"/>
      <c r="F1755" s="378"/>
      <c r="G1755" s="378"/>
      <c r="H1755" s="378"/>
      <c r="I1755" s="376"/>
      <c r="J1755" s="377"/>
      <c r="K1755" s="378"/>
      <c r="L1755" s="378"/>
      <c r="M1755" s="378"/>
      <c r="N1755" s="379"/>
      <c r="O1755" s="380"/>
      <c r="P1755" s="378"/>
      <c r="Q1755" s="378"/>
      <c r="R1755" s="378"/>
      <c r="S1755" s="378"/>
      <c r="T1755" s="378"/>
      <c r="U1755" s="378"/>
      <c r="V1755" s="378"/>
      <c r="W1755" s="378"/>
      <c r="X1755" s="378"/>
      <c r="Y1755" s="378"/>
      <c r="Z1755" s="378"/>
      <c r="AA1755" s="378"/>
      <c r="AB1755" s="378"/>
      <c r="AC1755" s="378"/>
      <c r="AD1755" s="378"/>
      <c r="AE1755" s="378"/>
      <c r="AF1755" s="378"/>
      <c r="AG1755" s="378"/>
    </row>
    <row r="1756">
      <c r="A1756" s="378"/>
      <c r="B1756" s="477"/>
      <c r="C1756" s="378"/>
      <c r="D1756" s="378"/>
      <c r="E1756" s="378"/>
      <c r="F1756" s="378"/>
      <c r="G1756" s="378"/>
      <c r="H1756" s="378"/>
      <c r="I1756" s="376"/>
      <c r="J1756" s="377"/>
      <c r="K1756" s="378"/>
      <c r="L1756" s="378"/>
      <c r="M1756" s="378"/>
      <c r="N1756" s="379"/>
      <c r="O1756" s="380"/>
      <c r="P1756" s="378"/>
      <c r="Q1756" s="378"/>
      <c r="R1756" s="378"/>
      <c r="S1756" s="378"/>
      <c r="T1756" s="378"/>
      <c r="U1756" s="378"/>
      <c r="V1756" s="378"/>
      <c r="W1756" s="378"/>
      <c r="X1756" s="378"/>
      <c r="Y1756" s="378"/>
      <c r="Z1756" s="378"/>
      <c r="AA1756" s="378"/>
      <c r="AB1756" s="378"/>
      <c r="AC1756" s="378"/>
      <c r="AD1756" s="378"/>
      <c r="AE1756" s="378"/>
      <c r="AF1756" s="378"/>
      <c r="AG1756" s="378"/>
    </row>
    <row r="1757">
      <c r="A1757" s="378"/>
      <c r="B1757" s="477"/>
      <c r="C1757" s="378"/>
      <c r="D1757" s="378"/>
      <c r="E1757" s="378"/>
      <c r="F1757" s="378"/>
      <c r="G1757" s="378"/>
      <c r="H1757" s="378"/>
      <c r="I1757" s="376"/>
      <c r="J1757" s="377"/>
      <c r="K1757" s="378"/>
      <c r="L1757" s="378"/>
      <c r="M1757" s="378"/>
      <c r="N1757" s="379"/>
      <c r="O1757" s="380"/>
      <c r="P1757" s="378"/>
      <c r="Q1757" s="378"/>
      <c r="R1757" s="378"/>
      <c r="S1757" s="378"/>
      <c r="T1757" s="378"/>
      <c r="U1757" s="378"/>
      <c r="V1757" s="378"/>
      <c r="W1757" s="378"/>
      <c r="X1757" s="378"/>
      <c r="Y1757" s="378"/>
      <c r="Z1757" s="378"/>
      <c r="AA1757" s="378"/>
      <c r="AB1757" s="378"/>
      <c r="AC1757" s="378"/>
      <c r="AD1757" s="378"/>
      <c r="AE1757" s="378"/>
      <c r="AF1757" s="378"/>
      <c r="AG1757" s="378"/>
    </row>
    <row r="1758">
      <c r="A1758" s="378"/>
      <c r="B1758" s="477"/>
      <c r="C1758" s="378"/>
      <c r="D1758" s="378"/>
      <c r="E1758" s="378"/>
      <c r="F1758" s="378"/>
      <c r="G1758" s="378"/>
      <c r="H1758" s="378"/>
      <c r="I1758" s="376"/>
      <c r="J1758" s="377"/>
      <c r="K1758" s="378"/>
      <c r="L1758" s="378"/>
      <c r="M1758" s="378"/>
      <c r="N1758" s="379"/>
      <c r="O1758" s="380"/>
      <c r="P1758" s="378"/>
      <c r="Q1758" s="378"/>
      <c r="R1758" s="378"/>
      <c r="S1758" s="378"/>
      <c r="T1758" s="378"/>
      <c r="U1758" s="378"/>
      <c r="V1758" s="378"/>
      <c r="W1758" s="378"/>
      <c r="X1758" s="378"/>
      <c r="Y1758" s="378"/>
      <c r="Z1758" s="378"/>
      <c r="AA1758" s="378"/>
      <c r="AB1758" s="378"/>
      <c r="AC1758" s="378"/>
      <c r="AD1758" s="378"/>
      <c r="AE1758" s="378"/>
      <c r="AF1758" s="378"/>
      <c r="AG1758" s="378"/>
    </row>
    <row r="1759">
      <c r="A1759" s="378"/>
      <c r="B1759" s="477"/>
      <c r="C1759" s="378"/>
      <c r="D1759" s="378"/>
      <c r="E1759" s="378"/>
      <c r="F1759" s="378"/>
      <c r="G1759" s="378"/>
      <c r="H1759" s="378"/>
      <c r="I1759" s="376"/>
      <c r="J1759" s="377"/>
      <c r="K1759" s="378"/>
      <c r="L1759" s="378"/>
      <c r="M1759" s="378"/>
      <c r="N1759" s="379"/>
      <c r="O1759" s="380"/>
      <c r="P1759" s="378"/>
      <c r="Q1759" s="378"/>
      <c r="R1759" s="378"/>
      <c r="S1759" s="378"/>
      <c r="T1759" s="378"/>
      <c r="U1759" s="378"/>
      <c r="V1759" s="378"/>
      <c r="W1759" s="378"/>
      <c r="X1759" s="378"/>
      <c r="Y1759" s="378"/>
      <c r="Z1759" s="378"/>
      <c r="AA1759" s="378"/>
      <c r="AB1759" s="378"/>
      <c r="AC1759" s="378"/>
      <c r="AD1759" s="378"/>
      <c r="AE1759" s="378"/>
      <c r="AF1759" s="378"/>
      <c r="AG1759" s="378"/>
    </row>
    <row r="1760">
      <c r="A1760" s="378"/>
      <c r="B1760" s="477"/>
      <c r="C1760" s="378"/>
      <c r="D1760" s="378"/>
      <c r="E1760" s="378"/>
      <c r="F1760" s="378"/>
      <c r="G1760" s="378"/>
      <c r="H1760" s="378"/>
      <c r="I1760" s="376"/>
      <c r="J1760" s="377"/>
      <c r="K1760" s="378"/>
      <c r="L1760" s="378"/>
      <c r="M1760" s="378"/>
      <c r="N1760" s="379"/>
      <c r="O1760" s="380"/>
      <c r="P1760" s="378"/>
      <c r="Q1760" s="378"/>
      <c r="R1760" s="378"/>
      <c r="S1760" s="378"/>
      <c r="T1760" s="378"/>
      <c r="U1760" s="378"/>
      <c r="V1760" s="378"/>
      <c r="W1760" s="378"/>
      <c r="X1760" s="378"/>
      <c r="Y1760" s="378"/>
      <c r="Z1760" s="378"/>
      <c r="AA1760" s="378"/>
      <c r="AB1760" s="378"/>
      <c r="AC1760" s="378"/>
      <c r="AD1760" s="378"/>
      <c r="AE1760" s="378"/>
      <c r="AF1760" s="378"/>
      <c r="AG1760" s="378"/>
    </row>
    <row r="1761">
      <c r="A1761" s="378"/>
      <c r="B1761" s="477"/>
      <c r="C1761" s="378"/>
      <c r="D1761" s="378"/>
      <c r="E1761" s="378"/>
      <c r="F1761" s="378"/>
      <c r="G1761" s="378"/>
      <c r="H1761" s="378"/>
      <c r="I1761" s="376"/>
      <c r="J1761" s="377"/>
      <c r="K1761" s="378"/>
      <c r="L1761" s="378"/>
      <c r="M1761" s="378"/>
      <c r="N1761" s="379"/>
      <c r="O1761" s="380"/>
      <c r="P1761" s="378"/>
      <c r="Q1761" s="378"/>
      <c r="R1761" s="378"/>
      <c r="S1761" s="378"/>
      <c r="T1761" s="378"/>
      <c r="U1761" s="378"/>
      <c r="V1761" s="378"/>
      <c r="W1761" s="378"/>
      <c r="X1761" s="378"/>
      <c r="Y1761" s="378"/>
      <c r="Z1761" s="378"/>
      <c r="AA1761" s="378"/>
      <c r="AB1761" s="378"/>
      <c r="AC1761" s="378"/>
      <c r="AD1761" s="378"/>
      <c r="AE1761" s="378"/>
      <c r="AF1761" s="378"/>
      <c r="AG1761" s="378"/>
    </row>
    <row r="1762">
      <c r="A1762" s="378"/>
      <c r="B1762" s="477"/>
      <c r="C1762" s="378"/>
      <c r="D1762" s="378"/>
      <c r="E1762" s="378"/>
      <c r="F1762" s="378"/>
      <c r="G1762" s="378"/>
      <c r="H1762" s="378"/>
      <c r="I1762" s="376"/>
      <c r="J1762" s="377"/>
      <c r="K1762" s="378"/>
      <c r="L1762" s="378"/>
      <c r="M1762" s="378"/>
      <c r="N1762" s="379"/>
      <c r="O1762" s="380"/>
      <c r="P1762" s="378"/>
      <c r="Q1762" s="378"/>
      <c r="R1762" s="378"/>
      <c r="S1762" s="378"/>
      <c r="T1762" s="378"/>
      <c r="U1762" s="378"/>
      <c r="V1762" s="378"/>
      <c r="W1762" s="378"/>
      <c r="X1762" s="378"/>
      <c r="Y1762" s="378"/>
      <c r="Z1762" s="378"/>
      <c r="AA1762" s="378"/>
      <c r="AB1762" s="378"/>
      <c r="AC1762" s="378"/>
      <c r="AD1762" s="378"/>
      <c r="AE1762" s="378"/>
      <c r="AF1762" s="378"/>
      <c r="AG1762" s="378"/>
    </row>
    <row r="1763">
      <c r="A1763" s="378"/>
      <c r="B1763" s="477"/>
      <c r="C1763" s="378"/>
      <c r="D1763" s="378"/>
      <c r="E1763" s="378"/>
      <c r="F1763" s="378"/>
      <c r="G1763" s="378"/>
      <c r="H1763" s="378"/>
      <c r="I1763" s="376"/>
      <c r="J1763" s="377"/>
      <c r="K1763" s="378"/>
      <c r="L1763" s="378"/>
      <c r="M1763" s="378"/>
      <c r="N1763" s="379"/>
      <c r="O1763" s="380"/>
      <c r="P1763" s="378"/>
      <c r="Q1763" s="378"/>
      <c r="R1763" s="378"/>
      <c r="S1763" s="378"/>
      <c r="T1763" s="378"/>
      <c r="U1763" s="378"/>
      <c r="V1763" s="378"/>
      <c r="W1763" s="378"/>
      <c r="X1763" s="378"/>
      <c r="Y1763" s="378"/>
      <c r="Z1763" s="378"/>
      <c r="AA1763" s="378"/>
      <c r="AB1763" s="378"/>
      <c r="AC1763" s="378"/>
      <c r="AD1763" s="378"/>
      <c r="AE1763" s="378"/>
      <c r="AF1763" s="378"/>
      <c r="AG1763" s="378"/>
    </row>
    <row r="1764">
      <c r="A1764" s="378"/>
      <c r="B1764" s="477"/>
      <c r="C1764" s="378"/>
      <c r="D1764" s="378"/>
      <c r="E1764" s="378"/>
      <c r="F1764" s="378"/>
      <c r="G1764" s="378"/>
      <c r="H1764" s="378"/>
      <c r="I1764" s="376"/>
      <c r="J1764" s="377"/>
      <c r="K1764" s="378"/>
      <c r="L1764" s="378"/>
      <c r="M1764" s="378"/>
      <c r="N1764" s="379"/>
      <c r="O1764" s="380"/>
      <c r="P1764" s="378"/>
      <c r="Q1764" s="378"/>
      <c r="R1764" s="378"/>
      <c r="S1764" s="378"/>
      <c r="T1764" s="378"/>
      <c r="U1764" s="378"/>
      <c r="V1764" s="378"/>
      <c r="W1764" s="378"/>
      <c r="X1764" s="378"/>
      <c r="Y1764" s="378"/>
      <c r="Z1764" s="378"/>
      <c r="AA1764" s="378"/>
      <c r="AB1764" s="378"/>
      <c r="AC1764" s="378"/>
      <c r="AD1764" s="378"/>
      <c r="AE1764" s="378"/>
      <c r="AF1764" s="378"/>
      <c r="AG1764" s="378"/>
    </row>
    <row r="1765">
      <c r="A1765" s="378"/>
      <c r="B1765" s="477"/>
      <c r="C1765" s="378"/>
      <c r="D1765" s="378"/>
      <c r="E1765" s="378"/>
      <c r="F1765" s="378"/>
      <c r="G1765" s="378"/>
      <c r="H1765" s="378"/>
      <c r="I1765" s="376"/>
      <c r="J1765" s="377"/>
      <c r="K1765" s="378"/>
      <c r="L1765" s="378"/>
      <c r="M1765" s="378"/>
      <c r="N1765" s="379"/>
      <c r="O1765" s="380"/>
      <c r="P1765" s="378"/>
      <c r="Q1765" s="378"/>
      <c r="R1765" s="378"/>
      <c r="S1765" s="378"/>
      <c r="T1765" s="378"/>
      <c r="U1765" s="378"/>
      <c r="V1765" s="378"/>
      <c r="W1765" s="378"/>
      <c r="X1765" s="378"/>
      <c r="Y1765" s="378"/>
      <c r="Z1765" s="378"/>
      <c r="AA1765" s="378"/>
      <c r="AB1765" s="378"/>
      <c r="AC1765" s="378"/>
      <c r="AD1765" s="378"/>
      <c r="AE1765" s="378"/>
      <c r="AF1765" s="378"/>
      <c r="AG1765" s="378"/>
    </row>
    <row r="1766">
      <c r="A1766" s="378"/>
      <c r="B1766" s="477"/>
      <c r="C1766" s="378"/>
      <c r="D1766" s="378"/>
      <c r="E1766" s="378"/>
      <c r="F1766" s="378"/>
      <c r="G1766" s="378"/>
      <c r="H1766" s="378"/>
      <c r="I1766" s="376"/>
      <c r="J1766" s="377"/>
      <c r="K1766" s="378"/>
      <c r="L1766" s="378"/>
      <c r="M1766" s="378"/>
      <c r="N1766" s="379"/>
      <c r="O1766" s="380"/>
      <c r="P1766" s="378"/>
      <c r="Q1766" s="378"/>
      <c r="R1766" s="378"/>
      <c r="S1766" s="378"/>
      <c r="T1766" s="378"/>
      <c r="U1766" s="378"/>
      <c r="V1766" s="378"/>
      <c r="W1766" s="378"/>
      <c r="X1766" s="378"/>
      <c r="Y1766" s="378"/>
      <c r="Z1766" s="378"/>
      <c r="AA1766" s="378"/>
      <c r="AB1766" s="378"/>
      <c r="AC1766" s="378"/>
      <c r="AD1766" s="378"/>
      <c r="AE1766" s="378"/>
      <c r="AF1766" s="378"/>
      <c r="AG1766" s="378"/>
    </row>
    <row r="1767">
      <c r="A1767" s="378"/>
      <c r="B1767" s="477"/>
      <c r="C1767" s="378"/>
      <c r="D1767" s="378"/>
      <c r="E1767" s="378"/>
      <c r="F1767" s="378"/>
      <c r="G1767" s="378"/>
      <c r="H1767" s="378"/>
      <c r="I1767" s="376"/>
      <c r="J1767" s="377"/>
      <c r="K1767" s="378"/>
      <c r="L1767" s="378"/>
      <c r="M1767" s="378"/>
      <c r="N1767" s="379"/>
      <c r="O1767" s="380"/>
      <c r="P1767" s="378"/>
      <c r="Q1767" s="378"/>
      <c r="R1767" s="378"/>
      <c r="S1767" s="378"/>
      <c r="T1767" s="378"/>
      <c r="U1767" s="378"/>
      <c r="V1767" s="378"/>
      <c r="W1767" s="378"/>
      <c r="X1767" s="378"/>
      <c r="Y1767" s="378"/>
      <c r="Z1767" s="378"/>
      <c r="AA1767" s="378"/>
      <c r="AB1767" s="378"/>
      <c r="AC1767" s="378"/>
      <c r="AD1767" s="378"/>
      <c r="AE1767" s="378"/>
      <c r="AF1767" s="378"/>
      <c r="AG1767" s="378"/>
    </row>
    <row r="1768">
      <c r="A1768" s="378"/>
      <c r="B1768" s="477"/>
      <c r="C1768" s="378"/>
      <c r="D1768" s="378"/>
      <c r="E1768" s="378"/>
      <c r="F1768" s="378"/>
      <c r="G1768" s="378"/>
      <c r="H1768" s="378"/>
      <c r="I1768" s="376"/>
      <c r="J1768" s="377"/>
      <c r="K1768" s="378"/>
      <c r="L1768" s="378"/>
      <c r="M1768" s="378"/>
      <c r="N1768" s="379"/>
      <c r="O1768" s="380"/>
      <c r="P1768" s="378"/>
      <c r="Q1768" s="378"/>
      <c r="R1768" s="378"/>
      <c r="S1768" s="378"/>
      <c r="T1768" s="378"/>
      <c r="U1768" s="378"/>
      <c r="V1768" s="378"/>
      <c r="W1768" s="378"/>
      <c r="X1768" s="378"/>
      <c r="Y1768" s="378"/>
      <c r="Z1768" s="378"/>
      <c r="AA1768" s="378"/>
      <c r="AB1768" s="378"/>
      <c r="AC1768" s="378"/>
      <c r="AD1768" s="378"/>
      <c r="AE1768" s="378"/>
      <c r="AF1768" s="378"/>
      <c r="AG1768" s="378"/>
    </row>
    <row r="1769">
      <c r="A1769" s="378"/>
      <c r="B1769" s="477"/>
      <c r="C1769" s="378"/>
      <c r="D1769" s="378"/>
      <c r="E1769" s="378"/>
      <c r="F1769" s="378"/>
      <c r="G1769" s="378"/>
      <c r="H1769" s="378"/>
      <c r="I1769" s="376"/>
      <c r="J1769" s="377"/>
      <c r="K1769" s="378"/>
      <c r="L1769" s="378"/>
      <c r="M1769" s="378"/>
      <c r="N1769" s="379"/>
      <c r="O1769" s="380"/>
      <c r="P1769" s="378"/>
      <c r="Q1769" s="378"/>
      <c r="R1769" s="378"/>
      <c r="S1769" s="378"/>
      <c r="T1769" s="378"/>
      <c r="U1769" s="378"/>
      <c r="V1769" s="378"/>
      <c r="W1769" s="378"/>
      <c r="X1769" s="378"/>
      <c r="Y1769" s="378"/>
      <c r="Z1769" s="378"/>
      <c r="AA1769" s="378"/>
      <c r="AB1769" s="378"/>
      <c r="AC1769" s="378"/>
      <c r="AD1769" s="378"/>
      <c r="AE1769" s="378"/>
      <c r="AF1769" s="378"/>
      <c r="AG1769" s="378"/>
    </row>
    <row r="1770">
      <c r="A1770" s="378"/>
      <c r="B1770" s="477"/>
      <c r="C1770" s="378"/>
      <c r="D1770" s="378"/>
      <c r="E1770" s="378"/>
      <c r="F1770" s="378"/>
      <c r="G1770" s="378"/>
      <c r="H1770" s="378"/>
      <c r="I1770" s="376"/>
      <c r="J1770" s="377"/>
      <c r="K1770" s="378"/>
      <c r="L1770" s="378"/>
      <c r="M1770" s="378"/>
      <c r="N1770" s="379"/>
      <c r="O1770" s="380"/>
      <c r="P1770" s="378"/>
      <c r="Q1770" s="378"/>
      <c r="R1770" s="378"/>
      <c r="S1770" s="378"/>
      <c r="T1770" s="378"/>
      <c r="U1770" s="378"/>
      <c r="V1770" s="378"/>
      <c r="W1770" s="378"/>
      <c r="X1770" s="378"/>
      <c r="Y1770" s="378"/>
      <c r="Z1770" s="378"/>
      <c r="AA1770" s="378"/>
      <c r="AB1770" s="378"/>
      <c r="AC1770" s="378"/>
      <c r="AD1770" s="378"/>
      <c r="AE1770" s="378"/>
      <c r="AF1770" s="378"/>
      <c r="AG1770" s="378"/>
    </row>
    <row r="1771">
      <c r="A1771" s="378"/>
      <c r="B1771" s="477"/>
      <c r="C1771" s="378"/>
      <c r="D1771" s="378"/>
      <c r="E1771" s="378"/>
      <c r="F1771" s="378"/>
      <c r="G1771" s="378"/>
      <c r="H1771" s="378"/>
      <c r="I1771" s="376"/>
      <c r="J1771" s="377"/>
      <c r="K1771" s="378"/>
      <c r="L1771" s="378"/>
      <c r="M1771" s="378"/>
      <c r="N1771" s="379"/>
      <c r="O1771" s="380"/>
      <c r="P1771" s="378"/>
      <c r="Q1771" s="378"/>
      <c r="R1771" s="378"/>
      <c r="S1771" s="378"/>
      <c r="T1771" s="378"/>
      <c r="U1771" s="378"/>
      <c r="V1771" s="378"/>
      <c r="W1771" s="378"/>
      <c r="X1771" s="378"/>
      <c r="Y1771" s="378"/>
      <c r="Z1771" s="378"/>
      <c r="AA1771" s="378"/>
      <c r="AB1771" s="378"/>
      <c r="AC1771" s="378"/>
      <c r="AD1771" s="378"/>
      <c r="AE1771" s="378"/>
      <c r="AF1771" s="378"/>
      <c r="AG1771" s="378"/>
    </row>
    <row r="1772">
      <c r="A1772" s="378"/>
      <c r="B1772" s="477"/>
      <c r="C1772" s="378"/>
      <c r="D1772" s="378"/>
      <c r="E1772" s="378"/>
      <c r="F1772" s="378"/>
      <c r="G1772" s="378"/>
      <c r="H1772" s="378"/>
      <c r="I1772" s="376"/>
      <c r="J1772" s="377"/>
      <c r="K1772" s="378"/>
      <c r="L1772" s="378"/>
      <c r="M1772" s="378"/>
      <c r="N1772" s="379"/>
      <c r="O1772" s="380"/>
      <c r="P1772" s="378"/>
      <c r="Q1772" s="378"/>
      <c r="R1772" s="378"/>
      <c r="S1772" s="378"/>
      <c r="T1772" s="378"/>
      <c r="U1772" s="378"/>
      <c r="V1772" s="378"/>
      <c r="W1772" s="378"/>
      <c r="X1772" s="378"/>
      <c r="Y1772" s="378"/>
      <c r="Z1772" s="378"/>
      <c r="AA1772" s="378"/>
      <c r="AB1772" s="378"/>
      <c r="AC1772" s="378"/>
      <c r="AD1772" s="378"/>
      <c r="AE1772" s="378"/>
      <c r="AF1772" s="378"/>
      <c r="AG1772" s="378"/>
    </row>
    <row r="1773">
      <c r="A1773" s="378"/>
      <c r="B1773" s="477"/>
      <c r="C1773" s="378"/>
      <c r="D1773" s="378"/>
      <c r="E1773" s="378"/>
      <c r="F1773" s="378"/>
      <c r="G1773" s="378"/>
      <c r="H1773" s="378"/>
      <c r="I1773" s="376"/>
      <c r="J1773" s="377"/>
      <c r="K1773" s="378"/>
      <c r="L1773" s="378"/>
      <c r="M1773" s="378"/>
      <c r="N1773" s="379"/>
      <c r="O1773" s="380"/>
      <c r="P1773" s="378"/>
      <c r="Q1773" s="378"/>
      <c r="R1773" s="378"/>
      <c r="S1773" s="378"/>
      <c r="T1773" s="378"/>
      <c r="U1773" s="378"/>
      <c r="V1773" s="378"/>
      <c r="W1773" s="378"/>
      <c r="X1773" s="378"/>
      <c r="Y1773" s="378"/>
      <c r="Z1773" s="378"/>
      <c r="AA1773" s="378"/>
      <c r="AB1773" s="378"/>
      <c r="AC1773" s="378"/>
      <c r="AD1773" s="378"/>
      <c r="AE1773" s="378"/>
      <c r="AF1773" s="378"/>
      <c r="AG1773" s="378"/>
    </row>
    <row r="1774">
      <c r="A1774" s="378"/>
      <c r="B1774" s="477"/>
      <c r="C1774" s="378"/>
      <c r="D1774" s="378"/>
      <c r="E1774" s="378"/>
      <c r="F1774" s="378"/>
      <c r="G1774" s="378"/>
      <c r="H1774" s="378"/>
      <c r="I1774" s="376"/>
      <c r="J1774" s="377"/>
      <c r="K1774" s="378"/>
      <c r="L1774" s="378"/>
      <c r="M1774" s="378"/>
      <c r="N1774" s="379"/>
      <c r="O1774" s="380"/>
      <c r="P1774" s="378"/>
      <c r="Q1774" s="378"/>
      <c r="R1774" s="378"/>
      <c r="S1774" s="378"/>
      <c r="T1774" s="378"/>
      <c r="U1774" s="378"/>
      <c r="V1774" s="378"/>
      <c r="W1774" s="378"/>
      <c r="X1774" s="378"/>
      <c r="Y1774" s="378"/>
      <c r="Z1774" s="378"/>
      <c r="AA1774" s="378"/>
      <c r="AB1774" s="378"/>
      <c r="AC1774" s="378"/>
      <c r="AD1774" s="378"/>
      <c r="AE1774" s="378"/>
      <c r="AF1774" s="378"/>
      <c r="AG1774" s="378"/>
    </row>
    <row r="1775">
      <c r="A1775" s="378"/>
      <c r="B1775" s="477"/>
      <c r="C1775" s="378"/>
      <c r="D1775" s="378"/>
      <c r="E1775" s="378"/>
      <c r="F1775" s="378"/>
      <c r="G1775" s="378"/>
      <c r="H1775" s="378"/>
      <c r="I1775" s="376"/>
      <c r="J1775" s="377"/>
      <c r="K1775" s="378"/>
      <c r="L1775" s="378"/>
      <c r="M1775" s="378"/>
      <c r="N1775" s="379"/>
      <c r="O1775" s="380"/>
      <c r="P1775" s="378"/>
      <c r="Q1775" s="378"/>
      <c r="R1775" s="378"/>
      <c r="S1775" s="378"/>
      <c r="T1775" s="378"/>
      <c r="U1775" s="378"/>
      <c r="V1775" s="378"/>
      <c r="W1775" s="378"/>
      <c r="X1775" s="378"/>
      <c r="Y1775" s="378"/>
      <c r="Z1775" s="378"/>
      <c r="AA1775" s="378"/>
      <c r="AB1775" s="378"/>
      <c r="AC1775" s="378"/>
      <c r="AD1775" s="378"/>
      <c r="AE1775" s="378"/>
      <c r="AF1775" s="378"/>
      <c r="AG1775" s="378"/>
    </row>
    <row r="1776">
      <c r="A1776" s="378"/>
      <c r="B1776" s="477"/>
      <c r="C1776" s="378"/>
      <c r="D1776" s="378"/>
      <c r="E1776" s="378"/>
      <c r="F1776" s="378"/>
      <c r="G1776" s="378"/>
      <c r="H1776" s="378"/>
      <c r="I1776" s="376"/>
      <c r="J1776" s="377"/>
      <c r="K1776" s="378"/>
      <c r="L1776" s="378"/>
      <c r="M1776" s="378"/>
      <c r="N1776" s="379"/>
      <c r="O1776" s="380"/>
      <c r="P1776" s="378"/>
      <c r="Q1776" s="378"/>
      <c r="R1776" s="378"/>
      <c r="S1776" s="378"/>
      <c r="T1776" s="378"/>
      <c r="U1776" s="378"/>
      <c r="V1776" s="378"/>
      <c r="W1776" s="378"/>
      <c r="X1776" s="378"/>
      <c r="Y1776" s="378"/>
      <c r="Z1776" s="378"/>
      <c r="AA1776" s="378"/>
      <c r="AB1776" s="378"/>
      <c r="AC1776" s="378"/>
      <c r="AD1776" s="378"/>
      <c r="AE1776" s="378"/>
      <c r="AF1776" s="378"/>
      <c r="AG1776" s="378"/>
    </row>
    <row r="1777">
      <c r="A1777" s="378"/>
      <c r="B1777" s="477"/>
      <c r="C1777" s="378"/>
      <c r="D1777" s="378"/>
      <c r="E1777" s="378"/>
      <c r="F1777" s="378"/>
      <c r="G1777" s="378"/>
      <c r="H1777" s="378"/>
      <c r="I1777" s="376"/>
      <c r="J1777" s="377"/>
      <c r="K1777" s="378"/>
      <c r="L1777" s="378"/>
      <c r="M1777" s="378"/>
      <c r="N1777" s="379"/>
      <c r="O1777" s="380"/>
      <c r="P1777" s="378"/>
      <c r="Q1777" s="378"/>
      <c r="R1777" s="378"/>
      <c r="S1777" s="378"/>
      <c r="T1777" s="378"/>
      <c r="U1777" s="378"/>
      <c r="V1777" s="378"/>
      <c r="W1777" s="378"/>
      <c r="X1777" s="378"/>
      <c r="Y1777" s="378"/>
      <c r="Z1777" s="378"/>
      <c r="AA1777" s="378"/>
      <c r="AB1777" s="378"/>
      <c r="AC1777" s="378"/>
      <c r="AD1777" s="378"/>
      <c r="AE1777" s="378"/>
      <c r="AF1777" s="378"/>
      <c r="AG1777" s="378"/>
    </row>
    <row r="1778">
      <c r="A1778" s="378"/>
      <c r="B1778" s="477"/>
      <c r="C1778" s="378"/>
      <c r="D1778" s="378"/>
      <c r="E1778" s="378"/>
      <c r="F1778" s="378"/>
      <c r="G1778" s="378"/>
      <c r="H1778" s="378"/>
      <c r="I1778" s="376"/>
      <c r="J1778" s="377"/>
      <c r="K1778" s="378"/>
      <c r="L1778" s="378"/>
      <c r="M1778" s="378"/>
      <c r="N1778" s="379"/>
      <c r="O1778" s="380"/>
      <c r="P1778" s="378"/>
      <c r="Q1778" s="378"/>
      <c r="R1778" s="378"/>
      <c r="S1778" s="378"/>
      <c r="T1778" s="378"/>
      <c r="U1778" s="378"/>
      <c r="V1778" s="378"/>
      <c r="W1778" s="378"/>
      <c r="X1778" s="378"/>
      <c r="Y1778" s="378"/>
      <c r="Z1778" s="378"/>
      <c r="AA1778" s="378"/>
      <c r="AB1778" s="378"/>
      <c r="AC1778" s="378"/>
      <c r="AD1778" s="378"/>
      <c r="AE1778" s="378"/>
      <c r="AF1778" s="378"/>
      <c r="AG1778" s="378"/>
    </row>
    <row r="1779">
      <c r="A1779" s="378"/>
      <c r="B1779" s="477"/>
      <c r="C1779" s="378"/>
      <c r="D1779" s="378"/>
      <c r="E1779" s="378"/>
      <c r="F1779" s="378"/>
      <c r="G1779" s="378"/>
      <c r="H1779" s="378"/>
      <c r="I1779" s="376"/>
      <c r="J1779" s="377"/>
      <c r="K1779" s="378"/>
      <c r="L1779" s="378"/>
      <c r="M1779" s="378"/>
      <c r="N1779" s="379"/>
      <c r="O1779" s="380"/>
      <c r="P1779" s="378"/>
      <c r="Q1779" s="378"/>
      <c r="R1779" s="378"/>
      <c r="S1779" s="378"/>
      <c r="T1779" s="378"/>
      <c r="U1779" s="378"/>
      <c r="V1779" s="378"/>
      <c r="W1779" s="378"/>
      <c r="X1779" s="378"/>
      <c r="Y1779" s="378"/>
      <c r="Z1779" s="378"/>
      <c r="AA1779" s="378"/>
      <c r="AB1779" s="378"/>
      <c r="AC1779" s="378"/>
      <c r="AD1779" s="378"/>
      <c r="AE1779" s="378"/>
      <c r="AF1779" s="378"/>
      <c r="AG1779" s="378"/>
    </row>
    <row r="1780">
      <c r="A1780" s="378"/>
      <c r="B1780" s="477"/>
      <c r="C1780" s="378"/>
      <c r="D1780" s="378"/>
      <c r="E1780" s="378"/>
      <c r="F1780" s="378"/>
      <c r="G1780" s="378"/>
      <c r="H1780" s="378"/>
      <c r="I1780" s="376"/>
      <c r="J1780" s="377"/>
      <c r="K1780" s="378"/>
      <c r="L1780" s="378"/>
      <c r="M1780" s="378"/>
      <c r="N1780" s="379"/>
      <c r="O1780" s="380"/>
      <c r="P1780" s="378"/>
      <c r="Q1780" s="378"/>
      <c r="R1780" s="378"/>
      <c r="S1780" s="378"/>
      <c r="T1780" s="378"/>
      <c r="U1780" s="378"/>
      <c r="V1780" s="378"/>
      <c r="W1780" s="378"/>
      <c r="X1780" s="378"/>
      <c r="Y1780" s="378"/>
      <c r="Z1780" s="378"/>
      <c r="AA1780" s="378"/>
      <c r="AB1780" s="378"/>
      <c r="AC1780" s="378"/>
      <c r="AD1780" s="378"/>
      <c r="AE1780" s="378"/>
      <c r="AF1780" s="378"/>
      <c r="AG1780" s="378"/>
    </row>
    <row r="1781">
      <c r="A1781" s="378"/>
      <c r="B1781" s="477"/>
      <c r="C1781" s="378"/>
      <c r="D1781" s="378"/>
      <c r="E1781" s="378"/>
      <c r="F1781" s="378"/>
      <c r="G1781" s="378"/>
      <c r="H1781" s="378"/>
      <c r="I1781" s="376"/>
      <c r="J1781" s="377"/>
      <c r="K1781" s="378"/>
      <c r="L1781" s="378"/>
      <c r="M1781" s="378"/>
      <c r="N1781" s="379"/>
      <c r="O1781" s="380"/>
      <c r="P1781" s="378"/>
      <c r="Q1781" s="378"/>
      <c r="R1781" s="378"/>
      <c r="S1781" s="378"/>
      <c r="T1781" s="378"/>
      <c r="U1781" s="378"/>
      <c r="V1781" s="378"/>
      <c r="W1781" s="378"/>
      <c r="X1781" s="378"/>
      <c r="Y1781" s="378"/>
      <c r="Z1781" s="378"/>
      <c r="AA1781" s="378"/>
      <c r="AB1781" s="378"/>
      <c r="AC1781" s="378"/>
      <c r="AD1781" s="378"/>
      <c r="AE1781" s="378"/>
      <c r="AF1781" s="378"/>
      <c r="AG1781" s="378"/>
    </row>
    <row r="1782">
      <c r="A1782" s="378"/>
      <c r="B1782" s="477"/>
      <c r="C1782" s="378"/>
      <c r="D1782" s="378"/>
      <c r="E1782" s="378"/>
      <c r="F1782" s="378"/>
      <c r="G1782" s="378"/>
      <c r="H1782" s="378"/>
      <c r="I1782" s="376"/>
      <c r="J1782" s="377"/>
      <c r="K1782" s="378"/>
      <c r="L1782" s="378"/>
      <c r="M1782" s="378"/>
      <c r="N1782" s="379"/>
      <c r="O1782" s="380"/>
      <c r="P1782" s="378"/>
      <c r="Q1782" s="378"/>
      <c r="R1782" s="378"/>
      <c r="S1782" s="378"/>
      <c r="T1782" s="378"/>
      <c r="U1782" s="378"/>
      <c r="V1782" s="378"/>
      <c r="W1782" s="378"/>
      <c r="X1782" s="378"/>
      <c r="Y1782" s="378"/>
      <c r="Z1782" s="378"/>
      <c r="AA1782" s="378"/>
      <c r="AB1782" s="378"/>
      <c r="AC1782" s="378"/>
      <c r="AD1782" s="378"/>
      <c r="AE1782" s="378"/>
      <c r="AF1782" s="378"/>
      <c r="AG1782" s="378"/>
    </row>
    <row r="1783">
      <c r="A1783" s="378"/>
      <c r="B1783" s="477"/>
      <c r="C1783" s="378"/>
      <c r="D1783" s="378"/>
      <c r="E1783" s="378"/>
      <c r="F1783" s="378"/>
      <c r="G1783" s="378"/>
      <c r="H1783" s="378"/>
      <c r="I1783" s="376"/>
      <c r="J1783" s="377"/>
      <c r="K1783" s="378"/>
      <c r="L1783" s="378"/>
      <c r="M1783" s="378"/>
      <c r="N1783" s="379"/>
      <c r="O1783" s="380"/>
      <c r="P1783" s="378"/>
      <c r="Q1783" s="378"/>
      <c r="R1783" s="378"/>
      <c r="S1783" s="378"/>
      <c r="T1783" s="378"/>
      <c r="U1783" s="378"/>
      <c r="V1783" s="378"/>
      <c r="W1783" s="378"/>
      <c r="X1783" s="378"/>
      <c r="Y1783" s="378"/>
      <c r="Z1783" s="378"/>
      <c r="AA1783" s="378"/>
      <c r="AB1783" s="378"/>
      <c r="AC1783" s="378"/>
      <c r="AD1783" s="378"/>
      <c r="AE1783" s="378"/>
      <c r="AF1783" s="378"/>
      <c r="AG1783" s="378"/>
    </row>
    <row r="1784">
      <c r="A1784" s="378"/>
      <c r="B1784" s="477"/>
      <c r="C1784" s="378"/>
      <c r="D1784" s="378"/>
      <c r="E1784" s="378"/>
      <c r="F1784" s="378"/>
      <c r="G1784" s="378"/>
      <c r="H1784" s="378"/>
      <c r="I1784" s="376"/>
      <c r="J1784" s="377"/>
      <c r="K1784" s="378"/>
      <c r="L1784" s="378"/>
      <c r="M1784" s="378"/>
      <c r="N1784" s="379"/>
      <c r="O1784" s="380"/>
      <c r="P1784" s="378"/>
      <c r="Q1784" s="378"/>
      <c r="R1784" s="378"/>
      <c r="S1784" s="378"/>
      <c r="T1784" s="378"/>
      <c r="U1784" s="378"/>
      <c r="V1784" s="378"/>
      <c r="W1784" s="378"/>
      <c r="X1784" s="378"/>
      <c r="Y1784" s="378"/>
      <c r="Z1784" s="378"/>
      <c r="AA1784" s="378"/>
      <c r="AB1784" s="378"/>
      <c r="AC1784" s="378"/>
      <c r="AD1784" s="378"/>
      <c r="AE1784" s="378"/>
      <c r="AF1784" s="378"/>
      <c r="AG1784" s="378"/>
    </row>
    <row r="1785">
      <c r="A1785" s="378"/>
      <c r="B1785" s="477"/>
      <c r="C1785" s="378"/>
      <c r="D1785" s="378"/>
      <c r="E1785" s="378"/>
      <c r="F1785" s="378"/>
      <c r="G1785" s="378"/>
      <c r="H1785" s="378"/>
      <c r="I1785" s="376"/>
      <c r="J1785" s="377"/>
      <c r="K1785" s="378"/>
      <c r="L1785" s="378"/>
      <c r="M1785" s="378"/>
      <c r="N1785" s="379"/>
      <c r="O1785" s="380"/>
      <c r="P1785" s="378"/>
      <c r="Q1785" s="378"/>
      <c r="R1785" s="378"/>
      <c r="S1785" s="378"/>
      <c r="T1785" s="378"/>
      <c r="U1785" s="378"/>
      <c r="V1785" s="378"/>
      <c r="W1785" s="378"/>
      <c r="X1785" s="378"/>
      <c r="Y1785" s="378"/>
      <c r="Z1785" s="378"/>
      <c r="AA1785" s="378"/>
      <c r="AB1785" s="378"/>
      <c r="AC1785" s="378"/>
      <c r="AD1785" s="378"/>
      <c r="AE1785" s="378"/>
      <c r="AF1785" s="378"/>
      <c r="AG1785" s="378"/>
    </row>
    <row r="1786">
      <c r="A1786" s="378"/>
      <c r="B1786" s="477"/>
      <c r="C1786" s="378"/>
      <c r="D1786" s="378"/>
      <c r="E1786" s="378"/>
      <c r="F1786" s="378"/>
      <c r="G1786" s="378"/>
      <c r="H1786" s="378"/>
      <c r="I1786" s="376"/>
      <c r="J1786" s="377"/>
      <c r="K1786" s="378"/>
      <c r="L1786" s="378"/>
      <c r="M1786" s="378"/>
      <c r="N1786" s="379"/>
      <c r="O1786" s="380"/>
      <c r="P1786" s="378"/>
      <c r="Q1786" s="378"/>
      <c r="R1786" s="378"/>
      <c r="S1786" s="378"/>
      <c r="T1786" s="378"/>
      <c r="U1786" s="378"/>
      <c r="V1786" s="378"/>
      <c r="W1786" s="378"/>
      <c r="X1786" s="378"/>
      <c r="Y1786" s="378"/>
      <c r="Z1786" s="378"/>
      <c r="AA1786" s="378"/>
      <c r="AB1786" s="378"/>
      <c r="AC1786" s="378"/>
      <c r="AD1786" s="378"/>
      <c r="AE1786" s="378"/>
      <c r="AF1786" s="378"/>
      <c r="AG1786" s="378"/>
    </row>
    <row r="1787">
      <c r="A1787" s="378"/>
      <c r="B1787" s="477"/>
      <c r="C1787" s="378"/>
      <c r="D1787" s="378"/>
      <c r="E1787" s="378"/>
      <c r="F1787" s="378"/>
      <c r="G1787" s="378"/>
      <c r="H1787" s="378"/>
      <c r="I1787" s="376"/>
      <c r="J1787" s="377"/>
      <c r="K1787" s="378"/>
      <c r="L1787" s="378"/>
      <c r="M1787" s="378"/>
      <c r="N1787" s="379"/>
      <c r="O1787" s="380"/>
      <c r="P1787" s="378"/>
      <c r="Q1787" s="378"/>
      <c r="R1787" s="378"/>
      <c r="S1787" s="378"/>
      <c r="T1787" s="378"/>
      <c r="U1787" s="378"/>
      <c r="V1787" s="378"/>
      <c r="W1787" s="378"/>
      <c r="X1787" s="378"/>
      <c r="Y1787" s="378"/>
      <c r="Z1787" s="378"/>
      <c r="AA1787" s="378"/>
      <c r="AB1787" s="378"/>
      <c r="AC1787" s="378"/>
      <c r="AD1787" s="378"/>
      <c r="AE1787" s="378"/>
      <c r="AF1787" s="378"/>
      <c r="AG1787" s="378"/>
    </row>
    <row r="1788">
      <c r="A1788" s="378"/>
      <c r="B1788" s="477"/>
      <c r="C1788" s="378"/>
      <c r="D1788" s="378"/>
      <c r="E1788" s="378"/>
      <c r="F1788" s="378"/>
      <c r="G1788" s="378"/>
      <c r="H1788" s="378"/>
      <c r="I1788" s="376"/>
      <c r="J1788" s="377"/>
      <c r="K1788" s="378"/>
      <c r="L1788" s="378"/>
      <c r="M1788" s="378"/>
      <c r="N1788" s="379"/>
      <c r="O1788" s="380"/>
      <c r="P1788" s="378"/>
      <c r="Q1788" s="378"/>
      <c r="R1788" s="378"/>
      <c r="S1788" s="378"/>
      <c r="T1788" s="378"/>
      <c r="U1788" s="378"/>
      <c r="V1788" s="378"/>
      <c r="W1788" s="378"/>
      <c r="X1788" s="378"/>
      <c r="Y1788" s="378"/>
      <c r="Z1788" s="378"/>
      <c r="AA1788" s="378"/>
      <c r="AB1788" s="378"/>
      <c r="AC1788" s="378"/>
      <c r="AD1788" s="378"/>
      <c r="AE1788" s="378"/>
      <c r="AF1788" s="378"/>
      <c r="AG1788" s="378"/>
    </row>
    <row r="1789">
      <c r="A1789" s="378"/>
      <c r="B1789" s="477"/>
      <c r="C1789" s="378"/>
      <c r="D1789" s="378"/>
      <c r="E1789" s="378"/>
      <c r="F1789" s="378"/>
      <c r="G1789" s="378"/>
      <c r="H1789" s="378"/>
      <c r="I1789" s="376"/>
      <c r="J1789" s="377"/>
      <c r="K1789" s="378"/>
      <c r="L1789" s="378"/>
      <c r="M1789" s="378"/>
      <c r="N1789" s="379"/>
      <c r="O1789" s="380"/>
      <c r="P1789" s="378"/>
      <c r="Q1789" s="378"/>
      <c r="R1789" s="378"/>
      <c r="S1789" s="378"/>
      <c r="T1789" s="378"/>
      <c r="U1789" s="378"/>
      <c r="V1789" s="378"/>
      <c r="W1789" s="378"/>
      <c r="X1789" s="378"/>
      <c r="Y1789" s="378"/>
      <c r="Z1789" s="378"/>
      <c r="AA1789" s="378"/>
      <c r="AB1789" s="378"/>
      <c r="AC1789" s="378"/>
      <c r="AD1789" s="378"/>
      <c r="AE1789" s="378"/>
      <c r="AF1789" s="378"/>
      <c r="AG1789" s="378"/>
    </row>
    <row r="1790">
      <c r="A1790" s="378"/>
      <c r="B1790" s="477"/>
      <c r="C1790" s="378"/>
      <c r="D1790" s="378"/>
      <c r="E1790" s="378"/>
      <c r="F1790" s="378"/>
      <c r="G1790" s="378"/>
      <c r="H1790" s="378"/>
      <c r="I1790" s="376"/>
      <c r="J1790" s="377"/>
      <c r="K1790" s="378"/>
      <c r="L1790" s="378"/>
      <c r="M1790" s="378"/>
      <c r="N1790" s="379"/>
      <c r="O1790" s="380"/>
      <c r="P1790" s="378"/>
      <c r="Q1790" s="378"/>
      <c r="R1790" s="378"/>
      <c r="S1790" s="378"/>
      <c r="T1790" s="378"/>
      <c r="U1790" s="378"/>
      <c r="V1790" s="378"/>
      <c r="W1790" s="378"/>
      <c r="X1790" s="378"/>
      <c r="Y1790" s="378"/>
      <c r="Z1790" s="378"/>
      <c r="AA1790" s="378"/>
      <c r="AB1790" s="378"/>
      <c r="AC1790" s="378"/>
      <c r="AD1790" s="378"/>
      <c r="AE1790" s="378"/>
      <c r="AF1790" s="378"/>
      <c r="AG1790" s="378"/>
    </row>
    <row r="1791">
      <c r="A1791" s="378"/>
      <c r="B1791" s="477"/>
      <c r="C1791" s="378"/>
      <c r="D1791" s="378"/>
      <c r="E1791" s="378"/>
      <c r="F1791" s="378"/>
      <c r="G1791" s="378"/>
      <c r="H1791" s="378"/>
      <c r="I1791" s="376"/>
      <c r="J1791" s="377"/>
      <c r="K1791" s="378"/>
      <c r="L1791" s="378"/>
      <c r="M1791" s="378"/>
      <c r="N1791" s="379"/>
      <c r="O1791" s="380"/>
      <c r="P1791" s="378"/>
      <c r="Q1791" s="378"/>
      <c r="R1791" s="378"/>
      <c r="S1791" s="378"/>
      <c r="T1791" s="378"/>
      <c r="U1791" s="378"/>
      <c r="V1791" s="378"/>
      <c r="W1791" s="378"/>
      <c r="X1791" s="378"/>
      <c r="Y1791" s="378"/>
      <c r="Z1791" s="378"/>
      <c r="AA1791" s="378"/>
      <c r="AB1791" s="378"/>
      <c r="AC1791" s="378"/>
      <c r="AD1791" s="378"/>
      <c r="AE1791" s="378"/>
      <c r="AF1791" s="378"/>
      <c r="AG1791" s="378"/>
    </row>
    <row r="1792">
      <c r="A1792" s="378"/>
      <c r="B1792" s="477"/>
      <c r="C1792" s="378"/>
      <c r="D1792" s="378"/>
      <c r="E1792" s="378"/>
      <c r="F1792" s="378"/>
      <c r="G1792" s="378"/>
      <c r="H1792" s="378"/>
      <c r="I1792" s="376"/>
      <c r="J1792" s="377"/>
      <c r="K1792" s="378"/>
      <c r="L1792" s="378"/>
      <c r="M1792" s="378"/>
      <c r="N1792" s="379"/>
      <c r="O1792" s="380"/>
      <c r="P1792" s="378"/>
      <c r="Q1792" s="378"/>
      <c r="R1792" s="378"/>
      <c r="S1792" s="378"/>
      <c r="T1792" s="378"/>
      <c r="U1792" s="378"/>
      <c r="V1792" s="378"/>
      <c r="W1792" s="378"/>
      <c r="X1792" s="378"/>
      <c r="Y1792" s="378"/>
      <c r="Z1792" s="378"/>
      <c r="AA1792" s="378"/>
      <c r="AB1792" s="378"/>
      <c r="AC1792" s="378"/>
      <c r="AD1792" s="378"/>
      <c r="AE1792" s="378"/>
      <c r="AF1792" s="378"/>
      <c r="AG1792" s="378"/>
    </row>
    <row r="1793">
      <c r="A1793" s="378"/>
      <c r="B1793" s="477"/>
      <c r="C1793" s="378"/>
      <c r="D1793" s="378"/>
      <c r="E1793" s="378"/>
      <c r="F1793" s="378"/>
      <c r="G1793" s="378"/>
      <c r="H1793" s="378"/>
      <c r="I1793" s="376"/>
      <c r="J1793" s="377"/>
      <c r="K1793" s="378"/>
      <c r="L1793" s="378"/>
      <c r="M1793" s="378"/>
      <c r="N1793" s="379"/>
      <c r="O1793" s="380"/>
      <c r="P1793" s="378"/>
      <c r="Q1793" s="378"/>
      <c r="R1793" s="378"/>
      <c r="S1793" s="378"/>
      <c r="T1793" s="378"/>
      <c r="U1793" s="378"/>
      <c r="V1793" s="378"/>
      <c r="W1793" s="378"/>
      <c r="X1793" s="378"/>
      <c r="Y1793" s="378"/>
      <c r="Z1793" s="378"/>
      <c r="AA1793" s="378"/>
      <c r="AB1793" s="378"/>
      <c r="AC1793" s="378"/>
      <c r="AD1793" s="378"/>
      <c r="AE1793" s="378"/>
      <c r="AF1793" s="378"/>
      <c r="AG1793" s="378"/>
    </row>
    <row r="1794">
      <c r="A1794" s="378"/>
      <c r="B1794" s="477"/>
      <c r="C1794" s="378"/>
      <c r="D1794" s="378"/>
      <c r="E1794" s="378"/>
      <c r="F1794" s="378"/>
      <c r="G1794" s="378"/>
      <c r="H1794" s="378"/>
      <c r="I1794" s="376"/>
      <c r="J1794" s="377"/>
      <c r="K1794" s="378"/>
      <c r="L1794" s="378"/>
      <c r="M1794" s="378"/>
      <c r="N1794" s="379"/>
      <c r="O1794" s="380"/>
      <c r="P1794" s="378"/>
      <c r="Q1794" s="378"/>
      <c r="R1794" s="378"/>
      <c r="S1794" s="378"/>
      <c r="T1794" s="378"/>
      <c r="U1794" s="378"/>
      <c r="V1794" s="378"/>
      <c r="W1794" s="378"/>
      <c r="X1794" s="378"/>
      <c r="Y1794" s="378"/>
      <c r="Z1794" s="378"/>
      <c r="AA1794" s="378"/>
      <c r="AB1794" s="378"/>
      <c r="AC1794" s="378"/>
      <c r="AD1794" s="378"/>
      <c r="AE1794" s="378"/>
      <c r="AF1794" s="378"/>
      <c r="AG1794" s="378"/>
    </row>
    <row r="1795">
      <c r="A1795" s="378"/>
      <c r="B1795" s="477"/>
      <c r="C1795" s="378"/>
      <c r="D1795" s="378"/>
      <c r="E1795" s="378"/>
      <c r="F1795" s="378"/>
      <c r="G1795" s="378"/>
      <c r="H1795" s="378"/>
      <c r="I1795" s="376"/>
      <c r="J1795" s="377"/>
      <c r="K1795" s="378"/>
      <c r="L1795" s="378"/>
      <c r="M1795" s="378"/>
      <c r="N1795" s="379"/>
      <c r="O1795" s="380"/>
      <c r="P1795" s="378"/>
      <c r="Q1795" s="378"/>
      <c r="R1795" s="378"/>
      <c r="S1795" s="378"/>
      <c r="T1795" s="378"/>
      <c r="U1795" s="378"/>
      <c r="V1795" s="378"/>
      <c r="W1795" s="378"/>
      <c r="X1795" s="378"/>
      <c r="Y1795" s="378"/>
      <c r="Z1795" s="378"/>
      <c r="AA1795" s="378"/>
      <c r="AB1795" s="378"/>
      <c r="AC1795" s="378"/>
      <c r="AD1795" s="378"/>
      <c r="AE1795" s="378"/>
      <c r="AF1795" s="378"/>
      <c r="AG1795" s="378"/>
    </row>
    <row r="1796">
      <c r="A1796" s="378"/>
      <c r="B1796" s="477"/>
      <c r="C1796" s="378"/>
      <c r="D1796" s="378"/>
      <c r="E1796" s="378"/>
      <c r="F1796" s="378"/>
      <c r="G1796" s="378"/>
      <c r="H1796" s="378"/>
      <c r="I1796" s="376"/>
      <c r="J1796" s="377"/>
      <c r="K1796" s="378"/>
      <c r="L1796" s="378"/>
      <c r="M1796" s="378"/>
      <c r="N1796" s="379"/>
      <c r="O1796" s="380"/>
      <c r="P1796" s="378"/>
      <c r="Q1796" s="378"/>
      <c r="R1796" s="378"/>
      <c r="S1796" s="378"/>
      <c r="T1796" s="378"/>
      <c r="U1796" s="378"/>
      <c r="V1796" s="378"/>
      <c r="W1796" s="378"/>
      <c r="X1796" s="378"/>
      <c r="Y1796" s="378"/>
      <c r="Z1796" s="378"/>
      <c r="AA1796" s="378"/>
      <c r="AB1796" s="378"/>
      <c r="AC1796" s="378"/>
      <c r="AD1796" s="378"/>
      <c r="AE1796" s="378"/>
      <c r="AF1796" s="378"/>
      <c r="AG1796" s="378"/>
    </row>
    <row r="1797">
      <c r="A1797" s="378"/>
      <c r="B1797" s="477"/>
      <c r="C1797" s="378"/>
      <c r="D1797" s="378"/>
      <c r="E1797" s="378"/>
      <c r="F1797" s="378"/>
      <c r="G1797" s="378"/>
      <c r="H1797" s="378"/>
      <c r="I1797" s="376"/>
      <c r="J1797" s="377"/>
      <c r="K1797" s="378"/>
      <c r="L1797" s="378"/>
      <c r="M1797" s="378"/>
      <c r="N1797" s="379"/>
      <c r="O1797" s="380"/>
      <c r="P1797" s="378"/>
      <c r="Q1797" s="378"/>
      <c r="R1797" s="378"/>
      <c r="S1797" s="378"/>
      <c r="T1797" s="378"/>
      <c r="U1797" s="378"/>
      <c r="V1797" s="378"/>
      <c r="W1797" s="378"/>
      <c r="X1797" s="378"/>
      <c r="Y1797" s="378"/>
      <c r="Z1797" s="378"/>
      <c r="AA1797" s="378"/>
      <c r="AB1797" s="378"/>
      <c r="AC1797" s="378"/>
      <c r="AD1797" s="378"/>
      <c r="AE1797" s="378"/>
      <c r="AF1797" s="378"/>
      <c r="AG1797" s="378"/>
    </row>
    <row r="1798">
      <c r="A1798" s="378"/>
      <c r="B1798" s="477"/>
      <c r="C1798" s="378"/>
      <c r="D1798" s="378"/>
      <c r="E1798" s="378"/>
      <c r="F1798" s="378"/>
      <c r="G1798" s="378"/>
      <c r="H1798" s="378"/>
      <c r="I1798" s="376"/>
      <c r="J1798" s="377"/>
      <c r="K1798" s="378"/>
      <c r="L1798" s="378"/>
      <c r="M1798" s="378"/>
      <c r="N1798" s="379"/>
      <c r="O1798" s="380"/>
      <c r="P1798" s="378"/>
      <c r="Q1798" s="378"/>
      <c r="R1798" s="378"/>
      <c r="S1798" s="378"/>
      <c r="T1798" s="378"/>
      <c r="U1798" s="378"/>
      <c r="V1798" s="378"/>
      <c r="W1798" s="378"/>
      <c r="X1798" s="378"/>
      <c r="Y1798" s="378"/>
      <c r="Z1798" s="378"/>
      <c r="AA1798" s="378"/>
      <c r="AB1798" s="378"/>
      <c r="AC1798" s="378"/>
      <c r="AD1798" s="378"/>
      <c r="AE1798" s="378"/>
      <c r="AF1798" s="378"/>
      <c r="AG1798" s="378"/>
    </row>
    <row r="1799">
      <c r="A1799" s="378"/>
      <c r="B1799" s="477"/>
      <c r="C1799" s="378"/>
      <c r="D1799" s="378"/>
      <c r="E1799" s="378"/>
      <c r="F1799" s="378"/>
      <c r="G1799" s="378"/>
      <c r="H1799" s="378"/>
      <c r="I1799" s="376"/>
      <c r="J1799" s="377"/>
      <c r="K1799" s="378"/>
      <c r="L1799" s="378"/>
      <c r="M1799" s="378"/>
      <c r="N1799" s="379"/>
      <c r="O1799" s="380"/>
      <c r="P1799" s="378"/>
      <c r="Q1799" s="378"/>
      <c r="R1799" s="378"/>
      <c r="S1799" s="378"/>
      <c r="T1799" s="378"/>
      <c r="U1799" s="378"/>
      <c r="V1799" s="378"/>
      <c r="W1799" s="378"/>
      <c r="X1799" s="378"/>
      <c r="Y1799" s="378"/>
      <c r="Z1799" s="378"/>
      <c r="AA1799" s="378"/>
      <c r="AB1799" s="378"/>
      <c r="AC1799" s="378"/>
      <c r="AD1799" s="378"/>
      <c r="AE1799" s="378"/>
      <c r="AF1799" s="378"/>
      <c r="AG1799" s="378"/>
    </row>
    <row r="1800">
      <c r="A1800" s="378"/>
      <c r="B1800" s="477"/>
      <c r="C1800" s="378"/>
      <c r="D1800" s="378"/>
      <c r="E1800" s="378"/>
      <c r="F1800" s="378"/>
      <c r="G1800" s="378"/>
      <c r="H1800" s="378"/>
      <c r="I1800" s="376"/>
      <c r="J1800" s="377"/>
      <c r="K1800" s="378"/>
      <c r="L1800" s="378"/>
      <c r="M1800" s="378"/>
      <c r="N1800" s="379"/>
      <c r="O1800" s="380"/>
      <c r="P1800" s="378"/>
      <c r="Q1800" s="378"/>
      <c r="R1800" s="378"/>
      <c r="S1800" s="378"/>
      <c r="T1800" s="378"/>
      <c r="U1800" s="378"/>
      <c r="V1800" s="378"/>
      <c r="W1800" s="378"/>
      <c r="X1800" s="378"/>
      <c r="Y1800" s="378"/>
      <c r="Z1800" s="378"/>
      <c r="AA1800" s="378"/>
      <c r="AB1800" s="378"/>
      <c r="AC1800" s="378"/>
      <c r="AD1800" s="378"/>
      <c r="AE1800" s="378"/>
      <c r="AF1800" s="378"/>
      <c r="AG1800" s="378"/>
    </row>
    <row r="1801">
      <c r="A1801" s="378"/>
      <c r="B1801" s="477"/>
      <c r="C1801" s="378"/>
      <c r="D1801" s="378"/>
      <c r="E1801" s="378"/>
      <c r="F1801" s="378"/>
      <c r="G1801" s="378"/>
      <c r="H1801" s="378"/>
      <c r="I1801" s="376"/>
      <c r="J1801" s="377"/>
      <c r="K1801" s="378"/>
      <c r="L1801" s="378"/>
      <c r="M1801" s="378"/>
      <c r="N1801" s="379"/>
      <c r="O1801" s="380"/>
      <c r="P1801" s="378"/>
      <c r="Q1801" s="378"/>
      <c r="R1801" s="378"/>
      <c r="S1801" s="378"/>
      <c r="T1801" s="378"/>
      <c r="U1801" s="378"/>
      <c r="V1801" s="378"/>
      <c r="W1801" s="378"/>
      <c r="X1801" s="378"/>
      <c r="Y1801" s="378"/>
      <c r="Z1801" s="378"/>
      <c r="AA1801" s="378"/>
      <c r="AB1801" s="378"/>
      <c r="AC1801" s="378"/>
      <c r="AD1801" s="378"/>
      <c r="AE1801" s="378"/>
      <c r="AF1801" s="378"/>
      <c r="AG1801" s="378"/>
    </row>
    <row r="1802">
      <c r="A1802" s="378"/>
      <c r="B1802" s="477"/>
      <c r="C1802" s="378"/>
      <c r="D1802" s="378"/>
      <c r="E1802" s="378"/>
      <c r="F1802" s="378"/>
      <c r="G1802" s="378"/>
      <c r="H1802" s="378"/>
      <c r="I1802" s="376"/>
      <c r="J1802" s="377"/>
      <c r="K1802" s="378"/>
      <c r="L1802" s="378"/>
      <c r="M1802" s="378"/>
      <c r="N1802" s="379"/>
      <c r="O1802" s="380"/>
      <c r="P1802" s="378"/>
      <c r="Q1802" s="378"/>
      <c r="R1802" s="378"/>
      <c r="S1802" s="378"/>
      <c r="T1802" s="378"/>
      <c r="U1802" s="378"/>
      <c r="V1802" s="378"/>
      <c r="W1802" s="378"/>
      <c r="X1802" s="378"/>
      <c r="Y1802" s="378"/>
      <c r="Z1802" s="378"/>
      <c r="AA1802" s="378"/>
      <c r="AB1802" s="378"/>
      <c r="AC1802" s="378"/>
      <c r="AD1802" s="378"/>
      <c r="AE1802" s="378"/>
      <c r="AF1802" s="378"/>
      <c r="AG1802" s="378"/>
    </row>
    <row r="1803">
      <c r="A1803" s="378"/>
      <c r="B1803" s="477"/>
      <c r="C1803" s="378"/>
      <c r="D1803" s="378"/>
      <c r="E1803" s="378"/>
      <c r="F1803" s="378"/>
      <c r="G1803" s="378"/>
      <c r="H1803" s="378"/>
      <c r="I1803" s="376"/>
      <c r="J1803" s="377"/>
      <c r="K1803" s="378"/>
      <c r="L1803" s="378"/>
      <c r="M1803" s="378"/>
      <c r="N1803" s="379"/>
      <c r="O1803" s="380"/>
      <c r="P1803" s="378"/>
      <c r="Q1803" s="378"/>
      <c r="R1803" s="378"/>
      <c r="S1803" s="378"/>
      <c r="T1803" s="378"/>
      <c r="U1803" s="378"/>
      <c r="V1803" s="378"/>
      <c r="W1803" s="378"/>
      <c r="X1803" s="378"/>
      <c r="Y1803" s="378"/>
      <c r="Z1803" s="378"/>
      <c r="AA1803" s="378"/>
      <c r="AB1803" s="378"/>
      <c r="AC1803" s="378"/>
      <c r="AD1803" s="378"/>
      <c r="AE1803" s="378"/>
      <c r="AF1803" s="378"/>
      <c r="AG1803" s="378"/>
    </row>
    <row r="1804">
      <c r="A1804" s="378"/>
      <c r="B1804" s="477"/>
      <c r="C1804" s="378"/>
      <c r="D1804" s="378"/>
      <c r="E1804" s="378"/>
      <c r="F1804" s="378"/>
      <c r="G1804" s="378"/>
      <c r="H1804" s="378"/>
      <c r="I1804" s="376"/>
      <c r="J1804" s="377"/>
      <c r="K1804" s="378"/>
      <c r="L1804" s="378"/>
      <c r="M1804" s="378"/>
      <c r="N1804" s="379"/>
      <c r="O1804" s="380"/>
      <c r="P1804" s="378"/>
      <c r="Q1804" s="378"/>
      <c r="R1804" s="378"/>
      <c r="S1804" s="378"/>
      <c r="T1804" s="378"/>
      <c r="U1804" s="378"/>
      <c r="V1804" s="378"/>
      <c r="W1804" s="378"/>
      <c r="X1804" s="378"/>
      <c r="Y1804" s="378"/>
      <c r="Z1804" s="378"/>
      <c r="AA1804" s="378"/>
      <c r="AB1804" s="378"/>
      <c r="AC1804" s="378"/>
      <c r="AD1804" s="378"/>
      <c r="AE1804" s="378"/>
      <c r="AF1804" s="378"/>
      <c r="AG1804" s="378"/>
    </row>
    <row r="1805">
      <c r="A1805" s="378"/>
      <c r="B1805" s="477"/>
      <c r="C1805" s="378"/>
      <c r="D1805" s="378"/>
      <c r="E1805" s="378"/>
      <c r="F1805" s="378"/>
      <c r="G1805" s="378"/>
      <c r="H1805" s="378"/>
      <c r="I1805" s="376"/>
      <c r="J1805" s="377"/>
      <c r="K1805" s="378"/>
      <c r="L1805" s="378"/>
      <c r="M1805" s="378"/>
      <c r="N1805" s="379"/>
      <c r="O1805" s="380"/>
      <c r="P1805" s="378"/>
      <c r="Q1805" s="378"/>
      <c r="R1805" s="378"/>
      <c r="S1805" s="378"/>
      <c r="T1805" s="378"/>
      <c r="U1805" s="378"/>
      <c r="V1805" s="378"/>
      <c r="W1805" s="378"/>
      <c r="X1805" s="378"/>
      <c r="Y1805" s="378"/>
      <c r="Z1805" s="378"/>
      <c r="AA1805" s="378"/>
      <c r="AB1805" s="378"/>
      <c r="AC1805" s="378"/>
      <c r="AD1805" s="378"/>
      <c r="AE1805" s="378"/>
      <c r="AF1805" s="378"/>
      <c r="AG1805" s="378"/>
    </row>
    <row r="1806">
      <c r="A1806" s="378"/>
      <c r="B1806" s="477"/>
      <c r="C1806" s="378"/>
      <c r="D1806" s="378"/>
      <c r="E1806" s="378"/>
      <c r="F1806" s="378"/>
      <c r="G1806" s="378"/>
      <c r="H1806" s="378"/>
      <c r="I1806" s="376"/>
      <c r="J1806" s="377"/>
      <c r="K1806" s="378"/>
      <c r="L1806" s="378"/>
      <c r="M1806" s="378"/>
      <c r="N1806" s="379"/>
      <c r="O1806" s="380"/>
      <c r="P1806" s="378"/>
      <c r="Q1806" s="378"/>
      <c r="R1806" s="378"/>
      <c r="S1806" s="378"/>
      <c r="T1806" s="378"/>
      <c r="U1806" s="378"/>
      <c r="V1806" s="378"/>
      <c r="W1806" s="378"/>
      <c r="X1806" s="378"/>
      <c r="Y1806" s="378"/>
      <c r="Z1806" s="378"/>
      <c r="AA1806" s="378"/>
      <c r="AB1806" s="378"/>
      <c r="AC1806" s="378"/>
      <c r="AD1806" s="378"/>
      <c r="AE1806" s="378"/>
      <c r="AF1806" s="378"/>
      <c r="AG1806" s="378"/>
    </row>
    <row r="1807">
      <c r="A1807" s="378"/>
      <c r="B1807" s="477"/>
      <c r="C1807" s="378"/>
      <c r="D1807" s="378"/>
      <c r="E1807" s="378"/>
      <c r="F1807" s="378"/>
      <c r="G1807" s="378"/>
      <c r="H1807" s="378"/>
      <c r="I1807" s="376"/>
      <c r="J1807" s="377"/>
      <c r="K1807" s="378"/>
      <c r="L1807" s="378"/>
      <c r="M1807" s="378"/>
      <c r="N1807" s="379"/>
      <c r="O1807" s="380"/>
      <c r="P1807" s="378"/>
      <c r="Q1807" s="378"/>
      <c r="R1807" s="378"/>
      <c r="S1807" s="378"/>
      <c r="T1807" s="378"/>
      <c r="U1807" s="378"/>
      <c r="V1807" s="378"/>
      <c r="W1807" s="378"/>
      <c r="X1807" s="378"/>
      <c r="Y1807" s="378"/>
      <c r="Z1807" s="378"/>
      <c r="AA1807" s="378"/>
      <c r="AB1807" s="378"/>
      <c r="AC1807" s="378"/>
      <c r="AD1807" s="378"/>
      <c r="AE1807" s="378"/>
      <c r="AF1807" s="378"/>
      <c r="AG1807" s="378"/>
    </row>
    <row r="1808">
      <c r="A1808" s="378"/>
      <c r="B1808" s="477"/>
      <c r="C1808" s="378"/>
      <c r="D1808" s="378"/>
      <c r="E1808" s="378"/>
      <c r="F1808" s="378"/>
      <c r="G1808" s="378"/>
      <c r="H1808" s="378"/>
      <c r="I1808" s="376"/>
      <c r="J1808" s="377"/>
      <c r="K1808" s="378"/>
      <c r="L1808" s="378"/>
      <c r="M1808" s="378"/>
      <c r="N1808" s="379"/>
      <c r="O1808" s="380"/>
      <c r="P1808" s="378"/>
      <c r="Q1808" s="378"/>
      <c r="R1808" s="378"/>
      <c r="S1808" s="378"/>
      <c r="T1808" s="378"/>
      <c r="U1808" s="378"/>
      <c r="V1808" s="378"/>
      <c r="W1808" s="378"/>
      <c r="X1808" s="378"/>
      <c r="Y1808" s="378"/>
      <c r="Z1808" s="378"/>
      <c r="AA1808" s="378"/>
      <c r="AB1808" s="378"/>
      <c r="AC1808" s="378"/>
      <c r="AD1808" s="378"/>
      <c r="AE1808" s="378"/>
      <c r="AF1808" s="378"/>
      <c r="AG1808" s="378"/>
    </row>
    <row r="1809">
      <c r="A1809" s="378"/>
      <c r="B1809" s="477"/>
      <c r="C1809" s="378"/>
      <c r="D1809" s="378"/>
      <c r="E1809" s="378"/>
      <c r="F1809" s="378"/>
      <c r="G1809" s="378"/>
      <c r="H1809" s="378"/>
      <c r="I1809" s="376"/>
      <c r="J1809" s="377"/>
      <c r="K1809" s="378"/>
      <c r="L1809" s="378"/>
      <c r="M1809" s="378"/>
      <c r="N1809" s="379"/>
      <c r="O1809" s="380"/>
      <c r="P1809" s="378"/>
      <c r="Q1809" s="378"/>
      <c r="R1809" s="378"/>
      <c r="S1809" s="378"/>
      <c r="T1809" s="378"/>
      <c r="U1809" s="378"/>
      <c r="V1809" s="378"/>
      <c r="W1809" s="378"/>
      <c r="X1809" s="378"/>
      <c r="Y1809" s="378"/>
      <c r="Z1809" s="378"/>
      <c r="AA1809" s="378"/>
      <c r="AB1809" s="378"/>
      <c r="AC1809" s="378"/>
      <c r="AD1809" s="378"/>
      <c r="AE1809" s="378"/>
      <c r="AF1809" s="378"/>
      <c r="AG1809" s="378"/>
    </row>
    <row r="1810">
      <c r="A1810" s="378"/>
      <c r="B1810" s="477"/>
      <c r="C1810" s="378"/>
      <c r="D1810" s="378"/>
      <c r="E1810" s="378"/>
      <c r="F1810" s="378"/>
      <c r="G1810" s="378"/>
      <c r="H1810" s="378"/>
      <c r="I1810" s="376"/>
      <c r="J1810" s="377"/>
      <c r="K1810" s="378"/>
      <c r="L1810" s="378"/>
      <c r="M1810" s="378"/>
      <c r="N1810" s="379"/>
      <c r="O1810" s="380"/>
      <c r="P1810" s="378"/>
      <c r="Q1810" s="378"/>
      <c r="R1810" s="378"/>
      <c r="S1810" s="378"/>
      <c r="T1810" s="378"/>
      <c r="U1810" s="378"/>
      <c r="V1810" s="378"/>
      <c r="W1810" s="378"/>
      <c r="X1810" s="378"/>
      <c r="Y1810" s="378"/>
      <c r="Z1810" s="378"/>
      <c r="AA1810" s="378"/>
      <c r="AB1810" s="378"/>
      <c r="AC1810" s="378"/>
      <c r="AD1810" s="378"/>
      <c r="AE1810" s="378"/>
      <c r="AF1810" s="378"/>
      <c r="AG1810" s="378"/>
    </row>
    <row r="1811">
      <c r="A1811" s="378"/>
      <c r="B1811" s="477"/>
      <c r="C1811" s="378"/>
      <c r="D1811" s="378"/>
      <c r="E1811" s="378"/>
      <c r="F1811" s="378"/>
      <c r="G1811" s="378"/>
      <c r="H1811" s="378"/>
      <c r="I1811" s="376"/>
      <c r="J1811" s="377"/>
      <c r="K1811" s="378"/>
      <c r="L1811" s="378"/>
      <c r="M1811" s="378"/>
      <c r="N1811" s="379"/>
      <c r="O1811" s="380"/>
      <c r="P1811" s="378"/>
      <c r="Q1811" s="378"/>
      <c r="R1811" s="378"/>
      <c r="S1811" s="378"/>
      <c r="T1811" s="378"/>
      <c r="U1811" s="378"/>
      <c r="V1811" s="378"/>
      <c r="W1811" s="378"/>
      <c r="X1811" s="378"/>
      <c r="Y1811" s="378"/>
      <c r="Z1811" s="378"/>
      <c r="AA1811" s="378"/>
      <c r="AB1811" s="378"/>
      <c r="AC1811" s="378"/>
      <c r="AD1811" s="378"/>
      <c r="AE1811" s="378"/>
      <c r="AF1811" s="378"/>
      <c r="AG1811" s="378"/>
    </row>
    <row r="1812">
      <c r="A1812" s="378"/>
      <c r="B1812" s="477"/>
      <c r="C1812" s="378"/>
      <c r="D1812" s="378"/>
      <c r="E1812" s="378"/>
      <c r="F1812" s="378"/>
      <c r="G1812" s="378"/>
      <c r="H1812" s="378"/>
      <c r="I1812" s="376"/>
      <c r="J1812" s="377"/>
      <c r="K1812" s="378"/>
      <c r="L1812" s="378"/>
      <c r="M1812" s="378"/>
      <c r="N1812" s="379"/>
      <c r="O1812" s="380"/>
      <c r="P1812" s="378"/>
      <c r="Q1812" s="378"/>
      <c r="R1812" s="378"/>
      <c r="S1812" s="378"/>
      <c r="T1812" s="378"/>
      <c r="U1812" s="378"/>
      <c r="V1812" s="378"/>
      <c r="W1812" s="378"/>
      <c r="X1812" s="378"/>
      <c r="Y1812" s="378"/>
      <c r="Z1812" s="378"/>
      <c r="AA1812" s="378"/>
      <c r="AB1812" s="378"/>
      <c r="AC1812" s="378"/>
      <c r="AD1812" s="378"/>
      <c r="AE1812" s="378"/>
      <c r="AF1812" s="378"/>
      <c r="AG1812" s="378"/>
    </row>
    <row r="1813">
      <c r="A1813" s="378"/>
      <c r="B1813" s="477"/>
      <c r="C1813" s="378"/>
      <c r="D1813" s="378"/>
      <c r="E1813" s="378"/>
      <c r="F1813" s="378"/>
      <c r="G1813" s="378"/>
      <c r="H1813" s="378"/>
      <c r="I1813" s="376"/>
      <c r="J1813" s="377"/>
      <c r="K1813" s="378"/>
      <c r="L1813" s="378"/>
      <c r="M1813" s="378"/>
      <c r="N1813" s="379"/>
      <c r="O1813" s="380"/>
      <c r="P1813" s="378"/>
      <c r="Q1813" s="378"/>
      <c r="R1813" s="378"/>
      <c r="S1813" s="378"/>
      <c r="T1813" s="378"/>
      <c r="U1813" s="378"/>
      <c r="V1813" s="378"/>
      <c r="W1813" s="378"/>
      <c r="X1813" s="378"/>
      <c r="Y1813" s="378"/>
      <c r="Z1813" s="378"/>
      <c r="AA1813" s="378"/>
      <c r="AB1813" s="378"/>
      <c r="AC1813" s="378"/>
      <c r="AD1813" s="378"/>
      <c r="AE1813" s="378"/>
      <c r="AF1813" s="378"/>
      <c r="AG1813" s="378"/>
    </row>
    <row r="1814">
      <c r="A1814" s="378"/>
      <c r="B1814" s="477"/>
      <c r="C1814" s="378"/>
      <c r="D1814" s="378"/>
      <c r="E1814" s="378"/>
      <c r="F1814" s="378"/>
      <c r="G1814" s="378"/>
      <c r="H1814" s="378"/>
      <c r="I1814" s="376"/>
      <c r="J1814" s="377"/>
      <c r="K1814" s="378"/>
      <c r="L1814" s="378"/>
      <c r="M1814" s="378"/>
      <c r="N1814" s="379"/>
      <c r="O1814" s="380"/>
      <c r="P1814" s="378"/>
      <c r="Q1814" s="378"/>
      <c r="R1814" s="378"/>
      <c r="S1814" s="378"/>
      <c r="T1814" s="378"/>
      <c r="U1814" s="378"/>
      <c r="V1814" s="378"/>
      <c r="W1814" s="378"/>
      <c r="X1814" s="378"/>
      <c r="Y1814" s="378"/>
      <c r="Z1814" s="378"/>
      <c r="AA1814" s="378"/>
      <c r="AB1814" s="378"/>
      <c r="AC1814" s="378"/>
      <c r="AD1814" s="378"/>
      <c r="AE1814" s="378"/>
      <c r="AF1814" s="378"/>
      <c r="AG1814" s="378"/>
    </row>
    <row r="1815">
      <c r="A1815" s="378"/>
      <c r="B1815" s="477"/>
      <c r="C1815" s="378"/>
      <c r="D1815" s="378"/>
      <c r="E1815" s="378"/>
      <c r="F1815" s="378"/>
      <c r="G1815" s="378"/>
      <c r="H1815" s="378"/>
      <c r="I1815" s="376"/>
      <c r="J1815" s="377"/>
      <c r="K1815" s="378"/>
      <c r="L1815" s="378"/>
      <c r="M1815" s="378"/>
      <c r="N1815" s="379"/>
      <c r="O1815" s="380"/>
      <c r="P1815" s="378"/>
      <c r="Q1815" s="378"/>
      <c r="R1815" s="378"/>
      <c r="S1815" s="378"/>
      <c r="T1815" s="378"/>
      <c r="U1815" s="378"/>
      <c r="V1815" s="378"/>
      <c r="W1815" s="378"/>
      <c r="X1815" s="378"/>
      <c r="Y1815" s="378"/>
      <c r="Z1815" s="378"/>
      <c r="AA1815" s="378"/>
      <c r="AB1815" s="378"/>
      <c r="AC1815" s="378"/>
      <c r="AD1815" s="378"/>
      <c r="AE1815" s="378"/>
      <c r="AF1815" s="378"/>
      <c r="AG1815" s="378"/>
    </row>
    <row r="1816">
      <c r="A1816" s="378"/>
      <c r="B1816" s="477"/>
      <c r="C1816" s="378"/>
      <c r="D1816" s="378"/>
      <c r="E1816" s="378"/>
      <c r="F1816" s="378"/>
      <c r="G1816" s="378"/>
      <c r="H1816" s="378"/>
      <c r="I1816" s="376"/>
      <c r="J1816" s="377"/>
      <c r="K1816" s="378"/>
      <c r="L1816" s="378"/>
      <c r="M1816" s="378"/>
      <c r="N1816" s="379"/>
      <c r="O1816" s="380"/>
      <c r="P1816" s="378"/>
      <c r="Q1816" s="378"/>
      <c r="R1816" s="378"/>
      <c r="S1816" s="378"/>
      <c r="T1816" s="378"/>
      <c r="U1816" s="378"/>
      <c r="V1816" s="378"/>
      <c r="W1816" s="378"/>
      <c r="X1816" s="378"/>
      <c r="Y1816" s="378"/>
      <c r="Z1816" s="378"/>
      <c r="AA1816" s="378"/>
      <c r="AB1816" s="378"/>
      <c r="AC1816" s="378"/>
      <c r="AD1816" s="378"/>
      <c r="AE1816" s="378"/>
      <c r="AF1816" s="378"/>
      <c r="AG1816" s="378"/>
    </row>
    <row r="1817">
      <c r="A1817" s="378"/>
      <c r="B1817" s="477"/>
      <c r="C1817" s="378"/>
      <c r="D1817" s="378"/>
      <c r="E1817" s="378"/>
      <c r="F1817" s="378"/>
      <c r="G1817" s="378"/>
      <c r="H1817" s="378"/>
      <c r="I1817" s="376"/>
      <c r="J1817" s="377"/>
      <c r="K1817" s="378"/>
      <c r="L1817" s="378"/>
      <c r="M1817" s="378"/>
      <c r="N1817" s="379"/>
      <c r="O1817" s="380"/>
      <c r="P1817" s="378"/>
      <c r="Q1817" s="378"/>
      <c r="R1817" s="378"/>
      <c r="S1817" s="378"/>
      <c r="T1817" s="378"/>
      <c r="U1817" s="378"/>
      <c r="V1817" s="378"/>
      <c r="W1817" s="378"/>
      <c r="X1817" s="378"/>
      <c r="Y1817" s="378"/>
      <c r="Z1817" s="378"/>
      <c r="AA1817" s="378"/>
      <c r="AB1817" s="378"/>
      <c r="AC1817" s="378"/>
      <c r="AD1817" s="378"/>
      <c r="AE1817" s="378"/>
      <c r="AF1817" s="378"/>
      <c r="AG1817" s="378"/>
    </row>
    <row r="1818">
      <c r="A1818" s="378"/>
      <c r="B1818" s="477"/>
      <c r="C1818" s="378"/>
      <c r="D1818" s="378"/>
      <c r="E1818" s="378"/>
      <c r="F1818" s="378"/>
      <c r="G1818" s="378"/>
      <c r="H1818" s="378"/>
      <c r="I1818" s="376"/>
      <c r="J1818" s="377"/>
      <c r="K1818" s="378"/>
      <c r="L1818" s="378"/>
      <c r="M1818" s="378"/>
      <c r="N1818" s="379"/>
      <c r="O1818" s="380"/>
      <c r="P1818" s="378"/>
      <c r="Q1818" s="378"/>
      <c r="R1818" s="378"/>
      <c r="S1818" s="378"/>
      <c r="T1818" s="378"/>
      <c r="U1818" s="378"/>
      <c r="V1818" s="378"/>
      <c r="W1818" s="378"/>
      <c r="X1818" s="378"/>
      <c r="Y1818" s="378"/>
      <c r="Z1818" s="378"/>
      <c r="AA1818" s="378"/>
      <c r="AB1818" s="378"/>
      <c r="AC1818" s="378"/>
      <c r="AD1818" s="378"/>
      <c r="AE1818" s="378"/>
      <c r="AF1818" s="378"/>
      <c r="AG1818" s="378"/>
    </row>
    <row r="1819">
      <c r="A1819" s="378"/>
      <c r="B1819" s="477"/>
      <c r="C1819" s="378"/>
      <c r="D1819" s="378"/>
      <c r="E1819" s="378"/>
      <c r="F1819" s="378"/>
      <c r="G1819" s="378"/>
      <c r="H1819" s="378"/>
      <c r="I1819" s="376"/>
      <c r="J1819" s="377"/>
      <c r="K1819" s="378"/>
      <c r="L1819" s="378"/>
      <c r="M1819" s="378"/>
      <c r="N1819" s="379"/>
      <c r="O1819" s="380"/>
      <c r="P1819" s="378"/>
      <c r="Q1819" s="378"/>
      <c r="R1819" s="378"/>
      <c r="S1819" s="378"/>
      <c r="T1819" s="378"/>
      <c r="U1819" s="378"/>
      <c r="V1819" s="378"/>
      <c r="W1819" s="378"/>
      <c r="X1819" s="378"/>
      <c r="Y1819" s="378"/>
      <c r="Z1819" s="378"/>
      <c r="AA1819" s="378"/>
      <c r="AB1819" s="378"/>
      <c r="AC1819" s="378"/>
      <c r="AD1819" s="378"/>
      <c r="AE1819" s="378"/>
      <c r="AF1819" s="378"/>
      <c r="AG1819" s="378"/>
    </row>
    <row r="1820">
      <c r="A1820" s="378"/>
      <c r="B1820" s="477"/>
      <c r="C1820" s="378"/>
      <c r="D1820" s="378"/>
      <c r="E1820" s="378"/>
      <c r="F1820" s="378"/>
      <c r="G1820" s="378"/>
      <c r="H1820" s="378"/>
      <c r="I1820" s="376"/>
      <c r="J1820" s="377"/>
      <c r="K1820" s="378"/>
      <c r="L1820" s="378"/>
      <c r="M1820" s="378"/>
      <c r="N1820" s="379"/>
      <c r="O1820" s="380"/>
      <c r="P1820" s="378"/>
      <c r="Q1820" s="378"/>
      <c r="R1820" s="378"/>
      <c r="S1820" s="378"/>
      <c r="T1820" s="378"/>
      <c r="U1820" s="378"/>
      <c r="V1820" s="378"/>
      <c r="W1820" s="378"/>
      <c r="X1820" s="378"/>
      <c r="Y1820" s="378"/>
      <c r="Z1820" s="378"/>
      <c r="AA1820" s="378"/>
      <c r="AB1820" s="378"/>
      <c r="AC1820" s="378"/>
      <c r="AD1820" s="378"/>
      <c r="AE1820" s="378"/>
      <c r="AF1820" s="378"/>
      <c r="AG1820" s="378"/>
    </row>
    <row r="1821">
      <c r="A1821" s="378"/>
      <c r="B1821" s="477"/>
      <c r="C1821" s="378"/>
      <c r="D1821" s="378"/>
      <c r="E1821" s="378"/>
      <c r="F1821" s="378"/>
      <c r="G1821" s="378"/>
      <c r="H1821" s="378"/>
      <c r="I1821" s="376"/>
      <c r="J1821" s="377"/>
      <c r="K1821" s="378"/>
      <c r="L1821" s="378"/>
      <c r="M1821" s="378"/>
      <c r="N1821" s="379"/>
      <c r="O1821" s="380"/>
      <c r="P1821" s="378"/>
      <c r="Q1821" s="378"/>
      <c r="R1821" s="378"/>
      <c r="S1821" s="378"/>
      <c r="T1821" s="378"/>
      <c r="U1821" s="378"/>
      <c r="V1821" s="378"/>
      <c r="W1821" s="378"/>
      <c r="X1821" s="378"/>
      <c r="Y1821" s="378"/>
      <c r="Z1821" s="378"/>
      <c r="AA1821" s="378"/>
      <c r="AB1821" s="378"/>
      <c r="AC1821" s="378"/>
      <c r="AD1821" s="378"/>
      <c r="AE1821" s="378"/>
      <c r="AF1821" s="378"/>
      <c r="AG1821" s="378"/>
    </row>
    <row r="1822">
      <c r="A1822" s="378"/>
      <c r="B1822" s="477"/>
      <c r="C1822" s="378"/>
      <c r="D1822" s="378"/>
      <c r="E1822" s="378"/>
      <c r="F1822" s="378"/>
      <c r="G1822" s="378"/>
      <c r="H1822" s="378"/>
      <c r="I1822" s="376"/>
      <c r="J1822" s="377"/>
      <c r="K1822" s="378"/>
      <c r="L1822" s="378"/>
      <c r="M1822" s="378"/>
      <c r="N1822" s="379"/>
      <c r="O1822" s="380"/>
      <c r="P1822" s="378"/>
      <c r="Q1822" s="378"/>
      <c r="R1822" s="378"/>
      <c r="S1822" s="378"/>
      <c r="T1822" s="378"/>
      <c r="U1822" s="378"/>
      <c r="V1822" s="378"/>
      <c r="W1822" s="378"/>
      <c r="X1822" s="378"/>
      <c r="Y1822" s="378"/>
      <c r="Z1822" s="378"/>
      <c r="AA1822" s="378"/>
      <c r="AB1822" s="378"/>
      <c r="AC1822" s="378"/>
      <c r="AD1822" s="378"/>
      <c r="AE1822" s="378"/>
      <c r="AF1822" s="378"/>
      <c r="AG1822" s="378"/>
    </row>
    <row r="1823">
      <c r="A1823" s="378"/>
      <c r="B1823" s="477"/>
      <c r="C1823" s="378"/>
      <c r="D1823" s="378"/>
      <c r="E1823" s="378"/>
      <c r="F1823" s="378"/>
      <c r="G1823" s="378"/>
      <c r="H1823" s="378"/>
      <c r="I1823" s="376"/>
      <c r="J1823" s="377"/>
      <c r="K1823" s="378"/>
      <c r="L1823" s="378"/>
      <c r="M1823" s="378"/>
      <c r="N1823" s="379"/>
      <c r="O1823" s="380"/>
      <c r="P1823" s="378"/>
      <c r="Q1823" s="378"/>
      <c r="R1823" s="378"/>
      <c r="S1823" s="378"/>
      <c r="T1823" s="378"/>
      <c r="U1823" s="378"/>
      <c r="V1823" s="378"/>
      <c r="W1823" s="378"/>
      <c r="X1823" s="378"/>
      <c r="Y1823" s="378"/>
      <c r="Z1823" s="378"/>
      <c r="AA1823" s="378"/>
      <c r="AB1823" s="378"/>
      <c r="AC1823" s="378"/>
      <c r="AD1823" s="378"/>
      <c r="AE1823" s="378"/>
      <c r="AF1823" s="378"/>
      <c r="AG1823" s="378"/>
    </row>
    <row r="1824">
      <c r="A1824" s="378"/>
      <c r="B1824" s="477"/>
      <c r="C1824" s="378"/>
      <c r="D1824" s="378"/>
      <c r="E1824" s="378"/>
      <c r="F1824" s="378"/>
      <c r="G1824" s="378"/>
      <c r="H1824" s="378"/>
      <c r="I1824" s="376"/>
      <c r="J1824" s="377"/>
      <c r="K1824" s="378"/>
      <c r="L1824" s="378"/>
      <c r="M1824" s="378"/>
      <c r="N1824" s="379"/>
      <c r="O1824" s="380"/>
      <c r="P1824" s="378"/>
      <c r="Q1824" s="378"/>
      <c r="R1824" s="378"/>
      <c r="S1824" s="378"/>
      <c r="T1824" s="378"/>
      <c r="U1824" s="378"/>
      <c r="V1824" s="378"/>
      <c r="W1824" s="378"/>
      <c r="X1824" s="378"/>
      <c r="Y1824" s="378"/>
      <c r="Z1824" s="378"/>
      <c r="AA1824" s="378"/>
      <c r="AB1824" s="378"/>
      <c r="AC1824" s="378"/>
      <c r="AD1824" s="378"/>
      <c r="AE1824" s="378"/>
      <c r="AF1824" s="378"/>
      <c r="AG1824" s="378"/>
    </row>
    <row r="1825">
      <c r="A1825" s="378"/>
      <c r="B1825" s="477"/>
      <c r="C1825" s="378"/>
      <c r="D1825" s="378"/>
      <c r="E1825" s="378"/>
      <c r="F1825" s="378"/>
      <c r="G1825" s="378"/>
      <c r="H1825" s="378"/>
      <c r="I1825" s="376"/>
      <c r="J1825" s="377"/>
      <c r="K1825" s="378"/>
      <c r="L1825" s="378"/>
      <c r="M1825" s="378"/>
      <c r="N1825" s="379"/>
      <c r="O1825" s="380"/>
      <c r="P1825" s="378"/>
      <c r="Q1825" s="378"/>
      <c r="R1825" s="378"/>
      <c r="S1825" s="378"/>
      <c r="T1825" s="378"/>
      <c r="U1825" s="378"/>
      <c r="V1825" s="378"/>
      <c r="W1825" s="378"/>
      <c r="X1825" s="378"/>
      <c r="Y1825" s="378"/>
      <c r="Z1825" s="378"/>
      <c r="AA1825" s="378"/>
      <c r="AB1825" s="378"/>
      <c r="AC1825" s="378"/>
      <c r="AD1825" s="378"/>
      <c r="AE1825" s="378"/>
      <c r="AF1825" s="378"/>
      <c r="AG1825" s="378"/>
    </row>
    <row r="1826">
      <c r="A1826" s="378"/>
      <c r="B1826" s="477"/>
      <c r="C1826" s="378"/>
      <c r="D1826" s="378"/>
      <c r="E1826" s="378"/>
      <c r="F1826" s="378"/>
      <c r="G1826" s="378"/>
      <c r="H1826" s="378"/>
      <c r="I1826" s="376"/>
      <c r="J1826" s="377"/>
      <c r="K1826" s="378"/>
      <c r="L1826" s="378"/>
      <c r="M1826" s="378"/>
      <c r="N1826" s="379"/>
      <c r="O1826" s="380"/>
      <c r="P1826" s="378"/>
      <c r="Q1826" s="378"/>
      <c r="R1826" s="378"/>
      <c r="S1826" s="378"/>
      <c r="T1826" s="378"/>
      <c r="U1826" s="378"/>
      <c r="V1826" s="378"/>
      <c r="W1826" s="378"/>
      <c r="X1826" s="378"/>
      <c r="Y1826" s="378"/>
      <c r="Z1826" s="378"/>
      <c r="AA1826" s="378"/>
      <c r="AB1826" s="378"/>
      <c r="AC1826" s="378"/>
      <c r="AD1826" s="378"/>
      <c r="AE1826" s="378"/>
      <c r="AF1826" s="378"/>
      <c r="AG1826" s="378"/>
    </row>
    <row r="1827">
      <c r="A1827" s="378"/>
      <c r="B1827" s="477"/>
      <c r="C1827" s="378"/>
      <c r="D1827" s="378"/>
      <c r="E1827" s="378"/>
      <c r="F1827" s="378"/>
      <c r="G1827" s="378"/>
      <c r="H1827" s="378"/>
      <c r="I1827" s="376"/>
      <c r="J1827" s="377"/>
      <c r="K1827" s="378"/>
      <c r="L1827" s="378"/>
      <c r="M1827" s="378"/>
      <c r="N1827" s="379"/>
      <c r="O1827" s="380"/>
      <c r="P1827" s="378"/>
      <c r="Q1827" s="378"/>
      <c r="R1827" s="378"/>
      <c r="S1827" s="378"/>
      <c r="T1827" s="378"/>
      <c r="U1827" s="378"/>
      <c r="V1827" s="378"/>
      <c r="W1827" s="378"/>
      <c r="X1827" s="378"/>
      <c r="Y1827" s="378"/>
      <c r="Z1827" s="378"/>
      <c r="AA1827" s="378"/>
      <c r="AB1827" s="378"/>
      <c r="AC1827" s="378"/>
      <c r="AD1827" s="378"/>
      <c r="AE1827" s="378"/>
      <c r="AF1827" s="378"/>
      <c r="AG1827" s="378"/>
    </row>
    <row r="1828">
      <c r="A1828" s="378"/>
      <c r="B1828" s="477"/>
      <c r="C1828" s="378"/>
      <c r="D1828" s="378"/>
      <c r="E1828" s="378"/>
      <c r="F1828" s="378"/>
      <c r="G1828" s="378"/>
      <c r="H1828" s="378"/>
      <c r="I1828" s="376"/>
      <c r="J1828" s="377"/>
      <c r="K1828" s="378"/>
      <c r="L1828" s="378"/>
      <c r="M1828" s="378"/>
      <c r="N1828" s="379"/>
      <c r="O1828" s="380"/>
      <c r="P1828" s="378"/>
      <c r="Q1828" s="378"/>
      <c r="R1828" s="378"/>
      <c r="S1828" s="378"/>
      <c r="T1828" s="378"/>
      <c r="U1828" s="378"/>
      <c r="V1828" s="378"/>
      <c r="W1828" s="378"/>
      <c r="X1828" s="378"/>
      <c r="Y1828" s="378"/>
      <c r="Z1828" s="378"/>
      <c r="AA1828" s="378"/>
      <c r="AB1828" s="378"/>
      <c r="AC1828" s="378"/>
      <c r="AD1828" s="378"/>
      <c r="AE1828" s="378"/>
      <c r="AF1828" s="378"/>
      <c r="AG1828" s="378"/>
    </row>
    <row r="1829">
      <c r="A1829" s="378"/>
      <c r="B1829" s="477"/>
      <c r="C1829" s="378"/>
      <c r="D1829" s="378"/>
      <c r="E1829" s="378"/>
      <c r="F1829" s="378"/>
      <c r="G1829" s="378"/>
      <c r="H1829" s="378"/>
      <c r="I1829" s="376"/>
      <c r="J1829" s="377"/>
      <c r="K1829" s="378"/>
      <c r="L1829" s="378"/>
      <c r="M1829" s="378"/>
      <c r="N1829" s="379"/>
      <c r="O1829" s="380"/>
      <c r="P1829" s="378"/>
      <c r="Q1829" s="378"/>
      <c r="R1829" s="378"/>
      <c r="S1829" s="378"/>
      <c r="T1829" s="378"/>
      <c r="U1829" s="378"/>
      <c r="V1829" s="378"/>
      <c r="W1829" s="378"/>
      <c r="X1829" s="378"/>
      <c r="Y1829" s="378"/>
      <c r="Z1829" s="378"/>
      <c r="AA1829" s="378"/>
      <c r="AB1829" s="378"/>
      <c r="AC1829" s="378"/>
      <c r="AD1829" s="378"/>
      <c r="AE1829" s="378"/>
      <c r="AF1829" s="378"/>
      <c r="AG1829" s="378"/>
    </row>
    <row r="1830">
      <c r="A1830" s="378"/>
      <c r="B1830" s="477"/>
      <c r="C1830" s="378"/>
      <c r="D1830" s="378"/>
      <c r="E1830" s="378"/>
      <c r="F1830" s="378"/>
      <c r="G1830" s="378"/>
      <c r="H1830" s="378"/>
      <c r="I1830" s="376"/>
      <c r="J1830" s="377"/>
      <c r="K1830" s="378"/>
      <c r="L1830" s="378"/>
      <c r="M1830" s="378"/>
      <c r="N1830" s="379"/>
      <c r="O1830" s="380"/>
      <c r="P1830" s="378"/>
      <c r="Q1830" s="378"/>
      <c r="R1830" s="378"/>
      <c r="S1830" s="378"/>
      <c r="T1830" s="378"/>
      <c r="U1830" s="378"/>
      <c r="V1830" s="378"/>
      <c r="W1830" s="378"/>
      <c r="X1830" s="378"/>
      <c r="Y1830" s="378"/>
      <c r="Z1830" s="378"/>
      <c r="AA1830" s="378"/>
      <c r="AB1830" s="378"/>
      <c r="AC1830" s="378"/>
      <c r="AD1830" s="378"/>
      <c r="AE1830" s="378"/>
      <c r="AF1830" s="378"/>
      <c r="AG1830" s="378"/>
    </row>
    <row r="1831">
      <c r="A1831" s="378"/>
      <c r="B1831" s="477"/>
      <c r="C1831" s="378"/>
      <c r="D1831" s="378"/>
      <c r="E1831" s="378"/>
      <c r="F1831" s="378"/>
      <c r="G1831" s="378"/>
      <c r="H1831" s="378"/>
      <c r="I1831" s="376"/>
      <c r="J1831" s="377"/>
      <c r="K1831" s="378"/>
      <c r="L1831" s="378"/>
      <c r="M1831" s="378"/>
      <c r="N1831" s="379"/>
      <c r="O1831" s="380"/>
      <c r="P1831" s="378"/>
      <c r="Q1831" s="378"/>
      <c r="R1831" s="378"/>
      <c r="S1831" s="378"/>
      <c r="T1831" s="378"/>
      <c r="U1831" s="378"/>
      <c r="V1831" s="378"/>
      <c r="W1831" s="378"/>
      <c r="X1831" s="378"/>
      <c r="Y1831" s="378"/>
      <c r="Z1831" s="378"/>
      <c r="AA1831" s="378"/>
      <c r="AB1831" s="378"/>
      <c r="AC1831" s="378"/>
      <c r="AD1831" s="378"/>
      <c r="AE1831" s="378"/>
      <c r="AF1831" s="378"/>
      <c r="AG1831" s="378"/>
    </row>
    <row r="1832">
      <c r="A1832" s="378"/>
      <c r="B1832" s="477"/>
      <c r="C1832" s="378"/>
      <c r="D1832" s="378"/>
      <c r="E1832" s="378"/>
      <c r="F1832" s="378"/>
      <c r="G1832" s="378"/>
      <c r="H1832" s="378"/>
      <c r="I1832" s="376"/>
      <c r="J1832" s="377"/>
      <c r="K1832" s="378"/>
      <c r="L1832" s="378"/>
      <c r="M1832" s="378"/>
      <c r="N1832" s="379"/>
      <c r="O1832" s="380"/>
      <c r="P1832" s="378"/>
      <c r="Q1832" s="378"/>
      <c r="R1832" s="378"/>
      <c r="S1832" s="378"/>
      <c r="T1832" s="378"/>
      <c r="U1832" s="378"/>
      <c r="V1832" s="378"/>
      <c r="W1832" s="378"/>
      <c r="X1832" s="378"/>
      <c r="Y1832" s="378"/>
      <c r="Z1832" s="378"/>
      <c r="AA1832" s="378"/>
      <c r="AB1832" s="378"/>
      <c r="AC1832" s="378"/>
      <c r="AD1832" s="378"/>
      <c r="AE1832" s="378"/>
      <c r="AF1832" s="378"/>
      <c r="AG1832" s="378"/>
    </row>
    <row r="1833">
      <c r="A1833" s="378"/>
      <c r="B1833" s="477"/>
      <c r="C1833" s="378"/>
      <c r="D1833" s="378"/>
      <c r="E1833" s="378"/>
      <c r="F1833" s="378"/>
      <c r="G1833" s="378"/>
      <c r="H1833" s="378"/>
      <c r="I1833" s="376"/>
      <c r="J1833" s="377"/>
      <c r="K1833" s="378"/>
      <c r="L1833" s="378"/>
      <c r="M1833" s="378"/>
      <c r="N1833" s="379"/>
      <c r="O1833" s="380"/>
      <c r="P1833" s="378"/>
      <c r="Q1833" s="378"/>
      <c r="R1833" s="378"/>
      <c r="S1833" s="378"/>
      <c r="T1833" s="378"/>
      <c r="U1833" s="378"/>
      <c r="V1833" s="378"/>
      <c r="W1833" s="378"/>
      <c r="X1833" s="378"/>
      <c r="Y1833" s="378"/>
      <c r="Z1833" s="378"/>
      <c r="AA1833" s="378"/>
      <c r="AB1833" s="378"/>
      <c r="AC1833" s="378"/>
      <c r="AD1833" s="378"/>
      <c r="AE1833" s="378"/>
      <c r="AF1833" s="378"/>
      <c r="AG1833" s="378"/>
    </row>
    <row r="1834">
      <c r="A1834" s="378"/>
      <c r="B1834" s="477"/>
      <c r="C1834" s="378"/>
      <c r="D1834" s="378"/>
      <c r="E1834" s="378"/>
      <c r="F1834" s="378"/>
      <c r="G1834" s="378"/>
      <c r="H1834" s="378"/>
      <c r="I1834" s="376"/>
      <c r="J1834" s="377"/>
      <c r="K1834" s="378"/>
      <c r="L1834" s="378"/>
      <c r="M1834" s="378"/>
      <c r="N1834" s="379"/>
      <c r="O1834" s="380"/>
      <c r="P1834" s="378"/>
      <c r="Q1834" s="378"/>
      <c r="R1834" s="378"/>
      <c r="S1834" s="378"/>
      <c r="T1834" s="378"/>
      <c r="U1834" s="378"/>
      <c r="V1834" s="378"/>
      <c r="W1834" s="378"/>
      <c r="X1834" s="378"/>
      <c r="Y1834" s="378"/>
      <c r="Z1834" s="378"/>
      <c r="AA1834" s="378"/>
      <c r="AB1834" s="378"/>
      <c r="AC1834" s="378"/>
      <c r="AD1834" s="378"/>
      <c r="AE1834" s="378"/>
      <c r="AF1834" s="378"/>
      <c r="AG1834" s="378"/>
    </row>
    <row r="1835">
      <c r="A1835" s="378"/>
      <c r="B1835" s="477"/>
      <c r="C1835" s="378"/>
      <c r="D1835" s="378"/>
      <c r="E1835" s="378"/>
      <c r="F1835" s="378"/>
      <c r="G1835" s="378"/>
      <c r="H1835" s="378"/>
      <c r="I1835" s="376"/>
      <c r="J1835" s="377"/>
      <c r="K1835" s="378"/>
      <c r="L1835" s="378"/>
      <c r="M1835" s="378"/>
      <c r="N1835" s="379"/>
      <c r="O1835" s="380"/>
      <c r="P1835" s="378"/>
      <c r="Q1835" s="378"/>
      <c r="R1835" s="378"/>
      <c r="S1835" s="378"/>
      <c r="T1835" s="378"/>
      <c r="U1835" s="378"/>
      <c r="V1835" s="378"/>
      <c r="W1835" s="378"/>
      <c r="X1835" s="378"/>
      <c r="Y1835" s="378"/>
      <c r="Z1835" s="378"/>
      <c r="AA1835" s="378"/>
      <c r="AB1835" s="378"/>
      <c r="AC1835" s="378"/>
      <c r="AD1835" s="378"/>
      <c r="AE1835" s="378"/>
      <c r="AF1835" s="378"/>
      <c r="AG1835" s="378"/>
    </row>
    <row r="1836">
      <c r="A1836" s="378"/>
      <c r="B1836" s="477"/>
      <c r="C1836" s="378"/>
      <c r="D1836" s="378"/>
      <c r="E1836" s="378"/>
      <c r="F1836" s="378"/>
      <c r="G1836" s="378"/>
      <c r="H1836" s="378"/>
      <c r="I1836" s="376"/>
      <c r="J1836" s="377"/>
      <c r="K1836" s="378"/>
      <c r="L1836" s="378"/>
      <c r="M1836" s="378"/>
      <c r="N1836" s="379"/>
      <c r="O1836" s="380"/>
      <c r="P1836" s="378"/>
      <c r="Q1836" s="378"/>
      <c r="R1836" s="378"/>
      <c r="S1836" s="378"/>
      <c r="T1836" s="378"/>
      <c r="U1836" s="378"/>
      <c r="V1836" s="378"/>
      <c r="W1836" s="378"/>
      <c r="X1836" s="378"/>
      <c r="Y1836" s="378"/>
      <c r="Z1836" s="378"/>
      <c r="AA1836" s="378"/>
      <c r="AB1836" s="378"/>
      <c r="AC1836" s="378"/>
      <c r="AD1836" s="378"/>
      <c r="AE1836" s="378"/>
      <c r="AF1836" s="378"/>
      <c r="AG1836" s="378"/>
    </row>
    <row r="1837">
      <c r="A1837" s="378"/>
      <c r="B1837" s="477"/>
      <c r="C1837" s="378"/>
      <c r="D1837" s="378"/>
      <c r="E1837" s="378"/>
      <c r="F1837" s="378"/>
      <c r="G1837" s="378"/>
      <c r="H1837" s="378"/>
      <c r="I1837" s="376"/>
      <c r="J1837" s="377"/>
      <c r="K1837" s="378"/>
      <c r="L1837" s="378"/>
      <c r="M1837" s="378"/>
      <c r="N1837" s="379"/>
      <c r="O1837" s="380"/>
      <c r="P1837" s="378"/>
      <c r="Q1837" s="378"/>
      <c r="R1837" s="378"/>
      <c r="S1837" s="378"/>
      <c r="T1837" s="378"/>
      <c r="U1837" s="378"/>
      <c r="V1837" s="378"/>
      <c r="W1837" s="378"/>
      <c r="X1837" s="378"/>
      <c r="Y1837" s="378"/>
      <c r="Z1837" s="378"/>
      <c r="AA1837" s="378"/>
      <c r="AB1837" s="378"/>
      <c r="AC1837" s="378"/>
      <c r="AD1837" s="378"/>
      <c r="AE1837" s="378"/>
      <c r="AF1837" s="378"/>
      <c r="AG1837" s="378"/>
    </row>
    <row r="1838">
      <c r="A1838" s="378"/>
      <c r="B1838" s="477"/>
      <c r="C1838" s="378"/>
      <c r="D1838" s="378"/>
      <c r="E1838" s="378"/>
      <c r="F1838" s="378"/>
      <c r="G1838" s="378"/>
      <c r="H1838" s="378"/>
      <c r="I1838" s="376"/>
      <c r="J1838" s="377"/>
      <c r="K1838" s="378"/>
      <c r="L1838" s="378"/>
      <c r="M1838" s="378"/>
      <c r="N1838" s="379"/>
      <c r="O1838" s="380"/>
      <c r="P1838" s="378"/>
      <c r="Q1838" s="378"/>
      <c r="R1838" s="378"/>
      <c r="S1838" s="378"/>
      <c r="T1838" s="378"/>
      <c r="U1838" s="378"/>
      <c r="V1838" s="378"/>
      <c r="W1838" s="378"/>
      <c r="X1838" s="378"/>
      <c r="Y1838" s="378"/>
      <c r="Z1838" s="378"/>
      <c r="AA1838" s="378"/>
      <c r="AB1838" s="378"/>
      <c r="AC1838" s="378"/>
      <c r="AD1838" s="378"/>
      <c r="AE1838" s="378"/>
      <c r="AF1838" s="378"/>
      <c r="AG1838" s="378"/>
    </row>
    <row r="1839">
      <c r="A1839" s="378"/>
      <c r="B1839" s="477"/>
      <c r="C1839" s="378"/>
      <c r="D1839" s="378"/>
      <c r="E1839" s="378"/>
      <c r="F1839" s="378"/>
      <c r="G1839" s="378"/>
      <c r="H1839" s="378"/>
      <c r="I1839" s="376"/>
      <c r="J1839" s="377"/>
      <c r="K1839" s="378"/>
      <c r="L1839" s="378"/>
      <c r="M1839" s="378"/>
      <c r="N1839" s="379"/>
      <c r="O1839" s="380"/>
      <c r="P1839" s="378"/>
      <c r="Q1839" s="378"/>
      <c r="R1839" s="378"/>
      <c r="S1839" s="378"/>
      <c r="T1839" s="378"/>
      <c r="U1839" s="378"/>
      <c r="V1839" s="378"/>
      <c r="W1839" s="378"/>
      <c r="X1839" s="378"/>
      <c r="Y1839" s="378"/>
      <c r="Z1839" s="378"/>
      <c r="AA1839" s="378"/>
      <c r="AB1839" s="378"/>
      <c r="AC1839" s="378"/>
      <c r="AD1839" s="378"/>
      <c r="AE1839" s="378"/>
      <c r="AF1839" s="378"/>
      <c r="AG1839" s="378"/>
    </row>
    <row r="1840">
      <c r="A1840" s="378"/>
      <c r="B1840" s="477"/>
      <c r="C1840" s="378"/>
      <c r="D1840" s="378"/>
      <c r="E1840" s="378"/>
      <c r="F1840" s="378"/>
      <c r="G1840" s="378"/>
      <c r="H1840" s="378"/>
      <c r="I1840" s="376"/>
      <c r="J1840" s="377"/>
      <c r="K1840" s="378"/>
      <c r="L1840" s="378"/>
      <c r="M1840" s="378"/>
      <c r="N1840" s="379"/>
      <c r="O1840" s="380"/>
      <c r="P1840" s="378"/>
      <c r="Q1840" s="378"/>
      <c r="R1840" s="378"/>
      <c r="S1840" s="378"/>
      <c r="T1840" s="378"/>
      <c r="U1840" s="378"/>
      <c r="V1840" s="378"/>
      <c r="W1840" s="378"/>
      <c r="X1840" s="378"/>
      <c r="Y1840" s="378"/>
      <c r="Z1840" s="378"/>
      <c r="AA1840" s="378"/>
      <c r="AB1840" s="378"/>
      <c r="AC1840" s="378"/>
      <c r="AD1840" s="378"/>
      <c r="AE1840" s="378"/>
      <c r="AF1840" s="378"/>
      <c r="AG1840" s="378"/>
    </row>
    <row r="1841">
      <c r="A1841" s="378"/>
      <c r="B1841" s="477"/>
      <c r="C1841" s="378"/>
      <c r="D1841" s="378"/>
      <c r="E1841" s="378"/>
      <c r="F1841" s="378"/>
      <c r="G1841" s="378"/>
      <c r="H1841" s="378"/>
      <c r="I1841" s="376"/>
      <c r="J1841" s="377"/>
      <c r="K1841" s="378"/>
      <c r="L1841" s="378"/>
      <c r="M1841" s="378"/>
      <c r="N1841" s="379"/>
      <c r="O1841" s="380"/>
      <c r="P1841" s="378"/>
      <c r="Q1841" s="378"/>
      <c r="R1841" s="378"/>
      <c r="S1841" s="378"/>
      <c r="T1841" s="378"/>
      <c r="U1841" s="378"/>
      <c r="V1841" s="378"/>
      <c r="W1841" s="378"/>
      <c r="X1841" s="378"/>
      <c r="Y1841" s="378"/>
      <c r="Z1841" s="378"/>
      <c r="AA1841" s="378"/>
      <c r="AB1841" s="378"/>
      <c r="AC1841" s="378"/>
      <c r="AD1841" s="378"/>
      <c r="AE1841" s="378"/>
      <c r="AF1841" s="378"/>
      <c r="AG1841" s="378"/>
    </row>
    <row r="1842">
      <c r="A1842" s="378"/>
      <c r="B1842" s="477"/>
      <c r="C1842" s="378"/>
      <c r="D1842" s="378"/>
      <c r="E1842" s="378"/>
      <c r="F1842" s="378"/>
      <c r="G1842" s="378"/>
      <c r="H1842" s="378"/>
      <c r="I1842" s="376"/>
      <c r="J1842" s="377"/>
      <c r="K1842" s="378"/>
      <c r="L1842" s="378"/>
      <c r="M1842" s="378"/>
      <c r="N1842" s="379"/>
      <c r="O1842" s="380"/>
      <c r="P1842" s="378"/>
      <c r="Q1842" s="378"/>
      <c r="R1842" s="378"/>
      <c r="S1842" s="378"/>
      <c r="T1842" s="378"/>
      <c r="U1842" s="378"/>
      <c r="V1842" s="378"/>
      <c r="W1842" s="378"/>
      <c r="X1842" s="378"/>
      <c r="Y1842" s="378"/>
      <c r="Z1842" s="378"/>
      <c r="AA1842" s="378"/>
      <c r="AB1842" s="378"/>
      <c r="AC1842" s="378"/>
      <c r="AD1842" s="378"/>
      <c r="AE1842" s="378"/>
      <c r="AF1842" s="378"/>
      <c r="AG1842" s="378"/>
    </row>
    <row r="1843">
      <c r="A1843" s="378"/>
      <c r="B1843" s="477"/>
      <c r="C1843" s="378"/>
      <c r="D1843" s="378"/>
      <c r="E1843" s="378"/>
      <c r="F1843" s="378"/>
      <c r="G1843" s="378"/>
      <c r="H1843" s="378"/>
      <c r="I1843" s="376"/>
      <c r="J1843" s="377"/>
      <c r="K1843" s="378"/>
      <c r="L1843" s="378"/>
      <c r="M1843" s="378"/>
      <c r="N1843" s="379"/>
      <c r="O1843" s="380"/>
      <c r="P1843" s="378"/>
      <c r="Q1843" s="378"/>
      <c r="R1843" s="378"/>
      <c r="S1843" s="378"/>
      <c r="T1843" s="378"/>
      <c r="U1843" s="378"/>
      <c r="V1843" s="378"/>
      <c r="W1843" s="378"/>
      <c r="X1843" s="378"/>
      <c r="Y1843" s="378"/>
      <c r="Z1843" s="378"/>
      <c r="AA1843" s="378"/>
      <c r="AB1843" s="378"/>
      <c r="AC1843" s="378"/>
      <c r="AD1843" s="378"/>
      <c r="AE1843" s="378"/>
      <c r="AF1843" s="378"/>
      <c r="AG1843" s="378"/>
    </row>
    <row r="1844">
      <c r="A1844" s="378"/>
      <c r="B1844" s="477"/>
      <c r="C1844" s="378"/>
      <c r="D1844" s="378"/>
      <c r="E1844" s="378"/>
      <c r="F1844" s="378"/>
      <c r="G1844" s="378"/>
      <c r="H1844" s="378"/>
      <c r="I1844" s="376"/>
      <c r="J1844" s="377"/>
      <c r="K1844" s="378"/>
      <c r="L1844" s="378"/>
      <c r="M1844" s="378"/>
      <c r="N1844" s="379"/>
      <c r="O1844" s="380"/>
      <c r="P1844" s="378"/>
      <c r="Q1844" s="378"/>
      <c r="R1844" s="378"/>
      <c r="S1844" s="378"/>
      <c r="T1844" s="378"/>
      <c r="U1844" s="378"/>
      <c r="V1844" s="378"/>
      <c r="W1844" s="378"/>
      <c r="X1844" s="378"/>
      <c r="Y1844" s="378"/>
      <c r="Z1844" s="378"/>
      <c r="AA1844" s="378"/>
      <c r="AB1844" s="378"/>
      <c r="AC1844" s="378"/>
      <c r="AD1844" s="378"/>
      <c r="AE1844" s="378"/>
      <c r="AF1844" s="378"/>
      <c r="AG1844" s="378"/>
    </row>
    <row r="1845">
      <c r="A1845" s="378"/>
      <c r="B1845" s="477"/>
      <c r="C1845" s="378"/>
      <c r="D1845" s="378"/>
      <c r="E1845" s="378"/>
      <c r="F1845" s="378"/>
      <c r="G1845" s="378"/>
      <c r="H1845" s="378"/>
      <c r="I1845" s="376"/>
      <c r="J1845" s="377"/>
      <c r="K1845" s="378"/>
      <c r="L1845" s="378"/>
      <c r="M1845" s="378"/>
      <c r="N1845" s="379"/>
      <c r="O1845" s="380"/>
      <c r="P1845" s="378"/>
      <c r="Q1845" s="378"/>
      <c r="R1845" s="378"/>
      <c r="S1845" s="378"/>
      <c r="T1845" s="378"/>
      <c r="U1845" s="378"/>
      <c r="V1845" s="378"/>
      <c r="W1845" s="378"/>
      <c r="X1845" s="378"/>
      <c r="Y1845" s="378"/>
      <c r="Z1845" s="378"/>
      <c r="AA1845" s="378"/>
      <c r="AB1845" s="378"/>
      <c r="AC1845" s="378"/>
      <c r="AD1845" s="378"/>
      <c r="AE1845" s="378"/>
      <c r="AF1845" s="378"/>
      <c r="AG1845" s="378"/>
    </row>
    <row r="1846">
      <c r="A1846" s="378"/>
      <c r="B1846" s="477"/>
      <c r="C1846" s="378"/>
      <c r="D1846" s="378"/>
      <c r="E1846" s="378"/>
      <c r="F1846" s="378"/>
      <c r="G1846" s="378"/>
      <c r="H1846" s="378"/>
      <c r="I1846" s="376"/>
      <c r="J1846" s="377"/>
      <c r="K1846" s="378"/>
      <c r="L1846" s="378"/>
      <c r="M1846" s="378"/>
      <c r="N1846" s="379"/>
      <c r="O1846" s="380"/>
      <c r="P1846" s="378"/>
      <c r="Q1846" s="378"/>
      <c r="R1846" s="378"/>
      <c r="S1846" s="378"/>
      <c r="T1846" s="378"/>
      <c r="U1846" s="378"/>
      <c r="V1846" s="378"/>
      <c r="W1846" s="378"/>
      <c r="X1846" s="378"/>
      <c r="Y1846" s="378"/>
      <c r="Z1846" s="378"/>
      <c r="AA1846" s="378"/>
      <c r="AB1846" s="378"/>
      <c r="AC1846" s="378"/>
      <c r="AD1846" s="378"/>
      <c r="AE1846" s="378"/>
      <c r="AF1846" s="378"/>
      <c r="AG1846" s="378"/>
    </row>
    <row r="1847">
      <c r="A1847" s="378"/>
      <c r="B1847" s="477"/>
      <c r="C1847" s="378"/>
      <c r="D1847" s="378"/>
      <c r="E1847" s="378"/>
      <c r="F1847" s="378"/>
      <c r="G1847" s="378"/>
      <c r="H1847" s="378"/>
      <c r="I1847" s="376"/>
      <c r="J1847" s="377"/>
      <c r="K1847" s="378"/>
      <c r="L1847" s="378"/>
      <c r="M1847" s="378"/>
      <c r="N1847" s="379"/>
      <c r="O1847" s="380"/>
      <c r="P1847" s="378"/>
      <c r="Q1847" s="378"/>
      <c r="R1847" s="378"/>
      <c r="S1847" s="378"/>
      <c r="T1847" s="378"/>
      <c r="U1847" s="378"/>
      <c r="V1847" s="378"/>
      <c r="W1847" s="378"/>
      <c r="X1847" s="378"/>
      <c r="Y1847" s="378"/>
      <c r="Z1847" s="378"/>
      <c r="AA1847" s="378"/>
      <c r="AB1847" s="378"/>
      <c r="AC1847" s="378"/>
      <c r="AD1847" s="378"/>
      <c r="AE1847" s="378"/>
      <c r="AF1847" s="378"/>
      <c r="AG1847" s="378"/>
    </row>
    <row r="1848">
      <c r="A1848" s="378"/>
      <c r="B1848" s="477"/>
      <c r="C1848" s="378"/>
      <c r="D1848" s="378"/>
      <c r="E1848" s="378"/>
      <c r="F1848" s="378"/>
      <c r="G1848" s="378"/>
      <c r="H1848" s="378"/>
      <c r="I1848" s="376"/>
      <c r="J1848" s="377"/>
      <c r="K1848" s="378"/>
      <c r="L1848" s="378"/>
      <c r="M1848" s="378"/>
      <c r="N1848" s="379"/>
      <c r="O1848" s="380"/>
      <c r="P1848" s="378"/>
      <c r="Q1848" s="378"/>
      <c r="R1848" s="378"/>
      <c r="S1848" s="378"/>
      <c r="T1848" s="378"/>
      <c r="U1848" s="378"/>
      <c r="V1848" s="378"/>
      <c r="W1848" s="378"/>
      <c r="X1848" s="378"/>
      <c r="Y1848" s="378"/>
      <c r="Z1848" s="378"/>
      <c r="AA1848" s="378"/>
      <c r="AB1848" s="378"/>
      <c r="AC1848" s="378"/>
      <c r="AD1848" s="378"/>
      <c r="AE1848" s="378"/>
      <c r="AF1848" s="378"/>
      <c r="AG1848" s="378"/>
    </row>
    <row r="1849">
      <c r="A1849" s="378"/>
      <c r="B1849" s="477"/>
      <c r="C1849" s="378"/>
      <c r="D1849" s="378"/>
      <c r="E1849" s="378"/>
      <c r="F1849" s="378"/>
      <c r="G1849" s="378"/>
      <c r="H1849" s="378"/>
      <c r="I1849" s="376"/>
      <c r="J1849" s="377"/>
      <c r="K1849" s="378"/>
      <c r="L1849" s="378"/>
      <c r="M1849" s="378"/>
      <c r="N1849" s="379"/>
      <c r="O1849" s="380"/>
      <c r="P1849" s="378"/>
      <c r="Q1849" s="378"/>
      <c r="R1849" s="378"/>
      <c r="S1849" s="378"/>
      <c r="T1849" s="378"/>
      <c r="U1849" s="378"/>
      <c r="V1849" s="378"/>
      <c r="W1849" s="378"/>
      <c r="X1849" s="378"/>
      <c r="Y1849" s="378"/>
      <c r="Z1849" s="378"/>
      <c r="AA1849" s="378"/>
      <c r="AB1849" s="378"/>
      <c r="AC1849" s="378"/>
      <c r="AD1849" s="378"/>
      <c r="AE1849" s="378"/>
      <c r="AF1849" s="378"/>
      <c r="AG1849" s="378"/>
    </row>
    <row r="1850">
      <c r="A1850" s="378"/>
      <c r="B1850" s="477"/>
      <c r="C1850" s="378"/>
      <c r="D1850" s="378"/>
      <c r="E1850" s="378"/>
      <c r="F1850" s="378"/>
      <c r="G1850" s="378"/>
      <c r="H1850" s="378"/>
      <c r="I1850" s="376"/>
      <c r="J1850" s="377"/>
      <c r="K1850" s="378"/>
      <c r="L1850" s="378"/>
      <c r="M1850" s="378"/>
      <c r="N1850" s="379"/>
      <c r="O1850" s="380"/>
      <c r="P1850" s="378"/>
      <c r="Q1850" s="378"/>
      <c r="R1850" s="378"/>
      <c r="S1850" s="378"/>
      <c r="T1850" s="378"/>
      <c r="U1850" s="378"/>
      <c r="V1850" s="378"/>
      <c r="W1850" s="378"/>
      <c r="X1850" s="378"/>
      <c r="Y1850" s="378"/>
      <c r="Z1850" s="378"/>
      <c r="AA1850" s="378"/>
      <c r="AB1850" s="378"/>
      <c r="AC1850" s="378"/>
      <c r="AD1850" s="378"/>
      <c r="AE1850" s="378"/>
      <c r="AF1850" s="378"/>
      <c r="AG1850" s="378"/>
    </row>
    <row r="1851">
      <c r="A1851" s="378"/>
      <c r="B1851" s="477"/>
      <c r="C1851" s="378"/>
      <c r="D1851" s="378"/>
      <c r="E1851" s="378"/>
      <c r="F1851" s="378"/>
      <c r="G1851" s="378"/>
      <c r="H1851" s="378"/>
      <c r="I1851" s="376"/>
      <c r="J1851" s="377"/>
      <c r="K1851" s="378"/>
      <c r="L1851" s="378"/>
      <c r="M1851" s="378"/>
      <c r="N1851" s="379"/>
      <c r="O1851" s="380"/>
      <c r="P1851" s="378"/>
      <c r="Q1851" s="378"/>
      <c r="R1851" s="378"/>
      <c r="S1851" s="378"/>
      <c r="T1851" s="378"/>
      <c r="U1851" s="378"/>
      <c r="V1851" s="378"/>
      <c r="W1851" s="378"/>
      <c r="X1851" s="378"/>
      <c r="Y1851" s="378"/>
      <c r="Z1851" s="378"/>
      <c r="AA1851" s="378"/>
      <c r="AB1851" s="378"/>
      <c r="AC1851" s="378"/>
      <c r="AD1851" s="378"/>
      <c r="AE1851" s="378"/>
      <c r="AF1851" s="378"/>
      <c r="AG1851" s="378"/>
    </row>
    <row r="1852">
      <c r="A1852" s="378"/>
      <c r="B1852" s="477"/>
      <c r="C1852" s="378"/>
      <c r="D1852" s="378"/>
      <c r="E1852" s="378"/>
      <c r="F1852" s="378"/>
      <c r="G1852" s="378"/>
      <c r="H1852" s="378"/>
      <c r="I1852" s="376"/>
      <c r="J1852" s="377"/>
      <c r="K1852" s="378"/>
      <c r="L1852" s="378"/>
      <c r="M1852" s="378"/>
      <c r="N1852" s="379"/>
      <c r="O1852" s="380"/>
      <c r="P1852" s="378"/>
      <c r="Q1852" s="378"/>
      <c r="R1852" s="378"/>
      <c r="S1852" s="378"/>
      <c r="T1852" s="378"/>
      <c r="U1852" s="378"/>
      <c r="V1852" s="378"/>
      <c r="W1852" s="378"/>
      <c r="X1852" s="378"/>
      <c r="Y1852" s="378"/>
      <c r="Z1852" s="378"/>
      <c r="AA1852" s="378"/>
      <c r="AB1852" s="378"/>
      <c r="AC1852" s="378"/>
      <c r="AD1852" s="378"/>
      <c r="AE1852" s="378"/>
      <c r="AF1852" s="378"/>
      <c r="AG1852" s="378"/>
    </row>
    <row r="1853">
      <c r="A1853" s="378"/>
      <c r="B1853" s="477"/>
      <c r="C1853" s="378"/>
      <c r="D1853" s="378"/>
      <c r="E1853" s="378"/>
      <c r="F1853" s="378"/>
      <c r="G1853" s="378"/>
      <c r="H1853" s="378"/>
      <c r="I1853" s="376"/>
      <c r="J1853" s="377"/>
      <c r="K1853" s="378"/>
      <c r="L1853" s="378"/>
      <c r="M1853" s="378"/>
      <c r="N1853" s="379"/>
      <c r="O1853" s="380"/>
      <c r="P1853" s="378"/>
      <c r="Q1853" s="378"/>
      <c r="R1853" s="378"/>
      <c r="S1853" s="378"/>
      <c r="T1853" s="378"/>
      <c r="U1853" s="378"/>
      <c r="V1853" s="378"/>
      <c r="W1853" s="378"/>
      <c r="X1853" s="378"/>
      <c r="Y1853" s="378"/>
      <c r="Z1853" s="378"/>
      <c r="AA1853" s="378"/>
      <c r="AB1853" s="378"/>
      <c r="AC1853" s="378"/>
      <c r="AD1853" s="378"/>
      <c r="AE1853" s="378"/>
      <c r="AF1853" s="378"/>
      <c r="AG1853" s="378"/>
    </row>
    <row r="1854">
      <c r="A1854" s="378"/>
      <c r="B1854" s="477"/>
      <c r="C1854" s="378"/>
      <c r="D1854" s="378"/>
      <c r="E1854" s="378"/>
      <c r="F1854" s="378"/>
      <c r="G1854" s="378"/>
      <c r="H1854" s="378"/>
      <c r="I1854" s="376"/>
      <c r="J1854" s="377"/>
      <c r="K1854" s="378"/>
      <c r="L1854" s="378"/>
      <c r="M1854" s="378"/>
      <c r="N1854" s="379"/>
      <c r="O1854" s="380"/>
      <c r="P1854" s="378"/>
      <c r="Q1854" s="378"/>
      <c r="R1854" s="378"/>
      <c r="S1854" s="378"/>
      <c r="T1854" s="378"/>
      <c r="U1854" s="378"/>
      <c r="V1854" s="378"/>
      <c r="W1854" s="378"/>
      <c r="X1854" s="378"/>
      <c r="Y1854" s="378"/>
      <c r="Z1854" s="378"/>
      <c r="AA1854" s="378"/>
      <c r="AB1854" s="378"/>
      <c r="AC1854" s="378"/>
      <c r="AD1854" s="378"/>
      <c r="AE1854" s="378"/>
      <c r="AF1854" s="378"/>
      <c r="AG1854" s="378"/>
    </row>
    <row r="1855">
      <c r="A1855" s="378"/>
      <c r="B1855" s="477"/>
      <c r="C1855" s="378"/>
      <c r="D1855" s="378"/>
      <c r="E1855" s="378"/>
      <c r="F1855" s="378"/>
      <c r="G1855" s="378"/>
      <c r="H1855" s="378"/>
      <c r="I1855" s="376"/>
      <c r="J1855" s="377"/>
      <c r="K1855" s="378"/>
      <c r="L1855" s="378"/>
      <c r="M1855" s="378"/>
      <c r="N1855" s="379"/>
      <c r="O1855" s="380"/>
      <c r="P1855" s="378"/>
      <c r="Q1855" s="378"/>
      <c r="R1855" s="378"/>
      <c r="S1855" s="378"/>
      <c r="T1855" s="378"/>
      <c r="U1855" s="378"/>
      <c r="V1855" s="378"/>
      <c r="W1855" s="378"/>
      <c r="X1855" s="378"/>
      <c r="Y1855" s="378"/>
      <c r="Z1855" s="378"/>
      <c r="AA1855" s="378"/>
      <c r="AB1855" s="378"/>
      <c r="AC1855" s="378"/>
      <c r="AD1855" s="378"/>
      <c r="AE1855" s="378"/>
      <c r="AF1855" s="378"/>
      <c r="AG1855" s="378"/>
    </row>
    <row r="1856">
      <c r="A1856" s="378"/>
      <c r="B1856" s="477"/>
      <c r="C1856" s="378"/>
      <c r="D1856" s="378"/>
      <c r="E1856" s="378"/>
      <c r="F1856" s="378"/>
      <c r="G1856" s="378"/>
      <c r="H1856" s="378"/>
      <c r="I1856" s="376"/>
      <c r="J1856" s="377"/>
      <c r="K1856" s="378"/>
      <c r="L1856" s="378"/>
      <c r="M1856" s="378"/>
      <c r="N1856" s="379"/>
      <c r="O1856" s="380"/>
      <c r="P1856" s="378"/>
      <c r="Q1856" s="378"/>
      <c r="R1856" s="378"/>
      <c r="S1856" s="378"/>
      <c r="T1856" s="378"/>
      <c r="U1856" s="378"/>
      <c r="V1856" s="378"/>
      <c r="W1856" s="378"/>
      <c r="X1856" s="378"/>
      <c r="Y1856" s="378"/>
      <c r="Z1856" s="378"/>
      <c r="AA1856" s="378"/>
      <c r="AB1856" s="378"/>
      <c r="AC1856" s="378"/>
      <c r="AD1856" s="378"/>
      <c r="AE1856" s="378"/>
      <c r="AF1856" s="378"/>
      <c r="AG1856" s="378"/>
    </row>
    <row r="1857">
      <c r="A1857" s="378"/>
      <c r="B1857" s="477"/>
      <c r="C1857" s="378"/>
      <c r="D1857" s="378"/>
      <c r="E1857" s="378"/>
      <c r="F1857" s="378"/>
      <c r="G1857" s="378"/>
      <c r="H1857" s="378"/>
      <c r="I1857" s="376"/>
      <c r="J1857" s="377"/>
      <c r="K1857" s="378"/>
      <c r="L1857" s="378"/>
      <c r="M1857" s="378"/>
      <c r="N1857" s="379"/>
      <c r="O1857" s="380"/>
      <c r="P1857" s="378"/>
      <c r="Q1857" s="378"/>
      <c r="R1857" s="378"/>
      <c r="S1857" s="378"/>
      <c r="T1857" s="378"/>
      <c r="U1857" s="378"/>
      <c r="V1857" s="378"/>
      <c r="W1857" s="378"/>
      <c r="X1857" s="378"/>
      <c r="Y1857" s="378"/>
      <c r="Z1857" s="378"/>
      <c r="AA1857" s="378"/>
      <c r="AB1857" s="378"/>
      <c r="AC1857" s="378"/>
      <c r="AD1857" s="378"/>
      <c r="AE1857" s="378"/>
      <c r="AF1857" s="378"/>
      <c r="AG1857" s="378"/>
    </row>
    <row r="1858">
      <c r="A1858" s="378"/>
      <c r="B1858" s="477"/>
      <c r="C1858" s="378"/>
      <c r="D1858" s="378"/>
      <c r="E1858" s="378"/>
      <c r="F1858" s="378"/>
      <c r="G1858" s="378"/>
      <c r="H1858" s="378"/>
      <c r="I1858" s="376"/>
      <c r="J1858" s="377"/>
      <c r="K1858" s="378"/>
      <c r="L1858" s="378"/>
      <c r="M1858" s="378"/>
      <c r="N1858" s="379"/>
      <c r="O1858" s="380"/>
      <c r="P1858" s="378"/>
      <c r="Q1858" s="378"/>
      <c r="R1858" s="378"/>
      <c r="S1858" s="378"/>
      <c r="T1858" s="378"/>
      <c r="U1858" s="378"/>
      <c r="V1858" s="378"/>
      <c r="W1858" s="378"/>
      <c r="X1858" s="378"/>
      <c r="Y1858" s="378"/>
      <c r="Z1858" s="378"/>
      <c r="AA1858" s="378"/>
      <c r="AB1858" s="378"/>
      <c r="AC1858" s="378"/>
      <c r="AD1858" s="378"/>
      <c r="AE1858" s="378"/>
      <c r="AF1858" s="378"/>
      <c r="AG1858" s="378"/>
    </row>
    <row r="1859">
      <c r="A1859" s="378"/>
      <c r="B1859" s="477"/>
      <c r="C1859" s="378"/>
      <c r="D1859" s="378"/>
      <c r="E1859" s="378"/>
      <c r="F1859" s="378"/>
      <c r="G1859" s="378"/>
      <c r="H1859" s="378"/>
      <c r="I1859" s="376"/>
      <c r="J1859" s="377"/>
      <c r="K1859" s="378"/>
      <c r="L1859" s="378"/>
      <c r="M1859" s="378"/>
      <c r="N1859" s="379"/>
      <c r="O1859" s="380"/>
      <c r="P1859" s="378"/>
      <c r="Q1859" s="378"/>
      <c r="R1859" s="378"/>
      <c r="S1859" s="378"/>
      <c r="T1859" s="378"/>
      <c r="U1859" s="378"/>
      <c r="V1859" s="378"/>
      <c r="W1859" s="378"/>
      <c r="X1859" s="378"/>
      <c r="Y1859" s="378"/>
      <c r="Z1859" s="378"/>
      <c r="AA1859" s="378"/>
      <c r="AB1859" s="378"/>
      <c r="AC1859" s="378"/>
      <c r="AD1859" s="378"/>
      <c r="AE1859" s="378"/>
      <c r="AF1859" s="378"/>
      <c r="AG1859" s="378"/>
    </row>
    <row r="1860">
      <c r="A1860" s="378"/>
      <c r="B1860" s="477"/>
      <c r="C1860" s="378"/>
      <c r="D1860" s="378"/>
      <c r="E1860" s="378"/>
      <c r="F1860" s="378"/>
      <c r="G1860" s="378"/>
      <c r="H1860" s="378"/>
      <c r="I1860" s="376"/>
      <c r="J1860" s="377"/>
      <c r="K1860" s="378"/>
      <c r="L1860" s="378"/>
      <c r="M1860" s="378"/>
      <c r="N1860" s="379"/>
      <c r="O1860" s="380"/>
      <c r="P1860" s="378"/>
      <c r="Q1860" s="378"/>
      <c r="R1860" s="378"/>
      <c r="S1860" s="378"/>
      <c r="T1860" s="378"/>
      <c r="U1860" s="378"/>
      <c r="V1860" s="378"/>
      <c r="W1860" s="378"/>
      <c r="X1860" s="378"/>
      <c r="Y1860" s="378"/>
      <c r="Z1860" s="378"/>
      <c r="AA1860" s="378"/>
      <c r="AB1860" s="378"/>
      <c r="AC1860" s="378"/>
      <c r="AD1860" s="378"/>
      <c r="AE1860" s="378"/>
      <c r="AF1860" s="378"/>
      <c r="AG1860" s="378"/>
    </row>
    <row r="1861">
      <c r="A1861" s="378"/>
      <c r="B1861" s="477"/>
      <c r="C1861" s="378"/>
      <c r="D1861" s="378"/>
      <c r="E1861" s="378"/>
      <c r="F1861" s="378"/>
      <c r="G1861" s="378"/>
      <c r="H1861" s="378"/>
      <c r="I1861" s="376"/>
      <c r="J1861" s="377"/>
      <c r="K1861" s="378"/>
      <c r="L1861" s="378"/>
      <c r="M1861" s="378"/>
      <c r="N1861" s="379"/>
      <c r="O1861" s="380"/>
      <c r="P1861" s="378"/>
      <c r="Q1861" s="378"/>
      <c r="R1861" s="378"/>
      <c r="S1861" s="378"/>
      <c r="T1861" s="378"/>
      <c r="U1861" s="378"/>
      <c r="V1861" s="378"/>
      <c r="W1861" s="378"/>
      <c r="X1861" s="378"/>
      <c r="Y1861" s="378"/>
      <c r="Z1861" s="378"/>
      <c r="AA1861" s="378"/>
      <c r="AB1861" s="378"/>
      <c r="AC1861" s="378"/>
      <c r="AD1861" s="378"/>
      <c r="AE1861" s="378"/>
      <c r="AF1861" s="378"/>
      <c r="AG1861" s="378"/>
    </row>
    <row r="1862">
      <c r="A1862" s="378"/>
      <c r="B1862" s="477"/>
      <c r="C1862" s="378"/>
      <c r="D1862" s="378"/>
      <c r="E1862" s="378"/>
      <c r="F1862" s="378"/>
      <c r="G1862" s="378"/>
      <c r="H1862" s="378"/>
      <c r="I1862" s="376"/>
      <c r="J1862" s="377"/>
      <c r="K1862" s="378"/>
      <c r="L1862" s="378"/>
      <c r="M1862" s="378"/>
      <c r="N1862" s="379"/>
      <c r="O1862" s="380"/>
      <c r="P1862" s="378"/>
      <c r="Q1862" s="378"/>
      <c r="R1862" s="378"/>
      <c r="S1862" s="378"/>
      <c r="T1862" s="378"/>
      <c r="U1862" s="378"/>
      <c r="V1862" s="378"/>
      <c r="W1862" s="378"/>
      <c r="X1862" s="378"/>
      <c r="Y1862" s="378"/>
      <c r="Z1862" s="378"/>
      <c r="AA1862" s="378"/>
      <c r="AB1862" s="378"/>
      <c r="AC1862" s="378"/>
      <c r="AD1862" s="378"/>
      <c r="AE1862" s="378"/>
      <c r="AF1862" s="378"/>
      <c r="AG1862" s="378"/>
    </row>
    <row r="1863">
      <c r="A1863" s="378"/>
      <c r="B1863" s="477"/>
      <c r="C1863" s="378"/>
      <c r="D1863" s="378"/>
      <c r="E1863" s="378"/>
      <c r="F1863" s="378"/>
      <c r="G1863" s="378"/>
      <c r="H1863" s="378"/>
      <c r="I1863" s="376"/>
      <c r="J1863" s="377"/>
      <c r="K1863" s="378"/>
      <c r="L1863" s="378"/>
      <c r="M1863" s="378"/>
      <c r="N1863" s="379"/>
      <c r="O1863" s="380"/>
      <c r="P1863" s="378"/>
      <c r="Q1863" s="378"/>
      <c r="R1863" s="378"/>
      <c r="S1863" s="378"/>
      <c r="T1863" s="378"/>
      <c r="U1863" s="378"/>
      <c r="V1863" s="378"/>
      <c r="W1863" s="378"/>
      <c r="X1863" s="378"/>
      <c r="Y1863" s="378"/>
      <c r="Z1863" s="378"/>
      <c r="AA1863" s="378"/>
      <c r="AB1863" s="378"/>
      <c r="AC1863" s="378"/>
      <c r="AD1863" s="378"/>
      <c r="AE1863" s="378"/>
      <c r="AF1863" s="378"/>
      <c r="AG1863" s="378"/>
    </row>
    <row r="1864">
      <c r="A1864" s="378"/>
      <c r="B1864" s="477"/>
      <c r="C1864" s="378"/>
      <c r="D1864" s="378"/>
      <c r="E1864" s="378"/>
      <c r="F1864" s="378"/>
      <c r="G1864" s="378"/>
      <c r="H1864" s="378"/>
      <c r="I1864" s="376"/>
      <c r="J1864" s="377"/>
      <c r="K1864" s="378"/>
      <c r="L1864" s="378"/>
      <c r="M1864" s="378"/>
      <c r="N1864" s="379"/>
      <c r="O1864" s="380"/>
      <c r="P1864" s="378"/>
      <c r="Q1864" s="378"/>
      <c r="R1864" s="378"/>
      <c r="S1864" s="378"/>
      <c r="T1864" s="378"/>
      <c r="U1864" s="378"/>
      <c r="V1864" s="378"/>
      <c r="W1864" s="378"/>
      <c r="X1864" s="378"/>
      <c r="Y1864" s="378"/>
      <c r="Z1864" s="378"/>
      <c r="AA1864" s="378"/>
      <c r="AB1864" s="378"/>
      <c r="AC1864" s="378"/>
      <c r="AD1864" s="378"/>
      <c r="AE1864" s="378"/>
      <c r="AF1864" s="378"/>
      <c r="AG1864" s="378"/>
    </row>
    <row r="1865">
      <c r="A1865" s="378"/>
      <c r="B1865" s="477"/>
      <c r="C1865" s="378"/>
      <c r="D1865" s="378"/>
      <c r="E1865" s="378"/>
      <c r="F1865" s="378"/>
      <c r="G1865" s="378"/>
      <c r="H1865" s="378"/>
      <c r="I1865" s="376"/>
      <c r="J1865" s="377"/>
      <c r="K1865" s="378"/>
      <c r="L1865" s="378"/>
      <c r="M1865" s="378"/>
      <c r="N1865" s="379"/>
      <c r="O1865" s="380"/>
      <c r="P1865" s="378"/>
      <c r="Q1865" s="378"/>
      <c r="R1865" s="378"/>
      <c r="S1865" s="378"/>
      <c r="T1865" s="378"/>
      <c r="U1865" s="378"/>
      <c r="V1865" s="378"/>
      <c r="W1865" s="378"/>
      <c r="X1865" s="378"/>
      <c r="Y1865" s="378"/>
      <c r="Z1865" s="378"/>
      <c r="AA1865" s="378"/>
      <c r="AB1865" s="378"/>
      <c r="AC1865" s="378"/>
      <c r="AD1865" s="378"/>
      <c r="AE1865" s="378"/>
      <c r="AF1865" s="378"/>
      <c r="AG1865" s="378"/>
    </row>
    <row r="1866">
      <c r="A1866" s="378"/>
      <c r="B1866" s="477"/>
      <c r="C1866" s="378"/>
      <c r="D1866" s="378"/>
      <c r="E1866" s="378"/>
      <c r="F1866" s="378"/>
      <c r="G1866" s="378"/>
      <c r="H1866" s="378"/>
      <c r="I1866" s="376"/>
      <c r="J1866" s="377"/>
      <c r="K1866" s="378"/>
      <c r="L1866" s="378"/>
      <c r="M1866" s="378"/>
      <c r="N1866" s="379"/>
      <c r="O1866" s="380"/>
      <c r="P1866" s="378"/>
      <c r="Q1866" s="378"/>
      <c r="R1866" s="378"/>
      <c r="S1866" s="378"/>
      <c r="T1866" s="378"/>
      <c r="U1866" s="378"/>
      <c r="V1866" s="378"/>
      <c r="W1866" s="378"/>
      <c r="X1866" s="378"/>
      <c r="Y1866" s="378"/>
      <c r="Z1866" s="378"/>
      <c r="AA1866" s="378"/>
      <c r="AB1866" s="378"/>
      <c r="AC1866" s="378"/>
      <c r="AD1866" s="378"/>
      <c r="AE1866" s="378"/>
      <c r="AF1866" s="378"/>
      <c r="AG1866" s="378"/>
    </row>
    <row r="1867">
      <c r="A1867" s="378"/>
      <c r="B1867" s="477"/>
      <c r="C1867" s="378"/>
      <c r="D1867" s="378"/>
      <c r="E1867" s="378"/>
      <c r="F1867" s="378"/>
      <c r="G1867" s="378"/>
      <c r="H1867" s="378"/>
      <c r="I1867" s="376"/>
      <c r="J1867" s="377"/>
      <c r="K1867" s="378"/>
      <c r="L1867" s="378"/>
      <c r="M1867" s="378"/>
      <c r="N1867" s="379"/>
      <c r="O1867" s="380"/>
      <c r="P1867" s="378"/>
      <c r="Q1867" s="378"/>
      <c r="R1867" s="378"/>
      <c r="S1867" s="378"/>
      <c r="T1867" s="378"/>
      <c r="U1867" s="378"/>
      <c r="V1867" s="378"/>
      <c r="W1867" s="378"/>
      <c r="X1867" s="378"/>
      <c r="Y1867" s="378"/>
      <c r="Z1867" s="378"/>
      <c r="AA1867" s="378"/>
      <c r="AB1867" s="378"/>
      <c r="AC1867" s="378"/>
      <c r="AD1867" s="378"/>
      <c r="AE1867" s="378"/>
      <c r="AF1867" s="378"/>
      <c r="AG1867" s="378"/>
    </row>
    <row r="1868">
      <c r="A1868" s="378"/>
      <c r="B1868" s="477"/>
      <c r="C1868" s="378"/>
      <c r="D1868" s="378"/>
      <c r="E1868" s="378"/>
      <c r="F1868" s="378"/>
      <c r="G1868" s="378"/>
      <c r="H1868" s="378"/>
      <c r="I1868" s="376"/>
      <c r="J1868" s="377"/>
      <c r="K1868" s="378"/>
      <c r="L1868" s="378"/>
      <c r="M1868" s="378"/>
      <c r="N1868" s="379"/>
      <c r="O1868" s="380"/>
      <c r="P1868" s="378"/>
      <c r="Q1868" s="378"/>
      <c r="R1868" s="378"/>
      <c r="S1868" s="378"/>
      <c r="T1868" s="378"/>
      <c r="U1868" s="378"/>
      <c r="V1868" s="378"/>
      <c r="W1868" s="378"/>
      <c r="X1868" s="378"/>
      <c r="Y1868" s="378"/>
      <c r="Z1868" s="378"/>
      <c r="AA1868" s="378"/>
      <c r="AB1868" s="378"/>
      <c r="AC1868" s="378"/>
      <c r="AD1868" s="378"/>
      <c r="AE1868" s="378"/>
      <c r="AF1868" s="378"/>
      <c r="AG1868" s="378"/>
    </row>
    <row r="1869">
      <c r="A1869" s="378"/>
      <c r="B1869" s="477"/>
      <c r="C1869" s="378"/>
      <c r="D1869" s="378"/>
      <c r="E1869" s="378"/>
      <c r="F1869" s="378"/>
      <c r="G1869" s="378"/>
      <c r="H1869" s="378"/>
      <c r="I1869" s="376"/>
      <c r="J1869" s="377"/>
      <c r="K1869" s="378"/>
      <c r="L1869" s="378"/>
      <c r="M1869" s="378"/>
      <c r="N1869" s="379"/>
      <c r="O1869" s="380"/>
      <c r="P1869" s="378"/>
      <c r="Q1869" s="378"/>
      <c r="R1869" s="378"/>
      <c r="S1869" s="378"/>
      <c r="T1869" s="378"/>
      <c r="U1869" s="378"/>
      <c r="V1869" s="378"/>
      <c r="W1869" s="378"/>
      <c r="X1869" s="378"/>
      <c r="Y1869" s="378"/>
      <c r="Z1869" s="378"/>
      <c r="AA1869" s="378"/>
      <c r="AB1869" s="378"/>
      <c r="AC1869" s="378"/>
      <c r="AD1869" s="378"/>
      <c r="AE1869" s="378"/>
      <c r="AF1869" s="378"/>
      <c r="AG1869" s="378"/>
    </row>
    <row r="1870">
      <c r="A1870" s="378"/>
      <c r="B1870" s="477"/>
      <c r="C1870" s="378"/>
      <c r="D1870" s="378"/>
      <c r="E1870" s="378"/>
      <c r="F1870" s="378"/>
      <c r="G1870" s="378"/>
      <c r="H1870" s="378"/>
      <c r="I1870" s="376"/>
      <c r="J1870" s="377"/>
      <c r="K1870" s="378"/>
      <c r="L1870" s="378"/>
      <c r="M1870" s="378"/>
      <c r="N1870" s="379"/>
      <c r="O1870" s="380"/>
      <c r="P1870" s="378"/>
      <c r="Q1870" s="378"/>
      <c r="R1870" s="378"/>
      <c r="S1870" s="378"/>
      <c r="T1870" s="378"/>
      <c r="U1870" s="378"/>
      <c r="V1870" s="378"/>
      <c r="W1870" s="378"/>
      <c r="X1870" s="378"/>
      <c r="Y1870" s="378"/>
      <c r="Z1870" s="378"/>
      <c r="AA1870" s="378"/>
      <c r="AB1870" s="378"/>
      <c r="AC1870" s="378"/>
      <c r="AD1870" s="378"/>
      <c r="AE1870" s="378"/>
      <c r="AF1870" s="378"/>
      <c r="AG1870" s="378"/>
    </row>
    <row r="1871">
      <c r="A1871" s="378"/>
      <c r="B1871" s="477"/>
      <c r="C1871" s="378"/>
      <c r="D1871" s="378"/>
      <c r="E1871" s="378"/>
      <c r="F1871" s="378"/>
      <c r="G1871" s="378"/>
      <c r="H1871" s="378"/>
      <c r="I1871" s="376"/>
      <c r="J1871" s="377"/>
      <c r="K1871" s="378"/>
      <c r="L1871" s="378"/>
      <c r="M1871" s="378"/>
      <c r="N1871" s="379"/>
      <c r="O1871" s="380"/>
      <c r="P1871" s="378"/>
      <c r="Q1871" s="378"/>
      <c r="R1871" s="378"/>
      <c r="S1871" s="378"/>
      <c r="T1871" s="378"/>
      <c r="U1871" s="378"/>
      <c r="V1871" s="378"/>
      <c r="W1871" s="378"/>
      <c r="X1871" s="378"/>
      <c r="Y1871" s="378"/>
      <c r="Z1871" s="378"/>
      <c r="AA1871" s="378"/>
      <c r="AB1871" s="378"/>
      <c r="AC1871" s="378"/>
      <c r="AD1871" s="378"/>
      <c r="AE1871" s="378"/>
      <c r="AF1871" s="378"/>
      <c r="AG1871" s="378"/>
    </row>
    <row r="1872">
      <c r="A1872" s="378"/>
      <c r="B1872" s="477"/>
      <c r="C1872" s="378"/>
      <c r="D1872" s="378"/>
      <c r="E1872" s="378"/>
      <c r="F1872" s="378"/>
      <c r="G1872" s="378"/>
      <c r="H1872" s="378"/>
      <c r="I1872" s="376"/>
      <c r="J1872" s="377"/>
      <c r="K1872" s="378"/>
      <c r="L1872" s="378"/>
      <c r="M1872" s="378"/>
      <c r="N1872" s="379"/>
      <c r="O1872" s="380"/>
      <c r="P1872" s="378"/>
      <c r="Q1872" s="378"/>
      <c r="R1872" s="378"/>
      <c r="S1872" s="378"/>
      <c r="T1872" s="378"/>
      <c r="U1872" s="378"/>
      <c r="V1872" s="378"/>
      <c r="W1872" s="378"/>
      <c r="X1872" s="378"/>
      <c r="Y1872" s="378"/>
      <c r="Z1872" s="378"/>
      <c r="AA1872" s="378"/>
      <c r="AB1872" s="378"/>
      <c r="AC1872" s="378"/>
      <c r="AD1872" s="378"/>
      <c r="AE1872" s="378"/>
      <c r="AF1872" s="378"/>
      <c r="AG1872" s="378"/>
    </row>
    <row r="1873">
      <c r="A1873" s="378"/>
      <c r="B1873" s="477"/>
      <c r="C1873" s="378"/>
      <c r="D1873" s="378"/>
      <c r="E1873" s="378"/>
      <c r="F1873" s="378"/>
      <c r="G1873" s="378"/>
      <c r="H1873" s="378"/>
      <c r="I1873" s="376"/>
      <c r="J1873" s="377"/>
      <c r="K1873" s="378"/>
      <c r="L1873" s="378"/>
      <c r="M1873" s="378"/>
      <c r="N1873" s="379"/>
      <c r="O1873" s="380"/>
      <c r="P1873" s="378"/>
      <c r="Q1873" s="378"/>
      <c r="R1873" s="378"/>
      <c r="S1873" s="378"/>
      <c r="T1873" s="378"/>
      <c r="U1873" s="378"/>
      <c r="V1873" s="378"/>
      <c r="W1873" s="378"/>
      <c r="X1873" s="378"/>
      <c r="Y1873" s="378"/>
      <c r="Z1873" s="378"/>
      <c r="AA1873" s="378"/>
      <c r="AB1873" s="378"/>
      <c r="AC1873" s="378"/>
      <c r="AD1873" s="378"/>
      <c r="AE1873" s="378"/>
      <c r="AF1873" s="378"/>
      <c r="AG1873" s="378"/>
    </row>
    <row r="1874">
      <c r="A1874" s="378"/>
      <c r="B1874" s="477"/>
      <c r="C1874" s="378"/>
      <c r="D1874" s="378"/>
      <c r="E1874" s="378"/>
      <c r="F1874" s="378"/>
      <c r="G1874" s="378"/>
      <c r="H1874" s="378"/>
      <c r="I1874" s="376"/>
      <c r="J1874" s="377"/>
      <c r="K1874" s="378"/>
      <c r="L1874" s="378"/>
      <c r="M1874" s="378"/>
      <c r="N1874" s="379"/>
      <c r="O1874" s="380"/>
      <c r="P1874" s="378"/>
      <c r="Q1874" s="378"/>
      <c r="R1874" s="378"/>
      <c r="S1874" s="378"/>
      <c r="T1874" s="378"/>
      <c r="U1874" s="378"/>
      <c r="V1874" s="378"/>
      <c r="W1874" s="378"/>
      <c r="X1874" s="378"/>
      <c r="Y1874" s="378"/>
      <c r="Z1874" s="378"/>
      <c r="AA1874" s="378"/>
      <c r="AB1874" s="378"/>
      <c r="AC1874" s="378"/>
      <c r="AD1874" s="378"/>
      <c r="AE1874" s="378"/>
      <c r="AF1874" s="378"/>
      <c r="AG1874" s="378"/>
    </row>
    <row r="1875">
      <c r="A1875" s="378"/>
      <c r="B1875" s="477"/>
      <c r="C1875" s="378"/>
      <c r="D1875" s="378"/>
      <c r="E1875" s="378"/>
      <c r="F1875" s="378"/>
      <c r="G1875" s="378"/>
      <c r="H1875" s="378"/>
      <c r="I1875" s="376"/>
      <c r="J1875" s="377"/>
      <c r="K1875" s="378"/>
      <c r="L1875" s="378"/>
      <c r="M1875" s="378"/>
      <c r="N1875" s="379"/>
      <c r="O1875" s="380"/>
      <c r="P1875" s="378"/>
      <c r="Q1875" s="378"/>
      <c r="R1875" s="378"/>
      <c r="S1875" s="378"/>
      <c r="T1875" s="378"/>
      <c r="U1875" s="378"/>
      <c r="V1875" s="378"/>
      <c r="W1875" s="378"/>
      <c r="X1875" s="378"/>
      <c r="Y1875" s="378"/>
      <c r="Z1875" s="378"/>
      <c r="AA1875" s="378"/>
      <c r="AB1875" s="378"/>
      <c r="AC1875" s="378"/>
      <c r="AD1875" s="378"/>
      <c r="AE1875" s="378"/>
      <c r="AF1875" s="378"/>
      <c r="AG1875" s="378"/>
    </row>
    <row r="1876">
      <c r="A1876" s="378"/>
      <c r="B1876" s="477"/>
      <c r="C1876" s="378"/>
      <c r="D1876" s="378"/>
      <c r="E1876" s="378"/>
      <c r="F1876" s="378"/>
      <c r="G1876" s="378"/>
      <c r="H1876" s="378"/>
      <c r="I1876" s="376"/>
      <c r="J1876" s="377"/>
      <c r="K1876" s="378"/>
      <c r="L1876" s="378"/>
      <c r="M1876" s="378"/>
      <c r="N1876" s="379"/>
      <c r="O1876" s="380"/>
      <c r="P1876" s="378"/>
      <c r="Q1876" s="378"/>
      <c r="R1876" s="378"/>
      <c r="S1876" s="378"/>
      <c r="T1876" s="378"/>
      <c r="U1876" s="378"/>
      <c r="V1876" s="378"/>
      <c r="W1876" s="378"/>
      <c r="X1876" s="378"/>
      <c r="Y1876" s="378"/>
      <c r="Z1876" s="378"/>
      <c r="AA1876" s="378"/>
      <c r="AB1876" s="378"/>
      <c r="AC1876" s="378"/>
      <c r="AD1876" s="378"/>
      <c r="AE1876" s="378"/>
      <c r="AF1876" s="378"/>
      <c r="AG1876" s="378"/>
    </row>
    <row r="1877">
      <c r="A1877" s="378"/>
      <c r="B1877" s="477"/>
      <c r="C1877" s="378"/>
      <c r="D1877" s="378"/>
      <c r="E1877" s="378"/>
      <c r="F1877" s="378"/>
      <c r="G1877" s="378"/>
      <c r="H1877" s="378"/>
      <c r="I1877" s="376"/>
      <c r="J1877" s="377"/>
      <c r="K1877" s="378"/>
      <c r="L1877" s="378"/>
      <c r="M1877" s="378"/>
      <c r="N1877" s="379"/>
      <c r="O1877" s="380"/>
      <c r="P1877" s="378"/>
      <c r="Q1877" s="378"/>
      <c r="R1877" s="378"/>
      <c r="S1877" s="378"/>
      <c r="T1877" s="378"/>
      <c r="U1877" s="378"/>
      <c r="V1877" s="378"/>
      <c r="W1877" s="378"/>
      <c r="X1877" s="378"/>
      <c r="Y1877" s="378"/>
      <c r="Z1877" s="378"/>
      <c r="AA1877" s="378"/>
      <c r="AB1877" s="378"/>
      <c r="AC1877" s="378"/>
      <c r="AD1877" s="378"/>
      <c r="AE1877" s="378"/>
      <c r="AF1877" s="378"/>
      <c r="AG1877" s="378"/>
    </row>
    <row r="1878">
      <c r="A1878" s="378"/>
      <c r="B1878" s="477"/>
      <c r="C1878" s="378"/>
      <c r="D1878" s="378"/>
      <c r="E1878" s="378"/>
      <c r="F1878" s="378"/>
      <c r="G1878" s="378"/>
      <c r="H1878" s="378"/>
      <c r="I1878" s="376"/>
      <c r="J1878" s="377"/>
      <c r="K1878" s="378"/>
      <c r="L1878" s="378"/>
      <c r="M1878" s="378"/>
      <c r="N1878" s="379"/>
      <c r="O1878" s="380"/>
      <c r="P1878" s="378"/>
      <c r="Q1878" s="378"/>
      <c r="R1878" s="378"/>
      <c r="S1878" s="378"/>
      <c r="T1878" s="378"/>
      <c r="U1878" s="378"/>
      <c r="V1878" s="378"/>
      <c r="W1878" s="378"/>
      <c r="X1878" s="378"/>
      <c r="Y1878" s="378"/>
      <c r="Z1878" s="378"/>
      <c r="AA1878" s="378"/>
      <c r="AB1878" s="378"/>
      <c r="AC1878" s="378"/>
      <c r="AD1878" s="378"/>
      <c r="AE1878" s="378"/>
      <c r="AF1878" s="378"/>
      <c r="AG1878" s="378"/>
    </row>
    <row r="1879">
      <c r="A1879" s="378"/>
      <c r="B1879" s="477"/>
      <c r="C1879" s="378"/>
      <c r="D1879" s="378"/>
      <c r="E1879" s="378"/>
      <c r="F1879" s="378"/>
      <c r="G1879" s="378"/>
      <c r="H1879" s="378"/>
      <c r="I1879" s="376"/>
      <c r="J1879" s="377"/>
      <c r="K1879" s="378"/>
      <c r="L1879" s="378"/>
      <c r="M1879" s="378"/>
      <c r="N1879" s="379"/>
      <c r="O1879" s="380"/>
      <c r="P1879" s="378"/>
      <c r="Q1879" s="378"/>
      <c r="R1879" s="378"/>
      <c r="S1879" s="378"/>
      <c r="T1879" s="378"/>
      <c r="U1879" s="378"/>
      <c r="V1879" s="378"/>
      <c r="W1879" s="378"/>
      <c r="X1879" s="378"/>
      <c r="Y1879" s="378"/>
      <c r="Z1879" s="378"/>
      <c r="AA1879" s="378"/>
      <c r="AB1879" s="378"/>
      <c r="AC1879" s="378"/>
      <c r="AD1879" s="378"/>
      <c r="AE1879" s="378"/>
      <c r="AF1879" s="378"/>
      <c r="AG1879" s="378"/>
    </row>
    <row r="1880">
      <c r="A1880" s="378"/>
      <c r="B1880" s="477"/>
      <c r="C1880" s="378"/>
      <c r="D1880" s="378"/>
      <c r="E1880" s="378"/>
      <c r="F1880" s="378"/>
      <c r="G1880" s="378"/>
      <c r="H1880" s="378"/>
      <c r="I1880" s="376"/>
      <c r="J1880" s="377"/>
      <c r="K1880" s="378"/>
      <c r="L1880" s="378"/>
      <c r="M1880" s="378"/>
      <c r="N1880" s="379"/>
      <c r="O1880" s="380"/>
      <c r="P1880" s="378"/>
      <c r="Q1880" s="378"/>
      <c r="R1880" s="378"/>
      <c r="S1880" s="378"/>
      <c r="T1880" s="378"/>
      <c r="U1880" s="378"/>
      <c r="V1880" s="378"/>
      <c r="W1880" s="378"/>
      <c r="X1880" s="378"/>
      <c r="Y1880" s="378"/>
      <c r="Z1880" s="378"/>
      <c r="AA1880" s="378"/>
      <c r="AB1880" s="378"/>
      <c r="AC1880" s="378"/>
      <c r="AD1880" s="378"/>
      <c r="AE1880" s="378"/>
      <c r="AF1880" s="378"/>
      <c r="AG1880" s="378"/>
    </row>
    <row r="1881">
      <c r="A1881" s="378"/>
      <c r="B1881" s="477"/>
      <c r="C1881" s="378"/>
      <c r="D1881" s="378"/>
      <c r="E1881" s="378"/>
      <c r="F1881" s="378"/>
      <c r="G1881" s="378"/>
      <c r="H1881" s="378"/>
      <c r="I1881" s="376"/>
      <c r="J1881" s="377"/>
      <c r="K1881" s="378"/>
      <c r="L1881" s="378"/>
      <c r="M1881" s="378"/>
      <c r="N1881" s="379"/>
      <c r="O1881" s="380"/>
      <c r="P1881" s="378"/>
      <c r="Q1881" s="378"/>
      <c r="R1881" s="378"/>
      <c r="S1881" s="378"/>
      <c r="T1881" s="378"/>
      <c r="U1881" s="378"/>
      <c r="V1881" s="378"/>
      <c r="W1881" s="378"/>
      <c r="X1881" s="378"/>
      <c r="Y1881" s="378"/>
      <c r="Z1881" s="378"/>
      <c r="AA1881" s="378"/>
      <c r="AB1881" s="378"/>
      <c r="AC1881" s="378"/>
      <c r="AD1881" s="378"/>
      <c r="AE1881" s="378"/>
      <c r="AF1881" s="378"/>
      <c r="AG1881" s="378"/>
    </row>
    <row r="1882">
      <c r="A1882" s="378"/>
      <c r="B1882" s="477"/>
      <c r="C1882" s="378"/>
      <c r="D1882" s="378"/>
      <c r="E1882" s="378"/>
      <c r="F1882" s="378"/>
      <c r="G1882" s="378"/>
      <c r="H1882" s="378"/>
      <c r="I1882" s="376"/>
      <c r="J1882" s="377"/>
      <c r="K1882" s="378"/>
      <c r="L1882" s="378"/>
      <c r="M1882" s="378"/>
      <c r="N1882" s="379"/>
      <c r="O1882" s="380"/>
      <c r="P1882" s="378"/>
      <c r="Q1882" s="378"/>
      <c r="R1882" s="378"/>
      <c r="S1882" s="378"/>
      <c r="T1882" s="378"/>
      <c r="U1882" s="378"/>
      <c r="V1882" s="378"/>
      <c r="W1882" s="378"/>
      <c r="X1882" s="378"/>
      <c r="Y1882" s="378"/>
      <c r="Z1882" s="378"/>
      <c r="AA1882" s="378"/>
      <c r="AB1882" s="378"/>
      <c r="AC1882" s="378"/>
      <c r="AD1882" s="378"/>
      <c r="AE1882" s="378"/>
      <c r="AF1882" s="378"/>
      <c r="AG1882" s="378"/>
    </row>
    <row r="1883">
      <c r="A1883" s="378"/>
      <c r="B1883" s="477"/>
      <c r="C1883" s="378"/>
      <c r="D1883" s="378"/>
      <c r="E1883" s="378"/>
      <c r="F1883" s="378"/>
      <c r="G1883" s="378"/>
      <c r="H1883" s="378"/>
      <c r="I1883" s="376"/>
      <c r="J1883" s="377"/>
      <c r="K1883" s="378"/>
      <c r="L1883" s="378"/>
      <c r="M1883" s="378"/>
      <c r="N1883" s="379"/>
      <c r="O1883" s="380"/>
      <c r="P1883" s="378"/>
      <c r="Q1883" s="378"/>
      <c r="R1883" s="378"/>
      <c r="S1883" s="378"/>
      <c r="T1883" s="378"/>
      <c r="U1883" s="378"/>
      <c r="V1883" s="378"/>
      <c r="W1883" s="378"/>
      <c r="X1883" s="378"/>
      <c r="Y1883" s="378"/>
      <c r="Z1883" s="378"/>
      <c r="AA1883" s="378"/>
      <c r="AB1883" s="378"/>
      <c r="AC1883" s="378"/>
      <c r="AD1883" s="378"/>
      <c r="AE1883" s="378"/>
      <c r="AF1883" s="378"/>
      <c r="AG1883" s="378"/>
    </row>
    <row r="1884">
      <c r="A1884" s="378"/>
      <c r="B1884" s="477"/>
      <c r="C1884" s="378"/>
      <c r="D1884" s="378"/>
      <c r="E1884" s="378"/>
      <c r="F1884" s="378"/>
      <c r="G1884" s="378"/>
      <c r="H1884" s="378"/>
      <c r="I1884" s="376"/>
      <c r="J1884" s="377"/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" s="378"/>
      <c r="U1884" s="378"/>
      <c r="V1884" s="378"/>
      <c r="W1884" s="378"/>
      <c r="X1884" s="378"/>
      <c r="Y1884" s="378"/>
      <c r="Z1884" s="378"/>
      <c r="AA1884" s="378"/>
      <c r="AB1884" s="378"/>
      <c r="AC1884" s="378"/>
      <c r="AD1884" s="378"/>
      <c r="AE1884" s="378"/>
      <c r="AF1884" s="378"/>
      <c r="AG1884" s="378"/>
    </row>
    <row r="1885">
      <c r="A1885" s="378"/>
      <c r="B1885" s="477"/>
      <c r="C1885" s="378"/>
      <c r="D1885" s="378"/>
      <c r="E1885" s="378"/>
      <c r="F1885" s="378"/>
      <c r="G1885" s="378"/>
      <c r="H1885" s="378"/>
      <c r="I1885" s="376"/>
      <c r="J1885" s="377"/>
      <c r="K1885" s="378"/>
      <c r="L1885" s="378"/>
      <c r="M1885" s="378"/>
      <c r="N1885" s="379"/>
      <c r="O1885" s="380"/>
      <c r="P1885" s="378"/>
      <c r="Q1885" s="378"/>
      <c r="R1885" s="378"/>
      <c r="S1885" s="378"/>
      <c r="T1885" s="378"/>
      <c r="U1885" s="378"/>
      <c r="V1885" s="378"/>
      <c r="W1885" s="378"/>
      <c r="X1885" s="378"/>
      <c r="Y1885" s="378"/>
      <c r="Z1885" s="378"/>
      <c r="AA1885" s="378"/>
      <c r="AB1885" s="378"/>
      <c r="AC1885" s="378"/>
      <c r="AD1885" s="378"/>
      <c r="AE1885" s="378"/>
      <c r="AF1885" s="378"/>
      <c r="AG1885" s="378"/>
    </row>
    <row r="1886">
      <c r="A1886" s="378"/>
      <c r="B1886" s="477"/>
      <c r="C1886" s="378"/>
      <c r="D1886" s="378"/>
      <c r="E1886" s="378"/>
      <c r="F1886" s="378"/>
      <c r="G1886" s="378"/>
      <c r="H1886" s="378"/>
      <c r="I1886" s="376"/>
      <c r="J1886" s="377"/>
      <c r="K1886" s="378"/>
      <c r="L1886" s="378"/>
      <c r="M1886" s="378"/>
      <c r="N1886" s="379"/>
      <c r="O1886" s="380"/>
      <c r="P1886" s="378"/>
      <c r="Q1886" s="378"/>
      <c r="R1886" s="378"/>
      <c r="S1886" s="378"/>
      <c r="T1886" s="378"/>
      <c r="U1886" s="378"/>
      <c r="V1886" s="378"/>
      <c r="W1886" s="378"/>
      <c r="X1886" s="378"/>
      <c r="Y1886" s="378"/>
      <c r="Z1886" s="378"/>
      <c r="AA1886" s="378"/>
      <c r="AB1886" s="378"/>
      <c r="AC1886" s="378"/>
      <c r="AD1886" s="378"/>
      <c r="AE1886" s="378"/>
      <c r="AF1886" s="378"/>
      <c r="AG1886" s="378"/>
    </row>
    <row r="1887">
      <c r="A1887" s="378"/>
      <c r="B1887" s="477"/>
      <c r="C1887" s="378"/>
      <c r="D1887" s="378"/>
      <c r="E1887" s="378"/>
      <c r="F1887" s="378"/>
      <c r="G1887" s="378"/>
      <c r="H1887" s="378"/>
      <c r="I1887" s="376"/>
      <c r="J1887" s="377"/>
      <c r="K1887" s="378"/>
      <c r="L1887" s="378"/>
      <c r="M1887" s="378"/>
      <c r="N1887" s="379"/>
      <c r="O1887" s="380"/>
      <c r="P1887" s="378"/>
      <c r="Q1887" s="378"/>
      <c r="R1887" s="378"/>
      <c r="S1887" s="378"/>
      <c r="T1887" s="378"/>
      <c r="U1887" s="378"/>
      <c r="V1887" s="378"/>
      <c r="W1887" s="378"/>
      <c r="X1887" s="378"/>
      <c r="Y1887" s="378"/>
      <c r="Z1887" s="378"/>
      <c r="AA1887" s="378"/>
      <c r="AB1887" s="378"/>
      <c r="AC1887" s="378"/>
      <c r="AD1887" s="378"/>
      <c r="AE1887" s="378"/>
      <c r="AF1887" s="378"/>
      <c r="AG1887" s="378"/>
    </row>
    <row r="1888">
      <c r="A1888" s="378"/>
      <c r="B1888" s="477"/>
      <c r="C1888" s="378"/>
      <c r="D1888" s="378"/>
      <c r="E1888" s="378"/>
      <c r="F1888" s="378"/>
      <c r="G1888" s="378"/>
      <c r="H1888" s="378"/>
      <c r="I1888" s="376"/>
      <c r="J1888" s="377"/>
      <c r="K1888" s="378"/>
      <c r="L1888" s="378"/>
      <c r="M1888" s="378"/>
      <c r="N1888" s="379"/>
      <c r="O1888" s="380"/>
      <c r="P1888" s="378"/>
      <c r="Q1888" s="378"/>
      <c r="R1888" s="378"/>
      <c r="S1888" s="378"/>
      <c r="T1888" s="378"/>
      <c r="U1888" s="378"/>
      <c r="V1888" s="378"/>
      <c r="W1888" s="378"/>
      <c r="X1888" s="378"/>
      <c r="Y1888" s="378"/>
      <c r="Z1888" s="378"/>
      <c r="AA1888" s="378"/>
      <c r="AB1888" s="378"/>
      <c r="AC1888" s="378"/>
      <c r="AD1888" s="378"/>
      <c r="AE1888" s="378"/>
      <c r="AF1888" s="378"/>
      <c r="AG1888" s="378"/>
    </row>
    <row r="1889">
      <c r="A1889" s="378"/>
      <c r="B1889" s="477"/>
      <c r="C1889" s="378"/>
      <c r="D1889" s="378"/>
      <c r="E1889" s="378"/>
      <c r="F1889" s="378"/>
      <c r="G1889" s="378"/>
      <c r="H1889" s="378"/>
      <c r="I1889" s="376"/>
      <c r="J1889" s="377"/>
      <c r="K1889" s="378"/>
      <c r="L1889" s="378"/>
      <c r="M1889" s="378"/>
      <c r="N1889" s="379"/>
      <c r="O1889" s="380"/>
      <c r="P1889" s="378"/>
      <c r="Q1889" s="378"/>
      <c r="R1889" s="378"/>
      <c r="S1889" s="378"/>
      <c r="T1889" s="378"/>
      <c r="U1889" s="378"/>
      <c r="V1889" s="378"/>
      <c r="W1889" s="378"/>
      <c r="X1889" s="378"/>
      <c r="Y1889" s="378"/>
      <c r="Z1889" s="378"/>
      <c r="AA1889" s="378"/>
      <c r="AB1889" s="378"/>
      <c r="AC1889" s="378"/>
      <c r="AD1889" s="378"/>
      <c r="AE1889" s="378"/>
      <c r="AF1889" s="378"/>
      <c r="AG1889" s="378"/>
    </row>
    <row r="1890">
      <c r="A1890" s="378"/>
      <c r="B1890" s="477"/>
      <c r="C1890" s="378"/>
      <c r="D1890" s="378"/>
      <c r="E1890" s="378"/>
      <c r="F1890" s="378"/>
      <c r="G1890" s="378"/>
      <c r="H1890" s="378"/>
      <c r="I1890" s="376"/>
      <c r="J1890" s="377"/>
      <c r="K1890" s="378"/>
      <c r="L1890" s="378"/>
      <c r="M1890" s="378"/>
      <c r="N1890" s="379"/>
      <c r="O1890" s="380"/>
      <c r="P1890" s="378"/>
      <c r="Q1890" s="378"/>
      <c r="R1890" s="378"/>
      <c r="S1890" s="378"/>
      <c r="T1890" s="378"/>
      <c r="U1890" s="378"/>
      <c r="V1890" s="378"/>
      <c r="W1890" s="378"/>
      <c r="X1890" s="378"/>
      <c r="Y1890" s="378"/>
      <c r="Z1890" s="378"/>
      <c r="AA1890" s="378"/>
      <c r="AB1890" s="378"/>
      <c r="AC1890" s="378"/>
      <c r="AD1890" s="378"/>
      <c r="AE1890" s="378"/>
      <c r="AF1890" s="378"/>
      <c r="AG1890" s="378"/>
    </row>
    <row r="1891">
      <c r="A1891" s="378"/>
      <c r="B1891" s="477"/>
      <c r="C1891" s="378"/>
      <c r="D1891" s="378"/>
      <c r="E1891" s="378"/>
      <c r="F1891" s="378"/>
      <c r="G1891" s="378"/>
      <c r="H1891" s="378"/>
      <c r="I1891" s="376"/>
      <c r="J1891" s="377"/>
      <c r="K1891" s="378"/>
      <c r="L1891" s="378"/>
      <c r="M1891" s="378"/>
      <c r="N1891" s="379"/>
      <c r="O1891" s="380"/>
      <c r="P1891" s="378"/>
      <c r="Q1891" s="378"/>
      <c r="R1891" s="378"/>
      <c r="S1891" s="378"/>
      <c r="T1891" s="378"/>
      <c r="U1891" s="378"/>
      <c r="V1891" s="378"/>
      <c r="W1891" s="378"/>
      <c r="X1891" s="378"/>
      <c r="Y1891" s="378"/>
      <c r="Z1891" s="378"/>
      <c r="AA1891" s="378"/>
      <c r="AB1891" s="378"/>
      <c r="AC1891" s="378"/>
      <c r="AD1891" s="378"/>
      <c r="AE1891" s="378"/>
      <c r="AF1891" s="378"/>
      <c r="AG1891" s="378"/>
    </row>
    <row r="1892">
      <c r="A1892" s="378"/>
      <c r="B1892" s="477"/>
      <c r="C1892" s="378"/>
      <c r="D1892" s="378"/>
      <c r="E1892" s="378"/>
      <c r="F1892" s="378"/>
      <c r="G1892" s="378"/>
      <c r="H1892" s="378"/>
      <c r="I1892" s="376"/>
      <c r="J1892" s="377"/>
      <c r="K1892" s="378"/>
      <c r="L1892" s="378"/>
      <c r="M1892" s="378"/>
      <c r="N1892" s="379"/>
      <c r="O1892" s="380"/>
      <c r="P1892" s="378"/>
      <c r="Q1892" s="378"/>
      <c r="R1892" s="378"/>
      <c r="S1892" s="378"/>
      <c r="T1892" s="378"/>
      <c r="U1892" s="378"/>
      <c r="V1892" s="378"/>
      <c r="W1892" s="378"/>
      <c r="X1892" s="378"/>
      <c r="Y1892" s="378"/>
      <c r="Z1892" s="378"/>
      <c r="AA1892" s="378"/>
      <c r="AB1892" s="378"/>
      <c r="AC1892" s="378"/>
      <c r="AD1892" s="378"/>
      <c r="AE1892" s="378"/>
      <c r="AF1892" s="378"/>
      <c r="AG1892" s="378"/>
    </row>
    <row r="1893">
      <c r="A1893" s="378"/>
      <c r="B1893" s="477"/>
      <c r="C1893" s="378"/>
      <c r="D1893" s="378"/>
      <c r="E1893" s="378"/>
      <c r="F1893" s="378"/>
      <c r="G1893" s="378"/>
      <c r="H1893" s="378"/>
      <c r="I1893" s="376"/>
      <c r="J1893" s="377"/>
      <c r="K1893" s="378"/>
      <c r="L1893" s="378"/>
      <c r="M1893" s="378"/>
      <c r="N1893" s="379"/>
      <c r="O1893" s="380"/>
      <c r="P1893" s="378"/>
      <c r="Q1893" s="378"/>
      <c r="R1893" s="378"/>
      <c r="S1893" s="378"/>
      <c r="T1893" s="378"/>
      <c r="U1893" s="378"/>
      <c r="V1893" s="378"/>
      <c r="W1893" s="378"/>
      <c r="X1893" s="378"/>
      <c r="Y1893" s="378"/>
      <c r="Z1893" s="378"/>
      <c r="AA1893" s="378"/>
      <c r="AB1893" s="378"/>
      <c r="AC1893" s="378"/>
      <c r="AD1893" s="378"/>
      <c r="AE1893" s="378"/>
      <c r="AF1893" s="378"/>
      <c r="AG1893" s="378"/>
    </row>
    <row r="1894">
      <c r="A1894" s="378"/>
      <c r="B1894" s="477"/>
      <c r="C1894" s="378"/>
      <c r="D1894" s="378"/>
      <c r="E1894" s="378"/>
      <c r="F1894" s="378"/>
      <c r="G1894" s="378"/>
      <c r="H1894" s="378"/>
      <c r="I1894" s="376"/>
      <c r="J1894" s="377"/>
      <c r="K1894" s="378"/>
      <c r="L1894" s="378"/>
      <c r="M1894" s="378"/>
      <c r="N1894" s="379"/>
      <c r="O1894" s="380"/>
      <c r="P1894" s="378"/>
      <c r="Q1894" s="378"/>
      <c r="R1894" s="378"/>
      <c r="S1894" s="378"/>
      <c r="T1894" s="378"/>
      <c r="U1894" s="378"/>
      <c r="V1894" s="378"/>
      <c r="W1894" s="378"/>
      <c r="X1894" s="378"/>
      <c r="Y1894" s="378"/>
      <c r="Z1894" s="378"/>
      <c r="AA1894" s="378"/>
      <c r="AB1894" s="378"/>
      <c r="AC1894" s="378"/>
      <c r="AD1894" s="378"/>
      <c r="AE1894" s="378"/>
      <c r="AF1894" s="378"/>
      <c r="AG1894" s="378"/>
    </row>
    <row r="1895">
      <c r="A1895" s="378"/>
      <c r="B1895" s="477"/>
      <c r="C1895" s="378"/>
      <c r="D1895" s="378"/>
      <c r="E1895" s="378"/>
      <c r="F1895" s="378"/>
      <c r="G1895" s="378"/>
      <c r="H1895" s="378"/>
      <c r="I1895" s="376"/>
      <c r="J1895" s="377"/>
      <c r="K1895" s="378"/>
      <c r="L1895" s="378"/>
      <c r="M1895" s="378"/>
      <c r="N1895" s="379"/>
      <c r="O1895" s="380"/>
      <c r="P1895" s="378"/>
      <c r="Q1895" s="378"/>
      <c r="R1895" s="378"/>
      <c r="S1895" s="378"/>
      <c r="T1895" s="378"/>
      <c r="U1895" s="378"/>
      <c r="V1895" s="378"/>
      <c r="W1895" s="378"/>
      <c r="X1895" s="378"/>
      <c r="Y1895" s="378"/>
      <c r="Z1895" s="378"/>
      <c r="AA1895" s="378"/>
      <c r="AB1895" s="378"/>
      <c r="AC1895" s="378"/>
      <c r="AD1895" s="378"/>
      <c r="AE1895" s="378"/>
      <c r="AF1895" s="378"/>
      <c r="AG1895" s="378"/>
    </row>
    <row r="1896">
      <c r="A1896" s="378"/>
      <c r="B1896" s="477"/>
      <c r="C1896" s="378"/>
      <c r="D1896" s="378"/>
      <c r="E1896" s="378"/>
      <c r="F1896" s="378"/>
      <c r="G1896" s="378"/>
      <c r="H1896" s="378"/>
      <c r="I1896" s="376"/>
      <c r="J1896" s="377"/>
      <c r="K1896" s="378"/>
      <c r="L1896" s="378"/>
      <c r="M1896" s="378"/>
      <c r="N1896" s="379"/>
      <c r="O1896" s="380"/>
      <c r="P1896" s="378"/>
      <c r="Q1896" s="378"/>
      <c r="R1896" s="378"/>
      <c r="S1896" s="378"/>
      <c r="T1896" s="378"/>
      <c r="U1896" s="378"/>
      <c r="V1896" s="378"/>
      <c r="W1896" s="378"/>
      <c r="X1896" s="378"/>
      <c r="Y1896" s="378"/>
      <c r="Z1896" s="378"/>
      <c r="AA1896" s="378"/>
      <c r="AB1896" s="378"/>
      <c r="AC1896" s="378"/>
      <c r="AD1896" s="378"/>
      <c r="AE1896" s="378"/>
      <c r="AF1896" s="378"/>
      <c r="AG1896" s="378"/>
    </row>
    <row r="1897">
      <c r="A1897" s="378"/>
      <c r="B1897" s="477"/>
      <c r="C1897" s="378"/>
      <c r="D1897" s="378"/>
      <c r="E1897" s="378"/>
      <c r="F1897" s="378"/>
      <c r="G1897" s="378"/>
      <c r="H1897" s="378"/>
      <c r="I1897" s="376"/>
      <c r="J1897" s="377"/>
      <c r="K1897" s="378"/>
      <c r="L1897" s="378"/>
      <c r="M1897" s="378"/>
      <c r="N1897" s="379"/>
      <c r="O1897" s="380"/>
      <c r="P1897" s="378"/>
      <c r="Q1897" s="378"/>
      <c r="R1897" s="378"/>
      <c r="S1897" s="378"/>
      <c r="T1897" s="378"/>
      <c r="U1897" s="378"/>
      <c r="V1897" s="378"/>
      <c r="W1897" s="378"/>
      <c r="X1897" s="378"/>
      <c r="Y1897" s="378"/>
      <c r="Z1897" s="378"/>
      <c r="AA1897" s="378"/>
      <c r="AB1897" s="378"/>
      <c r="AC1897" s="378"/>
      <c r="AD1897" s="378"/>
      <c r="AE1897" s="378"/>
      <c r="AF1897" s="378"/>
      <c r="AG1897" s="378"/>
    </row>
    <row r="1898">
      <c r="A1898" s="378"/>
      <c r="B1898" s="477"/>
      <c r="C1898" s="378"/>
      <c r="D1898" s="378"/>
      <c r="E1898" s="378"/>
      <c r="F1898" s="378"/>
      <c r="G1898" s="378"/>
      <c r="H1898" s="378"/>
      <c r="I1898" s="376"/>
      <c r="J1898" s="377"/>
      <c r="K1898" s="378"/>
      <c r="L1898" s="378"/>
      <c r="M1898" s="378"/>
      <c r="N1898" s="379"/>
      <c r="O1898" s="380"/>
      <c r="P1898" s="378"/>
      <c r="Q1898" s="378"/>
      <c r="R1898" s="378"/>
      <c r="S1898" s="378"/>
      <c r="T1898" s="378"/>
      <c r="U1898" s="378"/>
      <c r="V1898" s="378"/>
      <c r="W1898" s="378"/>
      <c r="X1898" s="378"/>
      <c r="Y1898" s="378"/>
      <c r="Z1898" s="378"/>
      <c r="AA1898" s="378"/>
      <c r="AB1898" s="378"/>
      <c r="AC1898" s="378"/>
      <c r="AD1898" s="378"/>
      <c r="AE1898" s="378"/>
      <c r="AF1898" s="378"/>
      <c r="AG1898" s="378"/>
    </row>
    <row r="1899">
      <c r="A1899" s="378"/>
      <c r="B1899" s="477"/>
      <c r="C1899" s="378"/>
      <c r="D1899" s="378"/>
      <c r="E1899" s="378"/>
      <c r="F1899" s="378"/>
      <c r="G1899" s="378"/>
      <c r="H1899" s="378"/>
      <c r="I1899" s="376"/>
      <c r="J1899" s="377"/>
      <c r="K1899" s="378"/>
      <c r="L1899" s="378"/>
      <c r="M1899" s="378"/>
      <c r="N1899" s="379"/>
      <c r="O1899" s="380"/>
      <c r="P1899" s="378"/>
      <c r="Q1899" s="378"/>
      <c r="R1899" s="378"/>
      <c r="S1899" s="378"/>
      <c r="T1899" s="378"/>
      <c r="U1899" s="378"/>
      <c r="V1899" s="378"/>
      <c r="W1899" s="378"/>
      <c r="X1899" s="378"/>
      <c r="Y1899" s="378"/>
      <c r="Z1899" s="378"/>
      <c r="AA1899" s="378"/>
      <c r="AB1899" s="378"/>
      <c r="AC1899" s="378"/>
      <c r="AD1899" s="378"/>
      <c r="AE1899" s="378"/>
      <c r="AF1899" s="378"/>
      <c r="AG1899" s="378"/>
    </row>
    <row r="1900">
      <c r="A1900" s="378"/>
      <c r="B1900" s="477"/>
      <c r="C1900" s="378"/>
      <c r="D1900" s="378"/>
      <c r="E1900" s="378"/>
      <c r="F1900" s="378"/>
      <c r="G1900" s="378"/>
      <c r="H1900" s="378"/>
      <c r="I1900" s="376"/>
      <c r="J1900" s="377"/>
      <c r="K1900" s="378"/>
      <c r="L1900" s="378"/>
      <c r="M1900" s="378"/>
      <c r="N1900" s="379"/>
      <c r="O1900" s="380"/>
      <c r="P1900" s="378"/>
      <c r="Q1900" s="378"/>
      <c r="R1900" s="378"/>
      <c r="S1900" s="378"/>
      <c r="T1900" s="378"/>
      <c r="U1900" s="378"/>
      <c r="V1900" s="378"/>
      <c r="W1900" s="378"/>
      <c r="X1900" s="378"/>
      <c r="Y1900" s="378"/>
      <c r="Z1900" s="378"/>
      <c r="AA1900" s="378"/>
      <c r="AB1900" s="378"/>
      <c r="AC1900" s="378"/>
      <c r="AD1900" s="378"/>
      <c r="AE1900" s="378"/>
      <c r="AF1900" s="378"/>
      <c r="AG1900" s="378"/>
    </row>
    <row r="1901">
      <c r="A1901" s="378"/>
      <c r="B1901" s="477"/>
      <c r="C1901" s="378"/>
      <c r="D1901" s="378"/>
      <c r="E1901" s="378"/>
      <c r="F1901" s="378"/>
      <c r="G1901" s="378"/>
      <c r="H1901" s="378"/>
      <c r="I1901" s="376"/>
      <c r="J1901" s="377"/>
      <c r="K1901" s="378"/>
      <c r="L1901" s="378"/>
      <c r="M1901" s="378"/>
      <c r="N1901" s="379"/>
      <c r="O1901" s="380"/>
      <c r="P1901" s="378"/>
      <c r="Q1901" s="378"/>
      <c r="R1901" s="378"/>
      <c r="S1901" s="378"/>
      <c r="T1901" s="378"/>
      <c r="U1901" s="378"/>
      <c r="V1901" s="378"/>
      <c r="W1901" s="378"/>
      <c r="X1901" s="378"/>
      <c r="Y1901" s="378"/>
      <c r="Z1901" s="378"/>
      <c r="AA1901" s="378"/>
      <c r="AB1901" s="378"/>
      <c r="AC1901" s="378"/>
      <c r="AD1901" s="378"/>
      <c r="AE1901" s="378"/>
      <c r="AF1901" s="378"/>
      <c r="AG1901" s="378"/>
    </row>
    <row r="1902">
      <c r="A1902" s="378"/>
      <c r="B1902" s="477"/>
      <c r="C1902" s="378"/>
      <c r="D1902" s="378"/>
      <c r="E1902" s="378"/>
      <c r="F1902" s="378"/>
      <c r="G1902" s="378"/>
      <c r="H1902" s="378"/>
      <c r="I1902" s="376"/>
      <c r="J1902" s="377"/>
      <c r="K1902" s="378"/>
      <c r="L1902" s="378"/>
      <c r="M1902" s="378"/>
      <c r="N1902" s="379"/>
      <c r="O1902" s="380"/>
      <c r="P1902" s="378"/>
      <c r="Q1902" s="378"/>
      <c r="R1902" s="378"/>
      <c r="S1902" s="378"/>
      <c r="T1902" s="378"/>
      <c r="U1902" s="378"/>
      <c r="V1902" s="378"/>
      <c r="W1902" s="378"/>
      <c r="X1902" s="378"/>
      <c r="Y1902" s="378"/>
      <c r="Z1902" s="378"/>
      <c r="AA1902" s="378"/>
      <c r="AB1902" s="378"/>
      <c r="AC1902" s="378"/>
      <c r="AD1902" s="378"/>
      <c r="AE1902" s="378"/>
      <c r="AF1902" s="378"/>
      <c r="AG1902" s="378"/>
    </row>
    <row r="1903">
      <c r="A1903" s="378"/>
      <c r="B1903" s="477"/>
      <c r="C1903" s="378"/>
      <c r="D1903" s="378"/>
      <c r="E1903" s="378"/>
      <c r="F1903" s="378"/>
      <c r="G1903" s="378"/>
      <c r="H1903" s="378"/>
      <c r="I1903" s="376"/>
      <c r="J1903" s="377"/>
      <c r="K1903" s="378"/>
      <c r="L1903" s="378"/>
      <c r="M1903" s="378"/>
      <c r="N1903" s="379"/>
      <c r="O1903" s="380"/>
      <c r="P1903" s="378"/>
      <c r="Q1903" s="378"/>
      <c r="R1903" s="378"/>
      <c r="S1903" s="378"/>
      <c r="T1903" s="378"/>
      <c r="U1903" s="378"/>
      <c r="V1903" s="378"/>
      <c r="W1903" s="378"/>
      <c r="X1903" s="378"/>
      <c r="Y1903" s="378"/>
      <c r="Z1903" s="378"/>
      <c r="AA1903" s="378"/>
      <c r="AB1903" s="378"/>
      <c r="AC1903" s="378"/>
      <c r="AD1903" s="378"/>
      <c r="AE1903" s="378"/>
      <c r="AF1903" s="378"/>
      <c r="AG1903" s="378"/>
    </row>
    <row r="1904">
      <c r="A1904" s="378"/>
      <c r="B1904" s="477"/>
      <c r="C1904" s="378"/>
      <c r="D1904" s="378"/>
      <c r="E1904" s="378"/>
      <c r="F1904" s="378"/>
      <c r="G1904" s="378"/>
      <c r="H1904" s="378"/>
      <c r="I1904" s="376"/>
      <c r="J1904" s="377"/>
      <c r="K1904" s="378"/>
      <c r="L1904" s="378"/>
      <c r="M1904" s="378"/>
      <c r="N1904" s="379"/>
      <c r="O1904" s="380"/>
      <c r="P1904" s="378"/>
      <c r="Q1904" s="378"/>
      <c r="R1904" s="378"/>
      <c r="S1904" s="378"/>
      <c r="T1904" s="378"/>
      <c r="U1904" s="378"/>
      <c r="V1904" s="378"/>
      <c r="W1904" s="378"/>
      <c r="X1904" s="378"/>
      <c r="Y1904" s="378"/>
      <c r="Z1904" s="378"/>
      <c r="AA1904" s="378"/>
      <c r="AB1904" s="378"/>
      <c r="AC1904" s="378"/>
      <c r="AD1904" s="378"/>
      <c r="AE1904" s="378"/>
      <c r="AF1904" s="378"/>
      <c r="AG1904" s="378"/>
    </row>
    <row r="1905">
      <c r="A1905" s="378"/>
      <c r="B1905" s="477"/>
      <c r="C1905" s="378"/>
      <c r="D1905" s="378"/>
      <c r="E1905" s="378"/>
      <c r="F1905" s="378"/>
      <c r="G1905" s="378"/>
      <c r="H1905" s="378"/>
      <c r="I1905" s="376"/>
      <c r="J1905" s="377"/>
      <c r="K1905" s="378"/>
      <c r="L1905" s="378"/>
      <c r="M1905" s="378"/>
      <c r="N1905" s="379"/>
      <c r="O1905" s="380"/>
      <c r="P1905" s="378"/>
      <c r="Q1905" s="378"/>
      <c r="R1905" s="378"/>
      <c r="S1905" s="378"/>
      <c r="T1905" s="378"/>
      <c r="U1905" s="378"/>
      <c r="V1905" s="378"/>
      <c r="W1905" s="378"/>
      <c r="X1905" s="378"/>
      <c r="Y1905" s="378"/>
      <c r="Z1905" s="378"/>
      <c r="AA1905" s="378"/>
      <c r="AB1905" s="378"/>
      <c r="AC1905" s="378"/>
      <c r="AD1905" s="378"/>
      <c r="AE1905" s="378"/>
      <c r="AF1905" s="378"/>
      <c r="AG1905" s="378"/>
    </row>
    <row r="1906">
      <c r="A1906" s="378"/>
      <c r="B1906" s="477"/>
      <c r="C1906" s="378"/>
      <c r="D1906" s="378"/>
      <c r="E1906" s="378"/>
      <c r="F1906" s="378"/>
      <c r="G1906" s="378"/>
      <c r="H1906" s="378"/>
      <c r="I1906" s="376"/>
      <c r="J1906" s="377"/>
      <c r="K1906" s="378"/>
      <c r="L1906" s="378"/>
      <c r="M1906" s="378"/>
      <c r="N1906" s="379"/>
      <c r="O1906" s="380"/>
      <c r="P1906" s="378"/>
      <c r="Q1906" s="378"/>
      <c r="R1906" s="378"/>
      <c r="S1906" s="378"/>
      <c r="T1906" s="378"/>
      <c r="U1906" s="378"/>
      <c r="V1906" s="378"/>
      <c r="W1906" s="378"/>
      <c r="X1906" s="378"/>
      <c r="Y1906" s="378"/>
      <c r="Z1906" s="378"/>
      <c r="AA1906" s="378"/>
      <c r="AB1906" s="378"/>
      <c r="AC1906" s="378"/>
      <c r="AD1906" s="378"/>
      <c r="AE1906" s="378"/>
      <c r="AF1906" s="378"/>
      <c r="AG1906" s="378"/>
    </row>
    <row r="1907">
      <c r="A1907" s="378"/>
      <c r="B1907" s="477"/>
      <c r="C1907" s="378"/>
      <c r="D1907" s="378"/>
      <c r="E1907" s="378"/>
      <c r="F1907" s="378"/>
      <c r="G1907" s="378"/>
      <c r="H1907" s="378"/>
      <c r="I1907" s="376"/>
      <c r="J1907" s="377"/>
      <c r="K1907" s="378"/>
      <c r="L1907" s="378"/>
      <c r="M1907" s="378"/>
      <c r="N1907" s="379"/>
      <c r="O1907" s="380"/>
      <c r="P1907" s="378"/>
      <c r="Q1907" s="378"/>
      <c r="R1907" s="378"/>
      <c r="S1907" s="378"/>
      <c r="T1907" s="378"/>
      <c r="U1907" s="378"/>
      <c r="V1907" s="378"/>
      <c r="W1907" s="378"/>
      <c r="X1907" s="378"/>
      <c r="Y1907" s="378"/>
      <c r="Z1907" s="378"/>
      <c r="AA1907" s="378"/>
      <c r="AB1907" s="378"/>
      <c r="AC1907" s="378"/>
      <c r="AD1907" s="378"/>
      <c r="AE1907" s="378"/>
      <c r="AF1907" s="378"/>
      <c r="AG1907" s="378"/>
    </row>
    <row r="1908">
      <c r="A1908" s="378"/>
      <c r="B1908" s="477"/>
      <c r="C1908" s="378"/>
      <c r="D1908" s="378"/>
      <c r="E1908" s="378"/>
      <c r="F1908" s="378"/>
      <c r="G1908" s="378"/>
      <c r="H1908" s="378"/>
      <c r="I1908" s="376"/>
      <c r="J1908" s="377"/>
      <c r="K1908" s="378"/>
      <c r="L1908" s="378"/>
      <c r="M1908" s="378"/>
      <c r="N1908" s="379"/>
      <c r="O1908" s="380"/>
      <c r="P1908" s="378"/>
      <c r="Q1908" s="378"/>
      <c r="R1908" s="378"/>
      <c r="S1908" s="378"/>
      <c r="T1908" s="378"/>
      <c r="U1908" s="378"/>
      <c r="V1908" s="378"/>
      <c r="W1908" s="378"/>
      <c r="X1908" s="378"/>
      <c r="Y1908" s="378"/>
      <c r="Z1908" s="378"/>
      <c r="AA1908" s="378"/>
      <c r="AB1908" s="378"/>
      <c r="AC1908" s="378"/>
      <c r="AD1908" s="378"/>
      <c r="AE1908" s="378"/>
      <c r="AF1908" s="378"/>
      <c r="AG1908" s="378"/>
    </row>
    <row r="1909">
      <c r="A1909" s="378"/>
      <c r="B1909" s="477"/>
      <c r="C1909" s="378"/>
      <c r="D1909" s="378"/>
      <c r="E1909" s="378"/>
      <c r="F1909" s="378"/>
      <c r="G1909" s="378"/>
      <c r="H1909" s="378"/>
      <c r="I1909" s="376"/>
      <c r="J1909" s="377"/>
      <c r="K1909" s="378"/>
      <c r="L1909" s="378"/>
      <c r="M1909" s="378"/>
      <c r="N1909" s="379"/>
      <c r="O1909" s="380"/>
      <c r="P1909" s="378"/>
      <c r="Q1909" s="378"/>
      <c r="R1909" s="378"/>
      <c r="S1909" s="378"/>
      <c r="T1909" s="378"/>
      <c r="U1909" s="378"/>
      <c r="V1909" s="378"/>
      <c r="W1909" s="378"/>
      <c r="X1909" s="378"/>
      <c r="Y1909" s="378"/>
      <c r="Z1909" s="378"/>
      <c r="AA1909" s="378"/>
      <c r="AB1909" s="378"/>
      <c r="AC1909" s="378"/>
      <c r="AD1909" s="378"/>
      <c r="AE1909" s="378"/>
      <c r="AF1909" s="378"/>
      <c r="AG1909" s="378"/>
    </row>
    <row r="1910">
      <c r="A1910" s="378"/>
      <c r="B1910" s="477"/>
      <c r="C1910" s="378"/>
      <c r="D1910" s="378"/>
      <c r="E1910" s="378"/>
      <c r="F1910" s="378"/>
      <c r="G1910" s="378"/>
      <c r="H1910" s="378"/>
      <c r="I1910" s="376"/>
      <c r="J1910" s="377"/>
      <c r="K1910" s="378"/>
      <c r="L1910" s="378"/>
      <c r="M1910" s="378"/>
      <c r="N1910" s="379"/>
      <c r="O1910" s="380"/>
      <c r="P1910" s="378"/>
      <c r="Q1910" s="378"/>
      <c r="R1910" s="378"/>
      <c r="S1910" s="378"/>
      <c r="T1910" s="378"/>
      <c r="U1910" s="378"/>
      <c r="V1910" s="378"/>
      <c r="W1910" s="378"/>
      <c r="X1910" s="378"/>
      <c r="Y1910" s="378"/>
      <c r="Z1910" s="378"/>
      <c r="AA1910" s="378"/>
      <c r="AB1910" s="378"/>
      <c r="AC1910" s="378"/>
      <c r="AD1910" s="378"/>
      <c r="AE1910" s="378"/>
      <c r="AF1910" s="378"/>
      <c r="AG1910" s="378"/>
    </row>
    <row r="1911">
      <c r="A1911" s="378"/>
      <c r="B1911" s="477"/>
      <c r="C1911" s="378"/>
      <c r="D1911" s="378"/>
      <c r="E1911" s="378"/>
      <c r="F1911" s="378"/>
      <c r="G1911" s="378"/>
      <c r="H1911" s="378"/>
      <c r="I1911" s="376"/>
      <c r="J1911" s="377"/>
      <c r="K1911" s="378"/>
      <c r="L1911" s="378"/>
      <c r="M1911" s="378"/>
      <c r="N1911" s="379"/>
      <c r="O1911" s="380"/>
      <c r="P1911" s="378"/>
      <c r="Q1911" s="378"/>
      <c r="R1911" s="378"/>
      <c r="S1911" s="378"/>
      <c r="T1911" s="378"/>
      <c r="U1911" s="378"/>
      <c r="V1911" s="378"/>
      <c r="W1911" s="378"/>
      <c r="X1911" s="378"/>
      <c r="Y1911" s="378"/>
      <c r="Z1911" s="378"/>
      <c r="AA1911" s="378"/>
      <c r="AB1911" s="378"/>
      <c r="AC1911" s="378"/>
      <c r="AD1911" s="378"/>
      <c r="AE1911" s="378"/>
      <c r="AF1911" s="378"/>
      <c r="AG1911" s="378"/>
    </row>
    <row r="1912">
      <c r="A1912" s="378"/>
      <c r="B1912" s="477"/>
      <c r="C1912" s="378"/>
      <c r="D1912" s="378"/>
      <c r="E1912" s="378"/>
      <c r="F1912" s="378"/>
      <c r="G1912" s="378"/>
      <c r="H1912" s="378"/>
      <c r="I1912" s="376"/>
      <c r="J1912" s="377"/>
      <c r="K1912" s="378"/>
      <c r="L1912" s="378"/>
      <c r="M1912" s="378"/>
      <c r="N1912" s="379"/>
      <c r="O1912" s="380"/>
      <c r="P1912" s="378"/>
      <c r="Q1912" s="378"/>
      <c r="R1912" s="378"/>
      <c r="S1912" s="378"/>
      <c r="T1912" s="378"/>
      <c r="U1912" s="378"/>
      <c r="V1912" s="378"/>
      <c r="W1912" s="378"/>
      <c r="X1912" s="378"/>
      <c r="Y1912" s="378"/>
      <c r="Z1912" s="378"/>
      <c r="AA1912" s="378"/>
      <c r="AB1912" s="378"/>
      <c r="AC1912" s="378"/>
      <c r="AD1912" s="378"/>
      <c r="AE1912" s="378"/>
      <c r="AF1912" s="378"/>
      <c r="AG1912" s="378"/>
    </row>
    <row r="1913">
      <c r="A1913" s="378"/>
      <c r="B1913" s="477"/>
      <c r="C1913" s="378"/>
      <c r="D1913" s="378"/>
      <c r="E1913" s="378"/>
      <c r="F1913" s="378"/>
      <c r="G1913" s="378"/>
      <c r="H1913" s="378"/>
      <c r="I1913" s="376"/>
      <c r="J1913" s="377"/>
      <c r="K1913" s="378"/>
      <c r="L1913" s="378"/>
      <c r="M1913" s="378"/>
      <c r="N1913" s="379"/>
      <c r="O1913" s="380"/>
      <c r="P1913" s="378"/>
      <c r="Q1913" s="378"/>
      <c r="R1913" s="378"/>
      <c r="S1913" s="378"/>
      <c r="T1913" s="378"/>
      <c r="U1913" s="378"/>
      <c r="V1913" s="378"/>
      <c r="W1913" s="378"/>
      <c r="X1913" s="378"/>
      <c r="Y1913" s="378"/>
      <c r="Z1913" s="378"/>
      <c r="AA1913" s="378"/>
      <c r="AB1913" s="378"/>
      <c r="AC1913" s="378"/>
      <c r="AD1913" s="378"/>
      <c r="AE1913" s="378"/>
      <c r="AF1913" s="378"/>
      <c r="AG1913" s="378"/>
    </row>
    <row r="1914">
      <c r="A1914" s="378"/>
      <c r="B1914" s="477"/>
      <c r="C1914" s="378"/>
      <c r="D1914" s="378"/>
      <c r="E1914" s="378"/>
      <c r="F1914" s="378"/>
      <c r="G1914" s="378"/>
      <c r="H1914" s="378"/>
      <c r="I1914" s="376"/>
      <c r="J1914" s="377"/>
      <c r="K1914" s="378"/>
      <c r="L1914" s="378"/>
      <c r="M1914" s="378"/>
      <c r="N1914" s="379"/>
      <c r="O1914" s="380"/>
      <c r="P1914" s="378"/>
      <c r="Q1914" s="378"/>
      <c r="R1914" s="378"/>
      <c r="S1914" s="378"/>
      <c r="T1914" s="378"/>
      <c r="U1914" s="378"/>
      <c r="V1914" s="378"/>
      <c r="W1914" s="378"/>
      <c r="X1914" s="378"/>
      <c r="Y1914" s="378"/>
      <c r="Z1914" s="378"/>
      <c r="AA1914" s="378"/>
      <c r="AB1914" s="378"/>
      <c r="AC1914" s="378"/>
      <c r="AD1914" s="378"/>
      <c r="AE1914" s="378"/>
      <c r="AF1914" s="378"/>
      <c r="AG1914" s="378"/>
    </row>
    <row r="1915">
      <c r="A1915" s="378"/>
      <c r="B1915" s="477"/>
      <c r="C1915" s="378"/>
      <c r="D1915" s="378"/>
      <c r="E1915" s="378"/>
      <c r="F1915" s="378"/>
      <c r="G1915" s="378"/>
      <c r="H1915" s="378"/>
      <c r="I1915" s="376"/>
      <c r="J1915" s="377"/>
      <c r="K1915" s="378"/>
      <c r="L1915" s="378"/>
      <c r="M1915" s="378"/>
      <c r="N1915" s="379"/>
      <c r="O1915" s="380"/>
      <c r="P1915" s="378"/>
      <c r="Q1915" s="378"/>
      <c r="R1915" s="378"/>
      <c r="S1915" s="378"/>
      <c r="T1915" s="378"/>
      <c r="U1915" s="378"/>
      <c r="V1915" s="378"/>
      <c r="W1915" s="378"/>
      <c r="X1915" s="378"/>
      <c r="Y1915" s="378"/>
      <c r="Z1915" s="378"/>
      <c r="AA1915" s="378"/>
      <c r="AB1915" s="378"/>
      <c r="AC1915" s="378"/>
      <c r="AD1915" s="378"/>
      <c r="AE1915" s="378"/>
      <c r="AF1915" s="378"/>
      <c r="AG1915" s="378"/>
    </row>
    <row r="1916">
      <c r="A1916" s="378"/>
      <c r="B1916" s="477"/>
      <c r="C1916" s="378"/>
      <c r="D1916" s="378"/>
      <c r="E1916" s="378"/>
      <c r="F1916" s="378"/>
      <c r="G1916" s="378"/>
      <c r="H1916" s="378"/>
      <c r="I1916" s="376"/>
      <c r="J1916" s="377"/>
      <c r="K1916" s="378"/>
      <c r="L1916" s="378"/>
      <c r="M1916" s="378"/>
      <c r="N1916" s="379"/>
      <c r="O1916" s="380"/>
      <c r="P1916" s="378"/>
      <c r="Q1916" s="378"/>
      <c r="R1916" s="378"/>
      <c r="S1916" s="378"/>
      <c r="T1916" s="378"/>
      <c r="U1916" s="378"/>
      <c r="V1916" s="378"/>
      <c r="W1916" s="378"/>
      <c r="X1916" s="378"/>
      <c r="Y1916" s="378"/>
      <c r="Z1916" s="378"/>
      <c r="AA1916" s="378"/>
      <c r="AB1916" s="378"/>
      <c r="AC1916" s="378"/>
      <c r="AD1916" s="378"/>
      <c r="AE1916" s="378"/>
      <c r="AF1916" s="378"/>
      <c r="AG1916" s="378"/>
    </row>
    <row r="1917">
      <c r="A1917" s="378"/>
      <c r="B1917" s="477"/>
      <c r="C1917" s="378"/>
      <c r="D1917" s="378"/>
      <c r="E1917" s="378"/>
      <c r="F1917" s="378"/>
      <c r="G1917" s="378"/>
      <c r="H1917" s="378"/>
      <c r="I1917" s="376"/>
      <c r="J1917" s="377"/>
      <c r="K1917" s="378"/>
      <c r="L1917" s="378"/>
      <c r="M1917" s="378"/>
      <c r="N1917" s="379"/>
      <c r="O1917" s="380"/>
      <c r="P1917" s="378"/>
      <c r="Q1917" s="378"/>
      <c r="R1917" s="378"/>
      <c r="S1917" s="378"/>
      <c r="T1917" s="378"/>
      <c r="U1917" s="378"/>
      <c r="V1917" s="378"/>
      <c r="W1917" s="378"/>
      <c r="X1917" s="378"/>
      <c r="Y1917" s="378"/>
      <c r="Z1917" s="378"/>
      <c r="AA1917" s="378"/>
      <c r="AB1917" s="378"/>
      <c r="AC1917" s="378"/>
      <c r="AD1917" s="378"/>
      <c r="AE1917" s="378"/>
      <c r="AF1917" s="378"/>
      <c r="AG1917" s="378"/>
    </row>
    <row r="1918">
      <c r="A1918" s="378"/>
      <c r="B1918" s="477"/>
      <c r="C1918" s="378"/>
      <c r="D1918" s="378"/>
      <c r="E1918" s="378"/>
      <c r="F1918" s="378"/>
      <c r="G1918" s="378"/>
      <c r="H1918" s="378"/>
      <c r="I1918" s="376"/>
      <c r="J1918" s="377"/>
      <c r="K1918" s="378"/>
      <c r="L1918" s="378"/>
      <c r="M1918" s="378"/>
      <c r="N1918" s="379"/>
      <c r="O1918" s="380"/>
      <c r="P1918" s="378"/>
      <c r="Q1918" s="378"/>
      <c r="R1918" s="378"/>
      <c r="S1918" s="378"/>
      <c r="T1918" s="378"/>
      <c r="U1918" s="378"/>
      <c r="V1918" s="378"/>
      <c r="W1918" s="378"/>
      <c r="X1918" s="378"/>
      <c r="Y1918" s="378"/>
      <c r="Z1918" s="378"/>
      <c r="AA1918" s="378"/>
      <c r="AB1918" s="378"/>
      <c r="AC1918" s="378"/>
      <c r="AD1918" s="378"/>
      <c r="AE1918" s="378"/>
      <c r="AF1918" s="378"/>
      <c r="AG1918" s="378"/>
    </row>
    <row r="1919">
      <c r="A1919" s="378"/>
      <c r="B1919" s="477"/>
      <c r="C1919" s="378"/>
      <c r="D1919" s="378"/>
      <c r="E1919" s="378"/>
      <c r="F1919" s="378"/>
      <c r="G1919" s="378"/>
      <c r="H1919" s="378"/>
      <c r="I1919" s="376"/>
      <c r="J1919" s="377"/>
      <c r="K1919" s="378"/>
      <c r="L1919" s="378"/>
      <c r="M1919" s="378"/>
      <c r="N1919" s="379"/>
      <c r="O1919" s="380"/>
      <c r="P1919" s="378"/>
      <c r="Q1919" s="378"/>
      <c r="R1919" s="378"/>
      <c r="S1919" s="378"/>
      <c r="T1919" s="378"/>
      <c r="U1919" s="378"/>
      <c r="V1919" s="378"/>
      <c r="W1919" s="378"/>
      <c r="X1919" s="378"/>
      <c r="Y1919" s="378"/>
      <c r="Z1919" s="378"/>
      <c r="AA1919" s="378"/>
      <c r="AB1919" s="378"/>
      <c r="AC1919" s="378"/>
      <c r="AD1919" s="378"/>
      <c r="AE1919" s="378"/>
      <c r="AF1919" s="378"/>
      <c r="AG1919" s="378"/>
    </row>
    <row r="1920">
      <c r="A1920" s="378"/>
      <c r="B1920" s="477"/>
      <c r="C1920" s="378"/>
      <c r="D1920" s="378"/>
      <c r="E1920" s="378"/>
      <c r="F1920" s="378"/>
      <c r="G1920" s="378"/>
      <c r="H1920" s="378"/>
      <c r="I1920" s="376"/>
      <c r="J1920" s="377"/>
      <c r="K1920" s="378"/>
      <c r="L1920" s="378"/>
      <c r="M1920" s="378"/>
      <c r="N1920" s="379"/>
      <c r="O1920" s="380"/>
      <c r="P1920" s="378"/>
      <c r="Q1920" s="378"/>
      <c r="R1920" s="378"/>
      <c r="S1920" s="378"/>
      <c r="T1920" s="378"/>
      <c r="U1920" s="378"/>
      <c r="V1920" s="378"/>
      <c r="W1920" s="378"/>
      <c r="X1920" s="378"/>
      <c r="Y1920" s="378"/>
      <c r="Z1920" s="378"/>
      <c r="AA1920" s="378"/>
      <c r="AB1920" s="378"/>
      <c r="AC1920" s="378"/>
      <c r="AD1920" s="378"/>
      <c r="AE1920" s="378"/>
      <c r="AF1920" s="378"/>
      <c r="AG1920" s="378"/>
    </row>
    <row r="1921">
      <c r="A1921" s="378"/>
      <c r="B1921" s="477"/>
      <c r="C1921" s="378"/>
      <c r="D1921" s="378"/>
      <c r="E1921" s="378"/>
      <c r="F1921" s="378"/>
      <c r="G1921" s="378"/>
      <c r="H1921" s="378"/>
      <c r="I1921" s="376"/>
      <c r="J1921" s="377"/>
      <c r="K1921" s="378"/>
      <c r="L1921" s="378"/>
      <c r="M1921" s="378"/>
      <c r="N1921" s="379"/>
      <c r="O1921" s="380"/>
      <c r="P1921" s="378"/>
      <c r="Q1921" s="378"/>
      <c r="R1921" s="378"/>
      <c r="S1921" s="378"/>
      <c r="T1921" s="378"/>
      <c r="U1921" s="378"/>
      <c r="V1921" s="378"/>
      <c r="W1921" s="378"/>
      <c r="X1921" s="378"/>
      <c r="Y1921" s="378"/>
      <c r="Z1921" s="378"/>
      <c r="AA1921" s="378"/>
      <c r="AB1921" s="378"/>
      <c r="AC1921" s="378"/>
      <c r="AD1921" s="378"/>
      <c r="AE1921" s="378"/>
      <c r="AF1921" s="378"/>
      <c r="AG1921" s="378"/>
    </row>
  </sheetData>
  <mergeCells count="308">
    <mergeCell ref="F611:H611"/>
    <mergeCell ref="N611:P611"/>
    <mergeCell ref="B619:E619"/>
    <mergeCell ref="J619:M619"/>
    <mergeCell ref="F631:F633"/>
    <mergeCell ref="G631:H633"/>
    <mergeCell ref="O631:P633"/>
    <mergeCell ref="F640:H640"/>
    <mergeCell ref="N640:P640"/>
    <mergeCell ref="F641:H641"/>
    <mergeCell ref="N641:P641"/>
    <mergeCell ref="N642:P642"/>
    <mergeCell ref="B650:E650"/>
    <mergeCell ref="J650:M650"/>
    <mergeCell ref="F507:F509"/>
    <mergeCell ref="G507:H509"/>
    <mergeCell ref="O507:P509"/>
    <mergeCell ref="F516:H516"/>
    <mergeCell ref="N516:P516"/>
    <mergeCell ref="F517:H517"/>
    <mergeCell ref="F518:H518"/>
    <mergeCell ref="N517:P517"/>
    <mergeCell ref="N518:P518"/>
    <mergeCell ref="B526:E526"/>
    <mergeCell ref="J526:M526"/>
    <mergeCell ref="F538:F540"/>
    <mergeCell ref="G538:H540"/>
    <mergeCell ref="O538:P540"/>
    <mergeCell ref="F547:H547"/>
    <mergeCell ref="N547:P547"/>
    <mergeCell ref="F548:H548"/>
    <mergeCell ref="N548:P548"/>
    <mergeCell ref="N549:P549"/>
    <mergeCell ref="B557:E557"/>
    <mergeCell ref="J557:M557"/>
    <mergeCell ref="F549:H549"/>
    <mergeCell ref="F569:F571"/>
    <mergeCell ref="G569:H571"/>
    <mergeCell ref="O569:P571"/>
    <mergeCell ref="F578:H578"/>
    <mergeCell ref="N578:P578"/>
    <mergeCell ref="N579:P579"/>
    <mergeCell ref="F579:H579"/>
    <mergeCell ref="B588:E588"/>
    <mergeCell ref="J588:M588"/>
    <mergeCell ref="G600:H602"/>
    <mergeCell ref="O600:P602"/>
    <mergeCell ref="F609:H609"/>
    <mergeCell ref="F610:H610"/>
    <mergeCell ref="F642:H642"/>
    <mergeCell ref="G662:H664"/>
    <mergeCell ref="F671:H671"/>
    <mergeCell ref="F672:H672"/>
    <mergeCell ref="F673:H673"/>
    <mergeCell ref="B681:E681"/>
    <mergeCell ref="J681:M681"/>
    <mergeCell ref="F662:F664"/>
    <mergeCell ref="F693:F695"/>
    <mergeCell ref="G693:H695"/>
    <mergeCell ref="F702:H702"/>
    <mergeCell ref="F703:H703"/>
    <mergeCell ref="F704:H704"/>
    <mergeCell ref="N704:P704"/>
    <mergeCell ref="B835:E835"/>
    <mergeCell ref="J835:M835"/>
    <mergeCell ref="G847:H849"/>
    <mergeCell ref="O847:P849"/>
    <mergeCell ref="F856:H856"/>
    <mergeCell ref="N856:P856"/>
    <mergeCell ref="N857:P857"/>
    <mergeCell ref="N858:P858"/>
    <mergeCell ref="F857:H857"/>
    <mergeCell ref="F858:H858"/>
    <mergeCell ref="B866:E866"/>
    <mergeCell ref="J866:M866"/>
    <mergeCell ref="G878:H880"/>
    <mergeCell ref="O878:P880"/>
    <mergeCell ref="N887:P887"/>
    <mergeCell ref="N733:P733"/>
    <mergeCell ref="N734:P734"/>
    <mergeCell ref="B712:E712"/>
    <mergeCell ref="J712:M712"/>
    <mergeCell ref="F724:F726"/>
    <mergeCell ref="G724:H726"/>
    <mergeCell ref="O724:P726"/>
    <mergeCell ref="F733:H733"/>
    <mergeCell ref="F734:H734"/>
    <mergeCell ref="B743:E743"/>
    <mergeCell ref="J743:M743"/>
    <mergeCell ref="G755:H757"/>
    <mergeCell ref="O755:P757"/>
    <mergeCell ref="F763:H763"/>
    <mergeCell ref="N763:P763"/>
    <mergeCell ref="N764:P764"/>
    <mergeCell ref="N765:P765"/>
    <mergeCell ref="F764:H764"/>
    <mergeCell ref="F765:H765"/>
    <mergeCell ref="B773:E773"/>
    <mergeCell ref="J773:M773"/>
    <mergeCell ref="G785:H787"/>
    <mergeCell ref="O785:P787"/>
    <mergeCell ref="F793:G793"/>
    <mergeCell ref="F794:H794"/>
    <mergeCell ref="N794:P794"/>
    <mergeCell ref="F795:H795"/>
    <mergeCell ref="N795:P795"/>
    <mergeCell ref="B804:E804"/>
    <mergeCell ref="J804:M804"/>
    <mergeCell ref="O816:P818"/>
    <mergeCell ref="G816:H818"/>
    <mergeCell ref="F825:H825"/>
    <mergeCell ref="N825:P825"/>
    <mergeCell ref="F826:H826"/>
    <mergeCell ref="N826:P826"/>
    <mergeCell ref="F827:H827"/>
    <mergeCell ref="N827:P827"/>
    <mergeCell ref="F887:H887"/>
    <mergeCell ref="F888:H888"/>
    <mergeCell ref="N888:P888"/>
    <mergeCell ref="F889:H889"/>
    <mergeCell ref="N889:P889"/>
    <mergeCell ref="B897:E897"/>
    <mergeCell ref="J897:M897"/>
    <mergeCell ref="N238:P238"/>
    <mergeCell ref="N239:P239"/>
    <mergeCell ref="O197:P199"/>
    <mergeCell ref="N206:P206"/>
    <mergeCell ref="N207:P207"/>
    <mergeCell ref="N208:P208"/>
    <mergeCell ref="J216:M216"/>
    <mergeCell ref="O228:P230"/>
    <mergeCell ref="N237:P237"/>
    <mergeCell ref="F237:H237"/>
    <mergeCell ref="F238:H238"/>
    <mergeCell ref="F239:H239"/>
    <mergeCell ref="B247:E247"/>
    <mergeCell ref="J247:M247"/>
    <mergeCell ref="G259:H261"/>
    <mergeCell ref="O259:P261"/>
    <mergeCell ref="F268:H268"/>
    <mergeCell ref="N268:P268"/>
    <mergeCell ref="F269:H269"/>
    <mergeCell ref="N269:P269"/>
    <mergeCell ref="N270:P270"/>
    <mergeCell ref="B278:E278"/>
    <mergeCell ref="J278:M278"/>
    <mergeCell ref="F81:H81"/>
    <mergeCell ref="N81:P81"/>
    <mergeCell ref="F82:H82"/>
    <mergeCell ref="N82:P82"/>
    <mergeCell ref="N83:P83"/>
    <mergeCell ref="B91:E91"/>
    <mergeCell ref="J91:M91"/>
    <mergeCell ref="F83:H83"/>
    <mergeCell ref="G103:H105"/>
    <mergeCell ref="O103:P105"/>
    <mergeCell ref="F112:H112"/>
    <mergeCell ref="N112:P112"/>
    <mergeCell ref="F113:H113"/>
    <mergeCell ref="F114:H114"/>
    <mergeCell ref="N113:P113"/>
    <mergeCell ref="N114:P114"/>
    <mergeCell ref="B122:E122"/>
    <mergeCell ref="J122:M122"/>
    <mergeCell ref="G134:H136"/>
    <mergeCell ref="N134:N136"/>
    <mergeCell ref="O134:P136"/>
    <mergeCell ref="F143:H143"/>
    <mergeCell ref="N143:P143"/>
    <mergeCell ref="F144:H144"/>
    <mergeCell ref="N144:P144"/>
    <mergeCell ref="B153:E153"/>
    <mergeCell ref="J153:M153"/>
    <mergeCell ref="O165:P167"/>
    <mergeCell ref="F175:H175"/>
    <mergeCell ref="N175:P175"/>
    <mergeCell ref="F176:H176"/>
    <mergeCell ref="N176:P176"/>
    <mergeCell ref="N177:P177"/>
    <mergeCell ref="B185:E185"/>
    <mergeCell ref="J185:M185"/>
    <mergeCell ref="G165:H167"/>
    <mergeCell ref="G197:H199"/>
    <mergeCell ref="F206:H206"/>
    <mergeCell ref="F207:H207"/>
    <mergeCell ref="F208:H208"/>
    <mergeCell ref="B216:E216"/>
    <mergeCell ref="G228:H230"/>
    <mergeCell ref="F270:H270"/>
    <mergeCell ref="G290:H292"/>
    <mergeCell ref="O290:P292"/>
    <mergeCell ref="F299:H299"/>
    <mergeCell ref="N299:P299"/>
    <mergeCell ref="F300:H300"/>
    <mergeCell ref="F301:H301"/>
    <mergeCell ref="B433:E433"/>
    <mergeCell ref="J433:M433"/>
    <mergeCell ref="G445:H447"/>
    <mergeCell ref="O445:P447"/>
    <mergeCell ref="F454:H454"/>
    <mergeCell ref="N454:P454"/>
    <mergeCell ref="N455:P455"/>
    <mergeCell ref="N456:P456"/>
    <mergeCell ref="F455:H455"/>
    <mergeCell ref="F456:H456"/>
    <mergeCell ref="B464:E464"/>
    <mergeCell ref="J464:M464"/>
    <mergeCell ref="G476:H478"/>
    <mergeCell ref="O476:P478"/>
    <mergeCell ref="N485:P485"/>
    <mergeCell ref="N300:P300"/>
    <mergeCell ref="N301:P301"/>
    <mergeCell ref="B309:E309"/>
    <mergeCell ref="J309:M309"/>
    <mergeCell ref="G321:H323"/>
    <mergeCell ref="O321:P323"/>
    <mergeCell ref="N330:P330"/>
    <mergeCell ref="F330:H330"/>
    <mergeCell ref="F331:H331"/>
    <mergeCell ref="F332:H332"/>
    <mergeCell ref="B340:E340"/>
    <mergeCell ref="J340:M340"/>
    <mergeCell ref="G352:H354"/>
    <mergeCell ref="F361:H361"/>
    <mergeCell ref="N392:P392"/>
    <mergeCell ref="N393:P393"/>
    <mergeCell ref="N394:P394"/>
    <mergeCell ref="O414:P416"/>
    <mergeCell ref="N423:P423"/>
    <mergeCell ref="N424:P424"/>
    <mergeCell ref="N425:P425"/>
    <mergeCell ref="N331:P331"/>
    <mergeCell ref="N332:P332"/>
    <mergeCell ref="O352:P354"/>
    <mergeCell ref="N361:P361"/>
    <mergeCell ref="N362:P362"/>
    <mergeCell ref="N363:P363"/>
    <mergeCell ref="O383:P385"/>
    <mergeCell ref="F362:H362"/>
    <mergeCell ref="F363:H363"/>
    <mergeCell ref="B371:E371"/>
    <mergeCell ref="J371:M371"/>
    <mergeCell ref="G383:H385"/>
    <mergeCell ref="F392:H392"/>
    <mergeCell ref="F393:H393"/>
    <mergeCell ref="F394:H394"/>
    <mergeCell ref="B402:E402"/>
    <mergeCell ref="J402:M402"/>
    <mergeCell ref="G414:H416"/>
    <mergeCell ref="F423:H423"/>
    <mergeCell ref="F424:H424"/>
    <mergeCell ref="F425:H425"/>
    <mergeCell ref="F485:H485"/>
    <mergeCell ref="F486:H486"/>
    <mergeCell ref="N486:P486"/>
    <mergeCell ref="F487:H487"/>
    <mergeCell ref="N487:P487"/>
    <mergeCell ref="B495:E495"/>
    <mergeCell ref="J495:M495"/>
    <mergeCell ref="N702:P702"/>
    <mergeCell ref="N703:P703"/>
    <mergeCell ref="N609:P609"/>
    <mergeCell ref="N610:P610"/>
    <mergeCell ref="O662:P664"/>
    <mergeCell ref="N671:P671"/>
    <mergeCell ref="N672:P672"/>
    <mergeCell ref="N673:P673"/>
    <mergeCell ref="O693:P695"/>
    <mergeCell ref="G909:H911"/>
    <mergeCell ref="O909:P911"/>
    <mergeCell ref="F918:H918"/>
    <mergeCell ref="N918:P918"/>
    <mergeCell ref="F919:H919"/>
    <mergeCell ref="N919:P919"/>
    <mergeCell ref="N920:P920"/>
    <mergeCell ref="N949:P949"/>
    <mergeCell ref="N950:P950"/>
    <mergeCell ref="F920:H920"/>
    <mergeCell ref="B930:E930"/>
    <mergeCell ref="J930:M930"/>
    <mergeCell ref="G940:H942"/>
    <mergeCell ref="O940:P942"/>
    <mergeCell ref="F949:H949"/>
    <mergeCell ref="F950:H950"/>
    <mergeCell ref="F951:H951"/>
    <mergeCell ref="N951:P951"/>
    <mergeCell ref="B959:E959"/>
    <mergeCell ref="J959:M959"/>
    <mergeCell ref="G971:H973"/>
    <mergeCell ref="N971:N973"/>
    <mergeCell ref="O971:P973"/>
    <mergeCell ref="F980:H980"/>
    <mergeCell ref="N980:P980"/>
    <mergeCell ref="F981:H981"/>
    <mergeCell ref="N981:P981"/>
    <mergeCell ref="N982:P982"/>
    <mergeCell ref="B990:E990"/>
    <mergeCell ref="J990:M990"/>
    <mergeCell ref="G1002:H1004"/>
    <mergeCell ref="G1033:H1035"/>
    <mergeCell ref="B1043:D1043"/>
    <mergeCell ref="F982:H982"/>
    <mergeCell ref="N1002:N1004"/>
    <mergeCell ref="O1002:P1004"/>
    <mergeCell ref="F1011:H1011"/>
    <mergeCell ref="F1012:H1012"/>
    <mergeCell ref="F1013:H1013"/>
    <mergeCell ref="B1021:E102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2" max="2" width="20.2"/>
  </cols>
  <sheetData>
    <row r="1">
      <c r="A1" s="1000">
        <v>2319.0</v>
      </c>
      <c r="B1" s="938" t="s">
        <v>660</v>
      </c>
    </row>
    <row r="2">
      <c r="A2" s="1000">
        <v>9308.0</v>
      </c>
      <c r="B2" s="938" t="s">
        <v>660</v>
      </c>
    </row>
    <row r="3">
      <c r="A3" s="1000">
        <v>6960.0</v>
      </c>
      <c r="B3" s="938" t="s">
        <v>660</v>
      </c>
    </row>
    <row r="4">
      <c r="A4" s="1000">
        <v>5653.0</v>
      </c>
      <c r="B4" s="938" t="s">
        <v>660</v>
      </c>
    </row>
    <row r="5">
      <c r="A5" s="1000">
        <v>7048.0</v>
      </c>
      <c r="B5" s="938" t="s">
        <v>660</v>
      </c>
    </row>
    <row r="6">
      <c r="A6" s="1000">
        <v>9309.0</v>
      </c>
      <c r="B6" s="938" t="s">
        <v>660</v>
      </c>
    </row>
    <row r="7">
      <c r="A7" s="1000">
        <v>8136.0</v>
      </c>
      <c r="B7" s="938" t="s">
        <v>660</v>
      </c>
    </row>
    <row r="8">
      <c r="A8" s="1000">
        <v>5490.0</v>
      </c>
      <c r="B8" s="938" t="s">
        <v>660</v>
      </c>
    </row>
    <row r="9">
      <c r="A9" s="1000">
        <v>7607.0</v>
      </c>
      <c r="B9" s="938" t="s">
        <v>660</v>
      </c>
    </row>
    <row r="10">
      <c r="A10" s="1000">
        <v>427.0</v>
      </c>
      <c r="B10" s="940" t="s">
        <v>664</v>
      </c>
    </row>
    <row r="11">
      <c r="A11" s="1000">
        <v>7265.0</v>
      </c>
      <c r="B11" s="940" t="s">
        <v>664</v>
      </c>
    </row>
    <row r="12">
      <c r="A12" s="1000">
        <v>3819.0</v>
      </c>
      <c r="B12" s="940" t="s">
        <v>664</v>
      </c>
    </row>
    <row r="13">
      <c r="A13" s="1000">
        <v>9348.0</v>
      </c>
      <c r="B13" s="940" t="s">
        <v>664</v>
      </c>
    </row>
    <row r="14">
      <c r="A14" s="1000">
        <v>7807.0</v>
      </c>
      <c r="B14" s="940" t="s">
        <v>665</v>
      </c>
    </row>
    <row r="15">
      <c r="A15" s="1000">
        <v>8479.0</v>
      </c>
      <c r="B15" s="940" t="s">
        <v>666</v>
      </c>
    </row>
    <row r="16">
      <c r="A16" s="1000">
        <v>9617.0</v>
      </c>
      <c r="B16" s="940" t="s">
        <v>673</v>
      </c>
    </row>
    <row r="17">
      <c r="A17" s="1000">
        <v>2693.0</v>
      </c>
      <c r="B17" s="940" t="s">
        <v>674</v>
      </c>
    </row>
    <row r="18">
      <c r="A18" s="1000">
        <v>3403.0</v>
      </c>
      <c r="B18" s="940" t="s">
        <v>674</v>
      </c>
    </row>
    <row r="19">
      <c r="A19" s="1000">
        <v>9334.0</v>
      </c>
      <c r="B19" s="940" t="s">
        <v>675</v>
      </c>
    </row>
    <row r="20">
      <c r="A20" s="1000">
        <v>2890.0</v>
      </c>
      <c r="B20" s="940" t="s">
        <v>676</v>
      </c>
    </row>
    <row r="21">
      <c r="A21" s="1000">
        <v>2316.0</v>
      </c>
      <c r="B21" s="940" t="s">
        <v>676</v>
      </c>
    </row>
    <row r="22">
      <c r="A22" s="1000">
        <v>1002.0</v>
      </c>
      <c r="B22" s="940" t="s">
        <v>678</v>
      </c>
    </row>
    <row r="23">
      <c r="A23" s="1000">
        <v>515.0</v>
      </c>
      <c r="B23" s="940" t="s">
        <v>679</v>
      </c>
    </row>
    <row r="24">
      <c r="A24" s="1000">
        <v>514.0</v>
      </c>
      <c r="B24" s="940" t="s">
        <v>679</v>
      </c>
    </row>
    <row r="25">
      <c r="A25" s="1000">
        <v>2932.0</v>
      </c>
      <c r="B25" s="940" t="s">
        <v>680</v>
      </c>
    </row>
    <row r="26">
      <c r="A26" s="1000">
        <v>2774.0</v>
      </c>
      <c r="B26" s="940" t="s">
        <v>680</v>
      </c>
    </row>
    <row r="27">
      <c r="A27" s="1000">
        <v>659.0</v>
      </c>
      <c r="B27" s="940" t="s">
        <v>680</v>
      </c>
    </row>
    <row r="28">
      <c r="A28" s="1000">
        <v>3301.0</v>
      </c>
      <c r="B28" s="940" t="s">
        <v>682</v>
      </c>
    </row>
    <row r="29">
      <c r="A29" s="1000">
        <v>913.0</v>
      </c>
      <c r="B29" s="940" t="s">
        <v>683</v>
      </c>
    </row>
    <row r="30">
      <c r="A30" s="1000">
        <v>2516.0</v>
      </c>
      <c r="B30" s="940" t="s">
        <v>684</v>
      </c>
    </row>
    <row r="31">
      <c r="A31" s="1000">
        <v>997.0</v>
      </c>
      <c r="B31" s="940" t="s">
        <v>684</v>
      </c>
    </row>
    <row r="32">
      <c r="A32" s="1000">
        <v>6643.0</v>
      </c>
      <c r="B32" s="940" t="s">
        <v>197</v>
      </c>
    </row>
    <row r="33">
      <c r="A33" s="1000">
        <v>8775.0</v>
      </c>
      <c r="B33" s="1001" t="e">
        <v>#N/A</v>
      </c>
    </row>
    <row r="34">
      <c r="A34" s="943">
        <v>2675.0</v>
      </c>
      <c r="B34" s="943" t="s">
        <v>869</v>
      </c>
    </row>
    <row r="35">
      <c r="A35" s="669">
        <v>6339.0</v>
      </c>
      <c r="B35" s="669" t="s">
        <v>1484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cols>
    <col customWidth="1" min="1" max="1" width="11.6"/>
    <col customWidth="1" min="2" max="2" width="26.0"/>
    <col customWidth="1" min="4" max="4" width="10.9"/>
    <col customWidth="1" min="5" max="5" width="21.8"/>
    <col customWidth="1" min="6" max="6" width="20.9"/>
    <col customWidth="1" min="10" max="10" width="18.6"/>
    <col customWidth="1" min="11" max="11" width="14.5"/>
    <col customWidth="1" min="12" max="12" width="25.1"/>
    <col customWidth="1" min="13" max="13" width="11.6"/>
    <col customWidth="1" min="17" max="17" width="22.2"/>
  </cols>
  <sheetData>
    <row r="1">
      <c r="A1" s="3" t="s">
        <v>2</v>
      </c>
      <c r="B1" s="4" t="s">
        <v>3</v>
      </c>
      <c r="C1" s="5" t="s">
        <v>4</v>
      </c>
      <c r="D1" s="4" t="s">
        <v>5</v>
      </c>
      <c r="E1" s="4" t="s">
        <v>6</v>
      </c>
      <c r="F1" s="4" t="s">
        <v>7</v>
      </c>
      <c r="G1" s="6" t="s">
        <v>8</v>
      </c>
      <c r="H1" s="7" t="s">
        <v>9</v>
      </c>
      <c r="I1" s="4" t="s">
        <v>10</v>
      </c>
      <c r="J1" s="4" t="s">
        <v>11</v>
      </c>
      <c r="K1" s="4" t="s">
        <v>12</v>
      </c>
      <c r="L1" s="199"/>
      <c r="M1" s="199"/>
      <c r="N1" s="1002" t="s">
        <v>651</v>
      </c>
      <c r="O1" s="1003"/>
      <c r="P1" s="1003"/>
      <c r="Q1" s="1003"/>
      <c r="R1" s="1003"/>
      <c r="S1" s="1003"/>
      <c r="T1" s="1003"/>
      <c r="U1" s="1003"/>
      <c r="V1" s="1003"/>
      <c r="W1" s="1003"/>
      <c r="X1" s="1004"/>
      <c r="Y1" s="145"/>
    </row>
    <row r="2">
      <c r="A2" s="10" t="s">
        <v>1437</v>
      </c>
      <c r="B2" s="10" t="s">
        <v>1438</v>
      </c>
      <c r="C2" s="11">
        <v>45990.0</v>
      </c>
      <c r="D2" s="10" t="s">
        <v>1159</v>
      </c>
      <c r="E2" s="10" t="s">
        <v>1160</v>
      </c>
      <c r="F2" s="10" t="s">
        <v>1161</v>
      </c>
      <c r="G2" s="12">
        <v>2100.0</v>
      </c>
      <c r="H2" s="13">
        <v>1012.0</v>
      </c>
      <c r="I2" s="10" t="s">
        <v>1162</v>
      </c>
      <c r="J2" s="10" t="s">
        <v>153</v>
      </c>
      <c r="K2" s="10">
        <v>3301.0</v>
      </c>
      <c r="L2" s="10" t="s">
        <v>1439</v>
      </c>
      <c r="M2" s="199"/>
      <c r="N2" s="1005"/>
      <c r="O2" s="722"/>
      <c r="P2" s="722"/>
      <c r="Q2" s="722"/>
      <c r="R2" s="722"/>
      <c r="S2" s="722"/>
      <c r="T2" s="722"/>
      <c r="U2" s="722"/>
      <c r="V2" s="722"/>
      <c r="W2" s="722"/>
      <c r="X2" s="1006"/>
      <c r="Y2" s="145"/>
    </row>
    <row r="3">
      <c r="A3" s="10" t="s">
        <v>1437</v>
      </c>
      <c r="B3" s="10" t="s">
        <v>139</v>
      </c>
      <c r="C3" s="11">
        <v>45990.0</v>
      </c>
      <c r="D3" s="10">
        <v>14256.0</v>
      </c>
      <c r="E3" s="10" t="s">
        <v>1156</v>
      </c>
      <c r="F3" s="10" t="s">
        <v>1157</v>
      </c>
      <c r="G3" s="12">
        <v>700.0</v>
      </c>
      <c r="H3" s="13">
        <v>680.0</v>
      </c>
      <c r="I3" s="10" t="s">
        <v>1158</v>
      </c>
      <c r="J3" s="10" t="s">
        <v>103</v>
      </c>
      <c r="K3" s="10">
        <v>2675.0</v>
      </c>
      <c r="L3" s="10" t="s">
        <v>1440</v>
      </c>
      <c r="M3" s="199"/>
      <c r="N3" s="1007" t="s">
        <v>12</v>
      </c>
      <c r="O3" s="128" t="s">
        <v>652</v>
      </c>
      <c r="P3" s="128" t="s">
        <v>653</v>
      </c>
      <c r="Q3" s="128" t="s">
        <v>654</v>
      </c>
      <c r="R3" s="128" t="s">
        <v>655</v>
      </c>
      <c r="S3" s="128" t="s">
        <v>8</v>
      </c>
      <c r="T3" s="128" t="s">
        <v>656</v>
      </c>
      <c r="U3" s="128" t="s">
        <v>591</v>
      </c>
      <c r="V3" s="128" t="s">
        <v>657</v>
      </c>
      <c r="W3" s="128" t="s">
        <v>658</v>
      </c>
      <c r="X3" s="1008" t="s">
        <v>659</v>
      </c>
      <c r="Y3" s="128"/>
    </row>
    <row r="4">
      <c r="A4" s="10" t="s">
        <v>1437</v>
      </c>
      <c r="B4" s="10" t="s">
        <v>1441</v>
      </c>
      <c r="C4" s="11">
        <v>45990.0</v>
      </c>
      <c r="D4" s="10">
        <v>12639.0</v>
      </c>
      <c r="E4" s="10" t="s">
        <v>1153</v>
      </c>
      <c r="F4" s="10" t="s">
        <v>1154</v>
      </c>
      <c r="G4" s="12">
        <v>3000.0</v>
      </c>
      <c r="H4" s="13">
        <v>1872.33</v>
      </c>
      <c r="I4" s="10" t="s">
        <v>1155</v>
      </c>
      <c r="J4" s="10" t="s">
        <v>103</v>
      </c>
      <c r="K4" s="10">
        <v>2675.0</v>
      </c>
      <c r="L4" s="10" t="s">
        <v>1439</v>
      </c>
      <c r="M4" s="199"/>
      <c r="N4" s="1009">
        <v>1.0</v>
      </c>
      <c r="O4" s="145">
        <v>2319.0</v>
      </c>
      <c r="P4" s="126"/>
      <c r="Q4" s="145"/>
      <c r="R4" s="126"/>
      <c r="S4" s="126"/>
      <c r="T4" s="126"/>
      <c r="U4" s="129"/>
      <c r="V4" s="126"/>
      <c r="W4" s="145"/>
      <c r="X4" s="1010"/>
      <c r="Y4" s="145"/>
    </row>
    <row r="5">
      <c r="A5" s="10" t="s">
        <v>1437</v>
      </c>
      <c r="B5" s="10" t="s">
        <v>1442</v>
      </c>
      <c r="C5" s="11">
        <v>45989.0</v>
      </c>
      <c r="D5" s="10">
        <v>396969.0</v>
      </c>
      <c r="E5" s="10" t="s">
        <v>1150</v>
      </c>
      <c r="F5" s="10" t="s">
        <v>1151</v>
      </c>
      <c r="G5" s="12">
        <v>870.0</v>
      </c>
      <c r="H5" s="13">
        <v>397.0</v>
      </c>
      <c r="I5" s="10" t="s">
        <v>1152</v>
      </c>
      <c r="J5" s="10" t="s">
        <v>153</v>
      </c>
      <c r="K5" s="10">
        <v>3301.0</v>
      </c>
      <c r="L5" s="10" t="s">
        <v>1443</v>
      </c>
      <c r="M5" s="199"/>
      <c r="N5" s="1009">
        <v>1.0</v>
      </c>
      <c r="O5" s="145"/>
      <c r="P5" s="145"/>
      <c r="Q5" s="145" t="s">
        <v>660</v>
      </c>
      <c r="R5" s="126"/>
      <c r="S5" s="145"/>
      <c r="T5" s="145"/>
      <c r="U5" s="145"/>
      <c r="V5" s="145"/>
      <c r="W5" s="145"/>
      <c r="X5" s="1010"/>
      <c r="Y5" s="145"/>
    </row>
    <row r="6">
      <c r="A6" s="10" t="s">
        <v>1437</v>
      </c>
      <c r="B6" s="10" t="s">
        <v>1444</v>
      </c>
      <c r="C6" s="11">
        <v>45989.0</v>
      </c>
      <c r="D6" s="10" t="s">
        <v>1147</v>
      </c>
      <c r="E6" s="10" t="s">
        <v>1148</v>
      </c>
      <c r="F6" s="10" t="s">
        <v>200</v>
      </c>
      <c r="G6" s="12">
        <v>6400.0</v>
      </c>
      <c r="H6" s="13">
        <v>2663.0</v>
      </c>
      <c r="I6" s="10" t="s">
        <v>1149</v>
      </c>
      <c r="J6" s="10" t="s">
        <v>37</v>
      </c>
      <c r="K6" s="10">
        <v>659.0</v>
      </c>
      <c r="L6" s="10" t="s">
        <v>1440</v>
      </c>
      <c r="M6" s="199"/>
      <c r="N6" s="1009">
        <v>2.0</v>
      </c>
      <c r="O6" s="145">
        <v>9308.0</v>
      </c>
      <c r="P6" s="145"/>
      <c r="Q6" s="145"/>
      <c r="R6" s="145"/>
      <c r="S6" s="145"/>
      <c r="T6" s="145"/>
      <c r="U6" s="145"/>
      <c r="V6" s="145"/>
      <c r="W6" s="145"/>
      <c r="X6" s="1011"/>
      <c r="Y6" s="126"/>
    </row>
    <row r="7">
      <c r="A7" s="10" t="s">
        <v>1437</v>
      </c>
      <c r="B7" s="10" t="s">
        <v>128</v>
      </c>
      <c r="C7" s="11">
        <v>45989.0</v>
      </c>
      <c r="D7" s="10">
        <v>2795724.0</v>
      </c>
      <c r="E7" s="10" t="s">
        <v>1145</v>
      </c>
      <c r="F7" s="10" t="s">
        <v>190</v>
      </c>
      <c r="G7" s="12">
        <v>2200.0</v>
      </c>
      <c r="H7" s="13">
        <v>935.0</v>
      </c>
      <c r="I7" s="10" t="s">
        <v>1146</v>
      </c>
      <c r="J7" s="10" t="s">
        <v>185</v>
      </c>
      <c r="K7" s="10">
        <v>3881.0</v>
      </c>
      <c r="L7" s="10" t="s">
        <v>1440</v>
      </c>
      <c r="M7" s="199"/>
      <c r="N7" s="1009">
        <v>2.0</v>
      </c>
      <c r="O7" s="145"/>
      <c r="P7" s="145"/>
      <c r="Q7" s="145" t="s">
        <v>660</v>
      </c>
      <c r="R7" s="145"/>
      <c r="S7" s="145"/>
      <c r="T7" s="145"/>
      <c r="U7" s="145"/>
      <c r="V7" s="145"/>
      <c r="W7" s="145"/>
      <c r="X7" s="1010"/>
      <c r="Y7" s="145"/>
    </row>
    <row r="8">
      <c r="A8" s="10" t="s">
        <v>1437</v>
      </c>
      <c r="B8" s="10" t="s">
        <v>186</v>
      </c>
      <c r="C8" s="11">
        <v>45989.0</v>
      </c>
      <c r="D8" s="10">
        <v>5.35457817E8</v>
      </c>
      <c r="E8" s="10" t="s">
        <v>1141</v>
      </c>
      <c r="F8" s="10" t="s">
        <v>1142</v>
      </c>
      <c r="G8" s="12">
        <v>2350.0</v>
      </c>
      <c r="H8" s="13">
        <v>1254.0</v>
      </c>
      <c r="I8" s="10" t="s">
        <v>1143</v>
      </c>
      <c r="J8" s="10" t="s">
        <v>1144</v>
      </c>
      <c r="K8" s="10">
        <v>2774.0</v>
      </c>
      <c r="L8" s="10" t="s">
        <v>1440</v>
      </c>
      <c r="M8" s="199"/>
      <c r="N8" s="1009">
        <v>3.0</v>
      </c>
      <c r="O8" s="145">
        <v>6960.0</v>
      </c>
      <c r="P8" s="126"/>
      <c r="Q8" s="145" t="str">
        <f>J47</f>
        <v>ROUDELINE ZEPHIRIN</v>
      </c>
      <c r="R8" s="126"/>
      <c r="S8" s="126"/>
      <c r="T8" s="126"/>
      <c r="U8" s="129"/>
      <c r="V8" s="126"/>
      <c r="W8" s="145"/>
      <c r="X8" s="1011"/>
      <c r="Y8" s="126"/>
    </row>
    <row r="9">
      <c r="A9" s="10" t="s">
        <v>1437</v>
      </c>
      <c r="B9" s="10" t="s">
        <v>54</v>
      </c>
      <c r="C9" s="11">
        <v>45986.0</v>
      </c>
      <c r="D9" s="10" t="s">
        <v>1137</v>
      </c>
      <c r="E9" s="10" t="s">
        <v>1132</v>
      </c>
      <c r="F9" s="10" t="s">
        <v>1138</v>
      </c>
      <c r="G9" s="12">
        <v>1425.0</v>
      </c>
      <c r="H9" s="13">
        <v>0.0</v>
      </c>
      <c r="I9" s="10" t="s">
        <v>1140</v>
      </c>
      <c r="J9" s="10" t="s">
        <v>175</v>
      </c>
      <c r="K9" s="10">
        <v>3819.0</v>
      </c>
      <c r="L9" s="10" t="s">
        <v>1440</v>
      </c>
      <c r="M9" s="199"/>
      <c r="N9" s="1009">
        <v>3.0</v>
      </c>
      <c r="O9" s="145"/>
      <c r="P9" s="126"/>
      <c r="Q9" s="145"/>
      <c r="R9" s="126"/>
      <c r="S9" s="145"/>
      <c r="T9" s="145"/>
      <c r="U9" s="145"/>
      <c r="V9" s="145"/>
      <c r="W9" s="145"/>
      <c r="X9" s="1010"/>
      <c r="Y9" s="145"/>
    </row>
    <row r="10">
      <c r="A10" s="10" t="s">
        <v>1437</v>
      </c>
      <c r="B10" s="10" t="s">
        <v>54</v>
      </c>
      <c r="C10" s="11">
        <v>45986.0</v>
      </c>
      <c r="D10" s="10" t="s">
        <v>1137</v>
      </c>
      <c r="E10" s="10" t="s">
        <v>1132</v>
      </c>
      <c r="F10" s="10" t="s">
        <v>1138</v>
      </c>
      <c r="G10" s="12">
        <v>0.0</v>
      </c>
      <c r="H10" s="13">
        <v>0.0</v>
      </c>
      <c r="I10" s="10" t="s">
        <v>1139</v>
      </c>
      <c r="J10" s="708"/>
      <c r="K10" s="708"/>
      <c r="L10" s="10" t="s">
        <v>1445</v>
      </c>
      <c r="M10" s="199"/>
      <c r="N10" s="1009">
        <v>3.0</v>
      </c>
      <c r="O10" s="145"/>
      <c r="P10" s="145"/>
      <c r="Q10" s="145" t="s">
        <v>660</v>
      </c>
      <c r="R10" s="126"/>
      <c r="S10" s="145"/>
      <c r="T10" s="145"/>
      <c r="U10" s="145"/>
      <c r="V10" s="145"/>
      <c r="W10" s="145"/>
      <c r="X10" s="1010"/>
      <c r="Y10" s="145"/>
    </row>
    <row r="11">
      <c r="A11" s="10" t="s">
        <v>1437</v>
      </c>
      <c r="B11" s="10" t="s">
        <v>54</v>
      </c>
      <c r="C11" s="11">
        <v>45987.0</v>
      </c>
      <c r="D11" s="10" t="s">
        <v>1135</v>
      </c>
      <c r="E11" s="10" t="s">
        <v>1132</v>
      </c>
      <c r="F11" s="10" t="s">
        <v>331</v>
      </c>
      <c r="G11" s="12">
        <v>1350.0</v>
      </c>
      <c r="H11" s="13">
        <v>0.0</v>
      </c>
      <c r="I11" s="10" t="s">
        <v>1136</v>
      </c>
      <c r="J11" s="10" t="s">
        <v>175</v>
      </c>
      <c r="K11" s="10">
        <v>3819.0</v>
      </c>
      <c r="L11" s="10" t="s">
        <v>1440</v>
      </c>
      <c r="M11" s="199"/>
      <c r="N11" s="1009">
        <v>4.0</v>
      </c>
      <c r="O11" s="145">
        <v>5653.0</v>
      </c>
      <c r="P11" s="145"/>
      <c r="Q11" s="145"/>
      <c r="R11" s="145"/>
      <c r="S11" s="145"/>
      <c r="T11" s="145"/>
      <c r="U11" s="145"/>
      <c r="V11" s="145"/>
      <c r="W11" s="145"/>
      <c r="X11" s="1010"/>
      <c r="Y11" s="145"/>
    </row>
    <row r="12">
      <c r="A12" s="10" t="s">
        <v>1437</v>
      </c>
      <c r="B12" s="10" t="s">
        <v>54</v>
      </c>
      <c r="C12" s="11">
        <v>45987.0</v>
      </c>
      <c r="D12" s="10" t="s">
        <v>1131</v>
      </c>
      <c r="E12" s="10" t="s">
        <v>1132</v>
      </c>
      <c r="F12" s="10" t="s">
        <v>1133</v>
      </c>
      <c r="G12" s="12">
        <v>1025.0</v>
      </c>
      <c r="H12" s="13">
        <v>2155.0</v>
      </c>
      <c r="I12" s="10" t="s">
        <v>1134</v>
      </c>
      <c r="J12" s="10" t="s">
        <v>175</v>
      </c>
      <c r="K12" s="10">
        <v>3819.0</v>
      </c>
      <c r="L12" s="10" t="s">
        <v>1440</v>
      </c>
      <c r="M12" s="199"/>
      <c r="N12" s="1009">
        <v>4.0</v>
      </c>
      <c r="O12" s="145"/>
      <c r="P12" s="145"/>
      <c r="Q12" s="145" t="s">
        <v>660</v>
      </c>
      <c r="R12" s="145"/>
      <c r="S12" s="145"/>
      <c r="T12" s="145"/>
      <c r="U12" s="145"/>
      <c r="V12" s="145"/>
      <c r="W12" s="145"/>
      <c r="X12" s="1010"/>
      <c r="Y12" s="145"/>
    </row>
    <row r="13">
      <c r="A13" s="10" t="s">
        <v>1437</v>
      </c>
      <c r="B13" s="10" t="s">
        <v>186</v>
      </c>
      <c r="C13" s="11">
        <v>45987.0</v>
      </c>
      <c r="D13" s="10">
        <v>5.36172052E8</v>
      </c>
      <c r="E13" s="10" t="s">
        <v>1128</v>
      </c>
      <c r="F13" s="10" t="s">
        <v>1129</v>
      </c>
      <c r="G13" s="12">
        <v>2400.0</v>
      </c>
      <c r="H13" s="13">
        <v>930.0</v>
      </c>
      <c r="I13" s="10" t="s">
        <v>1130</v>
      </c>
      <c r="J13" s="10" t="s">
        <v>1063</v>
      </c>
      <c r="K13" s="10">
        <v>913.0</v>
      </c>
      <c r="L13" s="10" t="s">
        <v>1443</v>
      </c>
      <c r="M13" s="199"/>
      <c r="N13" s="1009">
        <v>5.0</v>
      </c>
      <c r="O13" s="145">
        <v>7048.0</v>
      </c>
      <c r="P13" s="126"/>
      <c r="Q13" s="145" t="str">
        <f>J54</f>
        <v>WOODBENS JOSIL</v>
      </c>
      <c r="R13" s="126"/>
      <c r="S13" s="126"/>
      <c r="T13" s="126"/>
      <c r="U13" s="129"/>
      <c r="V13" s="126"/>
      <c r="W13" s="145"/>
      <c r="X13" s="1010"/>
      <c r="Y13" s="145"/>
    </row>
    <row r="14">
      <c r="A14" s="10" t="s">
        <v>1437</v>
      </c>
      <c r="B14" s="10" t="s">
        <v>186</v>
      </c>
      <c r="C14" s="11">
        <v>45987.0</v>
      </c>
      <c r="D14" s="10">
        <v>5.36184345E8</v>
      </c>
      <c r="E14" s="10" t="s">
        <v>1124</v>
      </c>
      <c r="F14" s="10" t="s">
        <v>1125</v>
      </c>
      <c r="G14" s="12">
        <v>800.0</v>
      </c>
      <c r="H14" s="13">
        <v>411.0</v>
      </c>
      <c r="I14" s="10" t="s">
        <v>1127</v>
      </c>
      <c r="J14" s="10" t="s">
        <v>215</v>
      </c>
      <c r="K14" s="10">
        <v>6813.0</v>
      </c>
      <c r="L14" s="10" t="s">
        <v>1440</v>
      </c>
      <c r="M14" s="199"/>
      <c r="N14" s="1009">
        <v>5.0</v>
      </c>
      <c r="O14" s="145"/>
      <c r="P14" s="145"/>
      <c r="Q14" s="145" t="s">
        <v>660</v>
      </c>
      <c r="R14" s="126"/>
      <c r="S14" s="145"/>
      <c r="T14" s="145"/>
      <c r="U14" s="145"/>
      <c r="V14" s="145"/>
      <c r="W14" s="145"/>
      <c r="X14" s="1010"/>
      <c r="Y14" s="145"/>
    </row>
    <row r="15">
      <c r="A15" s="10" t="s">
        <v>1437</v>
      </c>
      <c r="B15" s="10" t="s">
        <v>186</v>
      </c>
      <c r="C15" s="11">
        <v>45987.0</v>
      </c>
      <c r="D15" s="10">
        <v>5.36184345E8</v>
      </c>
      <c r="E15" s="10" t="s">
        <v>1124</v>
      </c>
      <c r="F15" s="10" t="s">
        <v>1125</v>
      </c>
      <c r="G15" s="12">
        <v>0.0</v>
      </c>
      <c r="H15" s="13">
        <v>0.0</v>
      </c>
      <c r="I15" s="10" t="s">
        <v>1126</v>
      </c>
      <c r="J15" s="708"/>
      <c r="K15" s="708"/>
      <c r="L15" s="10" t="s">
        <v>1445</v>
      </c>
      <c r="M15" s="199"/>
      <c r="N15" s="1009">
        <v>6.0</v>
      </c>
      <c r="O15" s="145">
        <v>9309.0</v>
      </c>
      <c r="P15" s="126"/>
      <c r="Q15" s="145"/>
      <c r="R15" s="126"/>
      <c r="S15" s="126"/>
      <c r="T15" s="126"/>
      <c r="U15" s="129"/>
      <c r="V15" s="126"/>
      <c r="W15" s="145"/>
      <c r="X15" s="1010"/>
      <c r="Y15" s="145"/>
    </row>
    <row r="16">
      <c r="A16" s="10" t="s">
        <v>1437</v>
      </c>
      <c r="B16" s="10" t="s">
        <v>20</v>
      </c>
      <c r="C16" s="11">
        <v>45987.0</v>
      </c>
      <c r="D16" s="10">
        <v>2.0714865E7</v>
      </c>
      <c r="E16" s="10" t="s">
        <v>269</v>
      </c>
      <c r="F16" s="10" t="s">
        <v>1122</v>
      </c>
      <c r="G16" s="12">
        <v>800.0</v>
      </c>
      <c r="H16" s="13">
        <v>424.0</v>
      </c>
      <c r="I16" s="10" t="s">
        <v>1123</v>
      </c>
      <c r="J16" s="10" t="s">
        <v>37</v>
      </c>
      <c r="K16" s="10">
        <v>659.0</v>
      </c>
      <c r="L16" s="10" t="s">
        <v>1443</v>
      </c>
      <c r="M16" s="199"/>
      <c r="N16" s="1009">
        <v>6.0</v>
      </c>
      <c r="O16" s="145"/>
      <c r="P16" s="145"/>
      <c r="Q16" s="145" t="s">
        <v>660</v>
      </c>
      <c r="R16" s="126"/>
      <c r="S16" s="145"/>
      <c r="T16" s="145"/>
      <c r="U16" s="145"/>
      <c r="V16" s="145"/>
      <c r="W16" s="145"/>
      <c r="X16" s="1010"/>
      <c r="Y16" s="145"/>
    </row>
    <row r="17">
      <c r="A17" s="10" t="s">
        <v>1437</v>
      </c>
      <c r="B17" s="10" t="s">
        <v>198</v>
      </c>
      <c r="C17" s="11">
        <v>45987.0</v>
      </c>
      <c r="D17" s="10">
        <v>2177290.0</v>
      </c>
      <c r="E17" s="10" t="s">
        <v>1119</v>
      </c>
      <c r="F17" s="10" t="s">
        <v>1120</v>
      </c>
      <c r="G17" s="12">
        <v>2500.0</v>
      </c>
      <c r="H17" s="13">
        <v>782.0</v>
      </c>
      <c r="I17" s="10" t="s">
        <v>1121</v>
      </c>
      <c r="J17" s="10" t="s">
        <v>197</v>
      </c>
      <c r="K17" s="10">
        <v>6643.0</v>
      </c>
      <c r="L17" s="10" t="s">
        <v>1443</v>
      </c>
      <c r="M17" s="199"/>
      <c r="N17" s="1009">
        <v>7.0</v>
      </c>
      <c r="O17" s="145">
        <v>8136.0</v>
      </c>
      <c r="P17" s="145"/>
      <c r="Q17" s="145"/>
      <c r="R17" s="145"/>
      <c r="S17" s="145"/>
      <c r="T17" s="145"/>
      <c r="U17" s="145"/>
      <c r="V17" s="145"/>
      <c r="W17" s="145"/>
      <c r="X17" s="1011"/>
      <c r="Y17" s="126"/>
    </row>
    <row r="18">
      <c r="A18" s="10" t="s">
        <v>1437</v>
      </c>
      <c r="B18" s="10" t="s">
        <v>63</v>
      </c>
      <c r="C18" s="11">
        <v>45987.0</v>
      </c>
      <c r="D18" s="10">
        <v>1243985.0</v>
      </c>
      <c r="E18" s="10" t="s">
        <v>1117</v>
      </c>
      <c r="F18" s="10" t="s">
        <v>1046</v>
      </c>
      <c r="G18" s="12">
        <v>6100.0</v>
      </c>
      <c r="H18" s="13">
        <v>2823.0</v>
      </c>
      <c r="I18" s="10" t="s">
        <v>1118</v>
      </c>
      <c r="J18" s="10" t="s">
        <v>274</v>
      </c>
      <c r="K18" s="10">
        <v>7352.0</v>
      </c>
      <c r="L18" s="10" t="s">
        <v>1440</v>
      </c>
      <c r="M18" s="199"/>
      <c r="N18" s="1009">
        <v>7.0</v>
      </c>
      <c r="O18" s="145"/>
      <c r="P18" s="145"/>
      <c r="Q18" s="145" t="s">
        <v>660</v>
      </c>
      <c r="R18" s="145"/>
      <c r="S18" s="145"/>
      <c r="T18" s="145"/>
      <c r="U18" s="145"/>
      <c r="V18" s="145"/>
      <c r="W18" s="145"/>
      <c r="X18" s="1010"/>
      <c r="Y18" s="145"/>
    </row>
    <row r="19">
      <c r="A19" s="10" t="s">
        <v>1437</v>
      </c>
      <c r="B19" s="10" t="s">
        <v>206</v>
      </c>
      <c r="C19" s="11">
        <v>45987.0</v>
      </c>
      <c r="D19" s="10" t="s">
        <v>1113</v>
      </c>
      <c r="E19" s="10" t="s">
        <v>1114</v>
      </c>
      <c r="F19" s="10" t="s">
        <v>1115</v>
      </c>
      <c r="G19" s="12">
        <v>1200.0</v>
      </c>
      <c r="H19" s="13">
        <v>429.0</v>
      </c>
      <c r="I19" s="10" t="s">
        <v>1116</v>
      </c>
      <c r="J19" s="10" t="s">
        <v>103</v>
      </c>
      <c r="K19" s="10">
        <v>2675.0</v>
      </c>
      <c r="L19" s="10" t="s">
        <v>1443</v>
      </c>
      <c r="M19" s="199"/>
      <c r="N19" s="1009">
        <v>8.0</v>
      </c>
      <c r="O19" s="145">
        <v>5490.0</v>
      </c>
      <c r="P19" s="145"/>
      <c r="Q19" s="145" t="str">
        <f>J41</f>
        <v>Marco Cayo Cayo</v>
      </c>
      <c r="R19" s="145"/>
      <c r="S19" s="145"/>
      <c r="T19" s="145"/>
      <c r="U19" s="145"/>
      <c r="V19" s="145"/>
      <c r="W19" s="145"/>
      <c r="X19" s="1010"/>
      <c r="Y19" s="145"/>
    </row>
    <row r="20">
      <c r="A20" s="10" t="s">
        <v>1437</v>
      </c>
      <c r="B20" s="10" t="s">
        <v>338</v>
      </c>
      <c r="C20" s="11">
        <v>45987.0</v>
      </c>
      <c r="D20" s="10">
        <v>1.5486212E7</v>
      </c>
      <c r="E20" s="10" t="s">
        <v>136</v>
      </c>
      <c r="F20" s="10" t="s">
        <v>1111</v>
      </c>
      <c r="G20" s="12">
        <v>5700.0</v>
      </c>
      <c r="H20" s="13">
        <v>3029.0</v>
      </c>
      <c r="I20" s="10" t="s">
        <v>1112</v>
      </c>
      <c r="J20" s="10" t="s">
        <v>320</v>
      </c>
      <c r="K20" s="10">
        <v>9348.0</v>
      </c>
      <c r="L20" s="10" t="s">
        <v>1440</v>
      </c>
      <c r="M20" s="199"/>
      <c r="N20" s="1009">
        <v>8.0</v>
      </c>
      <c r="O20" s="145"/>
      <c r="P20" s="145"/>
      <c r="Q20" s="145" t="s">
        <v>660</v>
      </c>
      <c r="R20" s="145"/>
      <c r="S20" s="145"/>
      <c r="T20" s="145"/>
      <c r="U20" s="145"/>
      <c r="V20" s="145"/>
      <c r="W20" s="145"/>
      <c r="X20" s="1010"/>
      <c r="Y20" s="145"/>
    </row>
    <row r="21">
      <c r="A21" s="10" t="s">
        <v>1437</v>
      </c>
      <c r="B21" s="10" t="s">
        <v>1446</v>
      </c>
      <c r="C21" s="11">
        <v>45987.0</v>
      </c>
      <c r="D21" s="10" t="s">
        <v>1107</v>
      </c>
      <c r="E21" s="10" t="s">
        <v>1108</v>
      </c>
      <c r="F21" s="10" t="s">
        <v>1109</v>
      </c>
      <c r="G21" s="12">
        <v>4100.0</v>
      </c>
      <c r="H21" s="13">
        <v>2263.0</v>
      </c>
      <c r="I21" s="10" t="s">
        <v>1110</v>
      </c>
      <c r="J21" s="10" t="s">
        <v>1002</v>
      </c>
      <c r="K21" s="10">
        <v>9334.0</v>
      </c>
      <c r="L21" s="10" t="s">
        <v>1440</v>
      </c>
      <c r="M21" s="199"/>
      <c r="N21" s="1009">
        <v>9.0</v>
      </c>
      <c r="O21" s="145">
        <v>7607.0</v>
      </c>
      <c r="P21" s="145"/>
      <c r="Q21" s="145" t="str">
        <f>J61</f>
        <v/>
      </c>
      <c r="R21" s="145"/>
      <c r="S21" s="145"/>
      <c r="T21" s="145"/>
      <c r="U21" s="145"/>
      <c r="V21" s="145"/>
      <c r="W21" s="145"/>
      <c r="X21" s="1011"/>
      <c r="Y21" s="126"/>
    </row>
    <row r="22">
      <c r="A22" s="10" t="s">
        <v>1437</v>
      </c>
      <c r="B22" s="10" t="s">
        <v>186</v>
      </c>
      <c r="C22" s="11">
        <v>45987.0</v>
      </c>
      <c r="D22" s="10">
        <v>5.34524106E8</v>
      </c>
      <c r="E22" s="10" t="s">
        <v>1104</v>
      </c>
      <c r="F22" s="22" t="s">
        <v>1105</v>
      </c>
      <c r="G22" s="12">
        <v>1440.0</v>
      </c>
      <c r="H22" s="13">
        <v>733.0</v>
      </c>
      <c r="I22" s="10" t="s">
        <v>1106</v>
      </c>
      <c r="J22" s="10" t="s">
        <v>185</v>
      </c>
      <c r="K22" s="10">
        <v>3881.0</v>
      </c>
      <c r="L22" s="10" t="s">
        <v>1443</v>
      </c>
      <c r="M22" s="199"/>
      <c r="N22" s="1009">
        <v>9.0</v>
      </c>
      <c r="O22" s="145"/>
      <c r="P22" s="145"/>
      <c r="Q22" s="145" t="s">
        <v>660</v>
      </c>
      <c r="R22" s="145"/>
      <c r="S22" s="145"/>
      <c r="T22" s="145"/>
      <c r="U22" s="145"/>
      <c r="V22" s="145"/>
      <c r="W22" s="145"/>
      <c r="X22" s="1010"/>
      <c r="Y22" s="145"/>
    </row>
    <row r="23">
      <c r="A23" s="10" t="s">
        <v>1437</v>
      </c>
      <c r="B23" s="10" t="s">
        <v>186</v>
      </c>
      <c r="C23" s="11">
        <v>45987.0</v>
      </c>
      <c r="D23" s="10">
        <v>5.36270638E8</v>
      </c>
      <c r="E23" s="10" t="s">
        <v>1101</v>
      </c>
      <c r="F23" s="10" t="s">
        <v>1102</v>
      </c>
      <c r="G23" s="12">
        <v>2800.0</v>
      </c>
      <c r="H23" s="13">
        <v>1921.0</v>
      </c>
      <c r="I23" s="10" t="s">
        <v>1103</v>
      </c>
      <c r="J23" s="10" t="s">
        <v>278</v>
      </c>
      <c r="K23" s="10">
        <v>3866.0</v>
      </c>
      <c r="L23" s="10" t="s">
        <v>1440</v>
      </c>
      <c r="M23" s="199"/>
      <c r="N23" s="1009"/>
      <c r="O23" s="145"/>
      <c r="P23" s="145"/>
      <c r="Q23" s="145"/>
      <c r="R23" s="145"/>
      <c r="S23" s="145"/>
      <c r="T23" s="145"/>
      <c r="U23" s="145"/>
      <c r="V23" s="145"/>
      <c r="W23" s="145"/>
      <c r="X23" s="1010"/>
      <c r="Y23" s="145"/>
    </row>
    <row r="24">
      <c r="A24" s="10" t="s">
        <v>1437</v>
      </c>
      <c r="B24" s="10" t="s">
        <v>1447</v>
      </c>
      <c r="C24" s="11">
        <v>45987.0</v>
      </c>
      <c r="D24" s="10">
        <v>6.5171572E7</v>
      </c>
      <c r="E24" s="10" t="s">
        <v>1098</v>
      </c>
      <c r="F24" s="10" t="s">
        <v>1099</v>
      </c>
      <c r="G24" s="12">
        <v>4700.0</v>
      </c>
      <c r="H24" s="13">
        <v>2887.0</v>
      </c>
      <c r="I24" s="10" t="s">
        <v>1100</v>
      </c>
      <c r="J24" s="10" t="s">
        <v>79</v>
      </c>
      <c r="K24" s="10">
        <v>2316.0</v>
      </c>
      <c r="L24" s="10" t="s">
        <v>1440</v>
      </c>
      <c r="M24" s="199"/>
      <c r="N24" s="1012" t="s">
        <v>662</v>
      </c>
      <c r="O24" s="145"/>
      <c r="P24" s="145"/>
      <c r="Q24" s="145"/>
      <c r="R24" s="145"/>
      <c r="S24" s="145"/>
      <c r="T24" s="145"/>
      <c r="U24" s="145"/>
      <c r="V24" s="145"/>
      <c r="W24" s="145"/>
      <c r="X24" s="1010"/>
      <c r="Y24" s="145"/>
    </row>
    <row r="25">
      <c r="A25" s="10" t="s">
        <v>1437</v>
      </c>
      <c r="B25" s="10" t="s">
        <v>186</v>
      </c>
      <c r="C25" s="11">
        <v>45987.0</v>
      </c>
      <c r="D25" s="10">
        <v>5.34465726E8</v>
      </c>
      <c r="E25" s="10" t="s">
        <v>1095</v>
      </c>
      <c r="F25" s="10" t="s">
        <v>1096</v>
      </c>
      <c r="G25" s="12">
        <v>2960.0</v>
      </c>
      <c r="H25" s="13">
        <v>1565.0</v>
      </c>
      <c r="I25" s="10" t="s">
        <v>1097</v>
      </c>
      <c r="J25" s="10" t="s">
        <v>1028</v>
      </c>
      <c r="K25" s="10">
        <v>6339.0</v>
      </c>
      <c r="L25" s="10" t="s">
        <v>1443</v>
      </c>
      <c r="M25" s="199"/>
      <c r="N25" s="1009"/>
      <c r="O25" s="145"/>
      <c r="P25" s="145"/>
      <c r="Q25" s="145"/>
      <c r="R25" s="145"/>
      <c r="S25" s="145"/>
      <c r="T25" s="145"/>
      <c r="U25" s="145"/>
      <c r="V25" s="145"/>
      <c r="W25" s="145"/>
      <c r="X25" s="1010"/>
      <c r="Y25" s="145"/>
    </row>
    <row r="26">
      <c r="A26" s="10" t="s">
        <v>1437</v>
      </c>
      <c r="B26" s="10" t="s">
        <v>186</v>
      </c>
      <c r="C26" s="11">
        <v>45987.0</v>
      </c>
      <c r="D26" s="10">
        <v>5.35945871E8</v>
      </c>
      <c r="E26" s="10" t="s">
        <v>1448</v>
      </c>
      <c r="F26" s="10" t="s">
        <v>1449</v>
      </c>
      <c r="G26" s="12">
        <v>1650.0</v>
      </c>
      <c r="H26" s="13">
        <v>747.39</v>
      </c>
      <c r="I26" s="10" t="s">
        <v>1450</v>
      </c>
      <c r="J26" s="10" t="s">
        <v>1144</v>
      </c>
      <c r="K26" s="10">
        <v>2774.0</v>
      </c>
      <c r="L26" s="10" t="s">
        <v>1451</v>
      </c>
      <c r="M26" s="199"/>
      <c r="N26" s="1007" t="s">
        <v>653</v>
      </c>
      <c r="O26" s="128" t="s">
        <v>655</v>
      </c>
      <c r="P26" s="128" t="s">
        <v>8</v>
      </c>
      <c r="Q26" s="128" t="s">
        <v>656</v>
      </c>
      <c r="R26" s="128" t="s">
        <v>591</v>
      </c>
      <c r="S26" s="128" t="s">
        <v>657</v>
      </c>
      <c r="T26" s="128" t="s">
        <v>658</v>
      </c>
      <c r="U26" s="128" t="s">
        <v>659</v>
      </c>
      <c r="V26" s="145"/>
      <c r="W26" s="145"/>
      <c r="X26" s="1010"/>
      <c r="Y26" s="145"/>
    </row>
    <row r="27">
      <c r="A27" s="10" t="s">
        <v>1437</v>
      </c>
      <c r="B27" s="10" t="s">
        <v>104</v>
      </c>
      <c r="C27" s="11">
        <v>45986.0</v>
      </c>
      <c r="D27" s="10">
        <v>5.35758159E8</v>
      </c>
      <c r="E27" s="10" t="s">
        <v>1092</v>
      </c>
      <c r="F27" s="10" t="s">
        <v>1093</v>
      </c>
      <c r="G27" s="12">
        <v>708.8</v>
      </c>
      <c r="H27" s="13">
        <v>352.0</v>
      </c>
      <c r="I27" s="10" t="s">
        <v>1094</v>
      </c>
      <c r="J27" s="10" t="s">
        <v>37</v>
      </c>
      <c r="K27" s="10">
        <v>659.0</v>
      </c>
      <c r="L27" s="10" t="s">
        <v>1452</v>
      </c>
      <c r="M27" s="199"/>
      <c r="N27" s="1013"/>
      <c r="O27" s="126"/>
      <c r="P27" s="126"/>
      <c r="Q27" s="126"/>
      <c r="R27" s="129"/>
      <c r="S27" s="126"/>
      <c r="T27" s="126"/>
      <c r="U27" s="126"/>
      <c r="V27" s="145"/>
      <c r="W27" s="145"/>
      <c r="X27" s="1010"/>
      <c r="Y27" s="145"/>
    </row>
    <row r="28">
      <c r="A28" s="10" t="s">
        <v>1437</v>
      </c>
      <c r="B28" s="10" t="s">
        <v>186</v>
      </c>
      <c r="C28" s="11">
        <v>45986.0</v>
      </c>
      <c r="D28" s="10">
        <v>5.35949541E8</v>
      </c>
      <c r="E28" s="10" t="s">
        <v>130</v>
      </c>
      <c r="F28" s="10" t="s">
        <v>1090</v>
      </c>
      <c r="G28" s="12">
        <v>1700.0</v>
      </c>
      <c r="H28" s="13">
        <v>448.0</v>
      </c>
      <c r="I28" s="10" t="s">
        <v>1091</v>
      </c>
      <c r="J28" s="10" t="s">
        <v>278</v>
      </c>
      <c r="K28" s="10">
        <v>3866.0</v>
      </c>
      <c r="L28" s="10" t="s">
        <v>1452</v>
      </c>
      <c r="M28" s="199"/>
      <c r="N28" s="1009"/>
      <c r="O28" s="145"/>
      <c r="P28" s="145"/>
      <c r="Q28" s="145"/>
      <c r="R28" s="145"/>
      <c r="S28" s="145"/>
      <c r="T28" s="145"/>
      <c r="U28" s="145"/>
      <c r="V28" s="145"/>
      <c r="W28" s="145"/>
      <c r="X28" s="1010"/>
      <c r="Y28" s="145"/>
    </row>
    <row r="29">
      <c r="A29" s="10" t="s">
        <v>1437</v>
      </c>
      <c r="B29" s="10" t="s">
        <v>236</v>
      </c>
      <c r="C29" s="11">
        <v>45986.0</v>
      </c>
      <c r="D29" s="10">
        <v>6912758.0</v>
      </c>
      <c r="E29" s="10" t="s">
        <v>1087</v>
      </c>
      <c r="F29" s="10" t="s">
        <v>1088</v>
      </c>
      <c r="G29" s="12">
        <v>3400.0</v>
      </c>
      <c r="H29" s="13">
        <v>1778.0</v>
      </c>
      <c r="I29" s="10" t="s">
        <v>1089</v>
      </c>
      <c r="J29" s="10" t="s">
        <v>19</v>
      </c>
      <c r="K29" s="10">
        <v>427.0</v>
      </c>
      <c r="L29" s="10" t="s">
        <v>1443</v>
      </c>
      <c r="M29" s="199"/>
      <c r="N29" s="1009"/>
      <c r="O29" s="145"/>
      <c r="P29" s="145"/>
      <c r="Q29" s="145"/>
      <c r="R29" s="145"/>
      <c r="S29" s="145"/>
      <c r="T29" s="145"/>
      <c r="U29" s="145"/>
      <c r="V29" s="145"/>
      <c r="W29" s="145"/>
      <c r="X29" s="1010"/>
      <c r="Y29" s="145"/>
    </row>
    <row r="30">
      <c r="A30" s="10" t="s">
        <v>1437</v>
      </c>
      <c r="B30" s="10" t="s">
        <v>1453</v>
      </c>
      <c r="C30" s="11">
        <v>45986.0</v>
      </c>
      <c r="D30" s="10">
        <v>2026142.0</v>
      </c>
      <c r="E30" s="10" t="s">
        <v>1085</v>
      </c>
      <c r="F30" s="10" t="s">
        <v>17</v>
      </c>
      <c r="G30" s="12">
        <v>750.0</v>
      </c>
      <c r="H30" s="13">
        <v>531.0</v>
      </c>
      <c r="I30" s="10" t="s">
        <v>1086</v>
      </c>
      <c r="J30" s="10" t="s">
        <v>1002</v>
      </c>
      <c r="K30" s="10">
        <v>9334.0</v>
      </c>
      <c r="L30" s="10" t="s">
        <v>1452</v>
      </c>
      <c r="M30" s="199"/>
      <c r="N30" s="1014" t="s">
        <v>663</v>
      </c>
      <c r="O30" s="1015"/>
      <c r="P30" s="1015"/>
      <c r="Q30" s="1015"/>
      <c r="R30" s="1015"/>
      <c r="S30" s="1015"/>
      <c r="T30" s="1015"/>
      <c r="U30" s="1015"/>
      <c r="V30" s="1015"/>
      <c r="W30" s="1015"/>
      <c r="X30" s="1016"/>
      <c r="Y30" s="145"/>
    </row>
    <row r="31">
      <c r="A31" s="10" t="s">
        <v>1437</v>
      </c>
      <c r="B31" s="10" t="s">
        <v>1454</v>
      </c>
      <c r="C31" s="11">
        <v>45986.0</v>
      </c>
      <c r="D31" s="10" t="s">
        <v>1081</v>
      </c>
      <c r="E31" s="10" t="s">
        <v>1082</v>
      </c>
      <c r="F31" s="10" t="s">
        <v>1083</v>
      </c>
      <c r="G31" s="12">
        <v>1650.0</v>
      </c>
      <c r="H31" s="13">
        <v>871.0</v>
      </c>
      <c r="I31" s="10" t="s">
        <v>1084</v>
      </c>
      <c r="J31" s="10" t="s">
        <v>320</v>
      </c>
      <c r="K31" s="10">
        <v>9348.0</v>
      </c>
      <c r="L31" s="10" t="s">
        <v>1452</v>
      </c>
      <c r="M31" s="199"/>
      <c r="N31" s="1017"/>
      <c r="O31" s="1015"/>
      <c r="P31" s="1015"/>
      <c r="Q31" s="1015"/>
      <c r="R31" s="1015"/>
      <c r="S31" s="1015"/>
      <c r="T31" s="1015"/>
      <c r="U31" s="1015"/>
      <c r="V31" s="1015"/>
      <c r="W31" s="1015"/>
      <c r="X31" s="1016"/>
      <c r="Y31" s="145"/>
    </row>
    <row r="32">
      <c r="A32" s="10" t="s">
        <v>1437</v>
      </c>
      <c r="B32" s="10" t="s">
        <v>1442</v>
      </c>
      <c r="C32" s="11">
        <v>45986.0</v>
      </c>
      <c r="D32" s="10">
        <v>393581.0</v>
      </c>
      <c r="E32" s="10" t="s">
        <v>1078</v>
      </c>
      <c r="F32" s="10" t="s">
        <v>1079</v>
      </c>
      <c r="G32" s="12">
        <v>2350.0</v>
      </c>
      <c r="H32" s="13">
        <v>1025.0</v>
      </c>
      <c r="I32" s="10" t="s">
        <v>1080</v>
      </c>
      <c r="J32" s="10" t="s">
        <v>287</v>
      </c>
      <c r="K32" s="10">
        <v>7807.0</v>
      </c>
      <c r="L32" s="10" t="s">
        <v>1440</v>
      </c>
      <c r="M32" s="199"/>
      <c r="N32" s="1007" t="s">
        <v>12</v>
      </c>
      <c r="O32" s="128" t="s">
        <v>652</v>
      </c>
      <c r="P32" s="128" t="s">
        <v>653</v>
      </c>
      <c r="Q32" s="128" t="s">
        <v>654</v>
      </c>
      <c r="R32" s="128" t="s">
        <v>655</v>
      </c>
      <c r="S32" s="128" t="s">
        <v>8</v>
      </c>
      <c r="T32" s="128" t="s">
        <v>656</v>
      </c>
      <c r="U32" s="128" t="s">
        <v>591</v>
      </c>
      <c r="V32" s="128" t="s">
        <v>657</v>
      </c>
      <c r="W32" s="128" t="s">
        <v>658</v>
      </c>
      <c r="X32" s="1008" t="s">
        <v>659</v>
      </c>
      <c r="Y32" s="128"/>
    </row>
    <row r="33">
      <c r="A33" s="10" t="s">
        <v>1437</v>
      </c>
      <c r="B33" s="10" t="s">
        <v>1438</v>
      </c>
      <c r="C33" s="11">
        <v>45987.0</v>
      </c>
      <c r="D33" s="10" t="s">
        <v>1074</v>
      </c>
      <c r="E33" s="10" t="s">
        <v>1075</v>
      </c>
      <c r="F33" s="10" t="s">
        <v>1076</v>
      </c>
      <c r="G33" s="12">
        <v>1900.0</v>
      </c>
      <c r="H33" s="13">
        <v>1346.0</v>
      </c>
      <c r="I33" s="10" t="s">
        <v>1077</v>
      </c>
      <c r="J33" s="10" t="s">
        <v>153</v>
      </c>
      <c r="K33" s="10">
        <v>3301.0</v>
      </c>
      <c r="L33" s="10" t="s">
        <v>1443</v>
      </c>
      <c r="M33" s="199"/>
      <c r="N33" s="1009">
        <v>10.0</v>
      </c>
      <c r="O33" s="145">
        <v>427.0</v>
      </c>
      <c r="P33" s="126"/>
      <c r="Q33" s="145" t="s">
        <v>430</v>
      </c>
      <c r="R33" s="126"/>
      <c r="S33" s="126"/>
      <c r="T33" s="126" t="str">
        <f>IFERROR(__xludf.DUMMYFUNCTION("FILTER(D967:D995,C967:C995=F5)"),"#N/A")</f>
        <v>#N/A</v>
      </c>
      <c r="U33" s="129"/>
      <c r="V33" s="126"/>
      <c r="W33" s="145"/>
      <c r="X33" s="1010"/>
      <c r="Y33" s="145"/>
    </row>
    <row r="34">
      <c r="A34" s="10" t="s">
        <v>1437</v>
      </c>
      <c r="B34" s="10" t="s">
        <v>1455</v>
      </c>
      <c r="C34" s="11">
        <v>45987.0</v>
      </c>
      <c r="D34" s="10">
        <v>1.26138229E8</v>
      </c>
      <c r="E34" s="10" t="s">
        <v>1071</v>
      </c>
      <c r="F34" s="10" t="s">
        <v>1072</v>
      </c>
      <c r="G34" s="12">
        <v>2500.0</v>
      </c>
      <c r="H34" s="13">
        <v>1361.0</v>
      </c>
      <c r="I34" s="10" t="s">
        <v>1073</v>
      </c>
      <c r="J34" s="10" t="s">
        <v>115</v>
      </c>
      <c r="K34" s="10">
        <v>2693.0</v>
      </c>
      <c r="L34" s="10" t="s">
        <v>1440</v>
      </c>
      <c r="M34" s="199"/>
      <c r="N34" s="1009">
        <v>10.0</v>
      </c>
      <c r="O34" s="145"/>
      <c r="P34" s="145"/>
      <c r="Q34" s="145" t="s">
        <v>664</v>
      </c>
      <c r="R34" s="126"/>
      <c r="S34" s="145"/>
      <c r="T34" s="145"/>
      <c r="U34" s="145"/>
      <c r="V34" s="145"/>
      <c r="W34" s="145"/>
      <c r="X34" s="1010"/>
      <c r="Y34" s="145"/>
    </row>
    <row r="35">
      <c r="A35" s="10" t="s">
        <v>1437</v>
      </c>
      <c r="B35" s="10" t="s">
        <v>99</v>
      </c>
      <c r="C35" s="11">
        <v>45986.0</v>
      </c>
      <c r="D35" s="10">
        <v>2884255.0</v>
      </c>
      <c r="E35" s="10" t="s">
        <v>1068</v>
      </c>
      <c r="F35" s="10" t="s">
        <v>1069</v>
      </c>
      <c r="G35" s="12">
        <v>2185.0</v>
      </c>
      <c r="H35" s="13">
        <v>847.0</v>
      </c>
      <c r="I35" s="10" t="s">
        <v>1070</v>
      </c>
      <c r="J35" s="10" t="s">
        <v>115</v>
      </c>
      <c r="K35" s="10">
        <v>2693.0</v>
      </c>
      <c r="L35" s="10" t="s">
        <v>1452</v>
      </c>
      <c r="M35" s="199"/>
      <c r="N35" s="1009">
        <v>11.0</v>
      </c>
      <c r="O35" s="145">
        <v>7265.0</v>
      </c>
      <c r="P35" s="145"/>
      <c r="Q35" s="145" t="s">
        <v>595</v>
      </c>
      <c r="R35" s="145"/>
      <c r="S35" s="145"/>
      <c r="T35" s="145"/>
      <c r="U35" s="145"/>
      <c r="V35" s="145"/>
      <c r="W35" s="145"/>
      <c r="X35" s="1010"/>
      <c r="Y35" s="145"/>
    </row>
    <row r="36">
      <c r="A36" s="10" t="s">
        <v>1437</v>
      </c>
      <c r="B36" s="10" t="s">
        <v>1438</v>
      </c>
      <c r="C36" s="11">
        <v>45986.0</v>
      </c>
      <c r="D36" s="10" t="s">
        <v>1064</v>
      </c>
      <c r="E36" s="10" t="s">
        <v>1065</v>
      </c>
      <c r="F36" s="10" t="s">
        <v>1066</v>
      </c>
      <c r="G36" s="12">
        <v>1600.0</v>
      </c>
      <c r="H36" s="13">
        <v>357.0</v>
      </c>
      <c r="I36" s="10" t="s">
        <v>1067</v>
      </c>
      <c r="J36" s="10" t="s">
        <v>153</v>
      </c>
      <c r="K36" s="10">
        <v>3301.0</v>
      </c>
      <c r="L36" s="10" t="s">
        <v>1452</v>
      </c>
      <c r="M36" s="199"/>
      <c r="N36" s="1009">
        <v>11.0</v>
      </c>
      <c r="O36" s="145"/>
      <c r="P36" s="145"/>
      <c r="Q36" s="145" t="s">
        <v>664</v>
      </c>
      <c r="R36" s="145"/>
      <c r="S36" s="145"/>
      <c r="T36" s="145"/>
      <c r="U36" s="145"/>
      <c r="V36" s="145"/>
      <c r="W36" s="145"/>
      <c r="X36" s="1010"/>
      <c r="Y36" s="145"/>
    </row>
    <row r="37">
      <c r="A37" s="10" t="s">
        <v>1437</v>
      </c>
      <c r="B37" s="10" t="s">
        <v>1456</v>
      </c>
      <c r="C37" s="11">
        <v>45986.0</v>
      </c>
      <c r="D37" s="10">
        <v>642799.0</v>
      </c>
      <c r="E37" s="10" t="s">
        <v>1060</v>
      </c>
      <c r="F37" s="10" t="s">
        <v>1061</v>
      </c>
      <c r="G37" s="12">
        <v>1300.0</v>
      </c>
      <c r="H37" s="13">
        <v>727.0</v>
      </c>
      <c r="I37" s="10" t="s">
        <v>1062</v>
      </c>
      <c r="J37" s="10" t="s">
        <v>1063</v>
      </c>
      <c r="K37" s="10">
        <v>913.0</v>
      </c>
      <c r="L37" s="10" t="s">
        <v>1452</v>
      </c>
      <c r="M37" s="199"/>
      <c r="N37" s="1009">
        <v>12.0</v>
      </c>
      <c r="O37" s="145">
        <v>3819.0</v>
      </c>
      <c r="P37" s="126"/>
      <c r="Q37" s="145" t="s">
        <v>594</v>
      </c>
      <c r="R37" s="126"/>
      <c r="S37" s="126"/>
      <c r="T37" s="126"/>
      <c r="U37" s="129"/>
      <c r="V37" s="126"/>
      <c r="W37" s="145"/>
      <c r="X37" s="1011"/>
      <c r="Y37" s="126"/>
    </row>
    <row r="38">
      <c r="A38" s="10" t="s">
        <v>1437</v>
      </c>
      <c r="B38" s="10" t="s">
        <v>1457</v>
      </c>
      <c r="C38" s="11">
        <v>45986.0</v>
      </c>
      <c r="D38" s="10">
        <v>120482.0</v>
      </c>
      <c r="E38" s="10" t="s">
        <v>1057</v>
      </c>
      <c r="F38" s="10" t="s">
        <v>1058</v>
      </c>
      <c r="G38" s="12">
        <v>1800.0</v>
      </c>
      <c r="H38" s="13">
        <v>434.0</v>
      </c>
      <c r="I38" s="10" t="s">
        <v>1059</v>
      </c>
      <c r="J38" s="10" t="s">
        <v>103</v>
      </c>
      <c r="K38" s="10">
        <v>2675.0</v>
      </c>
      <c r="L38" s="10" t="s">
        <v>1452</v>
      </c>
      <c r="M38" s="199"/>
      <c r="N38" s="1009">
        <v>12.0</v>
      </c>
      <c r="O38" s="145"/>
      <c r="P38" s="145"/>
      <c r="Q38" s="145" t="s">
        <v>664</v>
      </c>
      <c r="R38" s="126"/>
      <c r="S38" s="145"/>
      <c r="T38" s="145"/>
      <c r="U38" s="145"/>
      <c r="V38" s="145"/>
      <c r="W38" s="145"/>
      <c r="X38" s="1010"/>
      <c r="Y38" s="145"/>
    </row>
    <row r="39">
      <c r="A39" s="10" t="s">
        <v>1437</v>
      </c>
      <c r="B39" s="10" t="s">
        <v>198</v>
      </c>
      <c r="C39" s="11">
        <v>45986.0</v>
      </c>
      <c r="D39" s="10">
        <v>2174307.0</v>
      </c>
      <c r="E39" s="10" t="s">
        <v>1054</v>
      </c>
      <c r="F39" s="10" t="s">
        <v>1055</v>
      </c>
      <c r="G39" s="12">
        <v>1550.0</v>
      </c>
      <c r="H39" s="13">
        <v>411.0</v>
      </c>
      <c r="I39" s="10" t="s">
        <v>1056</v>
      </c>
      <c r="J39" s="10" t="s">
        <v>197</v>
      </c>
      <c r="K39" s="10">
        <v>6643.0</v>
      </c>
      <c r="L39" s="10" t="s">
        <v>1452</v>
      </c>
      <c r="M39" s="199"/>
      <c r="N39" s="1009">
        <v>13.0</v>
      </c>
      <c r="O39" s="145">
        <v>9348.0</v>
      </c>
      <c r="P39" s="126"/>
      <c r="Q39" s="145" t="s">
        <v>528</v>
      </c>
      <c r="R39" s="126"/>
      <c r="S39" s="126"/>
      <c r="T39" s="126"/>
      <c r="U39" s="129"/>
      <c r="V39" s="126"/>
      <c r="W39" s="145"/>
      <c r="X39" s="1010"/>
      <c r="Y39" s="145"/>
    </row>
    <row r="40">
      <c r="A40" s="10" t="s">
        <v>1437</v>
      </c>
      <c r="B40" s="10" t="s">
        <v>1458</v>
      </c>
      <c r="C40" s="11">
        <v>45986.0</v>
      </c>
      <c r="D40" s="10">
        <v>1257186.0</v>
      </c>
      <c r="E40" s="10" t="s">
        <v>1046</v>
      </c>
      <c r="F40" s="10" t="s">
        <v>1047</v>
      </c>
      <c r="G40" s="12">
        <v>2900.0</v>
      </c>
      <c r="H40" s="13">
        <v>1505.0</v>
      </c>
      <c r="I40" s="10" t="s">
        <v>1048</v>
      </c>
      <c r="J40" s="10" t="s">
        <v>262</v>
      </c>
      <c r="K40" s="10">
        <v>7265.0</v>
      </c>
      <c r="L40" s="10" t="s">
        <v>1443</v>
      </c>
      <c r="M40" s="199"/>
      <c r="N40" s="1009">
        <v>13.0</v>
      </c>
      <c r="O40" s="145"/>
      <c r="P40" s="145"/>
      <c r="Q40" s="145" t="s">
        <v>664</v>
      </c>
      <c r="R40" s="126"/>
      <c r="S40" s="145"/>
      <c r="T40" s="145"/>
      <c r="U40" s="145"/>
      <c r="V40" s="145"/>
      <c r="W40" s="145"/>
      <c r="X40" s="1010"/>
      <c r="Y40" s="145"/>
    </row>
    <row r="41">
      <c r="A41" s="10" t="s">
        <v>1437</v>
      </c>
      <c r="B41" s="10" t="s">
        <v>59</v>
      </c>
      <c r="C41" s="11">
        <v>45986.0</v>
      </c>
      <c r="D41" s="10">
        <v>5542555.0</v>
      </c>
      <c r="E41" s="10" t="s">
        <v>1041</v>
      </c>
      <c r="F41" s="10" t="s">
        <v>1042</v>
      </c>
      <c r="G41" s="12">
        <v>1900.0</v>
      </c>
      <c r="H41" s="13">
        <v>1185.0</v>
      </c>
      <c r="I41" s="10" t="s">
        <v>1043</v>
      </c>
      <c r="J41" s="10" t="s">
        <v>58</v>
      </c>
      <c r="K41" s="10">
        <v>997.0</v>
      </c>
      <c r="L41" s="10" t="s">
        <v>1440</v>
      </c>
      <c r="M41" s="199"/>
      <c r="N41" s="1009">
        <v>14.0</v>
      </c>
      <c r="O41" s="145">
        <v>7807.0</v>
      </c>
      <c r="P41" s="126"/>
      <c r="Q41" s="145" t="s">
        <v>552</v>
      </c>
      <c r="R41" s="126"/>
      <c r="S41" s="126"/>
      <c r="T41" s="126"/>
      <c r="U41" s="129"/>
      <c r="V41" s="126"/>
      <c r="W41" s="145"/>
      <c r="X41" s="1010"/>
      <c r="Y41" s="145"/>
    </row>
    <row r="42">
      <c r="A42" s="10" t="s">
        <v>1437</v>
      </c>
      <c r="B42" s="10" t="s">
        <v>80</v>
      </c>
      <c r="C42" s="11">
        <v>45986.0</v>
      </c>
      <c r="D42" s="10">
        <v>1540219.0</v>
      </c>
      <c r="E42" s="10" t="s">
        <v>1038</v>
      </c>
      <c r="F42" s="10" t="s">
        <v>1039</v>
      </c>
      <c r="G42" s="12">
        <v>1360.0</v>
      </c>
      <c r="H42" s="13">
        <v>809.0</v>
      </c>
      <c r="I42" s="10" t="s">
        <v>1040</v>
      </c>
      <c r="J42" s="10" t="s">
        <v>980</v>
      </c>
      <c r="K42" s="10">
        <v>6338.0</v>
      </c>
      <c r="L42" s="10" t="s">
        <v>1452</v>
      </c>
      <c r="M42" s="199"/>
      <c r="N42" s="1009">
        <v>14.0</v>
      </c>
      <c r="O42" s="145"/>
      <c r="P42" s="145"/>
      <c r="Q42" s="145" t="s">
        <v>665</v>
      </c>
      <c r="R42" s="126"/>
      <c r="S42" s="145"/>
      <c r="T42" s="145"/>
      <c r="U42" s="145"/>
      <c r="V42" s="145"/>
      <c r="W42" s="145"/>
      <c r="X42" s="1010"/>
      <c r="Y42" s="145"/>
    </row>
    <row r="43">
      <c r="A43" s="10" t="s">
        <v>1437</v>
      </c>
      <c r="B43" s="10" t="s">
        <v>1458</v>
      </c>
      <c r="C43" s="11">
        <v>45986.0</v>
      </c>
      <c r="D43" s="10">
        <v>1258418.0</v>
      </c>
      <c r="E43" s="10" t="s">
        <v>1034</v>
      </c>
      <c r="F43" s="10" t="s">
        <v>1035</v>
      </c>
      <c r="G43" s="12">
        <v>400.0</v>
      </c>
      <c r="H43" s="13">
        <v>918.06</v>
      </c>
      <c r="I43" s="10" t="s">
        <v>1036</v>
      </c>
      <c r="J43" s="10" t="s">
        <v>980</v>
      </c>
      <c r="K43" s="10">
        <v>6338.0</v>
      </c>
      <c r="L43" s="10" t="s">
        <v>1440</v>
      </c>
      <c r="M43" s="199"/>
      <c r="N43" s="1009">
        <v>15.0</v>
      </c>
      <c r="O43" s="145">
        <v>8479.0</v>
      </c>
      <c r="P43" s="145"/>
      <c r="Q43" s="145" t="s">
        <v>437</v>
      </c>
      <c r="R43" s="145"/>
      <c r="S43" s="145"/>
      <c r="T43" s="145"/>
      <c r="U43" s="145"/>
      <c r="V43" s="145"/>
      <c r="W43" s="145"/>
      <c r="X43" s="1011"/>
      <c r="Y43" s="126"/>
    </row>
    <row r="44">
      <c r="A44" s="10" t="s">
        <v>1437</v>
      </c>
      <c r="B44" s="10" t="s">
        <v>1459</v>
      </c>
      <c r="C44" s="11">
        <v>45986.0</v>
      </c>
      <c r="D44" s="10">
        <v>170800.0</v>
      </c>
      <c r="E44" s="10" t="s">
        <v>1030</v>
      </c>
      <c r="F44" s="10" t="s">
        <v>1031</v>
      </c>
      <c r="G44" s="12">
        <v>2300.0</v>
      </c>
      <c r="H44" s="13">
        <v>1079.0</v>
      </c>
      <c r="I44" s="10" t="s">
        <v>1032</v>
      </c>
      <c r="J44" s="10" t="s">
        <v>132</v>
      </c>
      <c r="K44" s="10">
        <v>2890.0</v>
      </c>
      <c r="L44" s="10" t="s">
        <v>1452</v>
      </c>
      <c r="M44" s="199"/>
      <c r="N44" s="1009">
        <v>15.0</v>
      </c>
      <c r="O44" s="145"/>
      <c r="P44" s="145"/>
      <c r="Q44" s="145" t="s">
        <v>666</v>
      </c>
      <c r="R44" s="145"/>
      <c r="S44" s="145"/>
      <c r="T44" s="145"/>
      <c r="U44" s="145"/>
      <c r="V44" s="145"/>
      <c r="W44" s="145"/>
      <c r="X44" s="1010"/>
      <c r="Y44" s="145"/>
    </row>
    <row r="45">
      <c r="A45" s="10" t="s">
        <v>1437</v>
      </c>
      <c r="B45" s="10" t="s">
        <v>186</v>
      </c>
      <c r="C45" s="11">
        <v>45986.0</v>
      </c>
      <c r="D45" s="10">
        <v>5.36013958E8</v>
      </c>
      <c r="E45" s="10" t="s">
        <v>1025</v>
      </c>
      <c r="F45" s="10" t="s">
        <v>1026</v>
      </c>
      <c r="G45" s="12">
        <v>1500.0</v>
      </c>
      <c r="H45" s="13">
        <v>902.0</v>
      </c>
      <c r="I45" s="10" t="s">
        <v>1027</v>
      </c>
      <c r="J45" s="10" t="s">
        <v>1028</v>
      </c>
      <c r="K45" s="10">
        <v>6339.0</v>
      </c>
      <c r="L45" s="10" t="s">
        <v>1452</v>
      </c>
      <c r="M45" s="199"/>
      <c r="N45" s="1009"/>
      <c r="O45" s="145"/>
      <c r="P45" s="145"/>
      <c r="Q45" s="145"/>
      <c r="R45" s="145"/>
      <c r="S45" s="145"/>
      <c r="T45" s="145"/>
      <c r="U45" s="145"/>
      <c r="V45" s="145"/>
      <c r="W45" s="145"/>
      <c r="X45" s="1010"/>
      <c r="Y45" s="145"/>
    </row>
    <row r="46">
      <c r="A46" s="10" t="s">
        <v>1437</v>
      </c>
      <c r="B46" s="10" t="s">
        <v>104</v>
      </c>
      <c r="C46" s="11">
        <v>45985.0</v>
      </c>
      <c r="D46" s="10">
        <v>5.34890703E8</v>
      </c>
      <c r="E46" s="10" t="s">
        <v>1021</v>
      </c>
      <c r="F46" s="10" t="s">
        <v>1022</v>
      </c>
      <c r="G46" s="12">
        <v>1000.0</v>
      </c>
      <c r="H46" s="13">
        <v>391.0</v>
      </c>
      <c r="I46" s="10" t="s">
        <v>1023</v>
      </c>
      <c r="J46" s="10" t="s">
        <v>274</v>
      </c>
      <c r="K46" s="10">
        <v>7352.0</v>
      </c>
      <c r="L46" s="10" t="s">
        <v>1452</v>
      </c>
      <c r="M46" s="199"/>
      <c r="N46" s="1018"/>
      <c r="O46" s="145"/>
      <c r="P46" s="145"/>
      <c r="Q46" s="145"/>
      <c r="R46" s="145"/>
      <c r="S46" s="145"/>
      <c r="T46" s="145"/>
      <c r="U46" s="145"/>
      <c r="V46" s="145"/>
      <c r="W46" s="145"/>
      <c r="X46" s="1010"/>
      <c r="Y46" s="145"/>
    </row>
    <row r="47">
      <c r="A47" s="10" t="s">
        <v>1437</v>
      </c>
      <c r="B47" s="10" t="s">
        <v>20</v>
      </c>
      <c r="C47" s="11">
        <v>45985.0</v>
      </c>
      <c r="D47" s="10">
        <v>2.0649044E7</v>
      </c>
      <c r="E47" s="10" t="s">
        <v>1018</v>
      </c>
      <c r="F47" s="10" t="s">
        <v>1460</v>
      </c>
      <c r="G47" s="12">
        <v>2300.0</v>
      </c>
      <c r="H47" s="13">
        <v>900.0</v>
      </c>
      <c r="I47" s="10" t="s">
        <v>1020</v>
      </c>
      <c r="J47" s="10" t="s">
        <v>220</v>
      </c>
      <c r="K47" s="10">
        <v>6960.0</v>
      </c>
      <c r="L47" s="10" t="s">
        <v>1452</v>
      </c>
      <c r="M47" s="199"/>
      <c r="N47" s="1007" t="s">
        <v>668</v>
      </c>
      <c r="O47" s="145"/>
      <c r="P47" s="145"/>
      <c r="Q47" s="145"/>
      <c r="R47" s="145"/>
      <c r="S47" s="145"/>
      <c r="T47" s="145"/>
      <c r="U47" s="145"/>
      <c r="V47" s="145"/>
      <c r="W47" s="145"/>
      <c r="X47" s="1010"/>
      <c r="Y47" s="145"/>
    </row>
    <row r="48">
      <c r="A48" s="10" t="s">
        <v>1437</v>
      </c>
      <c r="B48" s="10" t="s">
        <v>1461</v>
      </c>
      <c r="C48" s="11">
        <v>45985.0</v>
      </c>
      <c r="D48" s="10">
        <v>4.0115064E7</v>
      </c>
      <c r="E48" s="10" t="s">
        <v>1014</v>
      </c>
      <c r="F48" s="10" t="s">
        <v>1015</v>
      </c>
      <c r="G48" s="12">
        <v>1200.0</v>
      </c>
      <c r="H48" s="13">
        <v>598.0</v>
      </c>
      <c r="I48" s="10" t="s">
        <v>1016</v>
      </c>
      <c r="J48" s="10" t="s">
        <v>103</v>
      </c>
      <c r="K48" s="10">
        <v>2675.0</v>
      </c>
      <c r="L48" s="10" t="s">
        <v>1452</v>
      </c>
      <c r="M48" s="199"/>
      <c r="N48" s="1009"/>
      <c r="O48" s="145"/>
      <c r="P48" s="145"/>
      <c r="Q48" s="145"/>
      <c r="R48" s="145"/>
      <c r="S48" s="145"/>
      <c r="T48" s="145"/>
      <c r="U48" s="145"/>
      <c r="V48" s="145"/>
      <c r="W48" s="145"/>
      <c r="X48" s="1010"/>
      <c r="Y48" s="145"/>
    </row>
    <row r="49">
      <c r="A49" s="10" t="s">
        <v>1437</v>
      </c>
      <c r="B49" s="10" t="s">
        <v>20</v>
      </c>
      <c r="C49" s="11">
        <v>45985.0</v>
      </c>
      <c r="D49" s="10">
        <v>2.0638176E7</v>
      </c>
      <c r="E49" s="10" t="s">
        <v>1011</v>
      </c>
      <c r="F49" s="10" t="s">
        <v>1012</v>
      </c>
      <c r="G49" s="12">
        <v>1400.0</v>
      </c>
      <c r="H49" s="13">
        <v>598.0</v>
      </c>
      <c r="I49" s="10" t="s">
        <v>1013</v>
      </c>
      <c r="J49" s="10" t="s">
        <v>197</v>
      </c>
      <c r="K49" s="10">
        <v>6643.0</v>
      </c>
      <c r="L49" s="10" t="s">
        <v>1452</v>
      </c>
      <c r="M49" s="199"/>
      <c r="N49" s="1009" t="s">
        <v>669</v>
      </c>
      <c r="O49" s="145"/>
      <c r="P49" s="145"/>
      <c r="Q49" s="145"/>
      <c r="R49" s="145"/>
      <c r="S49" s="145"/>
      <c r="T49" s="145"/>
      <c r="U49" s="145"/>
      <c r="V49" s="145"/>
      <c r="W49" s="145"/>
      <c r="X49" s="1010"/>
      <c r="Y49" s="145"/>
    </row>
    <row r="50">
      <c r="A50" s="10" t="s">
        <v>1437</v>
      </c>
      <c r="B50" s="10" t="s">
        <v>104</v>
      </c>
      <c r="C50" s="11">
        <v>45985.0</v>
      </c>
      <c r="D50" s="10">
        <v>5.3548805E8</v>
      </c>
      <c r="E50" s="10" t="s">
        <v>1007</v>
      </c>
      <c r="F50" s="10" t="s">
        <v>1008</v>
      </c>
      <c r="G50" s="12">
        <v>820.0</v>
      </c>
      <c r="H50" s="13">
        <v>498.0</v>
      </c>
      <c r="I50" s="10" t="s">
        <v>1009</v>
      </c>
      <c r="J50" s="10" t="s">
        <v>153</v>
      </c>
      <c r="K50" s="10">
        <v>3301.0</v>
      </c>
      <c r="L50" s="10" t="s">
        <v>1452</v>
      </c>
      <c r="M50" s="199"/>
      <c r="N50" s="1009"/>
      <c r="O50" s="145"/>
      <c r="P50" s="145"/>
      <c r="Q50" s="145"/>
      <c r="R50" s="145"/>
      <c r="S50" s="145"/>
      <c r="T50" s="145"/>
      <c r="U50" s="145"/>
      <c r="V50" s="145"/>
      <c r="W50" s="145"/>
      <c r="X50" s="1010"/>
      <c r="Y50" s="145"/>
    </row>
    <row r="51">
      <c r="A51" s="10" t="s">
        <v>1437</v>
      </c>
      <c r="B51" s="10" t="s">
        <v>206</v>
      </c>
      <c r="C51" s="11">
        <v>45985.0</v>
      </c>
      <c r="D51" s="10" t="s">
        <v>1003</v>
      </c>
      <c r="E51" s="10" t="s">
        <v>246</v>
      </c>
      <c r="F51" s="10" t="s">
        <v>1004</v>
      </c>
      <c r="G51" s="12">
        <v>849.0</v>
      </c>
      <c r="H51" s="13">
        <v>554.0</v>
      </c>
      <c r="I51" s="10" t="s">
        <v>1005</v>
      </c>
      <c r="J51" s="10" t="s">
        <v>278</v>
      </c>
      <c r="K51" s="10">
        <v>3866.0</v>
      </c>
      <c r="L51" s="10" t="s">
        <v>1452</v>
      </c>
      <c r="M51" s="199"/>
      <c r="N51" s="1009" t="s">
        <v>670</v>
      </c>
      <c r="O51" s="145"/>
      <c r="P51" s="145"/>
      <c r="Q51" s="145"/>
      <c r="R51" s="145"/>
      <c r="S51" s="145"/>
      <c r="T51" s="145"/>
      <c r="U51" s="145"/>
      <c r="V51" s="145"/>
      <c r="W51" s="145"/>
      <c r="X51" s="1010"/>
      <c r="Y51" s="145"/>
    </row>
    <row r="52">
      <c r="A52" s="10" t="s">
        <v>1437</v>
      </c>
      <c r="B52" s="10" t="s">
        <v>1458</v>
      </c>
      <c r="C52" s="11">
        <v>45985.0</v>
      </c>
      <c r="D52" s="10">
        <v>1259248.0</v>
      </c>
      <c r="E52" s="10" t="s">
        <v>999</v>
      </c>
      <c r="F52" s="10" t="s">
        <v>1000</v>
      </c>
      <c r="G52" s="12">
        <v>2000.0</v>
      </c>
      <c r="H52" s="13">
        <v>693.0</v>
      </c>
      <c r="I52" s="10" t="s">
        <v>1001</v>
      </c>
      <c r="J52" s="10" t="s">
        <v>1002</v>
      </c>
      <c r="K52" s="10">
        <v>9334.0</v>
      </c>
      <c r="L52" s="10" t="s">
        <v>1452</v>
      </c>
      <c r="M52" s="199"/>
      <c r="N52" s="1009"/>
      <c r="O52" s="145"/>
      <c r="P52" s="145"/>
      <c r="Q52" s="145"/>
      <c r="R52" s="145"/>
      <c r="S52" s="145"/>
      <c r="T52" s="145"/>
      <c r="U52" s="145"/>
      <c r="V52" s="145"/>
      <c r="W52" s="145"/>
      <c r="X52" s="1010"/>
      <c r="Y52" s="145"/>
    </row>
    <row r="53">
      <c r="A53" s="10" t="s">
        <v>1437</v>
      </c>
      <c r="B53" s="10" t="s">
        <v>1462</v>
      </c>
      <c r="C53" s="11">
        <v>45985.0</v>
      </c>
      <c r="D53" s="10">
        <v>794771.0</v>
      </c>
      <c r="E53" s="10" t="s">
        <v>995</v>
      </c>
      <c r="F53" s="10" t="s">
        <v>996</v>
      </c>
      <c r="G53" s="12">
        <v>675.0</v>
      </c>
      <c r="H53" s="13">
        <v>571.0</v>
      </c>
      <c r="I53" s="10" t="s">
        <v>997</v>
      </c>
      <c r="J53" s="10" t="s">
        <v>287</v>
      </c>
      <c r="K53" s="10">
        <v>7807.0</v>
      </c>
      <c r="L53" s="10" t="s">
        <v>1452</v>
      </c>
      <c r="M53" s="199"/>
      <c r="N53" s="1009" t="s">
        <v>671</v>
      </c>
      <c r="O53" s="145"/>
      <c r="P53" s="145"/>
      <c r="Q53" s="145"/>
      <c r="R53" s="145"/>
      <c r="S53" s="145"/>
      <c r="T53" s="145"/>
      <c r="U53" s="145"/>
      <c r="V53" s="145"/>
      <c r="W53" s="145"/>
      <c r="X53" s="1010"/>
      <c r="Y53" s="145"/>
    </row>
    <row r="54">
      <c r="A54" s="10" t="s">
        <v>1437</v>
      </c>
      <c r="B54" s="10" t="s">
        <v>206</v>
      </c>
      <c r="C54" s="11">
        <v>45985.0</v>
      </c>
      <c r="D54" s="10" t="s">
        <v>992</v>
      </c>
      <c r="E54" s="10" t="s">
        <v>246</v>
      </c>
      <c r="F54" s="10" t="s">
        <v>993</v>
      </c>
      <c r="G54" s="12">
        <v>816.0</v>
      </c>
      <c r="H54" s="13">
        <v>562.0</v>
      </c>
      <c r="I54" s="10" t="s">
        <v>994</v>
      </c>
      <c r="J54" s="10" t="s">
        <v>320</v>
      </c>
      <c r="K54" s="10">
        <v>9348.0</v>
      </c>
      <c r="L54" s="10" t="s">
        <v>1452</v>
      </c>
      <c r="M54" s="199"/>
      <c r="N54" s="1007" t="s">
        <v>672</v>
      </c>
      <c r="O54" s="145"/>
      <c r="P54" s="145"/>
      <c r="Q54" s="145"/>
      <c r="R54" s="145"/>
      <c r="S54" s="145"/>
      <c r="T54" s="145"/>
      <c r="U54" s="145"/>
      <c r="V54" s="145"/>
      <c r="W54" s="145"/>
      <c r="X54" s="1010"/>
      <c r="Y54" s="145"/>
    </row>
    <row r="55">
      <c r="A55" s="10" t="s">
        <v>1437</v>
      </c>
      <c r="B55" s="10" t="s">
        <v>186</v>
      </c>
      <c r="C55" s="11">
        <v>45985.0</v>
      </c>
      <c r="D55" s="10">
        <v>5.35295368E8</v>
      </c>
      <c r="E55" s="10" t="s">
        <v>988</v>
      </c>
      <c r="F55" s="10" t="s">
        <v>989</v>
      </c>
      <c r="G55" s="12">
        <v>2300.0</v>
      </c>
      <c r="H55" s="13">
        <v>1153.95</v>
      </c>
      <c r="I55" s="10" t="s">
        <v>990</v>
      </c>
      <c r="J55" s="10" t="s">
        <v>185</v>
      </c>
      <c r="K55" s="10">
        <v>3881.0</v>
      </c>
      <c r="L55" s="10" t="s">
        <v>1452</v>
      </c>
      <c r="M55" s="199"/>
      <c r="N55" s="1009"/>
      <c r="O55" s="145"/>
      <c r="P55" s="145"/>
      <c r="Q55" s="145"/>
      <c r="R55" s="145"/>
      <c r="S55" s="145"/>
      <c r="T55" s="145"/>
      <c r="U55" s="145"/>
      <c r="V55" s="145"/>
      <c r="W55" s="145"/>
      <c r="X55" s="1010"/>
      <c r="Y55" s="145"/>
    </row>
    <row r="56">
      <c r="A56" s="10" t="s">
        <v>1437</v>
      </c>
      <c r="B56" s="10" t="s">
        <v>1463</v>
      </c>
      <c r="C56" s="11">
        <v>45985.0</v>
      </c>
      <c r="D56" s="10" t="s">
        <v>983</v>
      </c>
      <c r="E56" s="10" t="s">
        <v>984</v>
      </c>
      <c r="F56" s="10" t="s">
        <v>985</v>
      </c>
      <c r="G56" s="12">
        <v>2800.0</v>
      </c>
      <c r="H56" s="13">
        <v>1318.0</v>
      </c>
      <c r="I56" s="10" t="s">
        <v>986</v>
      </c>
      <c r="J56" s="10" t="s">
        <v>95</v>
      </c>
      <c r="K56" s="10">
        <v>2516.0</v>
      </c>
      <c r="L56" s="10" t="s">
        <v>1452</v>
      </c>
      <c r="M56" s="199"/>
      <c r="N56" s="1007" t="s">
        <v>12</v>
      </c>
      <c r="O56" s="128" t="s">
        <v>652</v>
      </c>
      <c r="P56" s="128" t="s">
        <v>653</v>
      </c>
      <c r="Q56" s="128" t="s">
        <v>654</v>
      </c>
      <c r="R56" s="128" t="s">
        <v>655</v>
      </c>
      <c r="S56" s="128" t="s">
        <v>8</v>
      </c>
      <c r="T56" s="128" t="s">
        <v>656</v>
      </c>
      <c r="U56" s="128" t="s">
        <v>591</v>
      </c>
      <c r="V56" s="128" t="s">
        <v>657</v>
      </c>
      <c r="W56" s="128" t="s">
        <v>658</v>
      </c>
      <c r="X56" s="1008" t="s">
        <v>659</v>
      </c>
      <c r="Y56" s="128"/>
    </row>
    <row r="57">
      <c r="A57" s="10" t="s">
        <v>1437</v>
      </c>
      <c r="B57" s="10" t="s">
        <v>1464</v>
      </c>
      <c r="C57" s="11">
        <v>45985.0</v>
      </c>
      <c r="D57" s="10">
        <v>161551.0</v>
      </c>
      <c r="E57" s="10" t="s">
        <v>977</v>
      </c>
      <c r="F57" s="10" t="s">
        <v>978</v>
      </c>
      <c r="G57" s="12">
        <v>1050.0</v>
      </c>
      <c r="H57" s="13">
        <v>659.0</v>
      </c>
      <c r="I57" s="10" t="s">
        <v>979</v>
      </c>
      <c r="J57" s="10" t="s">
        <v>980</v>
      </c>
      <c r="K57" s="10">
        <v>6338.0</v>
      </c>
      <c r="L57" s="10" t="s">
        <v>1452</v>
      </c>
      <c r="M57" s="199"/>
      <c r="N57" s="1009">
        <v>16.0</v>
      </c>
      <c r="O57" s="145">
        <v>9617.0</v>
      </c>
      <c r="P57" s="126"/>
      <c r="Q57" s="145" t="s">
        <v>392</v>
      </c>
      <c r="R57" s="126"/>
      <c r="S57" s="126"/>
      <c r="T57" s="126"/>
      <c r="U57" s="129"/>
      <c r="V57" s="126"/>
      <c r="W57" s="145"/>
      <c r="X57" s="1011"/>
      <c r="Y57" s="126"/>
    </row>
    <row r="58">
      <c r="A58" s="10" t="s">
        <v>1437</v>
      </c>
      <c r="B58" s="10" t="s">
        <v>1465</v>
      </c>
      <c r="C58" s="11">
        <v>45985.0</v>
      </c>
      <c r="D58" s="10">
        <v>1572898.0</v>
      </c>
      <c r="E58" s="10" t="s">
        <v>974</v>
      </c>
      <c r="F58" s="10" t="s">
        <v>975</v>
      </c>
      <c r="G58" s="12">
        <v>3100.0</v>
      </c>
      <c r="H58" s="13">
        <v>1528.0</v>
      </c>
      <c r="I58" s="10" t="s">
        <v>976</v>
      </c>
      <c r="J58" s="10" t="s">
        <v>249</v>
      </c>
      <c r="K58" s="10">
        <v>7048.0</v>
      </c>
      <c r="L58" s="10" t="s">
        <v>1452</v>
      </c>
      <c r="M58" s="199"/>
      <c r="N58" s="1009">
        <v>16.0</v>
      </c>
      <c r="O58" s="145"/>
      <c r="P58" s="145"/>
      <c r="Q58" s="145" t="s">
        <v>673</v>
      </c>
      <c r="R58" s="126"/>
      <c r="S58" s="145"/>
      <c r="T58" s="145"/>
      <c r="U58" s="145"/>
      <c r="V58" s="145"/>
      <c r="W58" s="145"/>
      <c r="X58" s="1010"/>
      <c r="Y58" s="145"/>
    </row>
    <row r="59">
      <c r="A59" s="10" t="s">
        <v>1437</v>
      </c>
      <c r="B59" s="10" t="s">
        <v>186</v>
      </c>
      <c r="C59" s="11">
        <v>45985.0</v>
      </c>
      <c r="D59" s="10">
        <v>5.35801219E8</v>
      </c>
      <c r="E59" s="10" t="s">
        <v>969</v>
      </c>
      <c r="F59" s="22" t="s">
        <v>970</v>
      </c>
      <c r="G59" s="12">
        <v>0.0</v>
      </c>
      <c r="H59" s="13">
        <v>0.0</v>
      </c>
      <c r="I59" s="10" t="s">
        <v>971</v>
      </c>
      <c r="J59" s="708"/>
      <c r="K59" s="708"/>
      <c r="L59" s="10" t="s">
        <v>1445</v>
      </c>
      <c r="M59" s="199"/>
      <c r="N59" s="1009">
        <v>17.0</v>
      </c>
      <c r="O59" s="145">
        <v>2693.0</v>
      </c>
      <c r="P59" s="126"/>
      <c r="Q59" s="145" t="s">
        <v>501</v>
      </c>
      <c r="R59" s="126"/>
      <c r="S59" s="126"/>
      <c r="T59" s="126"/>
      <c r="U59" s="129"/>
      <c r="V59" s="126"/>
      <c r="W59" s="145"/>
      <c r="X59" s="1011"/>
      <c r="Y59" s="126"/>
    </row>
    <row r="60">
      <c r="A60" s="10" t="s">
        <v>1437</v>
      </c>
      <c r="B60" s="10" t="s">
        <v>325</v>
      </c>
      <c r="C60" s="11">
        <v>45986.0</v>
      </c>
      <c r="D60" s="10">
        <v>9.340326E7</v>
      </c>
      <c r="E60" s="10" t="s">
        <v>965</v>
      </c>
      <c r="F60" s="10" t="s">
        <v>966</v>
      </c>
      <c r="G60" s="12">
        <v>1600.0</v>
      </c>
      <c r="H60" s="13">
        <v>2868.44</v>
      </c>
      <c r="I60" s="10" t="s">
        <v>967</v>
      </c>
      <c r="J60" s="708"/>
      <c r="K60" s="708"/>
      <c r="L60" s="10" t="s">
        <v>1466</v>
      </c>
      <c r="M60" s="199"/>
      <c r="N60" s="1009">
        <v>17.0</v>
      </c>
      <c r="O60" s="145"/>
      <c r="P60" s="145"/>
      <c r="Q60" s="145" t="s">
        <v>674</v>
      </c>
      <c r="R60" s="126"/>
      <c r="S60" s="145"/>
      <c r="T60" s="145"/>
      <c r="U60" s="145"/>
      <c r="V60" s="145"/>
      <c r="W60" s="145"/>
      <c r="X60" s="1010"/>
      <c r="Y60" s="145"/>
    </row>
    <row r="61">
      <c r="A61" s="992"/>
      <c r="B61" s="708"/>
      <c r="C61" s="948"/>
      <c r="D61" s="708"/>
      <c r="E61" s="708"/>
      <c r="F61" s="708"/>
      <c r="G61" s="6">
        <f t="shared" ref="G61:H61" si="1">SUM(G2:G60)</f>
        <v>114233.8</v>
      </c>
      <c r="H61" s="7">
        <f t="shared" si="1"/>
        <v>59691.17</v>
      </c>
      <c r="I61" s="708"/>
      <c r="J61" s="708"/>
      <c r="K61" s="708"/>
      <c r="L61" s="992"/>
      <c r="M61" s="199"/>
      <c r="N61" s="1009">
        <v>18.0</v>
      </c>
      <c r="O61" s="145">
        <v>3403.0</v>
      </c>
      <c r="P61" s="126"/>
      <c r="Q61" s="145" t="s">
        <v>621</v>
      </c>
      <c r="R61" s="126"/>
      <c r="S61" s="126"/>
      <c r="T61" s="126"/>
      <c r="U61" s="129"/>
      <c r="V61" s="126"/>
      <c r="W61" s="145"/>
      <c r="X61" s="1010"/>
      <c r="Y61" s="145"/>
    </row>
    <row r="62">
      <c r="I62" s="34"/>
      <c r="M62" s="199"/>
      <c r="N62" s="1009">
        <v>18.0</v>
      </c>
      <c r="O62" s="145"/>
      <c r="P62" s="145"/>
      <c r="Q62" s="145" t="s">
        <v>674</v>
      </c>
      <c r="R62" s="126"/>
      <c r="S62" s="145"/>
      <c r="T62" s="145"/>
      <c r="U62" s="145"/>
      <c r="V62" s="145"/>
      <c r="W62" s="145"/>
      <c r="X62" s="1010"/>
      <c r="Y62" s="145"/>
    </row>
    <row r="63">
      <c r="A63" s="14"/>
      <c r="B63" s="10"/>
      <c r="C63" s="11"/>
      <c r="D63" s="10"/>
      <c r="E63" s="10"/>
      <c r="F63" s="10"/>
      <c r="G63" s="12"/>
      <c r="H63" s="13"/>
      <c r="I63" s="10"/>
      <c r="J63" s="10"/>
      <c r="K63" s="10"/>
      <c r="L63" s="199"/>
      <c r="M63" s="199"/>
      <c r="N63" s="1009">
        <v>19.0</v>
      </c>
      <c r="O63" s="145">
        <v>9334.0</v>
      </c>
      <c r="P63" s="126"/>
      <c r="Q63" s="145" t="s">
        <v>443</v>
      </c>
      <c r="R63" s="126"/>
      <c r="S63" s="126"/>
      <c r="T63" s="126"/>
      <c r="U63" s="129"/>
      <c r="V63" s="126"/>
      <c r="W63" s="145"/>
      <c r="X63" s="1011"/>
      <c r="Y63" s="126"/>
    </row>
    <row r="64">
      <c r="A64" s="14"/>
      <c r="B64" s="10"/>
      <c r="C64" s="11"/>
      <c r="D64" s="10"/>
      <c r="E64" s="10"/>
      <c r="F64" s="10"/>
      <c r="G64" s="12"/>
      <c r="H64" s="13"/>
      <c r="I64" s="10"/>
      <c r="J64" s="10"/>
      <c r="K64" s="10"/>
      <c r="L64" s="199"/>
      <c r="M64" s="199"/>
      <c r="N64" s="1009">
        <v>19.0</v>
      </c>
      <c r="O64" s="145"/>
      <c r="P64" s="145"/>
      <c r="Q64" s="145" t="s">
        <v>675</v>
      </c>
      <c r="R64" s="126"/>
      <c r="S64" s="145"/>
      <c r="T64" s="145"/>
      <c r="U64" s="145"/>
      <c r="V64" s="145"/>
      <c r="W64" s="145"/>
      <c r="X64" s="1010"/>
      <c r="Y64" s="145"/>
    </row>
    <row r="65">
      <c r="A65" s="14"/>
      <c r="B65" s="10"/>
      <c r="C65" s="11"/>
      <c r="D65" s="10"/>
      <c r="E65" s="10"/>
      <c r="F65" s="10"/>
      <c r="G65" s="12"/>
      <c r="H65" s="13"/>
      <c r="I65" s="10"/>
      <c r="J65" s="10"/>
      <c r="K65" s="10"/>
      <c r="L65" s="199"/>
      <c r="M65" s="199"/>
      <c r="N65" s="1009">
        <v>20.0</v>
      </c>
      <c r="O65" s="145">
        <v>2890.0</v>
      </c>
      <c r="P65" s="126"/>
      <c r="Q65" s="145" t="s">
        <v>465</v>
      </c>
      <c r="R65" s="126"/>
      <c r="S65" s="126"/>
      <c r="T65" s="126"/>
      <c r="U65" s="145"/>
      <c r="V65" s="126"/>
      <c r="W65" s="145"/>
      <c r="X65" s="1011"/>
      <c r="Y65" s="126"/>
    </row>
    <row r="66">
      <c r="A66" s="14"/>
      <c r="B66" s="10"/>
      <c r="C66" s="11"/>
      <c r="D66" s="10"/>
      <c r="E66" s="10"/>
      <c r="F66" s="10"/>
      <c r="G66" s="12"/>
      <c r="H66" s="13"/>
      <c r="I66" s="10"/>
      <c r="J66" s="10"/>
      <c r="K66" s="10"/>
      <c r="L66" s="199"/>
      <c r="M66" s="199"/>
      <c r="N66" s="1009">
        <v>20.0</v>
      </c>
      <c r="O66" s="145"/>
      <c r="P66" s="145"/>
      <c r="Q66" s="145" t="s">
        <v>676</v>
      </c>
      <c r="R66" s="126"/>
      <c r="S66" s="145"/>
      <c r="T66" s="145"/>
      <c r="U66" s="145"/>
      <c r="V66" s="145"/>
      <c r="W66" s="145"/>
      <c r="X66" s="1010"/>
      <c r="Y66" s="145"/>
    </row>
    <row r="67">
      <c r="A67" s="14"/>
      <c r="B67" s="10"/>
      <c r="C67" s="11"/>
      <c r="D67" s="10"/>
      <c r="E67" s="10"/>
      <c r="F67" s="10"/>
      <c r="G67" s="12"/>
      <c r="H67" s="13"/>
      <c r="I67" s="10"/>
      <c r="J67" s="10"/>
      <c r="K67" s="10"/>
      <c r="L67" s="199"/>
      <c r="M67" s="199"/>
      <c r="N67" s="1009">
        <v>21.0</v>
      </c>
      <c r="O67" s="145">
        <v>2316.0</v>
      </c>
      <c r="P67" s="126"/>
      <c r="Q67" s="145" t="s">
        <v>615</v>
      </c>
      <c r="R67" s="126"/>
      <c r="S67" s="126"/>
      <c r="T67" s="126"/>
      <c r="U67" s="129"/>
      <c r="V67" s="126"/>
      <c r="W67" s="145"/>
      <c r="X67" s="1011"/>
      <c r="Y67" s="126"/>
    </row>
    <row r="68">
      <c r="A68" s="14"/>
      <c r="B68" s="10"/>
      <c r="C68" s="11"/>
      <c r="D68" s="10"/>
      <c r="E68" s="10"/>
      <c r="F68" s="10"/>
      <c r="G68" s="12"/>
      <c r="H68" s="13"/>
      <c r="I68" s="10"/>
      <c r="J68" s="10"/>
      <c r="K68" s="10"/>
      <c r="L68" s="199"/>
      <c r="M68" s="199"/>
      <c r="N68" s="1009">
        <v>21.0</v>
      </c>
      <c r="O68" s="145"/>
      <c r="P68" s="145"/>
      <c r="Q68" s="145" t="s">
        <v>676</v>
      </c>
      <c r="R68" s="126"/>
      <c r="S68" s="145"/>
      <c r="T68" s="145"/>
      <c r="U68" s="145"/>
      <c r="V68" s="145"/>
      <c r="W68" s="145"/>
      <c r="X68" s="1010"/>
      <c r="Y68" s="145"/>
    </row>
    <row r="69">
      <c r="A69" s="14"/>
      <c r="B69" s="10"/>
      <c r="C69" s="11"/>
      <c r="D69" s="10"/>
      <c r="E69" s="10"/>
      <c r="F69" s="10"/>
      <c r="G69" s="12"/>
      <c r="H69" s="13"/>
      <c r="I69" s="10"/>
      <c r="J69" s="10"/>
      <c r="K69" s="10"/>
      <c r="L69" s="199"/>
      <c r="M69" s="199"/>
      <c r="N69" s="1009">
        <v>22.0</v>
      </c>
      <c r="O69" s="145">
        <v>1002.0</v>
      </c>
      <c r="P69" s="145"/>
      <c r="Q69" s="145" t="s">
        <v>677</v>
      </c>
      <c r="R69" s="145"/>
      <c r="S69" s="145"/>
      <c r="T69" s="145"/>
      <c r="U69" s="145"/>
      <c r="V69" s="145"/>
      <c r="W69" s="145"/>
      <c r="X69" s="1010"/>
      <c r="Y69" s="145"/>
    </row>
    <row r="70">
      <c r="A70" s="14"/>
      <c r="B70" s="10"/>
      <c r="C70" s="11"/>
      <c r="D70" s="10"/>
      <c r="E70" s="10"/>
      <c r="F70" s="10"/>
      <c r="G70" s="12"/>
      <c r="H70" s="13"/>
      <c r="I70" s="10"/>
      <c r="J70" s="10"/>
      <c r="K70" s="10"/>
      <c r="L70" s="199"/>
      <c r="M70" s="199"/>
      <c r="N70" s="1009">
        <v>22.0</v>
      </c>
      <c r="O70" s="145"/>
      <c r="P70" s="145"/>
      <c r="Q70" s="145" t="s">
        <v>678</v>
      </c>
      <c r="R70" s="145"/>
      <c r="S70" s="145"/>
      <c r="T70" s="145"/>
      <c r="U70" s="145"/>
      <c r="V70" s="145"/>
      <c r="W70" s="145"/>
      <c r="X70" s="1010"/>
      <c r="Y70" s="145"/>
    </row>
    <row r="71">
      <c r="A71" s="14"/>
      <c r="B71" s="10"/>
      <c r="C71" s="11"/>
      <c r="D71" s="10"/>
      <c r="E71" s="10"/>
      <c r="F71" s="10"/>
      <c r="G71" s="12"/>
      <c r="H71" s="13"/>
      <c r="I71" s="10"/>
      <c r="J71" s="10"/>
      <c r="K71" s="10"/>
      <c r="L71" s="199"/>
      <c r="M71" s="199"/>
      <c r="N71" s="1009">
        <v>23.0</v>
      </c>
      <c r="O71" s="145">
        <v>515.0</v>
      </c>
      <c r="P71" s="126"/>
      <c r="Q71" s="145" t="s">
        <v>489</v>
      </c>
      <c r="R71" s="126"/>
      <c r="S71" s="126"/>
      <c r="T71" s="126"/>
      <c r="U71" s="129"/>
      <c r="V71" s="126"/>
      <c r="W71" s="126"/>
      <c r="X71" s="1011"/>
      <c r="Y71" s="126"/>
    </row>
    <row r="72">
      <c r="A72" s="14"/>
      <c r="B72" s="10"/>
      <c r="C72" s="11"/>
      <c r="D72" s="10"/>
      <c r="E72" s="10"/>
      <c r="F72" s="10"/>
      <c r="G72" s="12"/>
      <c r="H72" s="13"/>
      <c r="I72" s="10"/>
      <c r="J72" s="10"/>
      <c r="K72" s="10"/>
      <c r="L72" s="199"/>
      <c r="M72" s="199"/>
      <c r="N72" s="1009">
        <v>23.0</v>
      </c>
      <c r="O72" s="145"/>
      <c r="P72" s="145"/>
      <c r="Q72" s="145" t="s">
        <v>679</v>
      </c>
      <c r="R72" s="126"/>
      <c r="S72" s="145"/>
      <c r="T72" s="145"/>
      <c r="U72" s="145"/>
      <c r="V72" s="145"/>
      <c r="W72" s="145"/>
      <c r="X72" s="1010"/>
      <c r="Y72" s="145"/>
    </row>
    <row r="73">
      <c r="A73" s="14"/>
      <c r="B73" s="10"/>
      <c r="C73" s="11"/>
      <c r="D73" s="10"/>
      <c r="E73" s="10"/>
      <c r="F73" s="10"/>
      <c r="G73" s="12"/>
      <c r="H73" s="13"/>
      <c r="I73" s="10"/>
      <c r="J73" s="10"/>
      <c r="K73" s="10"/>
      <c r="L73" s="199"/>
      <c r="M73" s="199"/>
      <c r="N73" s="1009">
        <v>24.0</v>
      </c>
      <c r="O73" s="145">
        <v>514.0</v>
      </c>
      <c r="P73" s="126"/>
      <c r="Q73" s="145" t="s">
        <v>539</v>
      </c>
      <c r="R73" s="126"/>
      <c r="S73" s="126"/>
      <c r="T73" s="126"/>
      <c r="U73" s="129"/>
      <c r="V73" s="126"/>
      <c r="W73" s="145"/>
      <c r="X73" s="1010"/>
      <c r="Y73" s="145"/>
    </row>
    <row r="74">
      <c r="A74" s="14"/>
      <c r="B74" s="10"/>
      <c r="C74" s="11"/>
      <c r="D74" s="10"/>
      <c r="E74" s="10"/>
      <c r="F74" s="10"/>
      <c r="G74" s="12"/>
      <c r="H74" s="13"/>
      <c r="I74" s="10"/>
      <c r="J74" s="10"/>
      <c r="K74" s="10"/>
      <c r="L74" s="199"/>
      <c r="M74" s="199"/>
      <c r="N74" s="1009">
        <v>24.0</v>
      </c>
      <c r="O74" s="145"/>
      <c r="P74" s="145"/>
      <c r="Q74" s="145" t="s">
        <v>679</v>
      </c>
      <c r="R74" s="126"/>
      <c r="S74" s="145"/>
      <c r="T74" s="145"/>
      <c r="U74" s="145"/>
      <c r="V74" s="145"/>
      <c r="W74" s="145"/>
      <c r="X74" s="1010"/>
      <c r="Y74" s="145"/>
    </row>
    <row r="75">
      <c r="A75" s="14"/>
      <c r="B75" s="10"/>
      <c r="C75" s="11"/>
      <c r="D75" s="10"/>
      <c r="E75" s="10"/>
      <c r="F75" s="10"/>
      <c r="G75" s="12"/>
      <c r="H75" s="13"/>
      <c r="I75" s="10"/>
      <c r="J75" s="10"/>
      <c r="K75" s="10"/>
      <c r="L75" s="199"/>
      <c r="M75" s="199"/>
      <c r="N75" s="1009">
        <v>25.0</v>
      </c>
      <c r="O75" s="145">
        <v>2932.0</v>
      </c>
      <c r="P75" s="126"/>
      <c r="Q75" s="145" t="s">
        <v>613</v>
      </c>
      <c r="R75" s="126"/>
      <c r="S75" s="126"/>
      <c r="T75" s="126"/>
      <c r="U75" s="129"/>
      <c r="V75" s="126"/>
      <c r="W75" s="126"/>
      <c r="X75" s="1011"/>
      <c r="Y75" s="126"/>
    </row>
    <row r="76">
      <c r="A76" s="14"/>
      <c r="B76" s="10"/>
      <c r="C76" s="11"/>
      <c r="D76" s="10"/>
      <c r="E76" s="10"/>
      <c r="F76" s="10"/>
      <c r="G76" s="12"/>
      <c r="H76" s="13"/>
      <c r="I76" s="10"/>
      <c r="J76" s="10"/>
      <c r="K76" s="10"/>
      <c r="L76" s="199"/>
      <c r="M76" s="199"/>
      <c r="N76" s="1009">
        <v>25.0</v>
      </c>
      <c r="O76" s="145"/>
      <c r="P76" s="145"/>
      <c r="Q76" s="145" t="s">
        <v>680</v>
      </c>
      <c r="R76" s="126"/>
      <c r="S76" s="145"/>
      <c r="T76" s="145"/>
      <c r="U76" s="145"/>
      <c r="V76" s="145"/>
      <c r="W76" s="145"/>
      <c r="X76" s="1010"/>
      <c r="Y76" s="145"/>
    </row>
    <row r="77">
      <c r="A77" s="14"/>
      <c r="B77" s="10"/>
      <c r="C77" s="11"/>
      <c r="D77" s="10"/>
      <c r="E77" s="10"/>
      <c r="F77" s="10"/>
      <c r="G77" s="12"/>
      <c r="H77" s="13"/>
      <c r="I77" s="10"/>
      <c r="J77" s="10"/>
      <c r="K77" s="10"/>
      <c r="L77" s="199"/>
      <c r="M77" s="199"/>
      <c r="N77" s="1009">
        <v>26.0</v>
      </c>
      <c r="O77" s="145">
        <v>2774.0</v>
      </c>
      <c r="P77" s="126"/>
      <c r="Q77" s="145" t="s">
        <v>482</v>
      </c>
      <c r="R77" s="126"/>
      <c r="S77" s="126"/>
      <c r="T77" s="126"/>
      <c r="U77" s="129"/>
      <c r="V77" s="126"/>
      <c r="W77" s="145"/>
      <c r="X77" s="1011"/>
      <c r="Y77" s="126"/>
    </row>
    <row r="78">
      <c r="A78" s="14"/>
      <c r="B78" s="10"/>
      <c r="C78" s="11"/>
      <c r="D78" s="10"/>
      <c r="E78" s="10"/>
      <c r="F78" s="10"/>
      <c r="G78" s="12"/>
      <c r="H78" s="13"/>
      <c r="I78" s="10"/>
      <c r="J78" s="10"/>
      <c r="K78" s="10"/>
      <c r="L78" s="199"/>
      <c r="M78" s="199"/>
      <c r="N78" s="1009">
        <v>26.0</v>
      </c>
      <c r="O78" s="145"/>
      <c r="P78" s="145"/>
      <c r="Q78" s="145" t="s">
        <v>680</v>
      </c>
      <c r="R78" s="126"/>
      <c r="S78" s="145"/>
      <c r="T78" s="145"/>
      <c r="U78" s="145"/>
      <c r="V78" s="145"/>
      <c r="W78" s="145"/>
      <c r="X78" s="1010"/>
      <c r="Y78" s="145"/>
    </row>
    <row r="79">
      <c r="A79" s="14"/>
      <c r="B79" s="10"/>
      <c r="C79" s="11"/>
      <c r="D79" s="10"/>
      <c r="E79" s="10"/>
      <c r="F79" s="22"/>
      <c r="G79" s="12"/>
      <c r="H79" s="13"/>
      <c r="I79" s="10"/>
      <c r="J79" s="10"/>
      <c r="K79" s="708"/>
      <c r="L79" s="199"/>
      <c r="M79" s="199"/>
      <c r="N79" s="1009">
        <v>27.0</v>
      </c>
      <c r="O79" s="145">
        <v>659.0</v>
      </c>
      <c r="P79" s="126"/>
      <c r="Q79" s="145" t="s">
        <v>681</v>
      </c>
      <c r="R79" s="126"/>
      <c r="S79" s="126"/>
      <c r="T79" s="126"/>
      <c r="U79" s="129"/>
      <c r="V79" s="126"/>
      <c r="W79" s="145"/>
      <c r="X79" s="1010"/>
      <c r="Y79" s="145"/>
    </row>
    <row r="80">
      <c r="A80" s="14"/>
      <c r="B80" s="10"/>
      <c r="C80" s="11"/>
      <c r="D80" s="10"/>
      <c r="E80" s="10"/>
      <c r="F80" s="10"/>
      <c r="G80" s="12"/>
      <c r="H80" s="13"/>
      <c r="I80" s="10"/>
      <c r="J80" s="10"/>
      <c r="K80" s="708"/>
      <c r="L80" s="199"/>
      <c r="M80" s="199"/>
      <c r="N80" s="1009">
        <v>27.0</v>
      </c>
      <c r="O80" s="145"/>
      <c r="P80" s="145"/>
      <c r="Q80" s="145" t="s">
        <v>680</v>
      </c>
      <c r="R80" s="126"/>
      <c r="S80" s="145"/>
      <c r="T80" s="145"/>
      <c r="U80" s="145"/>
      <c r="V80" s="145"/>
      <c r="W80" s="145"/>
      <c r="X80" s="1010"/>
      <c r="Y80" s="145"/>
    </row>
    <row r="81">
      <c r="A81" s="14"/>
      <c r="B81" s="10"/>
      <c r="C81" s="11"/>
      <c r="D81" s="10"/>
      <c r="E81" s="10"/>
      <c r="F81" s="10"/>
      <c r="G81" s="12"/>
      <c r="H81" s="13"/>
      <c r="I81" s="10"/>
      <c r="J81" s="10"/>
      <c r="K81" s="708"/>
      <c r="L81" s="199"/>
      <c r="M81" s="199"/>
      <c r="N81" s="1009">
        <v>28.0</v>
      </c>
      <c r="O81" s="145">
        <v>3301.0</v>
      </c>
      <c r="P81" s="126"/>
      <c r="Q81" s="145" t="s">
        <v>616</v>
      </c>
      <c r="R81" s="126"/>
      <c r="S81" s="126"/>
      <c r="T81" s="126"/>
      <c r="U81" s="129"/>
      <c r="V81" s="126"/>
      <c r="W81" s="126"/>
      <c r="X81" s="1011"/>
      <c r="Y81" s="126"/>
    </row>
    <row r="82">
      <c r="A82" s="14"/>
      <c r="B82" s="1019"/>
      <c r="C82" s="1020"/>
      <c r="D82" s="18"/>
      <c r="F82" s="1019"/>
      <c r="G82" s="20"/>
      <c r="H82" s="756"/>
      <c r="I82" s="14"/>
      <c r="J82" s="14"/>
      <c r="K82" s="14"/>
      <c r="L82" s="199"/>
      <c r="M82" s="199"/>
      <c r="N82" s="1009">
        <v>28.0</v>
      </c>
      <c r="O82" s="145"/>
      <c r="P82" s="145"/>
      <c r="Q82" s="145" t="s">
        <v>682</v>
      </c>
      <c r="R82" s="126"/>
      <c r="S82" s="145"/>
      <c r="T82" s="145"/>
      <c r="U82" s="145"/>
      <c r="V82" s="145"/>
      <c r="W82" s="145"/>
      <c r="X82" s="1010"/>
      <c r="Y82" s="145"/>
    </row>
    <row r="83">
      <c r="A83" s="14"/>
      <c r="B83" s="1019"/>
      <c r="C83" s="1020"/>
      <c r="D83" s="18"/>
      <c r="F83" s="1019"/>
      <c r="G83" s="20"/>
      <c r="H83" s="756"/>
      <c r="I83" s="14"/>
      <c r="J83" s="14"/>
      <c r="K83" s="14"/>
      <c r="L83" s="199"/>
      <c r="M83" s="199"/>
      <c r="N83" s="1009">
        <v>29.0</v>
      </c>
      <c r="O83" s="145">
        <v>913.0</v>
      </c>
      <c r="P83" s="126"/>
      <c r="Q83" s="145" t="s">
        <v>630</v>
      </c>
      <c r="R83" s="126"/>
      <c r="S83" s="126"/>
      <c r="T83" s="126"/>
      <c r="U83" s="129"/>
      <c r="V83" s="126"/>
      <c r="W83" s="145"/>
      <c r="X83" s="1010"/>
      <c r="Y83" s="145"/>
    </row>
    <row r="84">
      <c r="A84" s="14"/>
      <c r="B84" s="1019"/>
      <c r="C84" s="1020"/>
      <c r="D84" s="18"/>
      <c r="F84" s="1019"/>
      <c r="G84" s="20"/>
      <c r="H84" s="756"/>
      <c r="I84" s="14"/>
      <c r="J84" s="14"/>
      <c r="K84" s="14"/>
      <c r="L84" s="199"/>
      <c r="M84" s="199"/>
      <c r="N84" s="1009">
        <v>29.0</v>
      </c>
      <c r="O84" s="145"/>
      <c r="P84" s="145"/>
      <c r="Q84" s="145" t="s">
        <v>683</v>
      </c>
      <c r="R84" s="126"/>
      <c r="S84" s="145"/>
      <c r="T84" s="145"/>
      <c r="U84" s="145"/>
      <c r="V84" s="145"/>
      <c r="W84" s="145"/>
      <c r="X84" s="1010"/>
      <c r="Y84" s="145"/>
    </row>
    <row r="85">
      <c r="A85" s="14"/>
      <c r="B85" s="1019"/>
      <c r="C85" s="1020"/>
      <c r="D85" s="18"/>
      <c r="F85" s="1019"/>
      <c r="G85" s="20"/>
      <c r="H85" s="756"/>
      <c r="I85" s="14"/>
      <c r="J85" s="14"/>
      <c r="K85" s="14"/>
      <c r="L85" s="199"/>
      <c r="M85" s="199"/>
      <c r="N85" s="1009">
        <v>30.0</v>
      </c>
      <c r="O85" s="145">
        <v>2516.0</v>
      </c>
      <c r="P85" s="126"/>
      <c r="Q85" s="145" t="s">
        <v>619</v>
      </c>
      <c r="R85" s="126"/>
      <c r="S85" s="126"/>
      <c r="T85" s="126"/>
      <c r="U85" s="129"/>
      <c r="V85" s="126"/>
      <c r="W85" s="145"/>
      <c r="X85" s="1011"/>
      <c r="Y85" s="126"/>
    </row>
    <row r="86">
      <c r="A86" s="14"/>
      <c r="B86" s="1019"/>
      <c r="C86" s="1020"/>
      <c r="D86" s="18"/>
      <c r="F86" s="1019"/>
      <c r="G86" s="20"/>
      <c r="H86" s="756"/>
      <c r="I86" s="14"/>
      <c r="J86" s="14"/>
      <c r="K86" s="14"/>
      <c r="L86" s="199"/>
      <c r="M86" s="199"/>
      <c r="N86" s="1009">
        <v>30.0</v>
      </c>
      <c r="O86" s="145"/>
      <c r="P86" s="145"/>
      <c r="Q86" s="145" t="s">
        <v>684</v>
      </c>
      <c r="R86" s="126"/>
      <c r="S86" s="145"/>
      <c r="T86" s="145"/>
      <c r="U86" s="145"/>
      <c r="V86" s="145"/>
      <c r="W86" s="145"/>
      <c r="X86" s="1010"/>
      <c r="Y86" s="145"/>
    </row>
    <row r="87">
      <c r="A87" s="1019"/>
      <c r="B87" s="1019"/>
      <c r="C87" s="1020"/>
      <c r="D87" s="1019"/>
      <c r="E87" s="1019"/>
      <c r="F87" s="1019"/>
      <c r="G87" s="1021"/>
      <c r="H87" s="756"/>
      <c r="I87" s="14"/>
      <c r="J87" s="1019"/>
      <c r="K87" s="1019"/>
      <c r="L87" s="199"/>
      <c r="M87" s="199"/>
      <c r="N87" s="1009">
        <v>31.0</v>
      </c>
      <c r="O87" s="145">
        <v>997.0</v>
      </c>
      <c r="P87" s="126"/>
      <c r="Q87" s="145" t="s">
        <v>685</v>
      </c>
      <c r="R87" s="126"/>
      <c r="S87" s="126"/>
      <c r="T87" s="126"/>
      <c r="U87" s="129"/>
      <c r="V87" s="126"/>
      <c r="W87" s="145"/>
      <c r="X87" s="1010"/>
      <c r="Y87" s="145"/>
    </row>
    <row r="88">
      <c r="A88" s="145"/>
      <c r="B88" s="145"/>
      <c r="C88" s="145"/>
      <c r="D88" s="145"/>
      <c r="E88" s="126"/>
      <c r="F88" s="145"/>
      <c r="G88" s="145"/>
      <c r="H88" s="145"/>
      <c r="I88" s="1022"/>
      <c r="J88" s="145"/>
      <c r="K88" s="145"/>
      <c r="L88" s="199"/>
      <c r="M88" s="199"/>
      <c r="N88" s="1009">
        <v>31.0</v>
      </c>
      <c r="O88" s="145"/>
      <c r="P88" s="145"/>
      <c r="Q88" s="145" t="s">
        <v>684</v>
      </c>
      <c r="R88" s="126"/>
      <c r="S88" s="145"/>
      <c r="T88" s="145"/>
      <c r="U88" s="145"/>
      <c r="V88" s="145"/>
      <c r="W88" s="145"/>
      <c r="X88" s="1010"/>
      <c r="Y88" s="145"/>
    </row>
    <row r="89">
      <c r="A89" s="145"/>
      <c r="B89" s="145"/>
      <c r="C89" s="145"/>
      <c r="D89" s="145"/>
      <c r="E89" s="145"/>
      <c r="F89" s="145"/>
      <c r="G89" s="145"/>
      <c r="H89" s="145"/>
      <c r="I89" s="1022"/>
      <c r="J89" s="145"/>
      <c r="K89" s="145"/>
      <c r="L89" s="199"/>
      <c r="M89" s="199"/>
      <c r="N89" s="1009"/>
      <c r="O89" s="145"/>
      <c r="P89" s="145"/>
      <c r="Q89" s="145"/>
      <c r="R89" s="145"/>
      <c r="S89" s="145"/>
      <c r="T89" s="145"/>
      <c r="U89" s="145"/>
      <c r="V89" s="145"/>
      <c r="W89" s="145"/>
      <c r="X89" s="1010"/>
      <c r="Y89" s="145"/>
    </row>
    <row r="90">
      <c r="A90" s="765"/>
      <c r="B90" s="145"/>
      <c r="C90" s="145"/>
      <c r="D90" s="145"/>
      <c r="E90" s="145"/>
      <c r="F90" s="145"/>
      <c r="G90" s="145"/>
      <c r="H90" s="145"/>
      <c r="I90" s="1022"/>
      <c r="J90" s="145"/>
      <c r="K90" s="145"/>
      <c r="L90" s="199"/>
      <c r="M90" s="199"/>
      <c r="N90" s="1012" t="s">
        <v>686</v>
      </c>
      <c r="O90" s="145"/>
      <c r="P90" s="145"/>
      <c r="Q90" s="145"/>
      <c r="R90" s="145"/>
      <c r="S90" s="145"/>
      <c r="T90" s="145"/>
      <c r="U90" s="145"/>
      <c r="V90" s="145"/>
      <c r="W90" s="145"/>
      <c r="X90" s="1010"/>
      <c r="Y90" s="145"/>
    </row>
    <row r="91">
      <c r="A91" s="145"/>
      <c r="B91" s="145"/>
      <c r="C91" s="145"/>
      <c r="D91" s="145"/>
      <c r="E91" s="145"/>
      <c r="F91" s="145"/>
      <c r="G91" s="145"/>
      <c r="H91" s="145"/>
      <c r="I91" s="1022"/>
      <c r="J91" s="145"/>
      <c r="K91" s="145"/>
      <c r="L91" s="199"/>
      <c r="M91" s="199"/>
      <c r="N91" s="1009"/>
      <c r="O91" s="145"/>
      <c r="P91" s="145"/>
      <c r="Q91" s="145"/>
      <c r="R91" s="145"/>
      <c r="S91" s="145"/>
      <c r="T91" s="145"/>
      <c r="U91" s="145"/>
      <c r="V91" s="145"/>
      <c r="W91" s="145"/>
      <c r="X91" s="1010"/>
      <c r="Y91" s="145"/>
    </row>
    <row r="92">
      <c r="A92" s="128"/>
      <c r="B92" s="128"/>
      <c r="C92" s="128"/>
      <c r="D92" s="128"/>
      <c r="E92" s="128"/>
      <c r="F92" s="128"/>
      <c r="G92" s="128"/>
      <c r="H92" s="128"/>
      <c r="I92" s="1022"/>
      <c r="J92" s="145"/>
      <c r="K92" s="145"/>
      <c r="L92" s="199"/>
      <c r="M92" s="199"/>
      <c r="N92" s="1007" t="s">
        <v>653</v>
      </c>
      <c r="O92" s="128" t="s">
        <v>655</v>
      </c>
      <c r="P92" s="128" t="s">
        <v>8</v>
      </c>
      <c r="Q92" s="128" t="s">
        <v>656</v>
      </c>
      <c r="R92" s="128" t="s">
        <v>591</v>
      </c>
      <c r="S92" s="128" t="s">
        <v>657</v>
      </c>
      <c r="T92" s="128" t="s">
        <v>658</v>
      </c>
      <c r="U92" s="128" t="s">
        <v>659</v>
      </c>
      <c r="V92" s="145"/>
      <c r="W92" s="145"/>
      <c r="X92" s="1010"/>
      <c r="Y92" s="145"/>
    </row>
    <row r="93">
      <c r="A93" s="126"/>
      <c r="B93" s="126"/>
      <c r="C93" s="126"/>
      <c r="D93" s="126"/>
      <c r="E93" s="129"/>
      <c r="F93" s="126"/>
      <c r="G93" s="126"/>
      <c r="H93" s="126"/>
      <c r="I93" s="1022"/>
      <c r="J93" s="145"/>
      <c r="K93" s="145"/>
      <c r="L93" s="199"/>
      <c r="M93" s="199"/>
      <c r="N93" s="1013"/>
      <c r="O93" s="126"/>
      <c r="P93" s="126"/>
      <c r="Q93" s="126"/>
      <c r="R93" s="129"/>
      <c r="S93" s="126"/>
      <c r="T93" s="126"/>
      <c r="U93" s="126"/>
      <c r="V93" s="145"/>
      <c r="W93" s="145"/>
      <c r="X93" s="1010"/>
      <c r="Y93" s="145"/>
    </row>
    <row r="94">
      <c r="A94" s="145"/>
      <c r="B94" s="145"/>
      <c r="C94" s="145"/>
      <c r="D94" s="145"/>
      <c r="E94" s="145"/>
      <c r="F94" s="145"/>
      <c r="G94" s="145"/>
      <c r="H94" s="145"/>
      <c r="I94" s="1022"/>
      <c r="J94" s="145"/>
      <c r="K94" s="145"/>
      <c r="L94" s="199"/>
      <c r="M94" s="199"/>
      <c r="N94" s="1009"/>
      <c r="O94" s="145"/>
      <c r="P94" s="145"/>
      <c r="Q94" s="145"/>
      <c r="R94" s="145"/>
      <c r="S94" s="145"/>
      <c r="T94" s="145"/>
      <c r="U94" s="145"/>
      <c r="V94" s="145"/>
      <c r="W94" s="145"/>
      <c r="X94" s="1010"/>
      <c r="Y94" s="145"/>
    </row>
    <row r="95">
      <c r="A95" s="145"/>
      <c r="B95" s="145"/>
      <c r="C95" s="145"/>
      <c r="D95" s="145"/>
      <c r="E95" s="145"/>
      <c r="F95" s="145"/>
      <c r="G95" s="145"/>
      <c r="H95" s="145"/>
      <c r="I95" s="1022"/>
      <c r="J95" s="145"/>
      <c r="K95" s="145"/>
      <c r="L95" s="199"/>
      <c r="M95" s="199"/>
      <c r="N95" s="1009"/>
      <c r="O95" s="145"/>
      <c r="P95" s="145"/>
      <c r="Q95" s="145"/>
      <c r="R95" s="145"/>
      <c r="S95" s="145"/>
      <c r="T95" s="145"/>
      <c r="U95" s="145"/>
      <c r="V95" s="145"/>
      <c r="W95" s="145"/>
      <c r="X95" s="1010"/>
      <c r="Y95" s="145"/>
    </row>
    <row r="96">
      <c r="A96" s="761"/>
      <c r="B96" s="145"/>
      <c r="C96" s="145"/>
      <c r="D96" s="145"/>
      <c r="E96" s="145"/>
      <c r="F96" s="145"/>
      <c r="G96" s="145"/>
      <c r="H96" s="145"/>
      <c r="I96" s="1022"/>
      <c r="J96" s="145"/>
      <c r="K96" s="145"/>
      <c r="L96" s="199"/>
      <c r="M96" s="199"/>
      <c r="N96" s="1023" t="s">
        <v>687</v>
      </c>
      <c r="O96" s="722"/>
      <c r="P96" s="722"/>
      <c r="Q96" s="722"/>
      <c r="R96" s="722"/>
      <c r="S96" s="722"/>
      <c r="T96" s="722"/>
      <c r="U96" s="722"/>
      <c r="V96" s="722"/>
      <c r="W96" s="722"/>
      <c r="X96" s="1006"/>
      <c r="Y96" s="145"/>
    </row>
    <row r="97">
      <c r="A97" s="145"/>
      <c r="B97" s="145"/>
      <c r="C97" s="145"/>
      <c r="D97" s="145"/>
      <c r="E97" s="145"/>
      <c r="F97" s="145"/>
      <c r="G97" s="145"/>
      <c r="H97" s="145"/>
      <c r="I97" s="1022"/>
      <c r="J97" s="145"/>
      <c r="K97" s="145"/>
      <c r="L97" s="199"/>
      <c r="M97" s="199"/>
      <c r="N97" s="1005"/>
      <c r="O97" s="722"/>
      <c r="P97" s="722"/>
      <c r="Q97" s="722"/>
      <c r="R97" s="722"/>
      <c r="S97" s="722"/>
      <c r="T97" s="722"/>
      <c r="U97" s="722"/>
      <c r="V97" s="722"/>
      <c r="W97" s="722"/>
      <c r="X97" s="1006"/>
      <c r="Y97" s="145"/>
    </row>
    <row r="98">
      <c r="A98" s="762"/>
      <c r="B98" s="145"/>
      <c r="C98" s="145"/>
      <c r="D98" s="145"/>
      <c r="E98" s="145"/>
      <c r="F98" s="145"/>
      <c r="G98" s="145"/>
      <c r="H98" s="145"/>
      <c r="I98" s="1022"/>
      <c r="J98" s="145"/>
      <c r="K98" s="145"/>
      <c r="L98" s="199"/>
      <c r="M98" s="199"/>
      <c r="N98" s="1018"/>
      <c r="O98" s="145"/>
      <c r="P98" s="145"/>
      <c r="Q98" s="145"/>
      <c r="R98" s="145"/>
      <c r="S98" s="145"/>
      <c r="T98" s="145"/>
      <c r="U98" s="145"/>
      <c r="V98" s="145"/>
      <c r="W98" s="145"/>
      <c r="X98" s="1010"/>
      <c r="Y98" s="145"/>
    </row>
    <row r="99">
      <c r="A99" s="128"/>
      <c r="B99" s="145"/>
      <c r="C99" s="145"/>
      <c r="D99" s="145"/>
      <c r="E99" s="145"/>
      <c r="F99" s="145"/>
      <c r="G99" s="145"/>
      <c r="H99" s="145"/>
      <c r="I99" s="1022"/>
      <c r="J99" s="145"/>
      <c r="K99" s="145"/>
      <c r="L99" s="199"/>
      <c r="M99" s="199"/>
      <c r="N99" s="1007" t="s">
        <v>668</v>
      </c>
      <c r="O99" s="145"/>
      <c r="P99" s="145"/>
      <c r="Q99" s="145"/>
      <c r="R99" s="145"/>
      <c r="S99" s="145"/>
      <c r="T99" s="145"/>
      <c r="U99" s="145"/>
      <c r="V99" s="145"/>
      <c r="W99" s="145"/>
      <c r="X99" s="1010"/>
      <c r="Y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022"/>
      <c r="J100" s="145"/>
      <c r="K100" s="145"/>
      <c r="L100" s="199"/>
      <c r="M100" s="199"/>
      <c r="N100" s="1009"/>
      <c r="O100" s="145"/>
      <c r="P100" s="145"/>
      <c r="Q100" s="145"/>
      <c r="R100" s="145"/>
      <c r="S100" s="145"/>
      <c r="T100" s="145"/>
      <c r="U100" s="145"/>
      <c r="V100" s="145"/>
      <c r="W100" s="145"/>
      <c r="X100" s="1010"/>
      <c r="Y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022"/>
      <c r="J101" s="145"/>
      <c r="K101" s="145"/>
      <c r="L101" s="199"/>
      <c r="M101" s="199"/>
      <c r="N101" s="1009" t="s">
        <v>689</v>
      </c>
      <c r="O101" s="145"/>
      <c r="P101" s="145"/>
      <c r="Q101" s="145"/>
      <c r="R101" s="145"/>
      <c r="S101" s="145"/>
      <c r="T101" s="145"/>
      <c r="U101" s="145"/>
      <c r="V101" s="145"/>
      <c r="W101" s="145"/>
      <c r="X101" s="1010"/>
      <c r="Y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022"/>
      <c r="J102" s="145"/>
      <c r="K102" s="145"/>
      <c r="L102" s="199"/>
      <c r="M102" s="199"/>
      <c r="N102" s="1009"/>
      <c r="O102" s="145"/>
      <c r="P102" s="145"/>
      <c r="Q102" s="145"/>
      <c r="R102" s="145"/>
      <c r="S102" s="145"/>
      <c r="T102" s="145"/>
      <c r="U102" s="145"/>
      <c r="V102" s="145"/>
      <c r="W102" s="145"/>
      <c r="X102" s="1010"/>
      <c r="Y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022"/>
      <c r="J103" s="145"/>
      <c r="K103" s="145"/>
      <c r="L103" s="199"/>
      <c r="M103" s="199"/>
      <c r="N103" s="1009" t="s">
        <v>690</v>
      </c>
      <c r="O103" s="145"/>
      <c r="P103" s="145"/>
      <c r="Q103" s="145"/>
      <c r="R103" s="145"/>
      <c r="S103" s="145"/>
      <c r="T103" s="145"/>
      <c r="U103" s="145"/>
      <c r="V103" s="145"/>
      <c r="W103" s="145"/>
      <c r="X103" s="1010"/>
      <c r="Y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022"/>
      <c r="J104" s="145"/>
      <c r="K104" s="145"/>
      <c r="L104" s="199"/>
      <c r="M104" s="199"/>
      <c r="N104" s="1009"/>
      <c r="O104" s="145"/>
      <c r="P104" s="145"/>
      <c r="Q104" s="145"/>
      <c r="R104" s="145"/>
      <c r="S104" s="145"/>
      <c r="T104" s="145"/>
      <c r="U104" s="145"/>
      <c r="V104" s="145"/>
      <c r="W104" s="145"/>
      <c r="X104" s="1010"/>
      <c r="Y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022"/>
      <c r="J105" s="145"/>
      <c r="K105" s="145"/>
      <c r="L105" s="199"/>
      <c r="M105" s="199"/>
      <c r="N105" s="1009" t="s">
        <v>691</v>
      </c>
      <c r="O105" s="145"/>
      <c r="P105" s="145"/>
      <c r="Q105" s="145"/>
      <c r="R105" s="145"/>
      <c r="S105" s="145"/>
      <c r="T105" s="145"/>
      <c r="U105" s="145"/>
      <c r="V105" s="145"/>
      <c r="W105" s="145"/>
      <c r="X105" s="1010"/>
      <c r="Y105" s="145"/>
    </row>
    <row r="106">
      <c r="A106" s="128"/>
      <c r="B106" s="145"/>
      <c r="C106" s="145"/>
      <c r="D106" s="145"/>
      <c r="E106" s="145"/>
      <c r="F106" s="145"/>
      <c r="G106" s="145"/>
      <c r="H106" s="145"/>
      <c r="I106" s="1022"/>
      <c r="J106" s="145"/>
      <c r="K106" s="145"/>
      <c r="L106" s="199"/>
      <c r="M106" s="199"/>
      <c r="N106" s="1007" t="s">
        <v>692</v>
      </c>
      <c r="O106" s="145"/>
      <c r="P106" s="145"/>
      <c r="Q106" s="145"/>
      <c r="R106" s="145"/>
      <c r="S106" s="145"/>
      <c r="T106" s="145"/>
      <c r="U106" s="145"/>
      <c r="V106" s="145"/>
      <c r="W106" s="145"/>
      <c r="X106" s="1010"/>
      <c r="Y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022"/>
      <c r="J107" s="145"/>
      <c r="K107" s="145"/>
      <c r="L107" s="199"/>
      <c r="M107" s="199"/>
      <c r="N107" s="1009"/>
      <c r="O107" s="145"/>
      <c r="P107" s="145"/>
      <c r="Q107" s="145"/>
      <c r="R107" s="145"/>
      <c r="S107" s="145"/>
      <c r="T107" s="145"/>
      <c r="U107" s="145"/>
      <c r="V107" s="145"/>
      <c r="W107" s="145"/>
      <c r="X107" s="1010"/>
      <c r="Y107" s="145"/>
    </row>
    <row r="108">
      <c r="A108" s="128"/>
      <c r="B108" s="128"/>
      <c r="C108" s="128"/>
      <c r="D108" s="128"/>
      <c r="E108" s="128"/>
      <c r="F108" s="128"/>
      <c r="G108" s="128"/>
      <c r="H108" s="128"/>
      <c r="I108" s="1024"/>
      <c r="J108" s="128"/>
      <c r="K108" s="128"/>
      <c r="L108" s="199"/>
      <c r="M108" s="199"/>
      <c r="N108" s="1007" t="s">
        <v>12</v>
      </c>
      <c r="O108" s="128" t="s">
        <v>652</v>
      </c>
      <c r="P108" s="128" t="s">
        <v>653</v>
      </c>
      <c r="Q108" s="128" t="s">
        <v>654</v>
      </c>
      <c r="R108" s="128" t="s">
        <v>655</v>
      </c>
      <c r="S108" s="128" t="s">
        <v>8</v>
      </c>
      <c r="T108" s="128" t="s">
        <v>656</v>
      </c>
      <c r="U108" s="128" t="s">
        <v>591</v>
      </c>
      <c r="V108" s="128" t="s">
        <v>657</v>
      </c>
      <c r="W108" s="128" t="s">
        <v>658</v>
      </c>
      <c r="X108" s="1008" t="s">
        <v>659</v>
      </c>
      <c r="Y108" s="128"/>
    </row>
    <row r="109">
      <c r="A109" s="145"/>
      <c r="B109" s="145"/>
      <c r="C109" s="145"/>
      <c r="D109" s="145"/>
      <c r="E109" s="145"/>
      <c r="F109" s="145"/>
      <c r="G109" s="145"/>
      <c r="H109" s="145"/>
      <c r="I109" s="1022"/>
      <c r="J109" s="145"/>
      <c r="K109" s="145"/>
      <c r="L109" s="199"/>
      <c r="M109" s="199"/>
      <c r="N109" s="1009">
        <v>34.0</v>
      </c>
      <c r="O109" s="145">
        <v>6643.0</v>
      </c>
      <c r="P109" s="145"/>
      <c r="Q109" s="145" t="s">
        <v>693</v>
      </c>
      <c r="R109" s="145"/>
      <c r="S109" s="145"/>
      <c r="T109" s="145"/>
      <c r="U109" s="145"/>
      <c r="V109" s="145"/>
      <c r="W109" s="145"/>
      <c r="X109" s="1010"/>
      <c r="Y109" s="145"/>
    </row>
    <row r="110">
      <c r="A110" s="145"/>
      <c r="B110" s="145"/>
      <c r="C110" s="126"/>
      <c r="D110" s="145"/>
      <c r="E110" s="126"/>
      <c r="F110" s="126"/>
      <c r="G110" s="126"/>
      <c r="H110" s="129"/>
      <c r="I110" s="1025"/>
      <c r="J110" s="145"/>
      <c r="K110" s="145"/>
      <c r="L110" s="199"/>
      <c r="M110" s="199"/>
      <c r="N110" s="1009">
        <v>35.0</v>
      </c>
      <c r="O110" s="145">
        <v>8775.0</v>
      </c>
      <c r="P110" s="126"/>
      <c r="Q110" s="145" t="s">
        <v>694</v>
      </c>
      <c r="R110" s="126"/>
      <c r="S110" s="126"/>
      <c r="T110" s="126"/>
      <c r="U110" s="129"/>
      <c r="V110" s="126"/>
      <c r="W110" s="145"/>
      <c r="X110" s="1010"/>
      <c r="Y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022"/>
      <c r="J111" s="145"/>
      <c r="K111" s="145"/>
      <c r="L111" s="199"/>
      <c r="M111" s="199"/>
      <c r="N111" s="1009"/>
      <c r="O111" s="145"/>
      <c r="P111" s="145"/>
      <c r="Q111" s="145"/>
      <c r="R111" s="145"/>
      <c r="S111" s="145"/>
      <c r="T111" s="145"/>
      <c r="U111" s="145"/>
      <c r="V111" s="145"/>
      <c r="W111" s="145"/>
      <c r="X111" s="1010"/>
      <c r="Y111" s="145"/>
    </row>
    <row r="112">
      <c r="A112" s="765"/>
      <c r="B112" s="145"/>
      <c r="C112" s="145"/>
      <c r="D112" s="145"/>
      <c r="E112" s="145"/>
      <c r="F112" s="145"/>
      <c r="G112" s="145"/>
      <c r="H112" s="145"/>
      <c r="I112" s="1022"/>
      <c r="J112" s="145"/>
      <c r="K112" s="145"/>
      <c r="L112" s="199"/>
      <c r="M112" s="199"/>
      <c r="N112" s="1012" t="s">
        <v>695</v>
      </c>
      <c r="O112" s="145"/>
      <c r="P112" s="145"/>
      <c r="Q112" s="145"/>
      <c r="R112" s="145"/>
      <c r="S112" s="145"/>
      <c r="T112" s="145"/>
      <c r="U112" s="145"/>
      <c r="V112" s="145"/>
      <c r="W112" s="145"/>
      <c r="X112" s="1010"/>
      <c r="Y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022"/>
      <c r="J113" s="145"/>
      <c r="K113" s="145"/>
      <c r="L113" s="199"/>
      <c r="M113" s="199"/>
      <c r="N113" s="1009"/>
      <c r="O113" s="145"/>
      <c r="P113" s="145"/>
      <c r="Q113" s="145"/>
      <c r="R113" s="145"/>
      <c r="S113" s="145"/>
      <c r="T113" s="145"/>
      <c r="U113" s="145"/>
      <c r="V113" s="145"/>
      <c r="W113" s="145"/>
      <c r="X113" s="1010"/>
      <c r="Y113" s="145"/>
    </row>
    <row r="114">
      <c r="A114" s="128"/>
      <c r="B114" s="128"/>
      <c r="C114" s="128"/>
      <c r="D114" s="128"/>
      <c r="E114" s="128"/>
      <c r="F114" s="128"/>
      <c r="G114" s="145"/>
      <c r="H114" s="145"/>
      <c r="I114" s="1022"/>
      <c r="J114" s="145"/>
      <c r="K114" s="145"/>
      <c r="L114" s="199"/>
      <c r="M114" s="199"/>
      <c r="N114" s="1007" t="s">
        <v>653</v>
      </c>
      <c r="O114" s="128" t="s">
        <v>655</v>
      </c>
      <c r="P114" s="128" t="s">
        <v>8</v>
      </c>
      <c r="Q114" s="128" t="s">
        <v>656</v>
      </c>
      <c r="R114" s="128" t="s">
        <v>591</v>
      </c>
      <c r="S114" s="128" t="s">
        <v>657</v>
      </c>
      <c r="T114" s="145"/>
      <c r="U114" s="145"/>
      <c r="V114" s="145"/>
      <c r="W114" s="145"/>
      <c r="X114" s="1010"/>
      <c r="Y114" s="145"/>
    </row>
    <row r="115">
      <c r="A115" s="126"/>
      <c r="B115" s="126"/>
      <c r="C115" s="126"/>
      <c r="D115" s="126"/>
      <c r="E115" s="129"/>
      <c r="F115" s="126"/>
      <c r="G115" s="145"/>
      <c r="H115" s="145"/>
      <c r="I115" s="1022"/>
      <c r="J115" s="145"/>
      <c r="K115" s="145"/>
      <c r="L115" s="199"/>
      <c r="M115" s="199"/>
      <c r="N115" s="1013"/>
      <c r="O115" s="126"/>
      <c r="P115" s="126"/>
      <c r="Q115" s="126"/>
      <c r="R115" s="129"/>
      <c r="S115" s="126"/>
      <c r="T115" s="145"/>
      <c r="U115" s="145"/>
      <c r="V115" s="145"/>
      <c r="W115" s="145"/>
      <c r="X115" s="1010"/>
      <c r="Y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022"/>
      <c r="J116" s="145"/>
      <c r="K116" s="145"/>
      <c r="L116" s="199"/>
      <c r="M116" s="199"/>
      <c r="N116" s="1009"/>
      <c r="O116" s="145"/>
      <c r="P116" s="145"/>
      <c r="Q116" s="145"/>
      <c r="R116" s="145"/>
      <c r="S116" s="145"/>
      <c r="T116" s="145"/>
      <c r="U116" s="145"/>
      <c r="V116" s="145"/>
      <c r="W116" s="145"/>
      <c r="X116" s="1010"/>
      <c r="Y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022"/>
      <c r="J117" s="145"/>
      <c r="K117" s="145"/>
      <c r="L117" s="199"/>
      <c r="M117" s="199"/>
      <c r="N117" s="1005"/>
      <c r="O117" s="722"/>
      <c r="P117" s="722"/>
      <c r="Q117" s="722"/>
      <c r="R117" s="722"/>
      <c r="S117" s="722"/>
      <c r="T117" s="722"/>
      <c r="U117" s="722"/>
      <c r="V117" s="722"/>
      <c r="W117" s="722"/>
      <c r="X117" s="1006"/>
      <c r="Y117" s="145"/>
    </row>
    <row r="118">
      <c r="A118" s="761"/>
      <c r="B118" s="145"/>
      <c r="C118" s="145"/>
      <c r="D118" s="145"/>
      <c r="E118" s="145"/>
      <c r="F118" s="145"/>
      <c r="G118" s="145"/>
      <c r="H118" s="145"/>
      <c r="I118" s="1022"/>
      <c r="J118" s="145"/>
      <c r="K118" s="145"/>
      <c r="L118" s="199"/>
      <c r="M118" s="199"/>
      <c r="N118" s="1023" t="s">
        <v>696</v>
      </c>
      <c r="O118" s="722"/>
      <c r="P118" s="722"/>
      <c r="Q118" s="722"/>
      <c r="R118" s="722"/>
      <c r="S118" s="722"/>
      <c r="T118" s="722"/>
      <c r="U118" s="722"/>
      <c r="V118" s="722"/>
      <c r="W118" s="722"/>
      <c r="X118" s="1006"/>
      <c r="Y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022"/>
      <c r="J119" s="145"/>
      <c r="K119" s="145"/>
      <c r="L119" s="199"/>
      <c r="M119" s="199"/>
      <c r="N119" s="1009"/>
      <c r="O119" s="145"/>
      <c r="P119" s="145"/>
      <c r="Q119" s="145"/>
      <c r="R119" s="145"/>
      <c r="S119" s="145"/>
      <c r="T119" s="145"/>
      <c r="U119" s="145"/>
      <c r="V119" s="145"/>
      <c r="W119" s="145"/>
      <c r="X119" s="1010"/>
      <c r="Y119" s="145"/>
    </row>
    <row r="120">
      <c r="A120" s="128"/>
      <c r="B120" s="128"/>
      <c r="C120" s="128"/>
      <c r="D120" s="128"/>
      <c r="E120" s="128"/>
      <c r="F120" s="128"/>
      <c r="G120" s="128"/>
      <c r="H120" s="128"/>
      <c r="I120" s="1022"/>
      <c r="J120" s="145"/>
      <c r="K120" s="145"/>
      <c r="L120" s="199"/>
      <c r="M120" s="199"/>
      <c r="N120" s="1007" t="s">
        <v>653</v>
      </c>
      <c r="O120" s="128" t="s">
        <v>655</v>
      </c>
      <c r="P120" s="128" t="s">
        <v>8</v>
      </c>
      <c r="Q120" s="128" t="s">
        <v>656</v>
      </c>
      <c r="R120" s="128" t="s">
        <v>591</v>
      </c>
      <c r="S120" s="128" t="s">
        <v>657</v>
      </c>
      <c r="T120" s="128" t="s">
        <v>658</v>
      </c>
      <c r="U120" s="128" t="s">
        <v>659</v>
      </c>
      <c r="V120" s="145"/>
      <c r="W120" s="145"/>
      <c r="X120" s="1010"/>
      <c r="Y120" s="145"/>
    </row>
    <row r="121">
      <c r="A121" s="126"/>
      <c r="B121" s="126"/>
      <c r="C121" s="126"/>
      <c r="D121" s="126"/>
      <c r="E121" s="129"/>
      <c r="F121" s="126"/>
      <c r="G121" s="126"/>
      <c r="H121" s="126"/>
      <c r="I121" s="1022"/>
      <c r="J121" s="145"/>
      <c r="K121" s="145"/>
      <c r="L121" s="199"/>
      <c r="M121" s="199"/>
      <c r="N121" s="1026"/>
      <c r="O121" s="1027"/>
      <c r="P121" s="1027"/>
      <c r="Q121" s="1027"/>
      <c r="R121" s="1028"/>
      <c r="S121" s="1027"/>
      <c r="T121" s="1027"/>
      <c r="U121" s="1027"/>
      <c r="V121" s="1029"/>
      <c r="W121" s="1029"/>
      <c r="X121" s="1030"/>
      <c r="Y121" s="145"/>
    </row>
    <row r="122">
      <c r="A122" s="194"/>
      <c r="B122" s="195"/>
      <c r="C122" s="195"/>
      <c r="D122" s="196"/>
      <c r="E122" s="196"/>
      <c r="F122" s="198"/>
      <c r="G122" s="198"/>
      <c r="H122" s="198"/>
      <c r="I122" s="283"/>
      <c r="J122" s="199"/>
      <c r="K122" s="199"/>
      <c r="L122" s="199"/>
      <c r="M122" s="199"/>
      <c r="N122" s="199"/>
      <c r="O122" s="199"/>
      <c r="P122" s="199"/>
      <c r="Q122" s="199"/>
    </row>
    <row r="123">
      <c r="A123" s="194"/>
      <c r="B123" s="195"/>
      <c r="C123" s="195"/>
      <c r="D123" s="196"/>
      <c r="E123" s="196"/>
      <c r="F123" s="198"/>
      <c r="G123" s="198"/>
      <c r="H123" s="198"/>
      <c r="I123" s="283"/>
      <c r="J123" s="199"/>
      <c r="K123" s="199"/>
      <c r="L123" s="199"/>
      <c r="M123" s="199"/>
      <c r="N123" s="199"/>
      <c r="O123" s="199"/>
      <c r="P123" s="199"/>
      <c r="Q123" s="199"/>
    </row>
    <row r="124">
      <c r="A124" s="194"/>
      <c r="B124" s="195"/>
      <c r="C124" s="195"/>
      <c r="D124" s="196"/>
      <c r="E124" s="196"/>
      <c r="F124" s="198"/>
      <c r="G124" s="198"/>
      <c r="H124" s="198"/>
      <c r="I124" s="283"/>
      <c r="J124" s="199"/>
      <c r="K124" s="199"/>
      <c r="L124" s="199"/>
      <c r="M124" s="199"/>
      <c r="N124" s="199"/>
      <c r="O124" s="199"/>
      <c r="P124" s="199"/>
      <c r="Q124" s="199"/>
    </row>
    <row r="125">
      <c r="A125" s="194"/>
      <c r="B125" s="195"/>
      <c r="C125" s="195"/>
      <c r="D125" s="196"/>
      <c r="E125" s="196"/>
      <c r="F125" s="198"/>
      <c r="G125" s="198"/>
      <c r="H125" s="198"/>
      <c r="I125" s="283"/>
      <c r="J125" s="199"/>
      <c r="K125" s="199"/>
      <c r="L125" s="199"/>
      <c r="M125" s="199"/>
      <c r="N125" s="199"/>
      <c r="O125" s="199"/>
      <c r="P125" s="199"/>
      <c r="Q125" s="199"/>
    </row>
    <row r="126">
      <c r="A126" s="194"/>
      <c r="B126" s="195"/>
      <c r="C126" s="195"/>
      <c r="D126" s="196"/>
      <c r="E126" s="196"/>
      <c r="F126" s="198"/>
      <c r="G126" s="198"/>
      <c r="H126" s="198"/>
      <c r="I126" s="283"/>
      <c r="J126" s="200"/>
      <c r="K126" s="199"/>
      <c r="L126" s="199"/>
      <c r="M126" s="199"/>
      <c r="N126" s="199"/>
      <c r="O126" s="199"/>
      <c r="P126" s="199"/>
      <c r="Q126" s="199"/>
    </row>
    <row r="127" ht="24.75" customHeight="1">
      <c r="A127" s="201"/>
      <c r="B127" s="769"/>
      <c r="C127" s="770"/>
      <c r="D127" s="770"/>
      <c r="E127" s="771" t="s">
        <v>700</v>
      </c>
      <c r="F127" s="772" t="str">
        <f>A2</f>
        <v>11.24.25-11.30.25</v>
      </c>
      <c r="G127" s="773"/>
      <c r="H127" s="774"/>
      <c r="I127" s="305">
        <v>1.0</v>
      </c>
      <c r="J127" s="769"/>
      <c r="K127" s="770"/>
      <c r="L127" s="770"/>
      <c r="M127" s="771" t="s">
        <v>700</v>
      </c>
      <c r="N127" s="772" t="str">
        <f>F127</f>
        <v>11.24.25-11.30.25</v>
      </c>
      <c r="O127" s="773"/>
      <c r="P127" s="774"/>
      <c r="Q127" s="199"/>
    </row>
    <row r="128" ht="25.5" customHeight="1">
      <c r="A128" s="194"/>
      <c r="B128" s="775"/>
      <c r="E128" s="771" t="s">
        <v>702</v>
      </c>
      <c r="F128" s="772" t="s">
        <v>660</v>
      </c>
      <c r="G128" s="773"/>
      <c r="H128" s="774"/>
      <c r="I128" s="283"/>
      <c r="J128" s="775"/>
      <c r="M128" s="771" t="s">
        <v>351</v>
      </c>
      <c r="N128" s="772" t="str">
        <f t="array" ref="N128">XLOOKUP(N129,K2:K60,J2:J60)</f>
        <v>VICTOR DEMCHENKO</v>
      </c>
      <c r="O128" s="773"/>
      <c r="P128" s="774"/>
      <c r="Q128" s="199"/>
    </row>
    <row r="129" ht="29.25" customHeight="1">
      <c r="A129" s="194"/>
      <c r="B129" s="775"/>
      <c r="E129" s="771" t="s">
        <v>703</v>
      </c>
      <c r="F129" s="772">
        <v>427.0</v>
      </c>
      <c r="G129" s="773"/>
      <c r="H129" s="774"/>
      <c r="I129" s="283"/>
      <c r="J129" s="775"/>
      <c r="M129" s="771" t="s">
        <v>703</v>
      </c>
      <c r="N129" s="772">
        <f>F129</f>
        <v>427</v>
      </c>
      <c r="O129" s="773"/>
      <c r="P129" s="774"/>
      <c r="Q129" s="199"/>
    </row>
    <row r="130">
      <c r="A130" s="1031"/>
      <c r="B130" s="779" t="s">
        <v>704</v>
      </c>
      <c r="C130" s="779" t="s">
        <v>5</v>
      </c>
      <c r="D130" s="779" t="s">
        <v>6</v>
      </c>
      <c r="E130" s="779" t="s">
        <v>7</v>
      </c>
      <c r="F130" s="779" t="s">
        <v>8</v>
      </c>
      <c r="G130" s="779" t="s">
        <v>706</v>
      </c>
      <c r="H130" s="779" t="s">
        <v>707</v>
      </c>
      <c r="I130" s="34"/>
      <c r="J130" s="779" t="s">
        <v>704</v>
      </c>
      <c r="K130" s="779" t="s">
        <v>5</v>
      </c>
      <c r="L130" s="779" t="s">
        <v>6</v>
      </c>
      <c r="M130" s="779" t="s">
        <v>7</v>
      </c>
      <c r="N130" s="779" t="s">
        <v>1178</v>
      </c>
      <c r="O130" s="779" t="s">
        <v>839</v>
      </c>
      <c r="P130" s="779" t="s">
        <v>707</v>
      </c>
      <c r="Q130" s="1032"/>
      <c r="R130" s="1032"/>
    </row>
    <row r="131">
      <c r="A131" s="229"/>
      <c r="B131" s="780">
        <f>IFERROR(__xludf.DUMMYFUNCTION("FILTER(C2:G60,K2:K60=F129)"),45986.0)</f>
        <v>45986</v>
      </c>
      <c r="C131" s="781">
        <f>IFERROR(__xludf.DUMMYFUNCTION("""COMPUTED_VALUE"""),6912758.0)</f>
        <v>6912758</v>
      </c>
      <c r="D131" s="781" t="str">
        <f>IFERROR(__xludf.DUMMYFUNCTION("""COMPUTED_VALUE"""),"Bridgewater, NJ,")</f>
        <v>Bridgewater, NJ,</v>
      </c>
      <c r="E131" s="781" t="str">
        <f>IFERROR(__xludf.DUMMYFUNCTION("""COMPUTED_VALUE"""),"Belle Fourche, WY, 82710")</f>
        <v>Belle Fourche, WY, 82710</v>
      </c>
      <c r="F131" s="782">
        <f>IFERROR(__xludf.DUMMYFUNCTION("""COMPUTED_VALUE"""),3400.0)</f>
        <v>3400</v>
      </c>
      <c r="G131" s="783">
        <v>1.0</v>
      </c>
      <c r="H131" s="782"/>
      <c r="I131" s="283"/>
      <c r="J131" s="1033">
        <f>IFERROR(__xludf.DUMMYFUNCTION("FILTER(C2:F60,K2:K60=N129)"),45986.0)</f>
        <v>45986</v>
      </c>
      <c r="K131" s="1034">
        <f>IFERROR(__xludf.DUMMYFUNCTION("""COMPUTED_VALUE"""),6912758.0)</f>
        <v>6912758</v>
      </c>
      <c r="L131" s="1034" t="str">
        <f>IFERROR(__xludf.DUMMYFUNCTION("""COMPUTED_VALUE"""),"Bridgewater, NJ,")</f>
        <v>Bridgewater, NJ,</v>
      </c>
      <c r="M131" s="1034" t="str">
        <f>IFERROR(__xludf.DUMMYFUNCTION("""COMPUTED_VALUE"""),"Belle Fourche, WY, 82710")</f>
        <v>Belle Fourche, WY, 82710</v>
      </c>
      <c r="N131" s="1035">
        <f>IFERROR(__xludf.DUMMYFUNCTION("FILTER(H2:H60,K2:K60=N129)"),1778.0)</f>
        <v>1778</v>
      </c>
      <c r="O131" s="1036"/>
      <c r="P131" s="1035">
        <f t="shared" ref="P131:P136" si="2">N131*O131</f>
        <v>0</v>
      </c>
      <c r="Q131" s="199"/>
    </row>
    <row r="132">
      <c r="A132" s="229"/>
      <c r="B132" s="780"/>
      <c r="C132" s="781"/>
      <c r="D132" s="781"/>
      <c r="E132" s="781"/>
      <c r="F132" s="782"/>
      <c r="G132" s="783">
        <v>1.0</v>
      </c>
      <c r="H132" s="782"/>
      <c r="I132" s="283"/>
      <c r="J132" s="780"/>
      <c r="K132" s="781"/>
      <c r="L132" s="781"/>
      <c r="M132" s="781"/>
      <c r="N132" s="782"/>
      <c r="O132" s="783"/>
      <c r="P132" s="789">
        <f t="shared" si="2"/>
        <v>0</v>
      </c>
      <c r="Q132" s="199"/>
    </row>
    <row r="133">
      <c r="A133" s="238"/>
      <c r="B133" s="785"/>
      <c r="C133" s="786"/>
      <c r="D133" s="786"/>
      <c r="E133" s="786"/>
      <c r="F133" s="785"/>
      <c r="G133" s="787"/>
      <c r="H133" s="788"/>
      <c r="I133" s="283"/>
      <c r="J133" s="785"/>
      <c r="K133" s="786"/>
      <c r="L133" s="786"/>
      <c r="M133" s="786"/>
      <c r="N133" s="785"/>
      <c r="O133" s="787"/>
      <c r="P133" s="789">
        <f t="shared" si="2"/>
        <v>0</v>
      </c>
      <c r="Q133" s="199"/>
    </row>
    <row r="134">
      <c r="A134" s="238"/>
      <c r="B134" s="785"/>
      <c r="C134" s="786"/>
      <c r="D134" s="786"/>
      <c r="E134" s="786"/>
      <c r="F134" s="785"/>
      <c r="G134" s="787"/>
      <c r="H134" s="788"/>
      <c r="I134" s="283"/>
      <c r="J134" s="785"/>
      <c r="K134" s="786"/>
      <c r="L134" s="786"/>
      <c r="M134" s="786"/>
      <c r="N134" s="785"/>
      <c r="O134" s="787"/>
      <c r="P134" s="789">
        <f t="shared" si="2"/>
        <v>0</v>
      </c>
      <c r="Q134" s="199"/>
    </row>
    <row r="135">
      <c r="A135" s="238"/>
      <c r="B135" s="785"/>
      <c r="C135" s="786"/>
      <c r="D135" s="786"/>
      <c r="E135" s="786"/>
      <c r="F135" s="785"/>
      <c r="G135" s="787"/>
      <c r="H135" s="788"/>
      <c r="I135" s="283"/>
      <c r="J135" s="785"/>
      <c r="K135" s="786"/>
      <c r="L135" s="786"/>
      <c r="M135" s="786"/>
      <c r="N135" s="785"/>
      <c r="O135" s="787"/>
      <c r="P135" s="789">
        <f t="shared" si="2"/>
        <v>0</v>
      </c>
      <c r="Q135" s="199"/>
    </row>
    <row r="136">
      <c r="A136" s="238"/>
      <c r="B136" s="785"/>
      <c r="C136" s="786"/>
      <c r="D136" s="786"/>
      <c r="E136" s="786"/>
      <c r="F136" s="785"/>
      <c r="G136" s="787"/>
      <c r="H136" s="788"/>
      <c r="I136" s="283"/>
      <c r="J136" s="785"/>
      <c r="K136" s="786"/>
      <c r="L136" s="786"/>
      <c r="M136" s="786"/>
      <c r="N136" s="785"/>
      <c r="O136" s="787"/>
      <c r="P136" s="789">
        <f t="shared" si="2"/>
        <v>0</v>
      </c>
      <c r="Q136" s="199"/>
    </row>
    <row r="137">
      <c r="A137" s="197"/>
      <c r="B137" s="790" t="s">
        <v>711</v>
      </c>
      <c r="C137" s="791"/>
      <c r="D137" s="791"/>
      <c r="E137" s="792"/>
      <c r="F137" s="793">
        <f>SUM(F131:F136)</f>
        <v>3400</v>
      </c>
      <c r="G137" s="794"/>
      <c r="H137" s="793">
        <f>SUM(H131:H136)</f>
        <v>0</v>
      </c>
      <c r="I137" s="283"/>
      <c r="J137" s="790" t="s">
        <v>711</v>
      </c>
      <c r="K137" s="791"/>
      <c r="L137" s="791"/>
      <c r="M137" s="792"/>
      <c r="N137" s="793">
        <f>SUM(N131:N136)</f>
        <v>1778</v>
      </c>
      <c r="O137" s="794"/>
      <c r="P137" s="793">
        <f>SUM(P131:P136)</f>
        <v>0</v>
      </c>
      <c r="Q137" s="199"/>
    </row>
    <row r="138">
      <c r="A138" s="238"/>
      <c r="B138" s="796"/>
      <c r="E138" s="798"/>
      <c r="H138" s="799"/>
      <c r="I138" s="283"/>
      <c r="J138" s="796"/>
      <c r="M138" s="798"/>
      <c r="P138" s="799"/>
      <c r="Q138" s="199"/>
    </row>
    <row r="139">
      <c r="A139" s="197"/>
      <c r="B139" s="800" t="s">
        <v>712</v>
      </c>
      <c r="C139" s="801"/>
      <c r="D139" s="802"/>
      <c r="H139" s="799"/>
      <c r="I139" s="283"/>
      <c r="J139" s="800" t="s">
        <v>712</v>
      </c>
      <c r="K139" s="803"/>
      <c r="L139" s="804"/>
      <c r="P139" s="799"/>
      <c r="Q139" s="199"/>
    </row>
    <row r="140">
      <c r="A140" s="197"/>
      <c r="B140" s="867"/>
      <c r="C140" s="808"/>
      <c r="D140" s="809"/>
      <c r="H140" s="799"/>
      <c r="I140" s="283"/>
      <c r="J140" s="867"/>
      <c r="K140" s="808"/>
      <c r="L140" s="809"/>
      <c r="P140" s="799"/>
      <c r="Q140" s="199"/>
    </row>
    <row r="141">
      <c r="A141" s="238"/>
      <c r="B141" s="868"/>
      <c r="C141" s="774"/>
      <c r="D141" s="816"/>
      <c r="H141" s="799"/>
      <c r="I141" s="283"/>
      <c r="J141" s="868"/>
      <c r="K141" s="774"/>
      <c r="L141" s="816"/>
      <c r="P141" s="799"/>
      <c r="Q141" s="199"/>
    </row>
    <row r="142">
      <c r="A142" s="197"/>
      <c r="B142" s="815"/>
      <c r="C142" s="792"/>
      <c r="D142" s="816"/>
      <c r="H142" s="799"/>
      <c r="I142" s="283"/>
      <c r="J142" s="815"/>
      <c r="K142" s="792"/>
      <c r="L142" s="816"/>
      <c r="P142" s="799"/>
      <c r="Q142" s="199"/>
    </row>
    <row r="143">
      <c r="A143" s="238"/>
      <c r="B143" s="817"/>
      <c r="C143" s="774"/>
      <c r="D143" s="818"/>
      <c r="H143" s="799"/>
      <c r="I143" s="283"/>
      <c r="J143" s="817"/>
      <c r="K143" s="774"/>
      <c r="L143" s="818"/>
      <c r="P143" s="799"/>
      <c r="Q143" s="199"/>
    </row>
    <row r="144">
      <c r="A144" s="197"/>
      <c r="B144" s="817"/>
      <c r="C144" s="792"/>
      <c r="D144" s="818"/>
      <c r="H144" s="799"/>
      <c r="I144" s="283"/>
      <c r="J144" s="817"/>
      <c r="K144" s="792"/>
      <c r="L144" s="818"/>
      <c r="P144" s="799"/>
      <c r="Q144" s="199"/>
    </row>
    <row r="145">
      <c r="A145" s="197"/>
      <c r="B145" s="821" t="s">
        <v>714</v>
      </c>
      <c r="C145" s="822"/>
      <c r="D145" s="823">
        <f>SUM(D140:D144)</f>
        <v>0</v>
      </c>
      <c r="H145" s="799"/>
      <c r="I145" s="283"/>
      <c r="J145" s="821" t="s">
        <v>714</v>
      </c>
      <c r="K145" s="826"/>
      <c r="L145" s="827"/>
      <c r="P145" s="799"/>
      <c r="Q145" s="199"/>
    </row>
    <row r="146">
      <c r="A146" s="197"/>
      <c r="B146" s="828"/>
      <c r="D146" s="829"/>
      <c r="H146" s="799"/>
      <c r="I146" s="283"/>
      <c r="J146" s="828"/>
      <c r="L146" s="829"/>
      <c r="P146" s="799"/>
      <c r="Q146" s="199"/>
    </row>
    <row r="147">
      <c r="A147" s="197"/>
      <c r="B147" s="833" t="s">
        <v>715</v>
      </c>
      <c r="C147" s="834"/>
      <c r="D147" s="835"/>
      <c r="H147" s="799"/>
      <c r="I147" s="283"/>
      <c r="J147" s="833" t="s">
        <v>715</v>
      </c>
      <c r="K147" s="834"/>
      <c r="L147" s="835"/>
      <c r="P147" s="799"/>
      <c r="Q147" s="199"/>
    </row>
    <row r="148">
      <c r="A148" s="197"/>
      <c r="B148" s="839"/>
      <c r="C148" s="840"/>
      <c r="D148" s="841"/>
      <c r="H148" s="799"/>
      <c r="I148" s="283"/>
      <c r="J148" s="839"/>
      <c r="K148" s="840"/>
      <c r="L148" s="841"/>
      <c r="P148" s="799"/>
      <c r="Q148" s="199"/>
    </row>
    <row r="149">
      <c r="A149" s="238"/>
      <c r="B149" s="847"/>
      <c r="C149" s="848"/>
      <c r="D149" s="849"/>
      <c r="E149" s="248"/>
      <c r="F149" s="845" t="s">
        <v>1182</v>
      </c>
      <c r="H149" s="1037">
        <f>H137+D145-D154</f>
        <v>0</v>
      </c>
      <c r="I149" s="283"/>
      <c r="J149" s="847"/>
      <c r="K149" s="848"/>
      <c r="L149" s="849"/>
      <c r="M149" s="248"/>
      <c r="N149" s="845" t="s">
        <v>1183</v>
      </c>
      <c r="P149" s="846">
        <f>P137+L145-L154</f>
        <v>0</v>
      </c>
      <c r="Q149" s="199"/>
    </row>
    <row r="150">
      <c r="A150" s="238"/>
      <c r="B150" s="847"/>
      <c r="C150" s="848"/>
      <c r="D150" s="849"/>
      <c r="H150" s="799"/>
      <c r="I150" s="283"/>
      <c r="J150" s="847"/>
      <c r="K150" s="848"/>
      <c r="L150" s="849"/>
      <c r="P150" s="799"/>
      <c r="Q150" s="199"/>
    </row>
    <row r="151">
      <c r="A151" s="238"/>
      <c r="B151" s="847"/>
      <c r="C151" s="848"/>
      <c r="D151" s="849"/>
      <c r="H151" s="799"/>
      <c r="I151" s="283"/>
      <c r="J151" s="847"/>
      <c r="K151" s="848"/>
      <c r="L151" s="849"/>
      <c r="P151" s="799"/>
      <c r="Q151" s="199"/>
    </row>
    <row r="152">
      <c r="A152" s="238"/>
      <c r="B152" s="847"/>
      <c r="C152" s="848"/>
      <c r="D152" s="849"/>
      <c r="F152" s="248"/>
      <c r="H152" s="799"/>
      <c r="I152" s="283"/>
      <c r="J152" s="847"/>
      <c r="K152" s="848"/>
      <c r="L152" s="849"/>
      <c r="N152" s="248"/>
      <c r="P152" s="799"/>
      <c r="Q152" s="199"/>
    </row>
    <row r="153">
      <c r="A153" s="238"/>
      <c r="B153" s="847"/>
      <c r="C153" s="848"/>
      <c r="D153" s="849"/>
      <c r="H153" s="799"/>
      <c r="I153" s="283"/>
      <c r="J153" s="847"/>
      <c r="K153" s="848"/>
      <c r="L153" s="849"/>
      <c r="P153" s="799"/>
      <c r="Q153" s="199"/>
    </row>
    <row r="154">
      <c r="A154" s="197"/>
      <c r="B154" s="853" t="s">
        <v>721</v>
      </c>
      <c r="C154" s="854"/>
      <c r="D154" s="855">
        <f>SUM(D148:D153)</f>
        <v>0</v>
      </c>
      <c r="H154" s="799"/>
      <c r="I154" s="283"/>
      <c r="J154" s="853" t="s">
        <v>721</v>
      </c>
      <c r="K154" s="854"/>
      <c r="L154" s="855"/>
      <c r="P154" s="799"/>
      <c r="Q154" s="199"/>
    </row>
    <row r="155">
      <c r="A155" s="283"/>
      <c r="B155" s="856"/>
      <c r="C155" s="857"/>
      <c r="D155" s="857"/>
      <c r="E155" s="857"/>
      <c r="F155" s="857"/>
      <c r="G155" s="857"/>
      <c r="H155" s="808"/>
      <c r="I155" s="283"/>
      <c r="J155" s="856"/>
      <c r="K155" s="857"/>
      <c r="L155" s="857"/>
      <c r="M155" s="857"/>
      <c r="N155" s="857"/>
      <c r="O155" s="857"/>
      <c r="P155" s="808"/>
      <c r="Q155" s="199"/>
    </row>
    <row r="156">
      <c r="A156" s="1038"/>
      <c r="Y156" s="283"/>
    </row>
    <row r="157" ht="24.75" customHeight="1">
      <c r="A157" s="201"/>
      <c r="B157" s="769"/>
      <c r="C157" s="770"/>
      <c r="D157" s="770"/>
      <c r="E157" s="771" t="s">
        <v>700</v>
      </c>
      <c r="F157" s="772" t="str">
        <f>A2</f>
        <v>11.24.25-11.30.25</v>
      </c>
      <c r="G157" s="773"/>
      <c r="H157" s="774"/>
      <c r="I157" s="305">
        <v>2.0</v>
      </c>
      <c r="J157" s="769"/>
      <c r="K157" s="770"/>
      <c r="L157" s="770"/>
      <c r="M157" s="771" t="s">
        <v>700</v>
      </c>
      <c r="N157" s="772" t="str">
        <f>F157</f>
        <v>11.24.25-11.30.25</v>
      </c>
      <c r="O157" s="773"/>
      <c r="P157" s="774"/>
      <c r="Q157" s="199"/>
    </row>
    <row r="158" ht="25.5" customHeight="1">
      <c r="A158" s="194"/>
      <c r="B158" s="775"/>
      <c r="E158" s="771" t="s">
        <v>702</v>
      </c>
      <c r="F158" s="772" t="s">
        <v>660</v>
      </c>
      <c r="G158" s="773"/>
      <c r="H158" s="774"/>
      <c r="I158" s="283"/>
      <c r="J158" s="775"/>
      <c r="M158" s="771" t="s">
        <v>702</v>
      </c>
      <c r="N158" s="772"/>
      <c r="O158" s="773"/>
      <c r="P158" s="774"/>
      <c r="Q158" s="199"/>
    </row>
    <row r="159" ht="29.25" customHeight="1">
      <c r="A159" s="194"/>
      <c r="B159" s="775"/>
      <c r="E159" s="771" t="s">
        <v>703</v>
      </c>
      <c r="F159" s="772">
        <v>515.0</v>
      </c>
      <c r="G159" s="773"/>
      <c r="H159" s="774"/>
      <c r="I159" s="283"/>
      <c r="J159" s="775"/>
      <c r="M159" s="771" t="s">
        <v>703</v>
      </c>
      <c r="N159" s="772">
        <v>2319.0</v>
      </c>
      <c r="O159" s="773"/>
      <c r="P159" s="774"/>
      <c r="Q159" s="199"/>
    </row>
    <row r="160">
      <c r="A160" s="1031"/>
      <c r="B160" s="779" t="s">
        <v>704</v>
      </c>
      <c r="C160" s="779" t="s">
        <v>5</v>
      </c>
      <c r="D160" s="779" t="s">
        <v>6</v>
      </c>
      <c r="E160" s="779" t="s">
        <v>7</v>
      </c>
      <c r="F160" s="779" t="s">
        <v>8</v>
      </c>
      <c r="G160" s="779" t="s">
        <v>706</v>
      </c>
      <c r="H160" s="779" t="s">
        <v>707</v>
      </c>
      <c r="I160" s="34"/>
      <c r="J160" s="779" t="s">
        <v>704</v>
      </c>
      <c r="K160" s="779" t="s">
        <v>5</v>
      </c>
      <c r="L160" s="779" t="s">
        <v>6</v>
      </c>
      <c r="M160" s="779" t="s">
        <v>7</v>
      </c>
      <c r="N160" s="779" t="s">
        <v>1178</v>
      </c>
      <c r="O160" s="779" t="s">
        <v>839</v>
      </c>
      <c r="P160" s="779" t="s">
        <v>707</v>
      </c>
      <c r="Q160" s="1032"/>
      <c r="R160" s="1032"/>
    </row>
    <row r="161">
      <c r="A161" s="229"/>
      <c r="B161" s="780"/>
      <c r="C161" s="781"/>
      <c r="D161" s="781"/>
      <c r="E161" s="781"/>
      <c r="F161" s="782"/>
      <c r="G161" s="783">
        <v>1.0</v>
      </c>
      <c r="H161" s="782"/>
      <c r="I161" s="283"/>
      <c r="J161" s="1033"/>
      <c r="K161" s="1034"/>
      <c r="L161" s="1034"/>
      <c r="M161" s="1034"/>
      <c r="N161" s="1035"/>
      <c r="O161" s="1036"/>
      <c r="P161" s="1035">
        <f t="shared" ref="P161:P166" si="3">N161*O161</f>
        <v>0</v>
      </c>
      <c r="Q161" s="199"/>
    </row>
    <row r="162">
      <c r="A162" s="229"/>
      <c r="B162" s="780"/>
      <c r="C162" s="781"/>
      <c r="D162" s="781"/>
      <c r="E162" s="781"/>
      <c r="F162" s="782"/>
      <c r="G162" s="783">
        <v>1.0</v>
      </c>
      <c r="H162" s="782"/>
      <c r="I162" s="283"/>
      <c r="J162" s="780"/>
      <c r="K162" s="781"/>
      <c r="L162" s="781"/>
      <c r="M162" s="781"/>
      <c r="N162" s="782"/>
      <c r="O162" s="783"/>
      <c r="P162" s="789">
        <f t="shared" si="3"/>
        <v>0</v>
      </c>
      <c r="Q162" s="199"/>
    </row>
    <row r="163">
      <c r="A163" s="238"/>
      <c r="B163" s="785"/>
      <c r="C163" s="786"/>
      <c r="D163" s="786"/>
      <c r="E163" s="786"/>
      <c r="F163" s="785"/>
      <c r="G163" s="787"/>
      <c r="H163" s="788"/>
      <c r="I163" s="283"/>
      <c r="J163" s="785"/>
      <c r="K163" s="786"/>
      <c r="L163" s="786"/>
      <c r="M163" s="786"/>
      <c r="N163" s="785"/>
      <c r="O163" s="787"/>
      <c r="P163" s="789">
        <f t="shared" si="3"/>
        <v>0</v>
      </c>
      <c r="Q163" s="199"/>
    </row>
    <row r="164">
      <c r="A164" s="238"/>
      <c r="B164" s="785"/>
      <c r="C164" s="786"/>
      <c r="D164" s="786"/>
      <c r="E164" s="786"/>
      <c r="F164" s="785"/>
      <c r="G164" s="787"/>
      <c r="H164" s="788"/>
      <c r="I164" s="283"/>
      <c r="J164" s="785"/>
      <c r="K164" s="786"/>
      <c r="L164" s="786"/>
      <c r="M164" s="786"/>
      <c r="N164" s="785"/>
      <c r="O164" s="787"/>
      <c r="P164" s="789">
        <f t="shared" si="3"/>
        <v>0</v>
      </c>
      <c r="Q164" s="199"/>
    </row>
    <row r="165">
      <c r="A165" s="238"/>
      <c r="B165" s="785"/>
      <c r="C165" s="786"/>
      <c r="D165" s="786"/>
      <c r="E165" s="786"/>
      <c r="F165" s="785"/>
      <c r="G165" s="787"/>
      <c r="H165" s="788"/>
      <c r="I165" s="283"/>
      <c r="J165" s="785"/>
      <c r="K165" s="786"/>
      <c r="L165" s="786"/>
      <c r="M165" s="786"/>
      <c r="N165" s="785"/>
      <c r="O165" s="787"/>
      <c r="P165" s="789">
        <f t="shared" si="3"/>
        <v>0</v>
      </c>
      <c r="Q165" s="199"/>
    </row>
    <row r="166">
      <c r="A166" s="238"/>
      <c r="B166" s="785"/>
      <c r="C166" s="786"/>
      <c r="D166" s="786"/>
      <c r="E166" s="786"/>
      <c r="F166" s="785"/>
      <c r="G166" s="787"/>
      <c r="H166" s="788"/>
      <c r="I166" s="283"/>
      <c r="J166" s="785"/>
      <c r="K166" s="786"/>
      <c r="L166" s="786"/>
      <c r="M166" s="786"/>
      <c r="N166" s="785"/>
      <c r="O166" s="787"/>
      <c r="P166" s="789">
        <f t="shared" si="3"/>
        <v>0</v>
      </c>
      <c r="Q166" s="199"/>
    </row>
    <row r="167">
      <c r="A167" s="197"/>
      <c r="B167" s="790" t="s">
        <v>711</v>
      </c>
      <c r="C167" s="791"/>
      <c r="D167" s="791"/>
      <c r="E167" s="792"/>
      <c r="F167" s="793">
        <f>SUM(F161:F166)</f>
        <v>0</v>
      </c>
      <c r="G167" s="794"/>
      <c r="H167" s="793">
        <f>SUM(H161:H166)</f>
        <v>0</v>
      </c>
      <c r="I167" s="283"/>
      <c r="J167" s="790" t="s">
        <v>711</v>
      </c>
      <c r="K167" s="791"/>
      <c r="L167" s="791"/>
      <c r="M167" s="792"/>
      <c r="N167" s="793">
        <f>SUM(N161:N166)</f>
        <v>0</v>
      </c>
      <c r="O167" s="794"/>
      <c r="P167" s="793">
        <f>SUM(P161:P166)</f>
        <v>0</v>
      </c>
      <c r="Q167" s="199"/>
    </row>
    <row r="168">
      <c r="A168" s="238"/>
      <c r="B168" s="796"/>
      <c r="E168" s="798"/>
      <c r="H168" s="799"/>
      <c r="I168" s="283"/>
      <c r="J168" s="796"/>
      <c r="M168" s="798"/>
      <c r="P168" s="799"/>
      <c r="Q168" s="199"/>
    </row>
    <row r="169">
      <c r="A169" s="197"/>
      <c r="B169" s="800" t="s">
        <v>712</v>
      </c>
      <c r="C169" s="803"/>
      <c r="D169" s="804"/>
      <c r="H169" s="799"/>
      <c r="I169" s="283"/>
      <c r="J169" s="800" t="s">
        <v>712</v>
      </c>
      <c r="K169" s="803"/>
      <c r="L169" s="804"/>
      <c r="P169" s="799"/>
      <c r="Q169" s="199"/>
    </row>
    <row r="170">
      <c r="A170" s="197"/>
      <c r="B170" s="867"/>
      <c r="C170" s="808"/>
      <c r="D170" s="809"/>
      <c r="H170" s="799"/>
      <c r="I170" s="283"/>
      <c r="J170" s="867"/>
      <c r="K170" s="808"/>
      <c r="L170" s="809"/>
      <c r="P170" s="799"/>
      <c r="Q170" s="199"/>
    </row>
    <row r="171">
      <c r="A171" s="238"/>
      <c r="B171" s="868"/>
      <c r="C171" s="774"/>
      <c r="D171" s="816"/>
      <c r="H171" s="799"/>
      <c r="I171" s="283"/>
      <c r="J171" s="868"/>
      <c r="K171" s="774"/>
      <c r="L171" s="816"/>
      <c r="P171" s="799"/>
      <c r="Q171" s="199"/>
    </row>
    <row r="172">
      <c r="A172" s="197"/>
      <c r="B172" s="815"/>
      <c r="C172" s="792"/>
      <c r="D172" s="816"/>
      <c r="H172" s="799"/>
      <c r="I172" s="283"/>
      <c r="J172" s="815"/>
      <c r="K172" s="792"/>
      <c r="L172" s="816"/>
      <c r="P172" s="799"/>
      <c r="Q172" s="199"/>
    </row>
    <row r="173">
      <c r="A173" s="238"/>
      <c r="B173" s="817"/>
      <c r="C173" s="774"/>
      <c r="D173" s="818"/>
      <c r="H173" s="799"/>
      <c r="I173" s="283"/>
      <c r="J173" s="817"/>
      <c r="K173" s="774"/>
      <c r="L173" s="818"/>
      <c r="P173" s="799"/>
      <c r="Q173" s="199"/>
    </row>
    <row r="174">
      <c r="A174" s="197"/>
      <c r="B174" s="817"/>
      <c r="C174" s="774"/>
      <c r="D174" s="818"/>
      <c r="H174" s="799"/>
      <c r="I174" s="283"/>
      <c r="J174" s="817"/>
      <c r="K174" s="774"/>
      <c r="L174" s="818"/>
      <c r="P174" s="799"/>
      <c r="Q174" s="199"/>
    </row>
    <row r="175">
      <c r="A175" s="197"/>
      <c r="B175" s="821" t="s">
        <v>714</v>
      </c>
      <c r="C175" s="822"/>
      <c r="D175" s="823">
        <f>SUM(D170:D174)</f>
        <v>0</v>
      </c>
      <c r="H175" s="799"/>
      <c r="I175" s="283"/>
      <c r="J175" s="821" t="s">
        <v>714</v>
      </c>
      <c r="K175" s="822"/>
      <c r="L175" s="827"/>
      <c r="P175" s="799"/>
      <c r="Q175" s="199"/>
    </row>
    <row r="176">
      <c r="A176" s="197"/>
      <c r="B176" s="828"/>
      <c r="D176" s="829"/>
      <c r="H176" s="799"/>
      <c r="I176" s="283"/>
      <c r="J176" s="828"/>
      <c r="L176" s="829"/>
      <c r="P176" s="799"/>
      <c r="Q176" s="199"/>
    </row>
    <row r="177">
      <c r="A177" s="197"/>
      <c r="B177" s="833" t="s">
        <v>715</v>
      </c>
      <c r="C177" s="834"/>
      <c r="D177" s="835"/>
      <c r="H177" s="799"/>
      <c r="I177" s="283"/>
      <c r="J177" s="833" t="s">
        <v>715</v>
      </c>
      <c r="K177" s="834"/>
      <c r="L177" s="835"/>
      <c r="P177" s="799"/>
      <c r="Q177" s="199"/>
    </row>
    <row r="178">
      <c r="A178" s="197"/>
      <c r="B178" s="839"/>
      <c r="C178" s="840"/>
      <c r="D178" s="841"/>
      <c r="H178" s="799"/>
      <c r="I178" s="283"/>
      <c r="J178" s="839"/>
      <c r="K178" s="840"/>
      <c r="L178" s="841"/>
      <c r="P178" s="799"/>
      <c r="Q178" s="199"/>
    </row>
    <row r="179">
      <c r="A179" s="238"/>
      <c r="B179" s="847"/>
      <c r="C179" s="848"/>
      <c r="D179" s="849"/>
      <c r="E179" s="248"/>
      <c r="F179" s="845" t="s">
        <v>1182</v>
      </c>
      <c r="H179" s="1037">
        <f>H167+D175-D184</f>
        <v>0</v>
      </c>
      <c r="I179" s="283"/>
      <c r="J179" s="847"/>
      <c r="K179" s="848"/>
      <c r="L179" s="849"/>
      <c r="M179" s="248"/>
      <c r="N179" s="845" t="s">
        <v>1183</v>
      </c>
      <c r="P179" s="846">
        <f>P167+L175-L184</f>
        <v>0</v>
      </c>
      <c r="Q179" s="199"/>
    </row>
    <row r="180">
      <c r="A180" s="238"/>
      <c r="B180" s="847"/>
      <c r="C180" s="848"/>
      <c r="D180" s="849"/>
      <c r="H180" s="799"/>
      <c r="I180" s="283"/>
      <c r="J180" s="847"/>
      <c r="K180" s="848"/>
      <c r="L180" s="849"/>
      <c r="P180" s="799"/>
      <c r="Q180" s="199"/>
    </row>
    <row r="181">
      <c r="A181" s="238"/>
      <c r="B181" s="847"/>
      <c r="C181" s="848"/>
      <c r="D181" s="849"/>
      <c r="H181" s="799"/>
      <c r="I181" s="283"/>
      <c r="J181" s="847"/>
      <c r="K181" s="848"/>
      <c r="L181" s="849"/>
      <c r="P181" s="799"/>
      <c r="Q181" s="199"/>
    </row>
    <row r="182">
      <c r="A182" s="238"/>
      <c r="B182" s="847"/>
      <c r="C182" s="848"/>
      <c r="D182" s="849"/>
      <c r="F182" s="248"/>
      <c r="H182" s="799"/>
      <c r="I182" s="283"/>
      <c r="J182" s="847"/>
      <c r="K182" s="848"/>
      <c r="L182" s="849"/>
      <c r="N182" s="248"/>
      <c r="P182" s="799"/>
      <c r="Q182" s="199"/>
    </row>
    <row r="183">
      <c r="A183" s="238"/>
      <c r="B183" s="847"/>
      <c r="C183" s="848"/>
      <c r="D183" s="849"/>
      <c r="H183" s="799"/>
      <c r="I183" s="283"/>
      <c r="J183" s="847"/>
      <c r="K183" s="848"/>
      <c r="L183" s="849"/>
      <c r="P183" s="799"/>
      <c r="Q183" s="199"/>
    </row>
    <row r="184">
      <c r="A184" s="197"/>
      <c r="B184" s="853" t="s">
        <v>721</v>
      </c>
      <c r="C184" s="854"/>
      <c r="D184" s="855">
        <f>SUM(D178:D183)</f>
        <v>0</v>
      </c>
      <c r="H184" s="799"/>
      <c r="I184" s="283"/>
      <c r="J184" s="853" t="s">
        <v>721</v>
      </c>
      <c r="K184" s="854"/>
      <c r="L184" s="855"/>
      <c r="P184" s="799"/>
      <c r="Q184" s="199"/>
    </row>
    <row r="185">
      <c r="A185" s="283"/>
      <c r="B185" s="856"/>
      <c r="C185" s="857"/>
      <c r="D185" s="857"/>
      <c r="E185" s="857"/>
      <c r="F185" s="857"/>
      <c r="G185" s="857"/>
      <c r="H185" s="808"/>
      <c r="I185" s="283"/>
      <c r="J185" s="856"/>
      <c r="K185" s="857"/>
      <c r="L185" s="857"/>
      <c r="M185" s="857"/>
      <c r="N185" s="857"/>
      <c r="O185" s="857"/>
      <c r="P185" s="808"/>
      <c r="Q185" s="199"/>
    </row>
    <row r="186">
      <c r="A186" s="1039"/>
      <c r="Y186" s="194"/>
    </row>
    <row r="187" ht="24.75" customHeight="1">
      <c r="A187" s="201"/>
      <c r="B187" s="769"/>
      <c r="C187" s="770"/>
      <c r="D187" s="770"/>
      <c r="E187" s="771" t="s">
        <v>700</v>
      </c>
      <c r="F187" s="772" t="str">
        <f>A2</f>
        <v>11.24.25-11.30.25</v>
      </c>
      <c r="G187" s="773"/>
      <c r="H187" s="774"/>
      <c r="I187" s="305">
        <v>3.0</v>
      </c>
      <c r="J187" s="769"/>
      <c r="K187" s="770"/>
      <c r="L187" s="770"/>
      <c r="M187" s="771" t="s">
        <v>700</v>
      </c>
      <c r="N187" s="772" t="str">
        <f>F187</f>
        <v>11.24.25-11.30.25</v>
      </c>
      <c r="O187" s="773"/>
      <c r="P187" s="774"/>
      <c r="Q187" s="199"/>
    </row>
    <row r="188" ht="25.5" customHeight="1">
      <c r="A188" s="194"/>
      <c r="B188" s="775"/>
      <c r="E188" s="771" t="s">
        <v>702</v>
      </c>
      <c r="F188" s="772" t="s">
        <v>660</v>
      </c>
      <c r="G188" s="773"/>
      <c r="H188" s="774"/>
      <c r="I188" s="283"/>
      <c r="J188" s="775"/>
      <c r="M188" s="771" t="s">
        <v>702</v>
      </c>
      <c r="N188" s="772"/>
      <c r="O188" s="773"/>
      <c r="P188" s="774"/>
      <c r="Q188" s="199"/>
    </row>
    <row r="189" ht="29.25" customHeight="1">
      <c r="A189" s="194"/>
      <c r="B189" s="775"/>
      <c r="E189" s="771" t="s">
        <v>703</v>
      </c>
      <c r="F189" s="772">
        <v>2319.0</v>
      </c>
      <c r="G189" s="773"/>
      <c r="H189" s="774"/>
      <c r="I189" s="283"/>
      <c r="J189" s="775"/>
      <c r="M189" s="771" t="s">
        <v>703</v>
      </c>
      <c r="N189" s="772">
        <v>2319.0</v>
      </c>
      <c r="O189" s="773"/>
      <c r="P189" s="774"/>
      <c r="Q189" s="199"/>
    </row>
    <row r="190">
      <c r="A190" s="1031"/>
      <c r="B190" s="779" t="s">
        <v>704</v>
      </c>
      <c r="C190" s="779" t="s">
        <v>5</v>
      </c>
      <c r="D190" s="779" t="s">
        <v>6</v>
      </c>
      <c r="E190" s="779" t="s">
        <v>7</v>
      </c>
      <c r="F190" s="779" t="s">
        <v>8</v>
      </c>
      <c r="G190" s="779" t="s">
        <v>706</v>
      </c>
      <c r="H190" s="779" t="s">
        <v>707</v>
      </c>
      <c r="I190" s="34"/>
      <c r="J190" s="779" t="s">
        <v>704</v>
      </c>
      <c r="K190" s="779" t="s">
        <v>5</v>
      </c>
      <c r="L190" s="779" t="s">
        <v>6</v>
      </c>
      <c r="M190" s="779" t="s">
        <v>7</v>
      </c>
      <c r="N190" s="779" t="s">
        <v>1178</v>
      </c>
      <c r="O190" s="779" t="s">
        <v>839</v>
      </c>
      <c r="P190" s="779" t="s">
        <v>707</v>
      </c>
      <c r="Q190" s="1032"/>
      <c r="R190" s="1032"/>
    </row>
    <row r="191">
      <c r="A191" s="229"/>
      <c r="B191" s="780"/>
      <c r="C191" s="781"/>
      <c r="D191" s="781"/>
      <c r="E191" s="781"/>
      <c r="F191" s="782"/>
      <c r="G191" s="783">
        <v>1.0</v>
      </c>
      <c r="H191" s="782"/>
      <c r="I191" s="283"/>
      <c r="J191" s="1033"/>
      <c r="K191" s="1034"/>
      <c r="L191" s="1034"/>
      <c r="M191" s="1034"/>
      <c r="N191" s="1035"/>
      <c r="O191" s="1036"/>
      <c r="P191" s="1035">
        <f t="shared" ref="P191:P196" si="4">N191*O191</f>
        <v>0</v>
      </c>
      <c r="Q191" s="199"/>
    </row>
    <row r="192">
      <c r="A192" s="229"/>
      <c r="B192" s="780"/>
      <c r="C192" s="781"/>
      <c r="D192" s="781"/>
      <c r="E192" s="781"/>
      <c r="F192" s="782"/>
      <c r="G192" s="783">
        <v>1.0</v>
      </c>
      <c r="H192" s="782"/>
      <c r="I192" s="283"/>
      <c r="J192" s="780"/>
      <c r="K192" s="781"/>
      <c r="L192" s="781"/>
      <c r="M192" s="781"/>
      <c r="N192" s="782"/>
      <c r="O192" s="783"/>
      <c r="P192" s="789">
        <f t="shared" si="4"/>
        <v>0</v>
      </c>
      <c r="Q192" s="199"/>
    </row>
    <row r="193">
      <c r="A193" s="238"/>
      <c r="B193" s="785"/>
      <c r="C193" s="786"/>
      <c r="D193" s="786"/>
      <c r="E193" s="786"/>
      <c r="F193" s="785"/>
      <c r="G193" s="787"/>
      <c r="H193" s="788"/>
      <c r="I193" s="283"/>
      <c r="J193" s="785"/>
      <c r="K193" s="786"/>
      <c r="L193" s="786"/>
      <c r="M193" s="786"/>
      <c r="N193" s="785"/>
      <c r="O193" s="787"/>
      <c r="P193" s="789">
        <f t="shared" si="4"/>
        <v>0</v>
      </c>
      <c r="Q193" s="199"/>
    </row>
    <row r="194">
      <c r="A194" s="238"/>
      <c r="B194" s="785"/>
      <c r="C194" s="786"/>
      <c r="D194" s="786"/>
      <c r="E194" s="786"/>
      <c r="F194" s="785"/>
      <c r="G194" s="787"/>
      <c r="H194" s="788"/>
      <c r="I194" s="283"/>
      <c r="J194" s="785"/>
      <c r="K194" s="786"/>
      <c r="L194" s="786"/>
      <c r="M194" s="786"/>
      <c r="N194" s="785"/>
      <c r="O194" s="787"/>
      <c r="P194" s="789">
        <f t="shared" si="4"/>
        <v>0</v>
      </c>
      <c r="Q194" s="199"/>
    </row>
    <row r="195">
      <c r="A195" s="238"/>
      <c r="B195" s="785"/>
      <c r="C195" s="786"/>
      <c r="D195" s="786"/>
      <c r="E195" s="786"/>
      <c r="F195" s="785"/>
      <c r="G195" s="787"/>
      <c r="H195" s="788"/>
      <c r="I195" s="283"/>
      <c r="J195" s="785"/>
      <c r="K195" s="786"/>
      <c r="L195" s="786"/>
      <c r="M195" s="786"/>
      <c r="N195" s="785"/>
      <c r="O195" s="787"/>
      <c r="P195" s="789">
        <f t="shared" si="4"/>
        <v>0</v>
      </c>
      <c r="Q195" s="199"/>
    </row>
    <row r="196">
      <c r="A196" s="238"/>
      <c r="B196" s="785"/>
      <c r="C196" s="786"/>
      <c r="D196" s="786"/>
      <c r="E196" s="786"/>
      <c r="F196" s="785"/>
      <c r="G196" s="787"/>
      <c r="H196" s="788"/>
      <c r="I196" s="283"/>
      <c r="J196" s="785"/>
      <c r="K196" s="786"/>
      <c r="L196" s="786"/>
      <c r="M196" s="786"/>
      <c r="N196" s="785"/>
      <c r="O196" s="787"/>
      <c r="P196" s="789">
        <f t="shared" si="4"/>
        <v>0</v>
      </c>
      <c r="Q196" s="199"/>
    </row>
    <row r="197">
      <c r="A197" s="197"/>
      <c r="B197" s="790" t="s">
        <v>711</v>
      </c>
      <c r="C197" s="791"/>
      <c r="D197" s="791"/>
      <c r="E197" s="792"/>
      <c r="F197" s="793">
        <f>SUM(F191:F196)</f>
        <v>0</v>
      </c>
      <c r="G197" s="794"/>
      <c r="H197" s="793">
        <f>SUM(H191:H196)</f>
        <v>0</v>
      </c>
      <c r="I197" s="1040"/>
      <c r="J197" s="790" t="s">
        <v>711</v>
      </c>
      <c r="K197" s="791"/>
      <c r="L197" s="791"/>
      <c r="M197" s="792"/>
      <c r="N197" s="793">
        <f>SUM(N191:N196)</f>
        <v>0</v>
      </c>
      <c r="O197" s="794"/>
      <c r="P197" s="793">
        <f>SUM(P191:P196)</f>
        <v>0</v>
      </c>
      <c r="Q197" s="199"/>
    </row>
    <row r="198">
      <c r="A198" s="238"/>
      <c r="B198" s="796"/>
      <c r="E198" s="798"/>
      <c r="H198" s="799"/>
      <c r="I198" s="283"/>
      <c r="J198" s="796"/>
      <c r="M198" s="798"/>
      <c r="P198" s="799"/>
      <c r="Q198" s="199"/>
    </row>
    <row r="199">
      <c r="A199" s="197"/>
      <c r="B199" s="800" t="s">
        <v>712</v>
      </c>
      <c r="C199" s="803"/>
      <c r="D199" s="804"/>
      <c r="H199" s="799"/>
      <c r="I199" s="283"/>
      <c r="J199" s="800" t="s">
        <v>712</v>
      </c>
      <c r="K199" s="803"/>
      <c r="L199" s="804"/>
      <c r="P199" s="799"/>
      <c r="Q199" s="199"/>
    </row>
    <row r="200">
      <c r="A200" s="197"/>
      <c r="B200" s="867"/>
      <c r="C200" s="808"/>
      <c r="D200" s="809"/>
      <c r="H200" s="799"/>
      <c r="I200" s="283"/>
      <c r="J200" s="867"/>
      <c r="K200" s="808"/>
      <c r="L200" s="809"/>
      <c r="P200" s="799"/>
      <c r="Q200" s="199"/>
    </row>
    <row r="201">
      <c r="A201" s="238"/>
      <c r="B201" s="868"/>
      <c r="C201" s="774"/>
      <c r="D201" s="816"/>
      <c r="H201" s="799"/>
      <c r="I201" s="283"/>
      <c r="J201" s="868"/>
      <c r="K201" s="774"/>
      <c r="L201" s="816"/>
      <c r="P201" s="799"/>
      <c r="Q201" s="199"/>
    </row>
    <row r="202">
      <c r="A202" s="197"/>
      <c r="B202" s="815"/>
      <c r="C202" s="792"/>
      <c r="D202" s="816"/>
      <c r="H202" s="829"/>
      <c r="I202" s="1040"/>
      <c r="J202" s="815"/>
      <c r="K202" s="792"/>
      <c r="L202" s="816"/>
      <c r="P202" s="829"/>
      <c r="Q202" s="199"/>
    </row>
    <row r="203">
      <c r="A203" s="238"/>
      <c r="B203" s="817"/>
      <c r="C203" s="774"/>
      <c r="D203" s="818"/>
      <c r="H203" s="799"/>
      <c r="I203" s="283"/>
      <c r="J203" s="817"/>
      <c r="K203" s="774"/>
      <c r="L203" s="818"/>
      <c r="P203" s="799"/>
      <c r="Q203" s="199"/>
    </row>
    <row r="204">
      <c r="A204" s="197"/>
      <c r="B204" s="817"/>
      <c r="C204" s="792"/>
      <c r="D204" s="818"/>
      <c r="H204" s="829"/>
      <c r="I204" s="1040"/>
      <c r="J204" s="817"/>
      <c r="K204" s="792"/>
      <c r="L204" s="818"/>
      <c r="P204" s="829"/>
      <c r="Q204" s="199"/>
    </row>
    <row r="205">
      <c r="A205" s="197"/>
      <c r="B205" s="821" t="s">
        <v>714</v>
      </c>
      <c r="C205" s="822"/>
      <c r="D205" s="823">
        <f>SUM(D200:D204)</f>
        <v>0</v>
      </c>
      <c r="H205" s="799"/>
      <c r="I205" s="283"/>
      <c r="J205" s="821" t="s">
        <v>714</v>
      </c>
      <c r="K205" s="822"/>
      <c r="L205" s="827"/>
      <c r="P205" s="799"/>
      <c r="Q205" s="199"/>
    </row>
    <row r="206">
      <c r="A206" s="197"/>
      <c r="B206" s="828"/>
      <c r="D206" s="829"/>
      <c r="H206" s="799"/>
      <c r="I206" s="283"/>
      <c r="J206" s="828"/>
      <c r="L206" s="829"/>
      <c r="P206" s="799"/>
      <c r="Q206" s="199"/>
    </row>
    <row r="207">
      <c r="A207" s="197"/>
      <c r="B207" s="833" t="s">
        <v>715</v>
      </c>
      <c r="C207" s="834"/>
      <c r="D207" s="835"/>
      <c r="H207" s="799"/>
      <c r="I207" s="283"/>
      <c r="J207" s="833" t="s">
        <v>715</v>
      </c>
      <c r="K207" s="834"/>
      <c r="L207" s="835"/>
      <c r="P207" s="799"/>
      <c r="Q207" s="199"/>
    </row>
    <row r="208">
      <c r="A208" s="197"/>
      <c r="B208" s="839"/>
      <c r="C208" s="840"/>
      <c r="D208" s="841"/>
      <c r="H208" s="799"/>
      <c r="I208" s="283"/>
      <c r="J208" s="839"/>
      <c r="K208" s="840"/>
      <c r="L208" s="841"/>
      <c r="P208" s="799"/>
      <c r="Q208" s="199"/>
    </row>
    <row r="209">
      <c r="A209" s="238"/>
      <c r="B209" s="847"/>
      <c r="C209" s="848"/>
      <c r="D209" s="849"/>
      <c r="E209" s="248"/>
      <c r="F209" s="845" t="s">
        <v>1182</v>
      </c>
      <c r="H209" s="1037">
        <f>H197+D205-D214</f>
        <v>0</v>
      </c>
      <c r="I209" s="283"/>
      <c r="J209" s="847"/>
      <c r="K209" s="848"/>
      <c r="L209" s="849"/>
      <c r="M209" s="248"/>
      <c r="N209" s="845" t="s">
        <v>1183</v>
      </c>
      <c r="P209" s="846">
        <f>P197+L205-L214</f>
        <v>0</v>
      </c>
      <c r="Q209" s="199"/>
    </row>
    <row r="210">
      <c r="A210" s="238"/>
      <c r="B210" s="847"/>
      <c r="C210" s="848"/>
      <c r="D210" s="849"/>
      <c r="H210" s="799"/>
      <c r="I210" s="283"/>
      <c r="J210" s="847"/>
      <c r="K210" s="848"/>
      <c r="L210" s="849"/>
      <c r="P210" s="799"/>
      <c r="Q210" s="199"/>
    </row>
    <row r="211">
      <c r="A211" s="238"/>
      <c r="B211" s="847"/>
      <c r="C211" s="848"/>
      <c r="D211" s="849"/>
      <c r="H211" s="799"/>
      <c r="I211" s="283"/>
      <c r="J211" s="847"/>
      <c r="K211" s="848"/>
      <c r="L211" s="849"/>
      <c r="P211" s="799"/>
      <c r="Q211" s="199"/>
    </row>
    <row r="212">
      <c r="A212" s="238"/>
      <c r="B212" s="847"/>
      <c r="C212" s="848"/>
      <c r="D212" s="849"/>
      <c r="F212" s="248"/>
      <c r="H212" s="799"/>
      <c r="I212" s="283"/>
      <c r="J212" s="847"/>
      <c r="K212" s="848"/>
      <c r="L212" s="849"/>
      <c r="N212" s="248"/>
      <c r="P212" s="799"/>
      <c r="Q212" s="199"/>
    </row>
    <row r="213">
      <c r="A213" s="238"/>
      <c r="B213" s="847"/>
      <c r="C213" s="848"/>
      <c r="D213" s="849"/>
      <c r="H213" s="799"/>
      <c r="I213" s="283"/>
      <c r="J213" s="847"/>
      <c r="K213" s="848"/>
      <c r="L213" s="849"/>
      <c r="P213" s="799"/>
      <c r="Q213" s="199"/>
    </row>
    <row r="214">
      <c r="A214" s="197"/>
      <c r="B214" s="853" t="s">
        <v>721</v>
      </c>
      <c r="C214" s="854"/>
      <c r="D214" s="855">
        <f>SUM(D208:D213)</f>
        <v>0</v>
      </c>
      <c r="H214" s="829"/>
      <c r="I214" s="1040"/>
      <c r="J214" s="853" t="s">
        <v>721</v>
      </c>
      <c r="K214" s="854"/>
      <c r="L214" s="855"/>
      <c r="P214" s="829"/>
      <c r="Q214" s="199"/>
    </row>
    <row r="215">
      <c r="A215" s="283"/>
      <c r="B215" s="856"/>
      <c r="C215" s="857"/>
      <c r="D215" s="857"/>
      <c r="E215" s="857"/>
      <c r="F215" s="857"/>
      <c r="G215" s="857"/>
      <c r="H215" s="808"/>
      <c r="I215" s="283"/>
      <c r="J215" s="856"/>
      <c r="K215" s="857"/>
      <c r="L215" s="857"/>
      <c r="M215" s="857"/>
      <c r="N215" s="857"/>
      <c r="O215" s="857"/>
      <c r="P215" s="808"/>
      <c r="Q215" s="199"/>
    </row>
    <row r="216">
      <c r="A216" s="1038"/>
      <c r="Y216" s="283"/>
    </row>
    <row r="217" ht="24.75" customHeight="1">
      <c r="A217" s="201"/>
      <c r="B217" s="769"/>
      <c r="C217" s="770"/>
      <c r="D217" s="770"/>
      <c r="E217" s="771" t="s">
        <v>700</v>
      </c>
      <c r="F217" s="772" t="str">
        <f>A2</f>
        <v>11.24.25-11.30.25</v>
      </c>
      <c r="G217" s="773"/>
      <c r="H217" s="774"/>
      <c r="I217" s="305">
        <v>4.0</v>
      </c>
      <c r="J217" s="769"/>
      <c r="K217" s="770"/>
      <c r="L217" s="770"/>
      <c r="M217" s="771" t="s">
        <v>700</v>
      </c>
      <c r="N217" s="772" t="str">
        <f>F217</f>
        <v>11.24.25-11.30.25</v>
      </c>
      <c r="O217" s="773"/>
      <c r="P217" s="774"/>
      <c r="Q217" s="199"/>
    </row>
    <row r="218" ht="25.5" customHeight="1">
      <c r="A218" s="194"/>
      <c r="B218" s="775"/>
      <c r="E218" s="771" t="s">
        <v>702</v>
      </c>
      <c r="F218" s="772" t="s">
        <v>660</v>
      </c>
      <c r="G218" s="773"/>
      <c r="H218" s="774"/>
      <c r="I218" s="283"/>
      <c r="J218" s="775"/>
      <c r="M218" s="771" t="s">
        <v>702</v>
      </c>
      <c r="N218" s="772"/>
      <c r="O218" s="773"/>
      <c r="P218" s="774"/>
      <c r="Q218" s="199"/>
    </row>
    <row r="219" ht="29.25" customHeight="1">
      <c r="A219" s="194"/>
      <c r="B219" s="775"/>
      <c r="E219" s="771" t="s">
        <v>703</v>
      </c>
      <c r="F219" s="772">
        <v>2319.0</v>
      </c>
      <c r="G219" s="773"/>
      <c r="H219" s="774"/>
      <c r="I219" s="283"/>
      <c r="J219" s="775"/>
      <c r="M219" s="771" t="s">
        <v>703</v>
      </c>
      <c r="N219" s="772">
        <v>2319.0</v>
      </c>
      <c r="O219" s="773"/>
      <c r="P219" s="774"/>
      <c r="Q219" s="199"/>
    </row>
    <row r="220">
      <c r="A220" s="1031"/>
      <c r="B220" s="779" t="s">
        <v>704</v>
      </c>
      <c r="C220" s="779" t="s">
        <v>5</v>
      </c>
      <c r="D220" s="779" t="s">
        <v>6</v>
      </c>
      <c r="E220" s="779" t="s">
        <v>7</v>
      </c>
      <c r="F220" s="779" t="s">
        <v>8</v>
      </c>
      <c r="G220" s="779" t="s">
        <v>706</v>
      </c>
      <c r="H220" s="779" t="s">
        <v>707</v>
      </c>
      <c r="I220" s="34"/>
      <c r="J220" s="779" t="s">
        <v>704</v>
      </c>
      <c r="K220" s="779" t="s">
        <v>5</v>
      </c>
      <c r="L220" s="779" t="s">
        <v>6</v>
      </c>
      <c r="M220" s="779" t="s">
        <v>7</v>
      </c>
      <c r="N220" s="779" t="s">
        <v>1178</v>
      </c>
      <c r="O220" s="779" t="s">
        <v>839</v>
      </c>
      <c r="P220" s="779" t="s">
        <v>707</v>
      </c>
      <c r="Q220" s="1032"/>
      <c r="R220" s="1032"/>
    </row>
    <row r="221">
      <c r="A221" s="229"/>
      <c r="B221" s="780"/>
      <c r="C221" s="781"/>
      <c r="D221" s="781"/>
      <c r="E221" s="781"/>
      <c r="F221" s="782"/>
      <c r="G221" s="783">
        <v>1.0</v>
      </c>
      <c r="H221" s="782"/>
      <c r="I221" s="283"/>
      <c r="J221" s="1033"/>
      <c r="K221" s="1034"/>
      <c r="L221" s="1034"/>
      <c r="M221" s="1034"/>
      <c r="N221" s="1035"/>
      <c r="O221" s="1036"/>
      <c r="P221" s="1035">
        <f t="shared" ref="P221:P226" si="5">N221*O221</f>
        <v>0</v>
      </c>
      <c r="Q221" s="199"/>
    </row>
    <row r="222">
      <c r="A222" s="229"/>
      <c r="B222" s="780"/>
      <c r="C222" s="781"/>
      <c r="D222" s="781"/>
      <c r="E222" s="781"/>
      <c r="F222" s="782"/>
      <c r="G222" s="783">
        <v>1.0</v>
      </c>
      <c r="H222" s="782"/>
      <c r="I222" s="283"/>
      <c r="J222" s="780"/>
      <c r="K222" s="781"/>
      <c r="L222" s="781"/>
      <c r="M222" s="781"/>
      <c r="N222" s="782"/>
      <c r="O222" s="783"/>
      <c r="P222" s="789">
        <f t="shared" si="5"/>
        <v>0</v>
      </c>
      <c r="Q222" s="199"/>
    </row>
    <row r="223">
      <c r="A223" s="238"/>
      <c r="B223" s="785"/>
      <c r="C223" s="786"/>
      <c r="D223" s="786"/>
      <c r="E223" s="786"/>
      <c r="F223" s="785"/>
      <c r="G223" s="787"/>
      <c r="H223" s="788"/>
      <c r="I223" s="283"/>
      <c r="J223" s="785"/>
      <c r="K223" s="786"/>
      <c r="L223" s="786"/>
      <c r="M223" s="786"/>
      <c r="N223" s="785"/>
      <c r="O223" s="787"/>
      <c r="P223" s="789">
        <f t="shared" si="5"/>
        <v>0</v>
      </c>
      <c r="Q223" s="199"/>
    </row>
    <row r="224">
      <c r="A224" s="238"/>
      <c r="B224" s="785"/>
      <c r="C224" s="786"/>
      <c r="D224" s="786"/>
      <c r="E224" s="786"/>
      <c r="F224" s="785"/>
      <c r="G224" s="787"/>
      <c r="H224" s="788"/>
      <c r="I224" s="283"/>
      <c r="J224" s="785"/>
      <c r="K224" s="786"/>
      <c r="L224" s="786"/>
      <c r="M224" s="786"/>
      <c r="N224" s="785"/>
      <c r="O224" s="787"/>
      <c r="P224" s="789">
        <f t="shared" si="5"/>
        <v>0</v>
      </c>
      <c r="Q224" s="199"/>
    </row>
    <row r="225">
      <c r="A225" s="238"/>
      <c r="B225" s="785"/>
      <c r="C225" s="786"/>
      <c r="D225" s="786"/>
      <c r="E225" s="786"/>
      <c r="F225" s="785"/>
      <c r="G225" s="787"/>
      <c r="H225" s="788"/>
      <c r="I225" s="283"/>
      <c r="J225" s="785"/>
      <c r="K225" s="786"/>
      <c r="L225" s="786"/>
      <c r="M225" s="786"/>
      <c r="N225" s="785"/>
      <c r="O225" s="787"/>
      <c r="P225" s="789">
        <f t="shared" si="5"/>
        <v>0</v>
      </c>
      <c r="Q225" s="199"/>
    </row>
    <row r="226">
      <c r="A226" s="238"/>
      <c r="B226" s="785"/>
      <c r="C226" s="786"/>
      <c r="D226" s="786"/>
      <c r="E226" s="786"/>
      <c r="F226" s="785"/>
      <c r="G226" s="787"/>
      <c r="H226" s="788"/>
      <c r="I226" s="283"/>
      <c r="J226" s="785"/>
      <c r="K226" s="786"/>
      <c r="L226" s="786"/>
      <c r="M226" s="786"/>
      <c r="N226" s="785"/>
      <c r="O226" s="787"/>
      <c r="P226" s="789">
        <f t="shared" si="5"/>
        <v>0</v>
      </c>
      <c r="Q226" s="199"/>
    </row>
    <row r="227">
      <c r="A227" s="197"/>
      <c r="B227" s="790" t="s">
        <v>711</v>
      </c>
      <c r="C227" s="791"/>
      <c r="D227" s="791"/>
      <c r="E227" s="792"/>
      <c r="F227" s="793">
        <f>SUM(F221:F226)</f>
        <v>0</v>
      </c>
      <c r="G227" s="794"/>
      <c r="H227" s="793">
        <f>SUM(H221:H226)</f>
        <v>0</v>
      </c>
      <c r="I227" s="1040"/>
      <c r="J227" s="790" t="s">
        <v>711</v>
      </c>
      <c r="K227" s="791"/>
      <c r="L227" s="791"/>
      <c r="M227" s="792"/>
      <c r="N227" s="793">
        <f>SUM(N221:N226)</f>
        <v>0</v>
      </c>
      <c r="O227" s="794"/>
      <c r="P227" s="793">
        <f>SUM(P221:P226)</f>
        <v>0</v>
      </c>
      <c r="Q227" s="199"/>
    </row>
    <row r="228">
      <c r="A228" s="238"/>
      <c r="B228" s="796"/>
      <c r="E228" s="798"/>
      <c r="H228" s="799"/>
      <c r="I228" s="283"/>
      <c r="J228" s="796"/>
      <c r="M228" s="798"/>
      <c r="P228" s="799"/>
      <c r="Q228" s="199"/>
    </row>
    <row r="229">
      <c r="A229" s="197"/>
      <c r="B229" s="800" t="s">
        <v>712</v>
      </c>
      <c r="C229" s="803"/>
      <c r="D229" s="804"/>
      <c r="H229" s="799"/>
      <c r="I229" s="283"/>
      <c r="J229" s="800" t="s">
        <v>712</v>
      </c>
      <c r="K229" s="803"/>
      <c r="L229" s="804"/>
      <c r="P229" s="799"/>
      <c r="Q229" s="199"/>
    </row>
    <row r="230">
      <c r="A230" s="197"/>
      <c r="B230" s="867"/>
      <c r="C230" s="808"/>
      <c r="D230" s="809"/>
      <c r="H230" s="799"/>
      <c r="I230" s="283"/>
      <c r="J230" s="867"/>
      <c r="K230" s="808"/>
      <c r="L230" s="809"/>
      <c r="P230" s="799"/>
      <c r="Q230" s="199"/>
    </row>
    <row r="231">
      <c r="A231" s="238"/>
      <c r="B231" s="868"/>
      <c r="C231" s="774"/>
      <c r="D231" s="816"/>
      <c r="H231" s="799"/>
      <c r="I231" s="283"/>
      <c r="J231" s="868"/>
      <c r="K231" s="774"/>
      <c r="L231" s="816"/>
      <c r="P231" s="799"/>
      <c r="Q231" s="199"/>
    </row>
    <row r="232">
      <c r="A232" s="197"/>
      <c r="B232" s="815"/>
      <c r="C232" s="792"/>
      <c r="D232" s="816"/>
      <c r="H232" s="829"/>
      <c r="I232" s="1040"/>
      <c r="J232" s="815"/>
      <c r="K232" s="792"/>
      <c r="L232" s="816"/>
      <c r="P232" s="829"/>
      <c r="Q232" s="199"/>
    </row>
    <row r="233">
      <c r="A233" s="238"/>
      <c r="B233" s="817"/>
      <c r="C233" s="774"/>
      <c r="D233" s="818"/>
      <c r="H233" s="799"/>
      <c r="I233" s="283"/>
      <c r="J233" s="817"/>
      <c r="K233" s="774"/>
      <c r="L233" s="818"/>
      <c r="P233" s="799"/>
      <c r="Q233" s="199"/>
    </row>
    <row r="234">
      <c r="A234" s="197"/>
      <c r="B234" s="817"/>
      <c r="C234" s="792"/>
      <c r="D234" s="818"/>
      <c r="H234" s="829"/>
      <c r="I234" s="1040"/>
      <c r="J234" s="817"/>
      <c r="K234" s="792"/>
      <c r="L234" s="818"/>
      <c r="P234" s="829"/>
      <c r="Q234" s="199"/>
    </row>
    <row r="235">
      <c r="A235" s="197"/>
      <c r="B235" s="821" t="s">
        <v>714</v>
      </c>
      <c r="C235" s="822"/>
      <c r="D235" s="823">
        <f>SUM(D230:D234)</f>
        <v>0</v>
      </c>
      <c r="H235" s="799"/>
      <c r="I235" s="283"/>
      <c r="J235" s="821" t="s">
        <v>714</v>
      </c>
      <c r="K235" s="822"/>
      <c r="L235" s="827"/>
      <c r="P235" s="799"/>
      <c r="Q235" s="199"/>
    </row>
    <row r="236">
      <c r="A236" s="197"/>
      <c r="B236" s="828"/>
      <c r="D236" s="829"/>
      <c r="H236" s="799"/>
      <c r="I236" s="283"/>
      <c r="J236" s="828"/>
      <c r="L236" s="829"/>
      <c r="P236" s="799"/>
      <c r="Q236" s="199"/>
    </row>
    <row r="237">
      <c r="A237" s="197"/>
      <c r="B237" s="833" t="s">
        <v>715</v>
      </c>
      <c r="C237" s="834"/>
      <c r="D237" s="835"/>
      <c r="H237" s="799"/>
      <c r="I237" s="283"/>
      <c r="J237" s="833" t="s">
        <v>715</v>
      </c>
      <c r="K237" s="834"/>
      <c r="L237" s="835"/>
      <c r="P237" s="799"/>
      <c r="Q237" s="199"/>
    </row>
    <row r="238">
      <c r="A238" s="197"/>
      <c r="B238" s="839"/>
      <c r="C238" s="840"/>
      <c r="D238" s="841"/>
      <c r="H238" s="799"/>
      <c r="I238" s="283"/>
      <c r="J238" s="839"/>
      <c r="K238" s="840"/>
      <c r="L238" s="841"/>
      <c r="P238" s="799"/>
      <c r="Q238" s="199"/>
    </row>
    <row r="239">
      <c r="A239" s="238"/>
      <c r="B239" s="847"/>
      <c r="C239" s="848"/>
      <c r="D239" s="849"/>
      <c r="E239" s="248"/>
      <c r="F239" s="845" t="s">
        <v>1182</v>
      </c>
      <c r="H239" s="1037">
        <f>H227+D235-D244</f>
        <v>0</v>
      </c>
      <c r="I239" s="283"/>
      <c r="J239" s="847"/>
      <c r="K239" s="848"/>
      <c r="L239" s="849"/>
      <c r="M239" s="248"/>
      <c r="N239" s="845" t="s">
        <v>1183</v>
      </c>
      <c r="P239" s="846">
        <f>P227+L235-L244</f>
        <v>0</v>
      </c>
      <c r="Q239" s="199"/>
    </row>
    <row r="240">
      <c r="A240" s="238"/>
      <c r="B240" s="847"/>
      <c r="C240" s="848"/>
      <c r="D240" s="849"/>
      <c r="H240" s="799"/>
      <c r="I240" s="283"/>
      <c r="J240" s="847"/>
      <c r="K240" s="848"/>
      <c r="L240" s="849"/>
      <c r="P240" s="799"/>
      <c r="Q240" s="199"/>
    </row>
    <row r="241">
      <c r="A241" s="238"/>
      <c r="B241" s="847"/>
      <c r="C241" s="848"/>
      <c r="D241" s="849"/>
      <c r="H241" s="799"/>
      <c r="I241" s="283"/>
      <c r="J241" s="847"/>
      <c r="K241" s="848"/>
      <c r="L241" s="849"/>
      <c r="P241" s="799"/>
      <c r="Q241" s="199"/>
    </row>
    <row r="242">
      <c r="A242" s="238"/>
      <c r="B242" s="847"/>
      <c r="C242" s="848"/>
      <c r="D242" s="849"/>
      <c r="F242" s="248"/>
      <c r="H242" s="799"/>
      <c r="I242" s="283"/>
      <c r="J242" s="847"/>
      <c r="K242" s="848"/>
      <c r="L242" s="849"/>
      <c r="N242" s="248"/>
      <c r="P242" s="799"/>
      <c r="Q242" s="199"/>
    </row>
    <row r="243">
      <c r="A243" s="238"/>
      <c r="B243" s="847"/>
      <c r="C243" s="848"/>
      <c r="D243" s="849"/>
      <c r="H243" s="799"/>
      <c r="I243" s="283"/>
      <c r="J243" s="847"/>
      <c r="K243" s="848"/>
      <c r="L243" s="849"/>
      <c r="P243" s="799"/>
      <c r="Q243" s="199"/>
    </row>
    <row r="244">
      <c r="A244" s="197"/>
      <c r="B244" s="853" t="s">
        <v>721</v>
      </c>
      <c r="C244" s="854"/>
      <c r="D244" s="855">
        <f>SUM(D238:D243)</f>
        <v>0</v>
      </c>
      <c r="H244" s="829"/>
      <c r="I244" s="1040"/>
      <c r="J244" s="853" t="s">
        <v>721</v>
      </c>
      <c r="K244" s="854"/>
      <c r="L244" s="855"/>
      <c r="P244" s="829"/>
      <c r="Q244" s="199"/>
    </row>
    <row r="245">
      <c r="A245" s="283"/>
      <c r="B245" s="856"/>
      <c r="C245" s="857"/>
      <c r="D245" s="857"/>
      <c r="E245" s="857"/>
      <c r="F245" s="857"/>
      <c r="G245" s="857"/>
      <c r="H245" s="808"/>
      <c r="I245" s="283"/>
      <c r="J245" s="856"/>
      <c r="K245" s="857"/>
      <c r="L245" s="857"/>
      <c r="M245" s="857"/>
      <c r="N245" s="857"/>
      <c r="O245" s="857"/>
      <c r="P245" s="808"/>
      <c r="Q245" s="199"/>
    </row>
    <row r="246">
      <c r="A246" s="1041"/>
      <c r="Y246" s="283"/>
    </row>
    <row r="247" ht="24.75" customHeight="1">
      <c r="A247" s="201"/>
      <c r="B247" s="769"/>
      <c r="C247" s="770"/>
      <c r="D247" s="770"/>
      <c r="E247" s="771" t="s">
        <v>700</v>
      </c>
      <c r="F247" s="772" t="str">
        <f>A2</f>
        <v>11.24.25-11.30.25</v>
      </c>
      <c r="G247" s="773"/>
      <c r="H247" s="774"/>
      <c r="I247" s="305">
        <v>5.0</v>
      </c>
      <c r="J247" s="769"/>
      <c r="K247" s="770"/>
      <c r="L247" s="770"/>
      <c r="M247" s="771" t="s">
        <v>700</v>
      </c>
      <c r="N247" s="772" t="str">
        <f>F247</f>
        <v>11.24.25-11.30.25</v>
      </c>
      <c r="O247" s="773"/>
      <c r="P247" s="774"/>
      <c r="Q247" s="199"/>
    </row>
    <row r="248" ht="25.5" customHeight="1">
      <c r="A248" s="194"/>
      <c r="B248" s="775"/>
      <c r="E248" s="771" t="s">
        <v>702</v>
      </c>
      <c r="F248" s="772" t="s">
        <v>660</v>
      </c>
      <c r="G248" s="773"/>
      <c r="H248" s="774"/>
      <c r="I248" s="283"/>
      <c r="J248" s="775"/>
      <c r="M248" s="771" t="s">
        <v>702</v>
      </c>
      <c r="N248" s="772"/>
      <c r="O248" s="773"/>
      <c r="P248" s="774"/>
      <c r="Q248" s="199"/>
    </row>
    <row r="249" ht="29.25" customHeight="1">
      <c r="A249" s="194"/>
      <c r="B249" s="775"/>
      <c r="E249" s="771" t="s">
        <v>703</v>
      </c>
      <c r="F249" s="772">
        <v>2319.0</v>
      </c>
      <c r="G249" s="773"/>
      <c r="H249" s="774"/>
      <c r="I249" s="283"/>
      <c r="J249" s="775"/>
      <c r="M249" s="771" t="s">
        <v>703</v>
      </c>
      <c r="N249" s="772">
        <v>2319.0</v>
      </c>
      <c r="O249" s="773"/>
      <c r="P249" s="774"/>
      <c r="Q249" s="199"/>
    </row>
    <row r="250">
      <c r="A250" s="1031"/>
      <c r="B250" s="779" t="s">
        <v>704</v>
      </c>
      <c r="C250" s="779" t="s">
        <v>5</v>
      </c>
      <c r="D250" s="779" t="s">
        <v>6</v>
      </c>
      <c r="E250" s="779" t="s">
        <v>7</v>
      </c>
      <c r="F250" s="779" t="s">
        <v>8</v>
      </c>
      <c r="G250" s="779" t="s">
        <v>706</v>
      </c>
      <c r="H250" s="779" t="s">
        <v>707</v>
      </c>
      <c r="I250" s="34"/>
      <c r="J250" s="779" t="s">
        <v>704</v>
      </c>
      <c r="K250" s="779" t="s">
        <v>5</v>
      </c>
      <c r="L250" s="779" t="s">
        <v>6</v>
      </c>
      <c r="M250" s="779" t="s">
        <v>7</v>
      </c>
      <c r="N250" s="779" t="s">
        <v>1178</v>
      </c>
      <c r="O250" s="779" t="s">
        <v>839</v>
      </c>
      <c r="P250" s="779" t="s">
        <v>707</v>
      </c>
      <c r="Q250" s="1032"/>
      <c r="R250" s="1032"/>
    </row>
    <row r="251">
      <c r="A251" s="229"/>
      <c r="B251" s="780"/>
      <c r="C251" s="781"/>
      <c r="D251" s="781"/>
      <c r="E251" s="781"/>
      <c r="F251" s="782"/>
      <c r="G251" s="783">
        <v>1.0</v>
      </c>
      <c r="H251" s="782"/>
      <c r="I251" s="283"/>
      <c r="J251" s="1033"/>
      <c r="K251" s="1034"/>
      <c r="L251" s="1034"/>
      <c r="M251" s="1034"/>
      <c r="N251" s="1035"/>
      <c r="O251" s="1036"/>
      <c r="P251" s="1035">
        <f t="shared" ref="P251:P256" si="6">N251*O251</f>
        <v>0</v>
      </c>
      <c r="Q251" s="199"/>
    </row>
    <row r="252">
      <c r="A252" s="229"/>
      <c r="B252" s="780"/>
      <c r="C252" s="781"/>
      <c r="D252" s="781"/>
      <c r="E252" s="781"/>
      <c r="F252" s="782"/>
      <c r="G252" s="783">
        <v>1.0</v>
      </c>
      <c r="H252" s="782"/>
      <c r="I252" s="283"/>
      <c r="J252" s="780"/>
      <c r="K252" s="781"/>
      <c r="L252" s="781"/>
      <c r="M252" s="781"/>
      <c r="N252" s="782"/>
      <c r="O252" s="783"/>
      <c r="P252" s="789">
        <f t="shared" si="6"/>
        <v>0</v>
      </c>
      <c r="Q252" s="199"/>
    </row>
    <row r="253">
      <c r="A253" s="238"/>
      <c r="B253" s="785"/>
      <c r="C253" s="786"/>
      <c r="D253" s="786"/>
      <c r="E253" s="786"/>
      <c r="F253" s="785"/>
      <c r="G253" s="787"/>
      <c r="H253" s="788"/>
      <c r="I253" s="283"/>
      <c r="J253" s="785"/>
      <c r="K253" s="786"/>
      <c r="L253" s="786"/>
      <c r="M253" s="786"/>
      <c r="N253" s="785"/>
      <c r="O253" s="787"/>
      <c r="P253" s="789">
        <f t="shared" si="6"/>
        <v>0</v>
      </c>
      <c r="Q253" s="199"/>
    </row>
    <row r="254">
      <c r="A254" s="238"/>
      <c r="B254" s="785"/>
      <c r="C254" s="786"/>
      <c r="D254" s="786"/>
      <c r="E254" s="786"/>
      <c r="F254" s="785"/>
      <c r="G254" s="787"/>
      <c r="H254" s="788"/>
      <c r="I254" s="283"/>
      <c r="J254" s="785"/>
      <c r="K254" s="786"/>
      <c r="L254" s="786"/>
      <c r="M254" s="786"/>
      <c r="N254" s="785"/>
      <c r="O254" s="787"/>
      <c r="P254" s="789">
        <f t="shared" si="6"/>
        <v>0</v>
      </c>
      <c r="Q254" s="199"/>
    </row>
    <row r="255">
      <c r="A255" s="238"/>
      <c r="B255" s="785"/>
      <c r="C255" s="786"/>
      <c r="D255" s="786"/>
      <c r="E255" s="786"/>
      <c r="F255" s="785"/>
      <c r="G255" s="787"/>
      <c r="H255" s="788"/>
      <c r="I255" s="283"/>
      <c r="J255" s="785"/>
      <c r="K255" s="786"/>
      <c r="L255" s="786"/>
      <c r="M255" s="786"/>
      <c r="N255" s="785"/>
      <c r="O255" s="787"/>
      <c r="P255" s="789">
        <f t="shared" si="6"/>
        <v>0</v>
      </c>
      <c r="Q255" s="199"/>
    </row>
    <row r="256">
      <c r="A256" s="238"/>
      <c r="B256" s="785"/>
      <c r="C256" s="786"/>
      <c r="D256" s="786"/>
      <c r="E256" s="786"/>
      <c r="F256" s="785"/>
      <c r="G256" s="787"/>
      <c r="H256" s="788"/>
      <c r="I256" s="283"/>
      <c r="J256" s="785"/>
      <c r="K256" s="786"/>
      <c r="L256" s="786"/>
      <c r="M256" s="786"/>
      <c r="N256" s="785"/>
      <c r="O256" s="787"/>
      <c r="P256" s="789">
        <f t="shared" si="6"/>
        <v>0</v>
      </c>
      <c r="Q256" s="199"/>
    </row>
    <row r="257">
      <c r="A257" s="197"/>
      <c r="B257" s="790" t="s">
        <v>711</v>
      </c>
      <c r="C257" s="791"/>
      <c r="D257" s="791"/>
      <c r="E257" s="792"/>
      <c r="F257" s="793">
        <f>SUM(F251:F256)</f>
        <v>0</v>
      </c>
      <c r="G257" s="794"/>
      <c r="H257" s="793">
        <f>SUM(H251:H256)</f>
        <v>0</v>
      </c>
      <c r="I257" s="283"/>
      <c r="J257" s="790" t="s">
        <v>711</v>
      </c>
      <c r="K257" s="791"/>
      <c r="L257" s="791"/>
      <c r="M257" s="792"/>
      <c r="N257" s="793">
        <f>SUM(N251:N256)</f>
        <v>0</v>
      </c>
      <c r="O257" s="794"/>
      <c r="P257" s="793">
        <f>SUM(P251:P256)</f>
        <v>0</v>
      </c>
      <c r="Q257" s="199"/>
    </row>
    <row r="258">
      <c r="A258" s="238"/>
      <c r="B258" s="1042"/>
      <c r="E258" s="798"/>
      <c r="H258" s="829"/>
      <c r="I258" s="1040"/>
      <c r="J258" s="1042"/>
      <c r="M258" s="798"/>
      <c r="P258" s="829"/>
      <c r="Q258" s="199"/>
    </row>
    <row r="259">
      <c r="A259" s="197"/>
      <c r="B259" s="800" t="s">
        <v>712</v>
      </c>
      <c r="C259" s="803"/>
      <c r="D259" s="804"/>
      <c r="H259" s="799"/>
      <c r="I259" s="283"/>
      <c r="J259" s="800" t="s">
        <v>712</v>
      </c>
      <c r="K259" s="803"/>
      <c r="L259" s="804"/>
      <c r="P259" s="799"/>
      <c r="Q259" s="199"/>
    </row>
    <row r="260">
      <c r="A260" s="197"/>
      <c r="B260" s="867"/>
      <c r="C260" s="808"/>
      <c r="D260" s="809"/>
      <c r="H260" s="799"/>
      <c r="I260" s="283"/>
      <c r="J260" s="867"/>
      <c r="K260" s="808"/>
      <c r="L260" s="809"/>
      <c r="P260" s="799"/>
      <c r="Q260" s="199"/>
    </row>
    <row r="261">
      <c r="A261" s="238"/>
      <c r="B261" s="868"/>
      <c r="C261" s="774"/>
      <c r="D261" s="816"/>
      <c r="H261" s="799"/>
      <c r="I261" s="283"/>
      <c r="J261" s="868"/>
      <c r="K261" s="774"/>
      <c r="L261" s="816"/>
      <c r="P261" s="799"/>
      <c r="Q261" s="199"/>
    </row>
    <row r="262">
      <c r="A262" s="197"/>
      <c r="B262" s="815"/>
      <c r="C262" s="792"/>
      <c r="D262" s="816"/>
      <c r="H262" s="799"/>
      <c r="I262" s="283"/>
      <c r="J262" s="815"/>
      <c r="K262" s="792"/>
      <c r="L262" s="816"/>
      <c r="P262" s="799"/>
      <c r="Q262" s="199"/>
    </row>
    <row r="263">
      <c r="A263" s="238"/>
      <c r="B263" s="817"/>
      <c r="C263" s="792"/>
      <c r="D263" s="818"/>
      <c r="H263" s="799"/>
      <c r="I263" s="283"/>
      <c r="J263" s="817"/>
      <c r="K263" s="774"/>
      <c r="L263" s="818"/>
      <c r="P263" s="799"/>
      <c r="Q263" s="199"/>
    </row>
    <row r="264">
      <c r="A264" s="197"/>
      <c r="B264" s="817"/>
      <c r="C264" s="774"/>
      <c r="D264" s="818"/>
      <c r="H264" s="799"/>
      <c r="I264" s="283"/>
      <c r="J264" s="817"/>
      <c r="K264" s="774"/>
      <c r="L264" s="818"/>
      <c r="P264" s="799"/>
      <c r="Q264" s="199"/>
    </row>
    <row r="265">
      <c r="A265" s="197"/>
      <c r="B265" s="821" t="s">
        <v>714</v>
      </c>
      <c r="C265" s="1043"/>
      <c r="D265" s="823">
        <f>SUM(D260:D264)</f>
        <v>0</v>
      </c>
      <c r="H265" s="829"/>
      <c r="I265" s="1040"/>
      <c r="J265" s="821" t="s">
        <v>714</v>
      </c>
      <c r="K265" s="1043"/>
      <c r="L265" s="827"/>
      <c r="P265" s="829"/>
      <c r="Q265" s="199"/>
    </row>
    <row r="266">
      <c r="A266" s="197"/>
      <c r="B266" s="828"/>
      <c r="D266" s="829"/>
      <c r="H266" s="799"/>
      <c r="I266" s="283"/>
      <c r="J266" s="828"/>
      <c r="L266" s="829"/>
      <c r="P266" s="799"/>
      <c r="Q266" s="199"/>
    </row>
    <row r="267">
      <c r="A267" s="197"/>
      <c r="B267" s="833" t="s">
        <v>715</v>
      </c>
      <c r="C267" s="834"/>
      <c r="D267" s="835"/>
      <c r="H267" s="799"/>
      <c r="I267" s="283"/>
      <c r="J267" s="833" t="s">
        <v>715</v>
      </c>
      <c r="K267" s="834"/>
      <c r="L267" s="835"/>
      <c r="P267" s="799"/>
      <c r="Q267" s="199"/>
    </row>
    <row r="268">
      <c r="A268" s="197"/>
      <c r="B268" s="839"/>
      <c r="C268" s="840"/>
      <c r="D268" s="841"/>
      <c r="H268" s="799"/>
      <c r="I268" s="283"/>
      <c r="J268" s="839"/>
      <c r="K268" s="840"/>
      <c r="L268" s="841"/>
      <c r="P268" s="799"/>
      <c r="Q268" s="199"/>
    </row>
    <row r="269">
      <c r="A269" s="238"/>
      <c r="B269" s="847"/>
      <c r="C269" s="848"/>
      <c r="D269" s="849"/>
      <c r="E269" s="248"/>
      <c r="F269" s="845" t="s">
        <v>1182</v>
      </c>
      <c r="H269" s="1037">
        <f>H257+D265-D274</f>
        <v>0</v>
      </c>
      <c r="I269" s="283"/>
      <c r="J269" s="847"/>
      <c r="K269" s="848"/>
      <c r="L269" s="849"/>
      <c r="M269" s="248"/>
      <c r="N269" s="845" t="s">
        <v>1183</v>
      </c>
      <c r="P269" s="846">
        <f>P257+L265-L274</f>
        <v>0</v>
      </c>
      <c r="Q269" s="199"/>
    </row>
    <row r="270">
      <c r="A270" s="238"/>
      <c r="B270" s="847"/>
      <c r="C270" s="848"/>
      <c r="D270" s="849"/>
      <c r="H270" s="799"/>
      <c r="I270" s="283"/>
      <c r="J270" s="847"/>
      <c r="K270" s="848"/>
      <c r="L270" s="849"/>
      <c r="P270" s="799"/>
      <c r="Q270" s="199"/>
    </row>
    <row r="271">
      <c r="A271" s="238"/>
      <c r="B271" s="847"/>
      <c r="C271" s="848"/>
      <c r="D271" s="849"/>
      <c r="H271" s="799"/>
      <c r="I271" s="283"/>
      <c r="J271" s="847"/>
      <c r="K271" s="848"/>
      <c r="L271" s="849"/>
      <c r="P271" s="799"/>
      <c r="Q271" s="199"/>
    </row>
    <row r="272">
      <c r="A272" s="238"/>
      <c r="B272" s="847"/>
      <c r="C272" s="848"/>
      <c r="D272" s="849"/>
      <c r="F272" s="248"/>
      <c r="H272" s="799"/>
      <c r="I272" s="283"/>
      <c r="J272" s="847"/>
      <c r="K272" s="848"/>
      <c r="L272" s="849"/>
      <c r="N272" s="248"/>
      <c r="P272" s="799"/>
      <c r="Q272" s="199"/>
    </row>
    <row r="273">
      <c r="A273" s="238"/>
      <c r="B273" s="847"/>
      <c r="C273" s="848"/>
      <c r="D273" s="849"/>
      <c r="H273" s="799"/>
      <c r="I273" s="283"/>
      <c r="J273" s="847"/>
      <c r="K273" s="848"/>
      <c r="L273" s="849"/>
      <c r="P273" s="799"/>
      <c r="Q273" s="199"/>
    </row>
    <row r="274">
      <c r="A274" s="197"/>
      <c r="B274" s="853" t="s">
        <v>721</v>
      </c>
      <c r="C274" s="854"/>
      <c r="D274" s="855">
        <f>SUM(D268:D273)</f>
        <v>0</v>
      </c>
      <c r="H274" s="799"/>
      <c r="I274" s="283"/>
      <c r="J274" s="853" t="s">
        <v>721</v>
      </c>
      <c r="K274" s="854"/>
      <c r="L274" s="855"/>
      <c r="P274" s="799"/>
      <c r="Q274" s="199"/>
    </row>
    <row r="275">
      <c r="A275" s="283"/>
      <c r="B275" s="856"/>
      <c r="C275" s="857"/>
      <c r="D275" s="857"/>
      <c r="E275" s="857"/>
      <c r="F275" s="857"/>
      <c r="G275" s="857"/>
      <c r="H275" s="808"/>
      <c r="I275" s="283"/>
      <c r="J275" s="856"/>
      <c r="K275" s="857"/>
      <c r="L275" s="857"/>
      <c r="M275" s="857"/>
      <c r="N275" s="857"/>
      <c r="O275" s="857"/>
      <c r="P275" s="808"/>
      <c r="Q275" s="199"/>
    </row>
    <row r="276">
      <c r="A276" s="1041"/>
      <c r="Y276" s="283"/>
    </row>
    <row r="277" ht="24.75" customHeight="1">
      <c r="A277" s="201"/>
      <c r="B277" s="769"/>
      <c r="C277" s="770"/>
      <c r="D277" s="770"/>
      <c r="E277" s="771" t="s">
        <v>700</v>
      </c>
      <c r="F277" s="772" t="str">
        <f>A2</f>
        <v>11.24.25-11.30.25</v>
      </c>
      <c r="G277" s="773"/>
      <c r="H277" s="774"/>
      <c r="I277" s="305">
        <v>6.0</v>
      </c>
      <c r="J277" s="769"/>
      <c r="K277" s="770"/>
      <c r="L277" s="770"/>
      <c r="M277" s="771" t="s">
        <v>700</v>
      </c>
      <c r="N277" s="772" t="str">
        <f>F277</f>
        <v>11.24.25-11.30.25</v>
      </c>
      <c r="O277" s="773"/>
      <c r="P277" s="774"/>
      <c r="Q277" s="199"/>
    </row>
    <row r="278" ht="25.5" customHeight="1">
      <c r="A278" s="194"/>
      <c r="B278" s="775"/>
      <c r="E278" s="771" t="s">
        <v>702</v>
      </c>
      <c r="F278" s="772" t="s">
        <v>660</v>
      </c>
      <c r="G278" s="773"/>
      <c r="H278" s="774"/>
      <c r="I278" s="283"/>
      <c r="J278" s="775"/>
      <c r="M278" s="771" t="s">
        <v>702</v>
      </c>
      <c r="N278" s="772"/>
      <c r="O278" s="773"/>
      <c r="P278" s="774"/>
      <c r="Q278" s="199"/>
    </row>
    <row r="279" ht="29.25" customHeight="1">
      <c r="A279" s="194"/>
      <c r="B279" s="775"/>
      <c r="E279" s="771" t="s">
        <v>703</v>
      </c>
      <c r="F279" s="772">
        <v>2319.0</v>
      </c>
      <c r="G279" s="773"/>
      <c r="H279" s="774"/>
      <c r="I279" s="283"/>
      <c r="J279" s="775"/>
      <c r="M279" s="771" t="s">
        <v>703</v>
      </c>
      <c r="N279" s="772">
        <v>2319.0</v>
      </c>
      <c r="O279" s="773"/>
      <c r="P279" s="774"/>
      <c r="Q279" s="199"/>
    </row>
    <row r="280">
      <c r="A280" s="1031"/>
      <c r="B280" s="779" t="s">
        <v>704</v>
      </c>
      <c r="C280" s="779" t="s">
        <v>5</v>
      </c>
      <c r="D280" s="779" t="s">
        <v>6</v>
      </c>
      <c r="E280" s="779" t="s">
        <v>7</v>
      </c>
      <c r="F280" s="779" t="s">
        <v>8</v>
      </c>
      <c r="G280" s="779" t="s">
        <v>706</v>
      </c>
      <c r="H280" s="779" t="s">
        <v>707</v>
      </c>
      <c r="I280" s="34"/>
      <c r="J280" s="779" t="s">
        <v>704</v>
      </c>
      <c r="K280" s="779" t="s">
        <v>5</v>
      </c>
      <c r="L280" s="779" t="s">
        <v>6</v>
      </c>
      <c r="M280" s="779" t="s">
        <v>7</v>
      </c>
      <c r="N280" s="779" t="s">
        <v>1178</v>
      </c>
      <c r="O280" s="779" t="s">
        <v>839</v>
      </c>
      <c r="P280" s="779" t="s">
        <v>707</v>
      </c>
      <c r="Q280" s="1032"/>
      <c r="R280" s="1032"/>
    </row>
    <row r="281">
      <c r="A281" s="229"/>
      <c r="B281" s="780"/>
      <c r="C281" s="781"/>
      <c r="D281" s="781"/>
      <c r="E281" s="781"/>
      <c r="F281" s="782"/>
      <c r="G281" s="783">
        <v>1.0</v>
      </c>
      <c r="H281" s="782"/>
      <c r="I281" s="283"/>
      <c r="J281" s="1033"/>
      <c r="K281" s="1034"/>
      <c r="L281" s="1034"/>
      <c r="M281" s="1034"/>
      <c r="N281" s="1035"/>
      <c r="O281" s="1036"/>
      <c r="P281" s="1035">
        <f t="shared" ref="P281:P286" si="7">N281*O281</f>
        <v>0</v>
      </c>
      <c r="Q281" s="199"/>
    </row>
    <row r="282">
      <c r="A282" s="229"/>
      <c r="B282" s="780"/>
      <c r="C282" s="781"/>
      <c r="D282" s="781"/>
      <c r="E282" s="781"/>
      <c r="F282" s="782"/>
      <c r="G282" s="783">
        <v>1.0</v>
      </c>
      <c r="H282" s="782"/>
      <c r="I282" s="283"/>
      <c r="J282" s="780"/>
      <c r="K282" s="781"/>
      <c r="L282" s="781"/>
      <c r="M282" s="781"/>
      <c r="N282" s="782"/>
      <c r="O282" s="783"/>
      <c r="P282" s="789">
        <f t="shared" si="7"/>
        <v>0</v>
      </c>
      <c r="Q282" s="199"/>
    </row>
    <row r="283">
      <c r="A283" s="238"/>
      <c r="B283" s="785"/>
      <c r="C283" s="786"/>
      <c r="D283" s="786"/>
      <c r="E283" s="786"/>
      <c r="F283" s="785"/>
      <c r="G283" s="787"/>
      <c r="H283" s="788"/>
      <c r="I283" s="283"/>
      <c r="J283" s="785"/>
      <c r="K283" s="786"/>
      <c r="L283" s="786"/>
      <c r="M283" s="786"/>
      <c r="N283" s="785"/>
      <c r="O283" s="787"/>
      <c r="P283" s="789">
        <f t="shared" si="7"/>
        <v>0</v>
      </c>
      <c r="Q283" s="199"/>
    </row>
    <row r="284">
      <c r="A284" s="238"/>
      <c r="B284" s="785"/>
      <c r="C284" s="786"/>
      <c r="D284" s="786"/>
      <c r="E284" s="786"/>
      <c r="F284" s="785"/>
      <c r="G284" s="787"/>
      <c r="H284" s="788"/>
      <c r="I284" s="283"/>
      <c r="J284" s="785"/>
      <c r="K284" s="786"/>
      <c r="L284" s="786"/>
      <c r="M284" s="786"/>
      <c r="N284" s="785"/>
      <c r="O284" s="787"/>
      <c r="P284" s="789">
        <f t="shared" si="7"/>
        <v>0</v>
      </c>
      <c r="Q284" s="199"/>
    </row>
    <row r="285">
      <c r="A285" s="238"/>
      <c r="B285" s="785"/>
      <c r="C285" s="786"/>
      <c r="D285" s="786"/>
      <c r="E285" s="786"/>
      <c r="F285" s="785"/>
      <c r="G285" s="787"/>
      <c r="H285" s="788"/>
      <c r="I285" s="283"/>
      <c r="J285" s="785"/>
      <c r="K285" s="786"/>
      <c r="L285" s="786"/>
      <c r="M285" s="786"/>
      <c r="N285" s="785"/>
      <c r="O285" s="787"/>
      <c r="P285" s="789">
        <f t="shared" si="7"/>
        <v>0</v>
      </c>
      <c r="Q285" s="199"/>
    </row>
    <row r="286">
      <c r="A286" s="238"/>
      <c r="B286" s="785"/>
      <c r="C286" s="786"/>
      <c r="D286" s="786"/>
      <c r="E286" s="786"/>
      <c r="F286" s="785"/>
      <c r="G286" s="787"/>
      <c r="H286" s="788"/>
      <c r="I286" s="283"/>
      <c r="J286" s="785"/>
      <c r="K286" s="786"/>
      <c r="L286" s="786"/>
      <c r="M286" s="786"/>
      <c r="N286" s="785"/>
      <c r="O286" s="787"/>
      <c r="P286" s="789">
        <f t="shared" si="7"/>
        <v>0</v>
      </c>
      <c r="Q286" s="199"/>
    </row>
    <row r="287">
      <c r="A287" s="197"/>
      <c r="B287" s="790" t="s">
        <v>711</v>
      </c>
      <c r="C287" s="791"/>
      <c r="D287" s="791"/>
      <c r="E287" s="792"/>
      <c r="F287" s="793">
        <f>SUM(F281:F286)</f>
        <v>0</v>
      </c>
      <c r="G287" s="794"/>
      <c r="H287" s="793">
        <f>SUM(H281:H286)</f>
        <v>0</v>
      </c>
      <c r="I287" s="1040"/>
      <c r="J287" s="790" t="s">
        <v>711</v>
      </c>
      <c r="K287" s="791"/>
      <c r="L287" s="791"/>
      <c r="M287" s="792"/>
      <c r="N287" s="793">
        <f>SUM(N281:N286)</f>
        <v>0</v>
      </c>
      <c r="O287" s="794"/>
      <c r="P287" s="793">
        <f>SUM(P281:P286)</f>
        <v>0</v>
      </c>
      <c r="Q287" s="199"/>
    </row>
    <row r="288">
      <c r="A288" s="238"/>
      <c r="B288" s="796"/>
      <c r="E288" s="798"/>
      <c r="H288" s="799"/>
      <c r="I288" s="283"/>
      <c r="J288" s="796"/>
      <c r="M288" s="798"/>
      <c r="P288" s="799"/>
      <c r="Q288" s="199"/>
    </row>
    <row r="289">
      <c r="A289" s="197"/>
      <c r="B289" s="800" t="s">
        <v>712</v>
      </c>
      <c r="C289" s="801"/>
      <c r="D289" s="802"/>
      <c r="H289" s="829"/>
      <c r="I289" s="1040"/>
      <c r="J289" s="800" t="s">
        <v>712</v>
      </c>
      <c r="K289" s="801"/>
      <c r="L289" s="802"/>
      <c r="P289" s="829"/>
      <c r="Q289" s="199"/>
    </row>
    <row r="290">
      <c r="A290" s="197"/>
      <c r="B290" s="867"/>
      <c r="C290" s="808"/>
      <c r="D290" s="809"/>
      <c r="H290" s="799"/>
      <c r="I290" s="283"/>
      <c r="J290" s="867"/>
      <c r="K290" s="808"/>
      <c r="L290" s="809"/>
      <c r="P290" s="799"/>
      <c r="Q290" s="199"/>
    </row>
    <row r="291">
      <c r="A291" s="238"/>
      <c r="B291" s="868"/>
      <c r="C291" s="774"/>
      <c r="D291" s="816"/>
      <c r="H291" s="799"/>
      <c r="I291" s="283"/>
      <c r="J291" s="868"/>
      <c r="K291" s="774"/>
      <c r="L291" s="816"/>
      <c r="P291" s="799"/>
      <c r="Q291" s="199"/>
    </row>
    <row r="292">
      <c r="A292" s="197"/>
      <c r="B292" s="815"/>
      <c r="C292" s="792"/>
      <c r="D292" s="816"/>
      <c r="H292" s="799"/>
      <c r="I292" s="283"/>
      <c r="J292" s="815"/>
      <c r="K292" s="792"/>
      <c r="L292" s="816"/>
      <c r="P292" s="799"/>
      <c r="Q292" s="199"/>
    </row>
    <row r="293">
      <c r="A293" s="238"/>
      <c r="B293" s="817"/>
      <c r="C293" s="774"/>
      <c r="D293" s="818"/>
      <c r="H293" s="799"/>
      <c r="I293" s="283"/>
      <c r="J293" s="817"/>
      <c r="K293" s="774"/>
      <c r="L293" s="818"/>
      <c r="P293" s="799"/>
      <c r="Q293" s="199"/>
    </row>
    <row r="294">
      <c r="A294" s="197"/>
      <c r="B294" s="817"/>
      <c r="C294" s="792"/>
      <c r="D294" s="818"/>
      <c r="H294" s="829"/>
      <c r="I294" s="1040"/>
      <c r="J294" s="817"/>
      <c r="K294" s="792"/>
      <c r="L294" s="818"/>
      <c r="P294" s="829"/>
      <c r="Q294" s="199"/>
    </row>
    <row r="295">
      <c r="A295" s="197"/>
      <c r="B295" s="821" t="s">
        <v>714</v>
      </c>
      <c r="C295" s="822"/>
      <c r="D295" s="823">
        <f>SUM(D290:D294)</f>
        <v>0</v>
      </c>
      <c r="H295" s="799"/>
      <c r="I295" s="283"/>
      <c r="J295" s="821" t="s">
        <v>714</v>
      </c>
      <c r="K295" s="822"/>
      <c r="L295" s="827"/>
      <c r="P295" s="799"/>
      <c r="Q295" s="199"/>
    </row>
    <row r="296">
      <c r="A296" s="197"/>
      <c r="B296" s="828"/>
      <c r="D296" s="829"/>
      <c r="H296" s="799"/>
      <c r="I296" s="283"/>
      <c r="J296" s="828"/>
      <c r="L296" s="829"/>
      <c r="P296" s="799"/>
      <c r="Q296" s="199"/>
    </row>
    <row r="297">
      <c r="A297" s="197"/>
      <c r="B297" s="833" t="s">
        <v>715</v>
      </c>
      <c r="C297" s="834"/>
      <c r="D297" s="835"/>
      <c r="H297" s="799"/>
      <c r="I297" s="283"/>
      <c r="J297" s="833" t="s">
        <v>715</v>
      </c>
      <c r="K297" s="834"/>
      <c r="L297" s="835"/>
      <c r="P297" s="799"/>
      <c r="Q297" s="199"/>
    </row>
    <row r="298">
      <c r="A298" s="197"/>
      <c r="B298" s="839"/>
      <c r="C298" s="840"/>
      <c r="D298" s="841"/>
      <c r="H298" s="799"/>
      <c r="I298" s="283"/>
      <c r="J298" s="839"/>
      <c r="K298" s="840"/>
      <c r="L298" s="841"/>
      <c r="P298" s="799"/>
      <c r="Q298" s="199"/>
    </row>
    <row r="299">
      <c r="A299" s="238"/>
      <c r="B299" s="847"/>
      <c r="C299" s="848"/>
      <c r="D299" s="849"/>
      <c r="E299" s="248"/>
      <c r="F299" s="845" t="s">
        <v>1182</v>
      </c>
      <c r="H299" s="1037">
        <f>H287+D295-D304</f>
        <v>0</v>
      </c>
      <c r="I299" s="283"/>
      <c r="J299" s="847"/>
      <c r="K299" s="848"/>
      <c r="L299" s="849"/>
      <c r="M299" s="248"/>
      <c r="N299" s="845" t="s">
        <v>1183</v>
      </c>
      <c r="P299" s="846">
        <f>P287+L295-L304</f>
        <v>0</v>
      </c>
      <c r="Q299" s="199"/>
    </row>
    <row r="300">
      <c r="A300" s="238"/>
      <c r="B300" s="847"/>
      <c r="C300" s="848"/>
      <c r="D300" s="849"/>
      <c r="H300" s="799"/>
      <c r="I300" s="283"/>
      <c r="J300" s="847"/>
      <c r="K300" s="848"/>
      <c r="L300" s="849"/>
      <c r="P300" s="799"/>
      <c r="Q300" s="199"/>
    </row>
    <row r="301">
      <c r="A301" s="238"/>
      <c r="B301" s="847"/>
      <c r="C301" s="848"/>
      <c r="D301" s="849"/>
      <c r="H301" s="799"/>
      <c r="I301" s="283"/>
      <c r="J301" s="847"/>
      <c r="K301" s="848"/>
      <c r="L301" s="849"/>
      <c r="P301" s="799"/>
      <c r="Q301" s="199"/>
    </row>
    <row r="302">
      <c r="A302" s="238"/>
      <c r="B302" s="847"/>
      <c r="C302" s="848"/>
      <c r="D302" s="849"/>
      <c r="F302" s="248"/>
      <c r="H302" s="799"/>
      <c r="I302" s="283"/>
      <c r="J302" s="847"/>
      <c r="K302" s="848"/>
      <c r="L302" s="849"/>
      <c r="N302" s="248"/>
      <c r="P302" s="799"/>
      <c r="Q302" s="199"/>
    </row>
    <row r="303">
      <c r="A303" s="238"/>
      <c r="B303" s="847"/>
      <c r="C303" s="848"/>
      <c r="D303" s="849"/>
      <c r="H303" s="799"/>
      <c r="I303" s="283"/>
      <c r="J303" s="847"/>
      <c r="K303" s="848"/>
      <c r="L303" s="849"/>
      <c r="P303" s="799"/>
      <c r="Q303" s="199"/>
    </row>
    <row r="304">
      <c r="A304" s="197"/>
      <c r="B304" s="853" t="s">
        <v>721</v>
      </c>
      <c r="C304" s="854"/>
      <c r="D304" s="855">
        <f>SUM(D298:D303)</f>
        <v>0</v>
      </c>
      <c r="H304" s="829"/>
      <c r="I304" s="1040"/>
      <c r="J304" s="853" t="s">
        <v>721</v>
      </c>
      <c r="K304" s="854"/>
      <c r="L304" s="855"/>
      <c r="P304" s="829"/>
      <c r="Q304" s="199"/>
    </row>
    <row r="305">
      <c r="A305" s="283"/>
      <c r="B305" s="856"/>
      <c r="C305" s="857"/>
      <c r="D305" s="857"/>
      <c r="E305" s="857"/>
      <c r="F305" s="857"/>
      <c r="G305" s="857"/>
      <c r="H305" s="808"/>
      <c r="I305" s="283"/>
      <c r="J305" s="856"/>
      <c r="K305" s="857"/>
      <c r="L305" s="857"/>
      <c r="M305" s="857"/>
      <c r="N305" s="857"/>
      <c r="O305" s="857"/>
      <c r="P305" s="808"/>
      <c r="Q305" s="199"/>
    </row>
    <row r="306">
      <c r="A306" s="1038"/>
      <c r="Y306" s="283"/>
    </row>
    <row r="307" ht="24.75" customHeight="1">
      <c r="A307" s="201"/>
      <c r="B307" s="769"/>
      <c r="C307" s="770"/>
      <c r="D307" s="770"/>
      <c r="E307" s="771" t="s">
        <v>700</v>
      </c>
      <c r="F307" s="772" t="str">
        <f>A2</f>
        <v>11.24.25-11.30.25</v>
      </c>
      <c r="G307" s="773"/>
      <c r="H307" s="774"/>
      <c r="I307" s="305">
        <v>7.0</v>
      </c>
      <c r="J307" s="769"/>
      <c r="K307" s="770"/>
      <c r="L307" s="770"/>
      <c r="M307" s="771" t="s">
        <v>700</v>
      </c>
      <c r="N307" s="772" t="str">
        <f>F307</f>
        <v>11.24.25-11.30.25</v>
      </c>
      <c r="O307" s="773"/>
      <c r="P307" s="774"/>
      <c r="Q307" s="199"/>
    </row>
    <row r="308" ht="25.5" customHeight="1">
      <c r="A308" s="194"/>
      <c r="B308" s="775"/>
      <c r="E308" s="771" t="s">
        <v>702</v>
      </c>
      <c r="F308" s="772" t="s">
        <v>660</v>
      </c>
      <c r="G308" s="773"/>
      <c r="H308" s="774"/>
      <c r="I308" s="283"/>
      <c r="J308" s="775"/>
      <c r="M308" s="771" t="s">
        <v>702</v>
      </c>
      <c r="N308" s="772"/>
      <c r="O308" s="773"/>
      <c r="P308" s="774"/>
      <c r="Q308" s="199"/>
    </row>
    <row r="309" ht="29.25" customHeight="1">
      <c r="A309" s="194"/>
      <c r="B309" s="775"/>
      <c r="E309" s="771" t="s">
        <v>703</v>
      </c>
      <c r="F309" s="772">
        <v>2319.0</v>
      </c>
      <c r="G309" s="773"/>
      <c r="H309" s="774"/>
      <c r="I309" s="283"/>
      <c r="J309" s="775"/>
      <c r="M309" s="771" t="s">
        <v>703</v>
      </c>
      <c r="N309" s="772">
        <v>2319.0</v>
      </c>
      <c r="O309" s="773"/>
      <c r="P309" s="774"/>
      <c r="Q309" s="199"/>
    </row>
    <row r="310">
      <c r="A310" s="1031"/>
      <c r="B310" s="779" t="s">
        <v>704</v>
      </c>
      <c r="C310" s="779" t="s">
        <v>5</v>
      </c>
      <c r="D310" s="779" t="s">
        <v>6</v>
      </c>
      <c r="E310" s="779" t="s">
        <v>7</v>
      </c>
      <c r="F310" s="779" t="s">
        <v>8</v>
      </c>
      <c r="G310" s="779" t="s">
        <v>706</v>
      </c>
      <c r="H310" s="779" t="s">
        <v>707</v>
      </c>
      <c r="I310" s="34"/>
      <c r="J310" s="779" t="s">
        <v>704</v>
      </c>
      <c r="K310" s="779" t="s">
        <v>5</v>
      </c>
      <c r="L310" s="779" t="s">
        <v>6</v>
      </c>
      <c r="M310" s="779" t="s">
        <v>7</v>
      </c>
      <c r="N310" s="779" t="s">
        <v>1178</v>
      </c>
      <c r="O310" s="779" t="s">
        <v>839</v>
      </c>
      <c r="P310" s="779" t="s">
        <v>707</v>
      </c>
      <c r="Q310" s="1032"/>
      <c r="R310" s="1032"/>
    </row>
    <row r="311">
      <c r="A311" s="229"/>
      <c r="B311" s="780"/>
      <c r="C311" s="781"/>
      <c r="D311" s="781"/>
      <c r="E311" s="781"/>
      <c r="F311" s="782"/>
      <c r="G311" s="783">
        <v>1.0</v>
      </c>
      <c r="H311" s="782"/>
      <c r="I311" s="283"/>
      <c r="J311" s="1033"/>
      <c r="K311" s="1034"/>
      <c r="L311" s="1034"/>
      <c r="M311" s="1034"/>
      <c r="N311" s="1035"/>
      <c r="O311" s="1036"/>
      <c r="P311" s="1035">
        <f t="shared" ref="P311:P316" si="8">N311*O311</f>
        <v>0</v>
      </c>
      <c r="Q311" s="199"/>
    </row>
    <row r="312">
      <c r="A312" s="229"/>
      <c r="B312" s="780"/>
      <c r="C312" s="781"/>
      <c r="D312" s="781"/>
      <c r="E312" s="781"/>
      <c r="F312" s="782"/>
      <c r="G312" s="783">
        <v>1.0</v>
      </c>
      <c r="H312" s="782"/>
      <c r="I312" s="283"/>
      <c r="J312" s="780"/>
      <c r="K312" s="781"/>
      <c r="L312" s="781"/>
      <c r="M312" s="781"/>
      <c r="N312" s="782"/>
      <c r="O312" s="783"/>
      <c r="P312" s="789">
        <f t="shared" si="8"/>
        <v>0</v>
      </c>
      <c r="Q312" s="199"/>
    </row>
    <row r="313">
      <c r="A313" s="238"/>
      <c r="B313" s="785"/>
      <c r="C313" s="786"/>
      <c r="D313" s="786"/>
      <c r="E313" s="786"/>
      <c r="F313" s="785"/>
      <c r="G313" s="787"/>
      <c r="H313" s="788"/>
      <c r="I313" s="283"/>
      <c r="J313" s="785"/>
      <c r="K313" s="786"/>
      <c r="L313" s="786"/>
      <c r="M313" s="786"/>
      <c r="N313" s="785"/>
      <c r="O313" s="787"/>
      <c r="P313" s="789">
        <f t="shared" si="8"/>
        <v>0</v>
      </c>
      <c r="Q313" s="199"/>
    </row>
    <row r="314">
      <c r="A314" s="238"/>
      <c r="B314" s="785"/>
      <c r="C314" s="786"/>
      <c r="D314" s="786"/>
      <c r="E314" s="786"/>
      <c r="F314" s="785"/>
      <c r="G314" s="787"/>
      <c r="H314" s="788"/>
      <c r="I314" s="283"/>
      <c r="J314" s="785"/>
      <c r="K314" s="786"/>
      <c r="L314" s="786"/>
      <c r="M314" s="786"/>
      <c r="N314" s="785"/>
      <c r="O314" s="787"/>
      <c r="P314" s="789">
        <f t="shared" si="8"/>
        <v>0</v>
      </c>
      <c r="Q314" s="199"/>
    </row>
    <row r="315">
      <c r="A315" s="238"/>
      <c r="B315" s="785"/>
      <c r="C315" s="786"/>
      <c r="D315" s="786"/>
      <c r="E315" s="786"/>
      <c r="F315" s="785"/>
      <c r="G315" s="787"/>
      <c r="H315" s="788"/>
      <c r="I315" s="283"/>
      <c r="J315" s="785"/>
      <c r="K315" s="786"/>
      <c r="L315" s="786"/>
      <c r="M315" s="786"/>
      <c r="N315" s="785"/>
      <c r="O315" s="787"/>
      <c r="P315" s="789">
        <f t="shared" si="8"/>
        <v>0</v>
      </c>
      <c r="Q315" s="199"/>
    </row>
    <row r="316">
      <c r="A316" s="238"/>
      <c r="B316" s="785"/>
      <c r="C316" s="786"/>
      <c r="D316" s="786"/>
      <c r="E316" s="786"/>
      <c r="F316" s="785"/>
      <c r="G316" s="787"/>
      <c r="H316" s="788"/>
      <c r="I316" s="283"/>
      <c r="J316" s="785"/>
      <c r="K316" s="786"/>
      <c r="L316" s="786"/>
      <c r="M316" s="786"/>
      <c r="N316" s="785"/>
      <c r="O316" s="787"/>
      <c r="P316" s="789">
        <f t="shared" si="8"/>
        <v>0</v>
      </c>
      <c r="Q316" s="199"/>
    </row>
    <row r="317">
      <c r="A317" s="197"/>
      <c r="B317" s="790" t="s">
        <v>711</v>
      </c>
      <c r="C317" s="791"/>
      <c r="D317" s="791"/>
      <c r="E317" s="792"/>
      <c r="F317" s="793">
        <f>SUM(F311:F316)</f>
        <v>0</v>
      </c>
      <c r="G317" s="794"/>
      <c r="H317" s="793">
        <f>SUM(H311:H316)</f>
        <v>0</v>
      </c>
      <c r="I317" s="1040"/>
      <c r="J317" s="790" t="s">
        <v>711</v>
      </c>
      <c r="K317" s="791"/>
      <c r="L317" s="791"/>
      <c r="M317" s="792"/>
      <c r="N317" s="793">
        <f>SUM(N311:N316)</f>
        <v>0</v>
      </c>
      <c r="O317" s="794"/>
      <c r="P317" s="793">
        <f>SUM(P311:P316)</f>
        <v>0</v>
      </c>
      <c r="Q317" s="199"/>
    </row>
    <row r="318">
      <c r="A318" s="238"/>
      <c r="B318" s="796"/>
      <c r="E318" s="798"/>
      <c r="H318" s="799"/>
      <c r="I318" s="283"/>
      <c r="J318" s="796"/>
      <c r="M318" s="798"/>
      <c r="P318" s="799"/>
      <c r="Q318" s="199"/>
    </row>
    <row r="319">
      <c r="A319" s="197"/>
      <c r="B319" s="800" t="s">
        <v>712</v>
      </c>
      <c r="C319" s="803"/>
      <c r="D319" s="804"/>
      <c r="H319" s="799"/>
      <c r="I319" s="283"/>
      <c r="J319" s="800" t="s">
        <v>712</v>
      </c>
      <c r="K319" s="803"/>
      <c r="L319" s="804"/>
      <c r="P319" s="799"/>
      <c r="Q319" s="199"/>
    </row>
    <row r="320">
      <c r="A320" s="197"/>
      <c r="B320" s="867"/>
      <c r="C320" s="808"/>
      <c r="D320" s="809"/>
      <c r="H320" s="799"/>
      <c r="I320" s="283"/>
      <c r="J320" s="867"/>
      <c r="K320" s="808"/>
      <c r="L320" s="809"/>
      <c r="P320" s="799"/>
      <c r="Q320" s="199"/>
    </row>
    <row r="321">
      <c r="A321" s="238"/>
      <c r="B321" s="868"/>
      <c r="C321" s="774"/>
      <c r="D321" s="816"/>
      <c r="H321" s="799"/>
      <c r="I321" s="283"/>
      <c r="J321" s="868"/>
      <c r="K321" s="774"/>
      <c r="L321" s="816"/>
      <c r="P321" s="799"/>
      <c r="Q321" s="199"/>
    </row>
    <row r="322">
      <c r="A322" s="197"/>
      <c r="B322" s="815"/>
      <c r="C322" s="792"/>
      <c r="D322" s="816"/>
      <c r="H322" s="829"/>
      <c r="I322" s="1040"/>
      <c r="J322" s="815"/>
      <c r="K322" s="792"/>
      <c r="L322" s="816"/>
      <c r="P322" s="829"/>
      <c r="Q322" s="199"/>
    </row>
    <row r="323">
      <c r="A323" s="238"/>
      <c r="B323" s="817"/>
      <c r="C323" s="774"/>
      <c r="D323" s="818"/>
      <c r="H323" s="799"/>
      <c r="I323" s="283"/>
      <c r="J323" s="817"/>
      <c r="K323" s="774"/>
      <c r="L323" s="818"/>
      <c r="P323" s="799"/>
      <c r="Q323" s="199"/>
    </row>
    <row r="324">
      <c r="A324" s="197"/>
      <c r="B324" s="817"/>
      <c r="C324" s="792"/>
      <c r="D324" s="818"/>
      <c r="H324" s="829"/>
      <c r="I324" s="1040"/>
      <c r="J324" s="817"/>
      <c r="K324" s="792"/>
      <c r="L324" s="818"/>
      <c r="P324" s="829"/>
      <c r="Q324" s="199"/>
    </row>
    <row r="325">
      <c r="A325" s="197"/>
      <c r="B325" s="821" t="s">
        <v>714</v>
      </c>
      <c r="C325" s="822"/>
      <c r="D325" s="823">
        <f>SUM(D320:D324)</f>
        <v>0</v>
      </c>
      <c r="H325" s="799"/>
      <c r="I325" s="283"/>
      <c r="J325" s="821" t="s">
        <v>714</v>
      </c>
      <c r="K325" s="822"/>
      <c r="L325" s="827"/>
      <c r="P325" s="799"/>
      <c r="Q325" s="199"/>
    </row>
    <row r="326">
      <c r="A326" s="197"/>
      <c r="B326" s="828"/>
      <c r="D326" s="829"/>
      <c r="H326" s="799"/>
      <c r="I326" s="283"/>
      <c r="J326" s="828"/>
      <c r="L326" s="829"/>
      <c r="P326" s="799"/>
      <c r="Q326" s="199"/>
    </row>
    <row r="327">
      <c r="A327" s="197"/>
      <c r="B327" s="833" t="s">
        <v>715</v>
      </c>
      <c r="C327" s="834"/>
      <c r="D327" s="835"/>
      <c r="H327" s="799"/>
      <c r="I327" s="283"/>
      <c r="J327" s="833" t="s">
        <v>715</v>
      </c>
      <c r="K327" s="834"/>
      <c r="L327" s="835"/>
      <c r="P327" s="799"/>
      <c r="Q327" s="199"/>
    </row>
    <row r="328">
      <c r="A328" s="197"/>
      <c r="B328" s="839"/>
      <c r="C328" s="840"/>
      <c r="D328" s="841"/>
      <c r="H328" s="799"/>
      <c r="I328" s="283"/>
      <c r="J328" s="839"/>
      <c r="K328" s="840"/>
      <c r="L328" s="841"/>
      <c r="P328" s="799"/>
      <c r="Q328" s="199"/>
    </row>
    <row r="329">
      <c r="A329" s="238"/>
      <c r="B329" s="847"/>
      <c r="C329" s="848"/>
      <c r="D329" s="849"/>
      <c r="E329" s="248"/>
      <c r="F329" s="845" t="s">
        <v>1182</v>
      </c>
      <c r="H329" s="1037">
        <f>H317+D325-D334</f>
        <v>0</v>
      </c>
      <c r="I329" s="283"/>
      <c r="J329" s="847"/>
      <c r="K329" s="848"/>
      <c r="L329" s="849"/>
      <c r="M329" s="248"/>
      <c r="N329" s="845" t="s">
        <v>1183</v>
      </c>
      <c r="P329" s="846">
        <f>P317+L325-L334</f>
        <v>0</v>
      </c>
      <c r="Q329" s="199"/>
    </row>
    <row r="330">
      <c r="A330" s="238"/>
      <c r="B330" s="847"/>
      <c r="C330" s="848"/>
      <c r="D330" s="849"/>
      <c r="H330" s="799"/>
      <c r="I330" s="283"/>
      <c r="J330" s="847"/>
      <c r="K330" s="848"/>
      <c r="L330" s="849"/>
      <c r="P330" s="799"/>
      <c r="Q330" s="199"/>
    </row>
    <row r="331">
      <c r="A331" s="238"/>
      <c r="B331" s="847"/>
      <c r="C331" s="848"/>
      <c r="D331" s="849"/>
      <c r="H331" s="799"/>
      <c r="I331" s="283"/>
      <c r="J331" s="847"/>
      <c r="K331" s="848"/>
      <c r="L331" s="849"/>
      <c r="P331" s="799"/>
      <c r="Q331" s="199"/>
    </row>
    <row r="332">
      <c r="A332" s="238"/>
      <c r="B332" s="847"/>
      <c r="C332" s="848"/>
      <c r="D332" s="849"/>
      <c r="F332" s="248"/>
      <c r="H332" s="799"/>
      <c r="I332" s="283"/>
      <c r="J332" s="847"/>
      <c r="K332" s="848"/>
      <c r="L332" s="849"/>
      <c r="N332" s="248"/>
      <c r="P332" s="799"/>
      <c r="Q332" s="199"/>
    </row>
    <row r="333">
      <c r="A333" s="238"/>
      <c r="B333" s="847"/>
      <c r="C333" s="848"/>
      <c r="D333" s="849"/>
      <c r="H333" s="799"/>
      <c r="I333" s="283"/>
      <c r="J333" s="847"/>
      <c r="K333" s="848"/>
      <c r="L333" s="849"/>
      <c r="P333" s="799"/>
      <c r="Q333" s="199"/>
    </row>
    <row r="334">
      <c r="A334" s="197"/>
      <c r="B334" s="853" t="s">
        <v>721</v>
      </c>
      <c r="C334" s="854"/>
      <c r="D334" s="855">
        <f>SUM(D328:D333)</f>
        <v>0</v>
      </c>
      <c r="H334" s="829"/>
      <c r="I334" s="1040"/>
      <c r="J334" s="853" t="s">
        <v>721</v>
      </c>
      <c r="K334" s="854"/>
      <c r="L334" s="855"/>
      <c r="P334" s="829"/>
      <c r="Q334" s="199"/>
    </row>
    <row r="335">
      <c r="A335" s="283"/>
      <c r="B335" s="856"/>
      <c r="C335" s="857"/>
      <c r="D335" s="857"/>
      <c r="E335" s="857"/>
      <c r="F335" s="857"/>
      <c r="G335" s="857"/>
      <c r="H335" s="808"/>
      <c r="I335" s="283"/>
      <c r="J335" s="856"/>
      <c r="K335" s="857"/>
      <c r="L335" s="857"/>
      <c r="M335" s="857"/>
      <c r="N335" s="857"/>
      <c r="O335" s="857"/>
      <c r="P335" s="808"/>
      <c r="Q335" s="199"/>
    </row>
    <row r="336">
      <c r="A336" s="1039"/>
      <c r="Y336" s="194"/>
    </row>
    <row r="337" ht="24.75" customHeight="1">
      <c r="A337" s="201"/>
      <c r="B337" s="769"/>
      <c r="C337" s="770"/>
      <c r="D337" s="770"/>
      <c r="E337" s="771" t="s">
        <v>700</v>
      </c>
      <c r="F337" s="772" t="str">
        <f>A2</f>
        <v>11.24.25-11.30.25</v>
      </c>
      <c r="G337" s="773"/>
      <c r="H337" s="774"/>
      <c r="I337" s="305">
        <v>8.0</v>
      </c>
      <c r="J337" s="769"/>
      <c r="K337" s="770"/>
      <c r="L337" s="770"/>
      <c r="M337" s="771" t="s">
        <v>700</v>
      </c>
      <c r="N337" s="772" t="str">
        <f>F337</f>
        <v>11.24.25-11.30.25</v>
      </c>
      <c r="O337" s="773"/>
      <c r="P337" s="774"/>
      <c r="Q337" s="199"/>
    </row>
    <row r="338" ht="25.5" customHeight="1">
      <c r="A338" s="194"/>
      <c r="B338" s="775"/>
      <c r="E338" s="771" t="s">
        <v>702</v>
      </c>
      <c r="F338" s="772" t="s">
        <v>660</v>
      </c>
      <c r="G338" s="773"/>
      <c r="H338" s="774"/>
      <c r="I338" s="283"/>
      <c r="J338" s="775"/>
      <c r="M338" s="771" t="s">
        <v>702</v>
      </c>
      <c r="N338" s="772"/>
      <c r="O338" s="773"/>
      <c r="P338" s="774"/>
      <c r="Q338" s="199"/>
    </row>
    <row r="339" ht="29.25" customHeight="1">
      <c r="A339" s="194"/>
      <c r="B339" s="775"/>
      <c r="E339" s="771" t="s">
        <v>703</v>
      </c>
      <c r="F339" s="772">
        <v>2319.0</v>
      </c>
      <c r="G339" s="773"/>
      <c r="H339" s="774"/>
      <c r="I339" s="283"/>
      <c r="J339" s="775"/>
      <c r="M339" s="771" t="s">
        <v>703</v>
      </c>
      <c r="N339" s="772">
        <v>2319.0</v>
      </c>
      <c r="O339" s="773"/>
      <c r="P339" s="774"/>
      <c r="Q339" s="199"/>
    </row>
    <row r="340">
      <c r="A340" s="1031"/>
      <c r="B340" s="779" t="s">
        <v>704</v>
      </c>
      <c r="C340" s="779" t="s">
        <v>5</v>
      </c>
      <c r="D340" s="779" t="s">
        <v>6</v>
      </c>
      <c r="E340" s="779" t="s">
        <v>7</v>
      </c>
      <c r="F340" s="779" t="s">
        <v>8</v>
      </c>
      <c r="G340" s="779" t="s">
        <v>706</v>
      </c>
      <c r="H340" s="779" t="s">
        <v>707</v>
      </c>
      <c r="I340" s="34"/>
      <c r="J340" s="779" t="s">
        <v>704</v>
      </c>
      <c r="K340" s="779" t="s">
        <v>5</v>
      </c>
      <c r="L340" s="779" t="s">
        <v>6</v>
      </c>
      <c r="M340" s="779" t="s">
        <v>7</v>
      </c>
      <c r="N340" s="779" t="s">
        <v>1178</v>
      </c>
      <c r="O340" s="779" t="s">
        <v>839</v>
      </c>
      <c r="P340" s="779" t="s">
        <v>707</v>
      </c>
      <c r="Q340" s="1032"/>
      <c r="R340" s="1032"/>
    </row>
    <row r="341">
      <c r="A341" s="229"/>
      <c r="B341" s="780"/>
      <c r="C341" s="781"/>
      <c r="D341" s="781"/>
      <c r="E341" s="781"/>
      <c r="F341" s="782"/>
      <c r="G341" s="783">
        <v>1.0</v>
      </c>
      <c r="H341" s="782"/>
      <c r="I341" s="283"/>
      <c r="J341" s="1033"/>
      <c r="K341" s="1034"/>
      <c r="L341" s="1034"/>
      <c r="M341" s="1034"/>
      <c r="N341" s="1035"/>
      <c r="O341" s="1036"/>
      <c r="P341" s="1035">
        <f t="shared" ref="P341:P346" si="9">N341*O341</f>
        <v>0</v>
      </c>
      <c r="Q341" s="199"/>
    </row>
    <row r="342">
      <c r="A342" s="229"/>
      <c r="B342" s="780"/>
      <c r="C342" s="781"/>
      <c r="D342" s="781"/>
      <c r="E342" s="781"/>
      <c r="F342" s="782"/>
      <c r="G342" s="783">
        <v>1.0</v>
      </c>
      <c r="H342" s="782"/>
      <c r="I342" s="283"/>
      <c r="J342" s="780"/>
      <c r="K342" s="781"/>
      <c r="L342" s="781"/>
      <c r="M342" s="781"/>
      <c r="N342" s="782"/>
      <c r="O342" s="783"/>
      <c r="P342" s="789">
        <f t="shared" si="9"/>
        <v>0</v>
      </c>
      <c r="Q342" s="199"/>
    </row>
    <row r="343">
      <c r="A343" s="238"/>
      <c r="B343" s="785"/>
      <c r="C343" s="786"/>
      <c r="D343" s="786"/>
      <c r="E343" s="786"/>
      <c r="F343" s="785"/>
      <c r="G343" s="787"/>
      <c r="H343" s="788"/>
      <c r="I343" s="283"/>
      <c r="J343" s="785"/>
      <c r="K343" s="786"/>
      <c r="L343" s="786"/>
      <c r="M343" s="786"/>
      <c r="N343" s="785"/>
      <c r="O343" s="787"/>
      <c r="P343" s="789">
        <f t="shared" si="9"/>
        <v>0</v>
      </c>
      <c r="Q343" s="199"/>
    </row>
    <row r="344">
      <c r="A344" s="238"/>
      <c r="B344" s="785"/>
      <c r="C344" s="786"/>
      <c r="D344" s="786"/>
      <c r="E344" s="786"/>
      <c r="F344" s="785"/>
      <c r="G344" s="787"/>
      <c r="H344" s="788"/>
      <c r="I344" s="283"/>
      <c r="J344" s="785"/>
      <c r="K344" s="786"/>
      <c r="L344" s="786"/>
      <c r="M344" s="786"/>
      <c r="N344" s="785"/>
      <c r="O344" s="787"/>
      <c r="P344" s="789">
        <f t="shared" si="9"/>
        <v>0</v>
      </c>
      <c r="Q344" s="199"/>
    </row>
    <row r="345">
      <c r="A345" s="238"/>
      <c r="B345" s="785"/>
      <c r="C345" s="786"/>
      <c r="D345" s="786"/>
      <c r="E345" s="786"/>
      <c r="F345" s="785"/>
      <c r="G345" s="787"/>
      <c r="H345" s="788"/>
      <c r="I345" s="283"/>
      <c r="J345" s="785"/>
      <c r="K345" s="786"/>
      <c r="L345" s="786"/>
      <c r="M345" s="786"/>
      <c r="N345" s="785"/>
      <c r="O345" s="787"/>
      <c r="P345" s="789">
        <f t="shared" si="9"/>
        <v>0</v>
      </c>
      <c r="Q345" s="199"/>
    </row>
    <row r="346">
      <c r="A346" s="238"/>
      <c r="B346" s="785"/>
      <c r="C346" s="786"/>
      <c r="D346" s="786"/>
      <c r="E346" s="786"/>
      <c r="F346" s="785"/>
      <c r="G346" s="787"/>
      <c r="H346" s="788"/>
      <c r="I346" s="283"/>
      <c r="J346" s="785"/>
      <c r="K346" s="786"/>
      <c r="L346" s="786"/>
      <c r="M346" s="786"/>
      <c r="N346" s="785"/>
      <c r="O346" s="787"/>
      <c r="P346" s="789">
        <f t="shared" si="9"/>
        <v>0</v>
      </c>
      <c r="Q346" s="199"/>
    </row>
    <row r="347">
      <c r="A347" s="197"/>
      <c r="B347" s="790" t="s">
        <v>711</v>
      </c>
      <c r="C347" s="791"/>
      <c r="D347" s="791"/>
      <c r="E347" s="792"/>
      <c r="F347" s="793">
        <f>SUM(F341:F346)</f>
        <v>0</v>
      </c>
      <c r="G347" s="794"/>
      <c r="H347" s="793">
        <f>SUM(H341:H346)</f>
        <v>0</v>
      </c>
      <c r="I347" s="283"/>
      <c r="J347" s="790" t="s">
        <v>711</v>
      </c>
      <c r="K347" s="791"/>
      <c r="L347" s="791"/>
      <c r="M347" s="792"/>
      <c r="N347" s="793">
        <f>SUM(N341:N346)</f>
        <v>0</v>
      </c>
      <c r="O347" s="794"/>
      <c r="P347" s="793">
        <f>SUM(P341:P346)</f>
        <v>0</v>
      </c>
      <c r="Q347" s="199"/>
    </row>
    <row r="348">
      <c r="A348" s="238"/>
      <c r="B348" s="796"/>
      <c r="E348" s="798"/>
      <c r="H348" s="799"/>
      <c r="I348" s="283"/>
      <c r="J348" s="796"/>
      <c r="M348" s="798"/>
      <c r="P348" s="799"/>
      <c r="Q348" s="199"/>
    </row>
    <row r="349">
      <c r="A349" s="197"/>
      <c r="B349" s="800" t="s">
        <v>712</v>
      </c>
      <c r="C349" s="803"/>
      <c r="D349" s="804"/>
      <c r="H349" s="799"/>
      <c r="I349" s="283"/>
      <c r="J349" s="800" t="s">
        <v>712</v>
      </c>
      <c r="K349" s="803"/>
      <c r="L349" s="804"/>
      <c r="P349" s="799"/>
      <c r="Q349" s="199"/>
    </row>
    <row r="350">
      <c r="A350" s="197"/>
      <c r="B350" s="867"/>
      <c r="C350" s="808"/>
      <c r="D350" s="809"/>
      <c r="H350" s="799"/>
      <c r="I350" s="283"/>
      <c r="J350" s="867"/>
      <c r="K350" s="808"/>
      <c r="L350" s="809"/>
      <c r="P350" s="799"/>
      <c r="Q350" s="199"/>
    </row>
    <row r="351">
      <c r="A351" s="238"/>
      <c r="B351" s="868"/>
      <c r="C351" s="774"/>
      <c r="D351" s="816"/>
      <c r="H351" s="799"/>
      <c r="I351" s="283"/>
      <c r="J351" s="868"/>
      <c r="K351" s="774"/>
      <c r="L351" s="816"/>
      <c r="P351" s="799"/>
      <c r="Q351" s="199"/>
    </row>
    <row r="352">
      <c r="A352" s="197"/>
      <c r="B352" s="815"/>
      <c r="C352" s="792"/>
      <c r="D352" s="816"/>
      <c r="H352" s="799"/>
      <c r="I352" s="283"/>
      <c r="J352" s="815"/>
      <c r="K352" s="792"/>
      <c r="L352" s="816"/>
      <c r="P352" s="799"/>
      <c r="Q352" s="199"/>
    </row>
    <row r="353">
      <c r="A353" s="238"/>
      <c r="B353" s="817"/>
      <c r="C353" s="774"/>
      <c r="D353" s="818"/>
      <c r="H353" s="799"/>
      <c r="I353" s="283"/>
      <c r="J353" s="817"/>
      <c r="K353" s="774"/>
      <c r="L353" s="818"/>
      <c r="P353" s="799"/>
      <c r="Q353" s="199"/>
    </row>
    <row r="354">
      <c r="A354" s="197"/>
      <c r="B354" s="817"/>
      <c r="C354" s="774"/>
      <c r="D354" s="818"/>
      <c r="H354" s="799"/>
      <c r="I354" s="283"/>
      <c r="J354" s="817"/>
      <c r="K354" s="774"/>
      <c r="L354" s="818"/>
      <c r="P354" s="799"/>
      <c r="Q354" s="199"/>
    </row>
    <row r="355">
      <c r="A355" s="197"/>
      <c r="B355" s="821" t="s">
        <v>714</v>
      </c>
      <c r="C355" s="822"/>
      <c r="D355" s="823">
        <f>SUM(D350:D354)</f>
        <v>0</v>
      </c>
      <c r="H355" s="799"/>
      <c r="I355" s="283"/>
      <c r="J355" s="821" t="s">
        <v>714</v>
      </c>
      <c r="K355" s="822"/>
      <c r="L355" s="827"/>
      <c r="P355" s="799"/>
      <c r="Q355" s="199"/>
    </row>
    <row r="356">
      <c r="A356" s="197"/>
      <c r="B356" s="828"/>
      <c r="D356" s="829"/>
      <c r="H356" s="799"/>
      <c r="I356" s="283"/>
      <c r="J356" s="828"/>
      <c r="L356" s="829"/>
      <c r="P356" s="799"/>
      <c r="Q356" s="199"/>
    </row>
    <row r="357">
      <c r="A357" s="197"/>
      <c r="B357" s="833" t="s">
        <v>715</v>
      </c>
      <c r="C357" s="834"/>
      <c r="D357" s="835"/>
      <c r="H357" s="799"/>
      <c r="I357" s="283"/>
      <c r="J357" s="833" t="s">
        <v>715</v>
      </c>
      <c r="K357" s="834"/>
      <c r="L357" s="835"/>
      <c r="P357" s="799"/>
      <c r="Q357" s="199"/>
    </row>
    <row r="358">
      <c r="A358" s="197"/>
      <c r="B358" s="839"/>
      <c r="C358" s="840"/>
      <c r="D358" s="841"/>
      <c r="H358" s="799"/>
      <c r="I358" s="283"/>
      <c r="J358" s="839"/>
      <c r="K358" s="840"/>
      <c r="L358" s="841"/>
      <c r="P358" s="799"/>
      <c r="Q358" s="199"/>
    </row>
    <row r="359">
      <c r="A359" s="238"/>
      <c r="B359" s="847"/>
      <c r="C359" s="848"/>
      <c r="D359" s="849"/>
      <c r="E359" s="248"/>
      <c r="F359" s="845" t="s">
        <v>1182</v>
      </c>
      <c r="H359" s="1037">
        <f>H347+D355-D364</f>
        <v>0</v>
      </c>
      <c r="I359" s="283"/>
      <c r="J359" s="847"/>
      <c r="K359" s="848"/>
      <c r="L359" s="849"/>
      <c r="M359" s="248"/>
      <c r="N359" s="845" t="s">
        <v>1183</v>
      </c>
      <c r="P359" s="846">
        <f>P347+L355-L364</f>
        <v>0</v>
      </c>
      <c r="Q359" s="199"/>
    </row>
    <row r="360">
      <c r="A360" s="238"/>
      <c r="B360" s="847"/>
      <c r="C360" s="848"/>
      <c r="D360" s="849"/>
      <c r="H360" s="799"/>
      <c r="I360" s="283"/>
      <c r="J360" s="847"/>
      <c r="K360" s="848"/>
      <c r="L360" s="849"/>
      <c r="P360" s="799"/>
      <c r="Q360" s="199"/>
    </row>
    <row r="361">
      <c r="A361" s="238"/>
      <c r="B361" s="847"/>
      <c r="C361" s="848"/>
      <c r="D361" s="849"/>
      <c r="H361" s="799"/>
      <c r="I361" s="283"/>
      <c r="J361" s="847"/>
      <c r="K361" s="848"/>
      <c r="L361" s="849"/>
      <c r="P361" s="799"/>
      <c r="Q361" s="199"/>
    </row>
    <row r="362">
      <c r="A362" s="238"/>
      <c r="B362" s="847"/>
      <c r="C362" s="848"/>
      <c r="D362" s="849"/>
      <c r="F362" s="248"/>
      <c r="H362" s="799"/>
      <c r="I362" s="283"/>
      <c r="J362" s="847"/>
      <c r="K362" s="848"/>
      <c r="L362" s="849"/>
      <c r="N362" s="248"/>
      <c r="P362" s="799"/>
      <c r="Q362" s="199"/>
    </row>
    <row r="363">
      <c r="A363" s="238"/>
      <c r="B363" s="847"/>
      <c r="C363" s="848"/>
      <c r="D363" s="849"/>
      <c r="H363" s="799"/>
      <c r="I363" s="283"/>
      <c r="J363" s="847"/>
      <c r="K363" s="848"/>
      <c r="L363" s="849"/>
      <c r="P363" s="799"/>
      <c r="Q363" s="199"/>
    </row>
    <row r="364">
      <c r="A364" s="197"/>
      <c r="B364" s="853" t="s">
        <v>721</v>
      </c>
      <c r="C364" s="854"/>
      <c r="D364" s="855">
        <f>SUM(D358:D363)</f>
        <v>0</v>
      </c>
      <c r="H364" s="799"/>
      <c r="I364" s="283"/>
      <c r="J364" s="853" t="s">
        <v>721</v>
      </c>
      <c r="K364" s="854"/>
      <c r="L364" s="855"/>
      <c r="P364" s="799"/>
      <c r="Q364" s="199"/>
    </row>
    <row r="365">
      <c r="A365" s="283"/>
      <c r="B365" s="856"/>
      <c r="C365" s="857"/>
      <c r="D365" s="857"/>
      <c r="E365" s="857"/>
      <c r="F365" s="857"/>
      <c r="G365" s="857"/>
      <c r="H365" s="808"/>
      <c r="I365" s="283"/>
      <c r="J365" s="856"/>
      <c r="K365" s="857"/>
      <c r="L365" s="857"/>
      <c r="M365" s="857"/>
      <c r="N365" s="857"/>
      <c r="O365" s="857"/>
      <c r="P365" s="808"/>
      <c r="Q365" s="199"/>
    </row>
    <row r="366">
      <c r="A366" s="1038"/>
      <c r="Y366" s="283"/>
    </row>
    <row r="367" ht="24.75" customHeight="1">
      <c r="A367" s="201"/>
      <c r="B367" s="769"/>
      <c r="C367" s="770"/>
      <c r="D367" s="770"/>
      <c r="E367" s="771" t="s">
        <v>700</v>
      </c>
      <c r="F367" s="772" t="str">
        <f>A2</f>
        <v>11.24.25-11.30.25</v>
      </c>
      <c r="G367" s="773"/>
      <c r="H367" s="774"/>
      <c r="I367" s="305">
        <v>9.0</v>
      </c>
      <c r="J367" s="769"/>
      <c r="K367" s="770"/>
      <c r="L367" s="770"/>
      <c r="M367" s="771" t="s">
        <v>700</v>
      </c>
      <c r="N367" s="772" t="str">
        <f>F367</f>
        <v>11.24.25-11.30.25</v>
      </c>
      <c r="O367" s="773"/>
      <c r="P367" s="774"/>
      <c r="Q367" s="199"/>
    </row>
    <row r="368" ht="25.5" customHeight="1">
      <c r="A368" s="194"/>
      <c r="B368" s="775"/>
      <c r="E368" s="771" t="s">
        <v>702</v>
      </c>
      <c r="F368" s="772" t="s">
        <v>660</v>
      </c>
      <c r="G368" s="773"/>
      <c r="H368" s="774"/>
      <c r="I368" s="283"/>
      <c r="J368" s="775"/>
      <c r="M368" s="771" t="s">
        <v>702</v>
      </c>
      <c r="N368" s="772"/>
      <c r="O368" s="773"/>
      <c r="P368" s="774"/>
      <c r="Q368" s="199"/>
    </row>
    <row r="369" ht="29.25" customHeight="1">
      <c r="A369" s="194"/>
      <c r="B369" s="775"/>
      <c r="E369" s="771" t="s">
        <v>703</v>
      </c>
      <c r="F369" s="772">
        <v>2319.0</v>
      </c>
      <c r="G369" s="773"/>
      <c r="H369" s="774"/>
      <c r="I369" s="283"/>
      <c r="J369" s="775"/>
      <c r="M369" s="771" t="s">
        <v>703</v>
      </c>
      <c r="N369" s="772">
        <v>2319.0</v>
      </c>
      <c r="O369" s="773"/>
      <c r="P369" s="774"/>
      <c r="Q369" s="199"/>
    </row>
    <row r="370">
      <c r="A370" s="1031"/>
      <c r="B370" s="779" t="s">
        <v>704</v>
      </c>
      <c r="C370" s="779" t="s">
        <v>5</v>
      </c>
      <c r="D370" s="779" t="s">
        <v>6</v>
      </c>
      <c r="E370" s="779" t="s">
        <v>7</v>
      </c>
      <c r="F370" s="779" t="s">
        <v>8</v>
      </c>
      <c r="G370" s="779" t="s">
        <v>706</v>
      </c>
      <c r="H370" s="779" t="s">
        <v>707</v>
      </c>
      <c r="I370" s="34"/>
      <c r="J370" s="779" t="s">
        <v>704</v>
      </c>
      <c r="K370" s="779" t="s">
        <v>5</v>
      </c>
      <c r="L370" s="779" t="s">
        <v>6</v>
      </c>
      <c r="M370" s="779" t="s">
        <v>7</v>
      </c>
      <c r="N370" s="779" t="s">
        <v>1178</v>
      </c>
      <c r="O370" s="779" t="s">
        <v>839</v>
      </c>
      <c r="P370" s="779" t="s">
        <v>707</v>
      </c>
      <c r="Q370" s="1032"/>
      <c r="R370" s="1032"/>
    </row>
    <row r="371">
      <c r="A371" s="229"/>
      <c r="B371" s="780"/>
      <c r="C371" s="781"/>
      <c r="D371" s="781"/>
      <c r="E371" s="781"/>
      <c r="F371" s="782"/>
      <c r="G371" s="783">
        <v>1.0</v>
      </c>
      <c r="H371" s="782"/>
      <c r="I371" s="283"/>
      <c r="J371" s="1033"/>
      <c r="K371" s="1034"/>
      <c r="L371" s="1034"/>
      <c r="M371" s="1034"/>
      <c r="N371" s="1035"/>
      <c r="O371" s="1036"/>
      <c r="P371" s="1035">
        <f t="shared" ref="P371:P376" si="10">N371*O371</f>
        <v>0</v>
      </c>
      <c r="Q371" s="199"/>
    </row>
    <row r="372">
      <c r="A372" s="229"/>
      <c r="B372" s="780"/>
      <c r="C372" s="781"/>
      <c r="D372" s="781"/>
      <c r="E372" s="781"/>
      <c r="F372" s="782"/>
      <c r="G372" s="783">
        <v>1.0</v>
      </c>
      <c r="H372" s="782"/>
      <c r="I372" s="283"/>
      <c r="J372" s="780"/>
      <c r="K372" s="781"/>
      <c r="L372" s="781"/>
      <c r="M372" s="781"/>
      <c r="N372" s="782"/>
      <c r="O372" s="783"/>
      <c r="P372" s="789">
        <f t="shared" si="10"/>
        <v>0</v>
      </c>
      <c r="Q372" s="199"/>
    </row>
    <row r="373">
      <c r="A373" s="238"/>
      <c r="B373" s="785"/>
      <c r="C373" s="786"/>
      <c r="D373" s="786"/>
      <c r="E373" s="786"/>
      <c r="F373" s="785"/>
      <c r="G373" s="787"/>
      <c r="H373" s="788"/>
      <c r="I373" s="283"/>
      <c r="J373" s="785"/>
      <c r="K373" s="786"/>
      <c r="L373" s="786"/>
      <c r="M373" s="786"/>
      <c r="N373" s="785"/>
      <c r="O373" s="787"/>
      <c r="P373" s="789">
        <f t="shared" si="10"/>
        <v>0</v>
      </c>
      <c r="Q373" s="199"/>
    </row>
    <row r="374">
      <c r="A374" s="238"/>
      <c r="B374" s="785"/>
      <c r="C374" s="786"/>
      <c r="D374" s="786"/>
      <c r="E374" s="786"/>
      <c r="F374" s="785"/>
      <c r="G374" s="787"/>
      <c r="H374" s="788"/>
      <c r="I374" s="283"/>
      <c r="J374" s="785"/>
      <c r="K374" s="786"/>
      <c r="L374" s="786"/>
      <c r="M374" s="786"/>
      <c r="N374" s="785"/>
      <c r="O374" s="787"/>
      <c r="P374" s="789">
        <f t="shared" si="10"/>
        <v>0</v>
      </c>
      <c r="Q374" s="199"/>
    </row>
    <row r="375">
      <c r="A375" s="238"/>
      <c r="B375" s="785"/>
      <c r="C375" s="786"/>
      <c r="D375" s="786"/>
      <c r="E375" s="786"/>
      <c r="F375" s="785"/>
      <c r="G375" s="787"/>
      <c r="H375" s="788"/>
      <c r="I375" s="283"/>
      <c r="J375" s="785"/>
      <c r="K375" s="786"/>
      <c r="L375" s="786"/>
      <c r="M375" s="786"/>
      <c r="N375" s="785"/>
      <c r="O375" s="787"/>
      <c r="P375" s="789">
        <f t="shared" si="10"/>
        <v>0</v>
      </c>
      <c r="Q375" s="199"/>
    </row>
    <row r="376">
      <c r="A376" s="238"/>
      <c r="B376" s="785"/>
      <c r="C376" s="786"/>
      <c r="D376" s="786"/>
      <c r="E376" s="786"/>
      <c r="F376" s="785"/>
      <c r="G376" s="787"/>
      <c r="H376" s="788"/>
      <c r="I376" s="283"/>
      <c r="J376" s="785"/>
      <c r="K376" s="786"/>
      <c r="L376" s="786"/>
      <c r="M376" s="786"/>
      <c r="N376" s="785"/>
      <c r="O376" s="787"/>
      <c r="P376" s="789">
        <f t="shared" si="10"/>
        <v>0</v>
      </c>
      <c r="Q376" s="199"/>
    </row>
    <row r="377">
      <c r="A377" s="197"/>
      <c r="B377" s="790" t="s">
        <v>711</v>
      </c>
      <c r="C377" s="791"/>
      <c r="D377" s="791"/>
      <c r="E377" s="792"/>
      <c r="F377" s="793">
        <f>SUM(F371:F376)</f>
        <v>0</v>
      </c>
      <c r="G377" s="794"/>
      <c r="H377" s="793">
        <f>SUM(H371:H376)</f>
        <v>0</v>
      </c>
      <c r="I377" s="283"/>
      <c r="J377" s="790" t="s">
        <v>711</v>
      </c>
      <c r="K377" s="791"/>
      <c r="L377" s="791"/>
      <c r="M377" s="792"/>
      <c r="N377" s="793">
        <f>SUM(N371:N376)</f>
        <v>0</v>
      </c>
      <c r="O377" s="794"/>
      <c r="P377" s="793">
        <f>SUM(P371:P376)</f>
        <v>0</v>
      </c>
      <c r="Q377" s="199"/>
    </row>
    <row r="378">
      <c r="A378" s="238"/>
      <c r="B378" s="796"/>
      <c r="E378" s="798"/>
      <c r="H378" s="799"/>
      <c r="I378" s="283"/>
      <c r="J378" s="796"/>
      <c r="M378" s="798"/>
      <c r="P378" s="799"/>
      <c r="Q378" s="199"/>
    </row>
    <row r="379">
      <c r="A379" s="197"/>
      <c r="B379" s="800" t="s">
        <v>712</v>
      </c>
      <c r="C379" s="803"/>
      <c r="D379" s="804"/>
      <c r="H379" s="799"/>
      <c r="I379" s="283"/>
      <c r="J379" s="800" t="s">
        <v>712</v>
      </c>
      <c r="K379" s="803"/>
      <c r="L379" s="804"/>
      <c r="P379" s="799"/>
      <c r="Q379" s="199"/>
    </row>
    <row r="380">
      <c r="A380" s="197"/>
      <c r="B380" s="867"/>
      <c r="C380" s="808"/>
      <c r="D380" s="809"/>
      <c r="H380" s="799"/>
      <c r="I380" s="283"/>
      <c r="J380" s="867"/>
      <c r="K380" s="808"/>
      <c r="L380" s="809"/>
      <c r="P380" s="799"/>
      <c r="Q380" s="199"/>
    </row>
    <row r="381">
      <c r="A381" s="238"/>
      <c r="B381" s="868"/>
      <c r="C381" s="774"/>
      <c r="D381" s="816"/>
      <c r="H381" s="799"/>
      <c r="I381" s="283"/>
      <c r="J381" s="868"/>
      <c r="K381" s="774"/>
      <c r="L381" s="816"/>
      <c r="P381" s="799"/>
      <c r="Q381" s="199"/>
    </row>
    <row r="382">
      <c r="A382" s="197"/>
      <c r="B382" s="815"/>
      <c r="C382" s="792"/>
      <c r="D382" s="816"/>
      <c r="H382" s="799"/>
      <c r="I382" s="283"/>
      <c r="J382" s="815"/>
      <c r="K382" s="792"/>
      <c r="L382" s="816"/>
      <c r="P382" s="799"/>
      <c r="Q382" s="199"/>
    </row>
    <row r="383">
      <c r="A383" s="238"/>
      <c r="B383" s="817"/>
      <c r="C383" s="774"/>
      <c r="D383" s="818"/>
      <c r="H383" s="799"/>
      <c r="I383" s="283"/>
      <c r="J383" s="817"/>
      <c r="K383" s="774"/>
      <c r="L383" s="818"/>
      <c r="P383" s="799"/>
      <c r="Q383" s="199"/>
    </row>
    <row r="384">
      <c r="A384" s="197"/>
      <c r="B384" s="817"/>
      <c r="C384" s="774"/>
      <c r="D384" s="818"/>
      <c r="H384" s="799"/>
      <c r="I384" s="283"/>
      <c r="J384" s="817"/>
      <c r="K384" s="774"/>
      <c r="L384" s="818"/>
      <c r="P384" s="799"/>
      <c r="Q384" s="199"/>
    </row>
    <row r="385">
      <c r="A385" s="197"/>
      <c r="B385" s="821" t="s">
        <v>714</v>
      </c>
      <c r="C385" s="822"/>
      <c r="D385" s="823">
        <f>SUM(D380:D384)</f>
        <v>0</v>
      </c>
      <c r="H385" s="799"/>
      <c r="I385" s="283"/>
      <c r="J385" s="821" t="s">
        <v>714</v>
      </c>
      <c r="K385" s="822"/>
      <c r="L385" s="827"/>
      <c r="P385" s="799"/>
      <c r="Q385" s="199"/>
    </row>
    <row r="386">
      <c r="A386" s="197"/>
      <c r="B386" s="828"/>
      <c r="D386" s="829"/>
      <c r="H386" s="799"/>
      <c r="I386" s="283"/>
      <c r="J386" s="828"/>
      <c r="L386" s="829"/>
      <c r="P386" s="799"/>
      <c r="Q386" s="199"/>
    </row>
    <row r="387">
      <c r="A387" s="197"/>
      <c r="B387" s="833" t="s">
        <v>715</v>
      </c>
      <c r="C387" s="834"/>
      <c r="D387" s="835"/>
      <c r="H387" s="799"/>
      <c r="I387" s="283"/>
      <c r="J387" s="833" t="s">
        <v>715</v>
      </c>
      <c r="K387" s="834"/>
      <c r="L387" s="835"/>
      <c r="P387" s="799"/>
      <c r="Q387" s="199"/>
    </row>
    <row r="388">
      <c r="A388" s="197"/>
      <c r="B388" s="839"/>
      <c r="C388" s="840"/>
      <c r="D388" s="841"/>
      <c r="H388" s="799"/>
      <c r="I388" s="283"/>
      <c r="J388" s="839"/>
      <c r="K388" s="840"/>
      <c r="L388" s="841"/>
      <c r="P388" s="799"/>
      <c r="Q388" s="199"/>
    </row>
    <row r="389">
      <c r="A389" s="238"/>
      <c r="B389" s="847"/>
      <c r="C389" s="848"/>
      <c r="D389" s="849"/>
      <c r="E389" s="248"/>
      <c r="F389" s="845" t="s">
        <v>1182</v>
      </c>
      <c r="H389" s="1037">
        <f>H377+D385-D394</f>
        <v>0</v>
      </c>
      <c r="I389" s="283"/>
      <c r="J389" s="847"/>
      <c r="K389" s="848"/>
      <c r="L389" s="849"/>
      <c r="M389" s="248"/>
      <c r="N389" s="845" t="s">
        <v>1183</v>
      </c>
      <c r="P389" s="846">
        <f>P377+L385-L394</f>
        <v>0</v>
      </c>
      <c r="Q389" s="199"/>
    </row>
    <row r="390">
      <c r="A390" s="238"/>
      <c r="B390" s="847"/>
      <c r="C390" s="848"/>
      <c r="D390" s="849"/>
      <c r="H390" s="799"/>
      <c r="I390" s="283"/>
      <c r="J390" s="847"/>
      <c r="K390" s="848"/>
      <c r="L390" s="849"/>
      <c r="P390" s="799"/>
      <c r="Q390" s="199"/>
    </row>
    <row r="391">
      <c r="A391" s="238"/>
      <c r="B391" s="847"/>
      <c r="C391" s="848"/>
      <c r="D391" s="849"/>
      <c r="H391" s="799"/>
      <c r="I391" s="283"/>
      <c r="J391" s="847"/>
      <c r="K391" s="848"/>
      <c r="L391" s="849"/>
      <c r="P391" s="799"/>
      <c r="Q391" s="199"/>
    </row>
    <row r="392">
      <c r="A392" s="238"/>
      <c r="B392" s="847"/>
      <c r="C392" s="848"/>
      <c r="D392" s="849"/>
      <c r="F392" s="248"/>
      <c r="H392" s="799"/>
      <c r="I392" s="283"/>
      <c r="J392" s="847"/>
      <c r="K392" s="848"/>
      <c r="L392" s="849"/>
      <c r="N392" s="248"/>
      <c r="P392" s="799"/>
      <c r="Q392" s="199"/>
    </row>
    <row r="393">
      <c r="A393" s="238"/>
      <c r="B393" s="847"/>
      <c r="C393" s="848"/>
      <c r="D393" s="849"/>
      <c r="H393" s="799"/>
      <c r="I393" s="283"/>
      <c r="J393" s="847"/>
      <c r="K393" s="848"/>
      <c r="L393" s="849"/>
      <c r="P393" s="799"/>
      <c r="Q393" s="199"/>
    </row>
    <row r="394">
      <c r="A394" s="197"/>
      <c r="B394" s="853" t="s">
        <v>721</v>
      </c>
      <c r="C394" s="854"/>
      <c r="D394" s="855">
        <f>SUM(D388:D393)</f>
        <v>0</v>
      </c>
      <c r="H394" s="799"/>
      <c r="I394" s="283"/>
      <c r="J394" s="853" t="s">
        <v>721</v>
      </c>
      <c r="K394" s="854"/>
      <c r="L394" s="855"/>
      <c r="P394" s="799"/>
      <c r="Q394" s="199"/>
    </row>
    <row r="395">
      <c r="A395" s="283"/>
      <c r="B395" s="856"/>
      <c r="C395" s="857"/>
      <c r="D395" s="857"/>
      <c r="E395" s="857"/>
      <c r="F395" s="857"/>
      <c r="G395" s="857"/>
      <c r="H395" s="808"/>
      <c r="I395" s="283"/>
      <c r="J395" s="856"/>
      <c r="K395" s="857"/>
      <c r="L395" s="857"/>
      <c r="M395" s="857"/>
      <c r="N395" s="857"/>
      <c r="O395" s="857"/>
      <c r="P395" s="808"/>
      <c r="Q395" s="199"/>
    </row>
    <row r="396">
      <c r="A396" s="1041"/>
      <c r="Y396" s="283"/>
    </row>
    <row r="397" ht="24.75" customHeight="1">
      <c r="A397" s="201"/>
      <c r="B397" s="769"/>
      <c r="C397" s="770"/>
      <c r="D397" s="770"/>
      <c r="E397" s="771" t="s">
        <v>700</v>
      </c>
      <c r="F397" s="772" t="str">
        <f>A2</f>
        <v>11.24.25-11.30.25</v>
      </c>
      <c r="G397" s="773"/>
      <c r="H397" s="774"/>
      <c r="I397" s="305">
        <v>10.0</v>
      </c>
      <c r="J397" s="769"/>
      <c r="K397" s="770"/>
      <c r="L397" s="770"/>
      <c r="M397" s="771" t="s">
        <v>700</v>
      </c>
      <c r="N397" s="772" t="str">
        <f>F397</f>
        <v>11.24.25-11.30.25</v>
      </c>
      <c r="O397" s="773"/>
      <c r="P397" s="774"/>
      <c r="Q397" s="199"/>
    </row>
    <row r="398" ht="25.5" customHeight="1">
      <c r="A398" s="194"/>
      <c r="B398" s="775"/>
      <c r="E398" s="771" t="s">
        <v>702</v>
      </c>
      <c r="F398" s="772" t="s">
        <v>660</v>
      </c>
      <c r="G398" s="773"/>
      <c r="H398" s="774"/>
      <c r="I398" s="283"/>
      <c r="J398" s="775"/>
      <c r="M398" s="771" t="s">
        <v>702</v>
      </c>
      <c r="N398" s="772"/>
      <c r="O398" s="773"/>
      <c r="P398" s="774"/>
      <c r="Q398" s="199"/>
    </row>
    <row r="399" ht="29.25" customHeight="1">
      <c r="A399" s="194"/>
      <c r="B399" s="775"/>
      <c r="E399" s="771" t="s">
        <v>703</v>
      </c>
      <c r="F399" s="772">
        <v>2319.0</v>
      </c>
      <c r="G399" s="773"/>
      <c r="H399" s="774"/>
      <c r="I399" s="283"/>
      <c r="J399" s="775"/>
      <c r="M399" s="771" t="s">
        <v>703</v>
      </c>
      <c r="N399" s="772">
        <v>2319.0</v>
      </c>
      <c r="O399" s="773"/>
      <c r="P399" s="774"/>
      <c r="Q399" s="199"/>
    </row>
    <row r="400">
      <c r="A400" s="1031"/>
      <c r="B400" s="779" t="s">
        <v>704</v>
      </c>
      <c r="C400" s="779" t="s">
        <v>5</v>
      </c>
      <c r="D400" s="779" t="s">
        <v>6</v>
      </c>
      <c r="E400" s="779" t="s">
        <v>7</v>
      </c>
      <c r="F400" s="779" t="s">
        <v>8</v>
      </c>
      <c r="G400" s="779" t="s">
        <v>706</v>
      </c>
      <c r="H400" s="779" t="s">
        <v>707</v>
      </c>
      <c r="I400" s="34"/>
      <c r="J400" s="779" t="s">
        <v>704</v>
      </c>
      <c r="K400" s="779" t="s">
        <v>5</v>
      </c>
      <c r="L400" s="779" t="s">
        <v>6</v>
      </c>
      <c r="M400" s="779" t="s">
        <v>7</v>
      </c>
      <c r="N400" s="779" t="s">
        <v>1178</v>
      </c>
      <c r="O400" s="779" t="s">
        <v>839</v>
      </c>
      <c r="P400" s="779" t="s">
        <v>707</v>
      </c>
      <c r="Q400" s="1032"/>
      <c r="R400" s="1032"/>
    </row>
    <row r="401">
      <c r="A401" s="229"/>
      <c r="B401" s="780"/>
      <c r="C401" s="781"/>
      <c r="D401" s="781"/>
      <c r="E401" s="781"/>
      <c r="F401" s="782"/>
      <c r="G401" s="783">
        <v>1.0</v>
      </c>
      <c r="H401" s="782"/>
      <c r="I401" s="283"/>
      <c r="J401" s="1033"/>
      <c r="K401" s="1034"/>
      <c r="L401" s="1034"/>
      <c r="M401" s="1034"/>
      <c r="N401" s="1035"/>
      <c r="O401" s="1036"/>
      <c r="P401" s="1035">
        <f t="shared" ref="P401:P406" si="11">N401*O401</f>
        <v>0</v>
      </c>
      <c r="Q401" s="199"/>
    </row>
    <row r="402">
      <c r="A402" s="229"/>
      <c r="B402" s="780"/>
      <c r="C402" s="781"/>
      <c r="D402" s="781"/>
      <c r="E402" s="781"/>
      <c r="F402" s="782"/>
      <c r="G402" s="783">
        <v>1.0</v>
      </c>
      <c r="H402" s="782"/>
      <c r="I402" s="283"/>
      <c r="J402" s="780"/>
      <c r="K402" s="781"/>
      <c r="L402" s="781"/>
      <c r="M402" s="781"/>
      <c r="N402" s="782"/>
      <c r="O402" s="783"/>
      <c r="P402" s="789">
        <f t="shared" si="11"/>
        <v>0</v>
      </c>
      <c r="Q402" s="199"/>
    </row>
    <row r="403">
      <c r="A403" s="238"/>
      <c r="B403" s="785"/>
      <c r="C403" s="786"/>
      <c r="D403" s="786"/>
      <c r="E403" s="786"/>
      <c r="F403" s="785"/>
      <c r="G403" s="787"/>
      <c r="H403" s="788"/>
      <c r="I403" s="283"/>
      <c r="J403" s="785"/>
      <c r="K403" s="786"/>
      <c r="L403" s="786"/>
      <c r="M403" s="786"/>
      <c r="N403" s="785"/>
      <c r="O403" s="787"/>
      <c r="P403" s="789">
        <f t="shared" si="11"/>
        <v>0</v>
      </c>
      <c r="Q403" s="199"/>
    </row>
    <row r="404">
      <c r="A404" s="238"/>
      <c r="B404" s="785"/>
      <c r="C404" s="786"/>
      <c r="D404" s="786"/>
      <c r="E404" s="786"/>
      <c r="F404" s="785"/>
      <c r="G404" s="787"/>
      <c r="H404" s="788"/>
      <c r="I404" s="283"/>
      <c r="J404" s="785"/>
      <c r="K404" s="786"/>
      <c r="L404" s="786"/>
      <c r="M404" s="786"/>
      <c r="N404" s="785"/>
      <c r="O404" s="787"/>
      <c r="P404" s="789">
        <f t="shared" si="11"/>
        <v>0</v>
      </c>
      <c r="Q404" s="199"/>
    </row>
    <row r="405">
      <c r="A405" s="238"/>
      <c r="B405" s="785"/>
      <c r="C405" s="786"/>
      <c r="D405" s="786"/>
      <c r="E405" s="786"/>
      <c r="F405" s="785"/>
      <c r="G405" s="787"/>
      <c r="H405" s="788"/>
      <c r="I405" s="283"/>
      <c r="J405" s="785"/>
      <c r="K405" s="786"/>
      <c r="L405" s="786"/>
      <c r="M405" s="786"/>
      <c r="N405" s="785"/>
      <c r="O405" s="787"/>
      <c r="P405" s="789">
        <f t="shared" si="11"/>
        <v>0</v>
      </c>
      <c r="Q405" s="199"/>
    </row>
    <row r="406">
      <c r="A406" s="238"/>
      <c r="B406" s="785"/>
      <c r="C406" s="786"/>
      <c r="D406" s="786"/>
      <c r="E406" s="786"/>
      <c r="F406" s="785"/>
      <c r="G406" s="787"/>
      <c r="H406" s="788"/>
      <c r="I406" s="283"/>
      <c r="J406" s="785"/>
      <c r="K406" s="786"/>
      <c r="L406" s="786"/>
      <c r="M406" s="786"/>
      <c r="N406" s="785"/>
      <c r="O406" s="787"/>
      <c r="P406" s="789">
        <f t="shared" si="11"/>
        <v>0</v>
      </c>
      <c r="Q406" s="199"/>
    </row>
    <row r="407">
      <c r="A407" s="197"/>
      <c r="B407" s="790" t="s">
        <v>711</v>
      </c>
      <c r="C407" s="791"/>
      <c r="D407" s="791"/>
      <c r="E407" s="792"/>
      <c r="F407" s="793">
        <f>SUM(F401:F406)</f>
        <v>0</v>
      </c>
      <c r="G407" s="794"/>
      <c r="H407" s="793">
        <f>SUM(H401:H406)</f>
        <v>0</v>
      </c>
      <c r="I407" s="283"/>
      <c r="J407" s="790" t="s">
        <v>711</v>
      </c>
      <c r="K407" s="791"/>
      <c r="L407" s="791"/>
      <c r="M407" s="792"/>
      <c r="N407" s="793">
        <f>SUM(N401:N406)</f>
        <v>0</v>
      </c>
      <c r="O407" s="794"/>
      <c r="P407" s="793">
        <f>SUM(P401:P406)</f>
        <v>0</v>
      </c>
      <c r="Q407" s="199"/>
    </row>
    <row r="408">
      <c r="A408" s="238"/>
      <c r="B408" s="1042"/>
      <c r="E408" s="798"/>
      <c r="H408" s="829"/>
      <c r="I408" s="1040"/>
      <c r="J408" s="1042"/>
      <c r="M408" s="798"/>
      <c r="P408" s="829"/>
      <c r="Q408" s="199"/>
    </row>
    <row r="409">
      <c r="A409" s="197"/>
      <c r="B409" s="800" t="s">
        <v>712</v>
      </c>
      <c r="C409" s="803"/>
      <c r="D409" s="804"/>
      <c r="H409" s="799"/>
      <c r="I409" s="283"/>
      <c r="J409" s="800" t="s">
        <v>712</v>
      </c>
      <c r="K409" s="803"/>
      <c r="L409" s="804"/>
      <c r="P409" s="799"/>
      <c r="Q409" s="199"/>
    </row>
    <row r="410">
      <c r="A410" s="197"/>
      <c r="B410" s="867"/>
      <c r="C410" s="808"/>
      <c r="D410" s="809"/>
      <c r="H410" s="799"/>
      <c r="I410" s="283"/>
      <c r="J410" s="867"/>
      <c r="K410" s="808"/>
      <c r="L410" s="809"/>
      <c r="P410" s="799"/>
      <c r="Q410" s="199"/>
    </row>
    <row r="411">
      <c r="A411" s="238"/>
      <c r="B411" s="868"/>
      <c r="C411" s="774"/>
      <c r="D411" s="816"/>
      <c r="H411" s="799"/>
      <c r="I411" s="283"/>
      <c r="J411" s="868"/>
      <c r="K411" s="774"/>
      <c r="L411" s="816"/>
      <c r="P411" s="799"/>
      <c r="Q411" s="199"/>
    </row>
    <row r="412">
      <c r="A412" s="197"/>
      <c r="B412" s="815"/>
      <c r="C412" s="792"/>
      <c r="D412" s="816"/>
      <c r="H412" s="799"/>
      <c r="I412" s="283"/>
      <c r="J412" s="815"/>
      <c r="K412" s="792"/>
      <c r="L412" s="816"/>
      <c r="P412" s="799"/>
      <c r="Q412" s="199"/>
    </row>
    <row r="413">
      <c r="A413" s="238"/>
      <c r="B413" s="817"/>
      <c r="C413" s="792"/>
      <c r="D413" s="818"/>
      <c r="H413" s="799"/>
      <c r="I413" s="283"/>
      <c r="J413" s="817"/>
      <c r="K413" s="774"/>
      <c r="L413" s="818"/>
      <c r="P413" s="799"/>
      <c r="Q413" s="199"/>
    </row>
    <row r="414">
      <c r="A414" s="197"/>
      <c r="B414" s="817"/>
      <c r="C414" s="774"/>
      <c r="D414" s="818"/>
      <c r="H414" s="799"/>
      <c r="I414" s="283"/>
      <c r="J414" s="817"/>
      <c r="K414" s="774"/>
      <c r="L414" s="818"/>
      <c r="P414" s="799"/>
      <c r="Q414" s="199"/>
    </row>
    <row r="415">
      <c r="A415" s="197"/>
      <c r="B415" s="821" t="s">
        <v>714</v>
      </c>
      <c r="C415" s="1043"/>
      <c r="D415" s="823">
        <f>SUM(D410:D414)</f>
        <v>0</v>
      </c>
      <c r="H415" s="829"/>
      <c r="I415" s="1040"/>
      <c r="J415" s="821" t="s">
        <v>714</v>
      </c>
      <c r="K415" s="1043"/>
      <c r="L415" s="827"/>
      <c r="P415" s="829"/>
      <c r="Q415" s="199"/>
    </row>
    <row r="416">
      <c r="A416" s="197"/>
      <c r="B416" s="828"/>
      <c r="D416" s="829"/>
      <c r="H416" s="799"/>
      <c r="I416" s="283"/>
      <c r="J416" s="828"/>
      <c r="L416" s="829"/>
      <c r="P416" s="799"/>
      <c r="Q416" s="199"/>
    </row>
    <row r="417">
      <c r="A417" s="197"/>
      <c r="B417" s="833" t="s">
        <v>715</v>
      </c>
      <c r="C417" s="834"/>
      <c r="D417" s="835"/>
      <c r="H417" s="799"/>
      <c r="I417" s="283"/>
      <c r="J417" s="833" t="s">
        <v>715</v>
      </c>
      <c r="K417" s="834"/>
      <c r="L417" s="835"/>
      <c r="P417" s="799"/>
      <c r="Q417" s="199"/>
    </row>
    <row r="418">
      <c r="A418" s="197"/>
      <c r="B418" s="839"/>
      <c r="C418" s="840"/>
      <c r="D418" s="841"/>
      <c r="H418" s="799"/>
      <c r="I418" s="283"/>
      <c r="J418" s="839"/>
      <c r="K418" s="840"/>
      <c r="L418" s="841"/>
      <c r="P418" s="799"/>
      <c r="Q418" s="199"/>
    </row>
    <row r="419">
      <c r="A419" s="238"/>
      <c r="B419" s="847"/>
      <c r="C419" s="848"/>
      <c r="D419" s="849"/>
      <c r="E419" s="248"/>
      <c r="F419" s="845" t="s">
        <v>1182</v>
      </c>
      <c r="H419" s="1037">
        <f>H407+D415-D424</f>
        <v>0</v>
      </c>
      <c r="I419" s="283"/>
      <c r="J419" s="847"/>
      <c r="K419" s="848"/>
      <c r="L419" s="849"/>
      <c r="M419" s="248"/>
      <c r="N419" s="845" t="s">
        <v>1183</v>
      </c>
      <c r="P419" s="846">
        <f>P407+L415-L424</f>
        <v>0</v>
      </c>
      <c r="Q419" s="199"/>
    </row>
    <row r="420">
      <c r="A420" s="238"/>
      <c r="B420" s="847"/>
      <c r="C420" s="848"/>
      <c r="D420" s="849"/>
      <c r="H420" s="799"/>
      <c r="I420" s="283"/>
      <c r="J420" s="847"/>
      <c r="K420" s="848"/>
      <c r="L420" s="849"/>
      <c r="P420" s="799"/>
      <c r="Q420" s="199"/>
    </row>
    <row r="421">
      <c r="A421" s="238"/>
      <c r="B421" s="847"/>
      <c r="C421" s="848"/>
      <c r="D421" s="849"/>
      <c r="H421" s="799"/>
      <c r="I421" s="283"/>
      <c r="J421" s="847"/>
      <c r="K421" s="848"/>
      <c r="L421" s="849"/>
      <c r="P421" s="799"/>
      <c r="Q421" s="199"/>
    </row>
    <row r="422">
      <c r="A422" s="238"/>
      <c r="B422" s="847"/>
      <c r="C422" s="848"/>
      <c r="D422" s="849"/>
      <c r="F422" s="248"/>
      <c r="H422" s="799"/>
      <c r="I422" s="283"/>
      <c r="J422" s="847"/>
      <c r="K422" s="848"/>
      <c r="L422" s="849"/>
      <c r="N422" s="248"/>
      <c r="P422" s="799"/>
      <c r="Q422" s="199"/>
    </row>
    <row r="423">
      <c r="A423" s="238"/>
      <c r="B423" s="847"/>
      <c r="C423" s="848"/>
      <c r="D423" s="849"/>
      <c r="H423" s="799"/>
      <c r="I423" s="283"/>
      <c r="J423" s="847"/>
      <c r="K423" s="848"/>
      <c r="L423" s="849"/>
      <c r="P423" s="799"/>
      <c r="Q423" s="199"/>
    </row>
    <row r="424">
      <c r="A424" s="197"/>
      <c r="B424" s="853" t="s">
        <v>721</v>
      </c>
      <c r="C424" s="854"/>
      <c r="D424" s="855">
        <f>SUM(D418:D423)</f>
        <v>0</v>
      </c>
      <c r="H424" s="799"/>
      <c r="I424" s="283"/>
      <c r="J424" s="853" t="s">
        <v>721</v>
      </c>
      <c r="K424" s="854"/>
      <c r="L424" s="855"/>
      <c r="P424" s="799"/>
      <c r="Q424" s="199"/>
    </row>
    <row r="425">
      <c r="A425" s="283"/>
      <c r="B425" s="856"/>
      <c r="C425" s="857"/>
      <c r="D425" s="857"/>
      <c r="E425" s="857"/>
      <c r="F425" s="857"/>
      <c r="G425" s="857"/>
      <c r="H425" s="808"/>
      <c r="I425" s="283"/>
      <c r="J425" s="856"/>
      <c r="K425" s="857"/>
      <c r="L425" s="857"/>
      <c r="M425" s="857"/>
      <c r="N425" s="857"/>
      <c r="O425" s="857"/>
      <c r="P425" s="808"/>
      <c r="Q425" s="199"/>
    </row>
    <row r="426">
      <c r="A426" s="1041"/>
      <c r="Y426" s="283"/>
    </row>
    <row r="427" ht="24.75" customHeight="1">
      <c r="A427" s="201"/>
      <c r="B427" s="769"/>
      <c r="C427" s="770"/>
      <c r="D427" s="770"/>
      <c r="E427" s="771" t="s">
        <v>700</v>
      </c>
      <c r="F427" s="772" t="str">
        <f>A2</f>
        <v>11.24.25-11.30.25</v>
      </c>
      <c r="G427" s="773"/>
      <c r="H427" s="774"/>
      <c r="I427" s="305">
        <v>11.0</v>
      </c>
      <c r="J427" s="769"/>
      <c r="K427" s="770"/>
      <c r="L427" s="770"/>
      <c r="M427" s="771" t="s">
        <v>700</v>
      </c>
      <c r="N427" s="772" t="str">
        <f>F427</f>
        <v>11.24.25-11.30.25</v>
      </c>
      <c r="O427" s="773"/>
      <c r="P427" s="774"/>
      <c r="Q427" s="199"/>
    </row>
    <row r="428" ht="25.5" customHeight="1">
      <c r="A428" s="194"/>
      <c r="B428" s="775"/>
      <c r="E428" s="771" t="s">
        <v>702</v>
      </c>
      <c r="F428" s="772" t="s">
        <v>660</v>
      </c>
      <c r="G428" s="773"/>
      <c r="H428" s="774"/>
      <c r="I428" s="283"/>
      <c r="J428" s="775"/>
      <c r="M428" s="771" t="s">
        <v>702</v>
      </c>
      <c r="N428" s="772"/>
      <c r="O428" s="773"/>
      <c r="P428" s="774"/>
      <c r="Q428" s="199"/>
    </row>
    <row r="429" ht="29.25" customHeight="1">
      <c r="A429" s="194"/>
      <c r="B429" s="775"/>
      <c r="E429" s="771" t="s">
        <v>703</v>
      </c>
      <c r="F429" s="772">
        <v>2319.0</v>
      </c>
      <c r="G429" s="773"/>
      <c r="H429" s="774"/>
      <c r="I429" s="283"/>
      <c r="J429" s="775"/>
      <c r="M429" s="771" t="s">
        <v>703</v>
      </c>
      <c r="N429" s="772">
        <v>2319.0</v>
      </c>
      <c r="O429" s="773"/>
      <c r="P429" s="774"/>
      <c r="Q429" s="199"/>
    </row>
    <row r="430">
      <c r="A430" s="1031"/>
      <c r="B430" s="779" t="s">
        <v>704</v>
      </c>
      <c r="C430" s="779" t="s">
        <v>5</v>
      </c>
      <c r="D430" s="779" t="s">
        <v>6</v>
      </c>
      <c r="E430" s="779" t="s">
        <v>7</v>
      </c>
      <c r="F430" s="779" t="s">
        <v>8</v>
      </c>
      <c r="G430" s="779" t="s">
        <v>706</v>
      </c>
      <c r="H430" s="779" t="s">
        <v>707</v>
      </c>
      <c r="I430" s="34"/>
      <c r="J430" s="779" t="s">
        <v>704</v>
      </c>
      <c r="K430" s="779" t="s">
        <v>5</v>
      </c>
      <c r="L430" s="779" t="s">
        <v>6</v>
      </c>
      <c r="M430" s="779" t="s">
        <v>7</v>
      </c>
      <c r="N430" s="779" t="s">
        <v>1178</v>
      </c>
      <c r="O430" s="779" t="s">
        <v>839</v>
      </c>
      <c r="P430" s="779" t="s">
        <v>707</v>
      </c>
      <c r="Q430" s="1032"/>
      <c r="R430" s="1032"/>
    </row>
    <row r="431">
      <c r="A431" s="229"/>
      <c r="B431" s="780"/>
      <c r="C431" s="781"/>
      <c r="D431" s="781"/>
      <c r="E431" s="781"/>
      <c r="F431" s="782"/>
      <c r="G431" s="783">
        <v>1.0</v>
      </c>
      <c r="H431" s="782"/>
      <c r="I431" s="283"/>
      <c r="J431" s="1033"/>
      <c r="K431" s="1034"/>
      <c r="L431" s="1034"/>
      <c r="M431" s="1034"/>
      <c r="N431" s="1035"/>
      <c r="O431" s="1036"/>
      <c r="P431" s="1035">
        <f t="shared" ref="P431:P436" si="12">N431*O431</f>
        <v>0</v>
      </c>
      <c r="Q431" s="199"/>
    </row>
    <row r="432">
      <c r="A432" s="229"/>
      <c r="B432" s="780"/>
      <c r="C432" s="781"/>
      <c r="D432" s="781"/>
      <c r="E432" s="781"/>
      <c r="F432" s="782"/>
      <c r="G432" s="783">
        <v>1.0</v>
      </c>
      <c r="H432" s="782"/>
      <c r="I432" s="283"/>
      <c r="J432" s="780"/>
      <c r="K432" s="781"/>
      <c r="L432" s="781"/>
      <c r="M432" s="781"/>
      <c r="N432" s="782"/>
      <c r="O432" s="783"/>
      <c r="P432" s="789">
        <f t="shared" si="12"/>
        <v>0</v>
      </c>
      <c r="Q432" s="199"/>
    </row>
    <row r="433">
      <c r="A433" s="238"/>
      <c r="B433" s="785"/>
      <c r="C433" s="786"/>
      <c r="D433" s="786"/>
      <c r="E433" s="786"/>
      <c r="F433" s="785"/>
      <c r="G433" s="787"/>
      <c r="H433" s="788"/>
      <c r="I433" s="283"/>
      <c r="J433" s="785"/>
      <c r="K433" s="786"/>
      <c r="L433" s="786"/>
      <c r="M433" s="786"/>
      <c r="N433" s="785"/>
      <c r="O433" s="787"/>
      <c r="P433" s="789">
        <f t="shared" si="12"/>
        <v>0</v>
      </c>
      <c r="Q433" s="199"/>
    </row>
    <row r="434">
      <c r="A434" s="238"/>
      <c r="B434" s="785"/>
      <c r="C434" s="786"/>
      <c r="D434" s="786"/>
      <c r="E434" s="786"/>
      <c r="F434" s="785"/>
      <c r="G434" s="787"/>
      <c r="H434" s="788"/>
      <c r="I434" s="283"/>
      <c r="J434" s="785"/>
      <c r="K434" s="786"/>
      <c r="L434" s="786"/>
      <c r="M434" s="786"/>
      <c r="N434" s="785"/>
      <c r="O434" s="787"/>
      <c r="P434" s="789">
        <f t="shared" si="12"/>
        <v>0</v>
      </c>
      <c r="Q434" s="199"/>
    </row>
    <row r="435">
      <c r="A435" s="238"/>
      <c r="B435" s="785"/>
      <c r="C435" s="786"/>
      <c r="D435" s="786"/>
      <c r="E435" s="786"/>
      <c r="F435" s="785"/>
      <c r="G435" s="787"/>
      <c r="H435" s="788"/>
      <c r="I435" s="283"/>
      <c r="J435" s="785"/>
      <c r="K435" s="786"/>
      <c r="L435" s="786"/>
      <c r="M435" s="786"/>
      <c r="N435" s="785"/>
      <c r="O435" s="787"/>
      <c r="P435" s="789">
        <f t="shared" si="12"/>
        <v>0</v>
      </c>
      <c r="Q435" s="199"/>
    </row>
    <row r="436">
      <c r="A436" s="238"/>
      <c r="B436" s="785"/>
      <c r="C436" s="786"/>
      <c r="D436" s="786"/>
      <c r="E436" s="786"/>
      <c r="F436" s="785"/>
      <c r="G436" s="787"/>
      <c r="H436" s="788"/>
      <c r="I436" s="283"/>
      <c r="J436" s="785"/>
      <c r="K436" s="786"/>
      <c r="L436" s="786"/>
      <c r="M436" s="786"/>
      <c r="N436" s="785"/>
      <c r="O436" s="787"/>
      <c r="P436" s="789">
        <f t="shared" si="12"/>
        <v>0</v>
      </c>
      <c r="Q436" s="199"/>
    </row>
    <row r="437">
      <c r="A437" s="197"/>
      <c r="B437" s="790" t="s">
        <v>711</v>
      </c>
      <c r="C437" s="791"/>
      <c r="D437" s="791"/>
      <c r="E437" s="792"/>
      <c r="F437" s="793">
        <f>SUM(F431:F436)</f>
        <v>0</v>
      </c>
      <c r="G437" s="794"/>
      <c r="H437" s="793">
        <f>SUM(H431:H436)</f>
        <v>0</v>
      </c>
      <c r="I437" s="283"/>
      <c r="J437" s="790" t="s">
        <v>711</v>
      </c>
      <c r="K437" s="791"/>
      <c r="L437" s="791"/>
      <c r="M437" s="792"/>
      <c r="N437" s="793">
        <f>SUM(N431:N436)</f>
        <v>0</v>
      </c>
      <c r="O437" s="794"/>
      <c r="P437" s="793">
        <f>SUM(P431:P436)</f>
        <v>0</v>
      </c>
      <c r="Q437" s="199"/>
    </row>
    <row r="438">
      <c r="A438" s="238"/>
      <c r="B438" s="796"/>
      <c r="E438" s="798"/>
      <c r="H438" s="799"/>
      <c r="I438" s="283"/>
      <c r="J438" s="796"/>
      <c r="M438" s="798"/>
      <c r="P438" s="799"/>
      <c r="Q438" s="199"/>
    </row>
    <row r="439">
      <c r="A439" s="197"/>
      <c r="B439" s="800" t="s">
        <v>712</v>
      </c>
      <c r="C439" s="803"/>
      <c r="D439" s="804"/>
      <c r="H439" s="799"/>
      <c r="I439" s="283"/>
      <c r="J439" s="800" t="s">
        <v>712</v>
      </c>
      <c r="K439" s="803"/>
      <c r="L439" s="804"/>
      <c r="P439" s="799"/>
      <c r="Q439" s="199"/>
    </row>
    <row r="440">
      <c r="A440" s="197"/>
      <c r="B440" s="867"/>
      <c r="C440" s="808"/>
      <c r="D440" s="809"/>
      <c r="H440" s="799"/>
      <c r="I440" s="283"/>
      <c r="J440" s="867"/>
      <c r="K440" s="808"/>
      <c r="L440" s="809"/>
      <c r="P440" s="799"/>
      <c r="Q440" s="199"/>
    </row>
    <row r="441">
      <c r="A441" s="238"/>
      <c r="B441" s="868"/>
      <c r="C441" s="774"/>
      <c r="D441" s="816"/>
      <c r="H441" s="799"/>
      <c r="I441" s="283"/>
      <c r="J441" s="868"/>
      <c r="K441" s="774"/>
      <c r="L441" s="816"/>
      <c r="P441" s="799"/>
      <c r="Q441" s="199"/>
    </row>
    <row r="442">
      <c r="A442" s="197"/>
      <c r="B442" s="815"/>
      <c r="C442" s="792"/>
      <c r="D442" s="816"/>
      <c r="H442" s="799"/>
      <c r="I442" s="283"/>
      <c r="J442" s="815"/>
      <c r="K442" s="792"/>
      <c r="L442" s="816"/>
      <c r="P442" s="799"/>
      <c r="Q442" s="199"/>
    </row>
    <row r="443">
      <c r="A443" s="238"/>
      <c r="B443" s="817"/>
      <c r="C443" s="774"/>
      <c r="D443" s="818"/>
      <c r="H443" s="799"/>
      <c r="I443" s="283"/>
      <c r="J443" s="817"/>
      <c r="K443" s="774"/>
      <c r="L443" s="818"/>
      <c r="P443" s="799"/>
      <c r="Q443" s="199"/>
    </row>
    <row r="444">
      <c r="A444" s="197"/>
      <c r="B444" s="817"/>
      <c r="C444" s="774"/>
      <c r="D444" s="818"/>
      <c r="H444" s="799"/>
      <c r="I444" s="283"/>
      <c r="J444" s="817"/>
      <c r="K444" s="774"/>
      <c r="L444" s="818"/>
      <c r="P444" s="799"/>
      <c r="Q444" s="199"/>
    </row>
    <row r="445">
      <c r="A445" s="197"/>
      <c r="B445" s="821" t="s">
        <v>714</v>
      </c>
      <c r="C445" s="822"/>
      <c r="D445" s="823">
        <f>SUM(D440:D444)</f>
        <v>0</v>
      </c>
      <c r="H445" s="799"/>
      <c r="I445" s="283"/>
      <c r="J445" s="821" t="s">
        <v>714</v>
      </c>
      <c r="K445" s="822"/>
      <c r="L445" s="827"/>
      <c r="P445" s="799"/>
      <c r="Q445" s="199"/>
    </row>
    <row r="446">
      <c r="A446" s="197"/>
      <c r="B446" s="828"/>
      <c r="D446" s="829"/>
      <c r="H446" s="799"/>
      <c r="I446" s="283"/>
      <c r="J446" s="828"/>
      <c r="L446" s="829"/>
      <c r="P446" s="799"/>
      <c r="Q446" s="199"/>
    </row>
    <row r="447">
      <c r="A447" s="197"/>
      <c r="B447" s="833" t="s">
        <v>715</v>
      </c>
      <c r="C447" s="834"/>
      <c r="D447" s="835"/>
      <c r="H447" s="799"/>
      <c r="I447" s="283"/>
      <c r="J447" s="833" t="s">
        <v>715</v>
      </c>
      <c r="K447" s="834"/>
      <c r="L447" s="835"/>
      <c r="P447" s="799"/>
      <c r="Q447" s="199"/>
    </row>
    <row r="448">
      <c r="A448" s="197"/>
      <c r="B448" s="839"/>
      <c r="C448" s="840"/>
      <c r="D448" s="841"/>
      <c r="H448" s="799"/>
      <c r="I448" s="283"/>
      <c r="J448" s="839"/>
      <c r="K448" s="840"/>
      <c r="L448" s="841"/>
      <c r="P448" s="799"/>
      <c r="Q448" s="199"/>
    </row>
    <row r="449">
      <c r="A449" s="238"/>
      <c r="B449" s="847"/>
      <c r="C449" s="848"/>
      <c r="D449" s="849"/>
      <c r="E449" s="248"/>
      <c r="F449" s="845" t="s">
        <v>1182</v>
      </c>
      <c r="H449" s="1037">
        <f>H437+D445-D454</f>
        <v>0</v>
      </c>
      <c r="I449" s="283"/>
      <c r="J449" s="847"/>
      <c r="K449" s="848"/>
      <c r="L449" s="849"/>
      <c r="M449" s="248"/>
      <c r="N449" s="845" t="s">
        <v>1183</v>
      </c>
      <c r="P449" s="846">
        <f>P437+L445-L454</f>
        <v>0</v>
      </c>
      <c r="Q449" s="199"/>
    </row>
    <row r="450">
      <c r="A450" s="238"/>
      <c r="B450" s="847"/>
      <c r="C450" s="848"/>
      <c r="D450" s="849"/>
      <c r="H450" s="799"/>
      <c r="I450" s="283"/>
      <c r="J450" s="847"/>
      <c r="K450" s="848"/>
      <c r="L450" s="849"/>
      <c r="P450" s="799"/>
      <c r="Q450" s="199"/>
    </row>
    <row r="451">
      <c r="A451" s="238"/>
      <c r="B451" s="847"/>
      <c r="C451" s="848"/>
      <c r="D451" s="849"/>
      <c r="H451" s="799"/>
      <c r="I451" s="283"/>
      <c r="J451" s="847"/>
      <c r="K451" s="848"/>
      <c r="L451" s="849"/>
      <c r="P451" s="799"/>
      <c r="Q451" s="199"/>
    </row>
    <row r="452">
      <c r="A452" s="238"/>
      <c r="B452" s="847"/>
      <c r="C452" s="848"/>
      <c r="D452" s="849"/>
      <c r="F452" s="248"/>
      <c r="H452" s="799"/>
      <c r="I452" s="283"/>
      <c r="J452" s="847"/>
      <c r="K452" s="848"/>
      <c r="L452" s="849"/>
      <c r="N452" s="248"/>
      <c r="P452" s="799"/>
      <c r="Q452" s="199"/>
    </row>
    <row r="453">
      <c r="A453" s="238"/>
      <c r="B453" s="847"/>
      <c r="C453" s="848"/>
      <c r="D453" s="849"/>
      <c r="H453" s="799"/>
      <c r="I453" s="283"/>
      <c r="J453" s="847"/>
      <c r="K453" s="848"/>
      <c r="L453" s="849"/>
      <c r="P453" s="799"/>
      <c r="Q453" s="199"/>
    </row>
    <row r="454">
      <c r="A454" s="197"/>
      <c r="B454" s="853" t="s">
        <v>721</v>
      </c>
      <c r="C454" s="854"/>
      <c r="D454" s="855">
        <f>SUM(D448:D453)</f>
        <v>0</v>
      </c>
      <c r="H454" s="799"/>
      <c r="I454" s="283"/>
      <c r="J454" s="853" t="s">
        <v>721</v>
      </c>
      <c r="K454" s="854"/>
      <c r="L454" s="855"/>
      <c r="P454" s="799"/>
      <c r="Q454" s="199"/>
    </row>
    <row r="455">
      <c r="A455" s="283"/>
      <c r="B455" s="856"/>
      <c r="C455" s="857"/>
      <c r="D455" s="857"/>
      <c r="E455" s="857"/>
      <c r="F455" s="857"/>
      <c r="G455" s="857"/>
      <c r="H455" s="808"/>
      <c r="I455" s="283"/>
      <c r="J455" s="856"/>
      <c r="K455" s="857"/>
      <c r="L455" s="857"/>
      <c r="M455" s="857"/>
      <c r="N455" s="857"/>
      <c r="O455" s="857"/>
      <c r="P455" s="808"/>
      <c r="Q455" s="199"/>
    </row>
    <row r="456">
      <c r="A456" s="1038"/>
      <c r="Y456" s="283"/>
    </row>
    <row r="457" ht="24.75" customHeight="1">
      <c r="A457" s="201"/>
      <c r="B457" s="769"/>
      <c r="C457" s="770"/>
      <c r="D457" s="770"/>
      <c r="E457" s="771" t="s">
        <v>700</v>
      </c>
      <c r="F457" s="772" t="str">
        <f>A2</f>
        <v>11.24.25-11.30.25</v>
      </c>
      <c r="G457" s="773"/>
      <c r="H457" s="774"/>
      <c r="I457" s="305">
        <v>12.0</v>
      </c>
      <c r="J457" s="769"/>
      <c r="K457" s="770"/>
      <c r="L457" s="770"/>
      <c r="M457" s="771" t="s">
        <v>700</v>
      </c>
      <c r="N457" s="772" t="str">
        <f>F457</f>
        <v>11.24.25-11.30.25</v>
      </c>
      <c r="O457" s="773"/>
      <c r="P457" s="774"/>
      <c r="Q457" s="199"/>
    </row>
    <row r="458" ht="25.5" customHeight="1">
      <c r="A458" s="194"/>
      <c r="B458" s="775"/>
      <c r="E458" s="771" t="s">
        <v>702</v>
      </c>
      <c r="F458" s="772" t="s">
        <v>660</v>
      </c>
      <c r="G458" s="773"/>
      <c r="H458" s="774"/>
      <c r="I458" s="283"/>
      <c r="J458" s="775"/>
      <c r="M458" s="771" t="s">
        <v>702</v>
      </c>
      <c r="N458" s="772"/>
      <c r="O458" s="773"/>
      <c r="P458" s="774"/>
      <c r="Q458" s="199"/>
    </row>
    <row r="459" ht="29.25" customHeight="1">
      <c r="A459" s="194"/>
      <c r="B459" s="775"/>
      <c r="E459" s="771" t="s">
        <v>703</v>
      </c>
      <c r="F459" s="772">
        <v>2319.0</v>
      </c>
      <c r="G459" s="773"/>
      <c r="H459" s="774"/>
      <c r="I459" s="283"/>
      <c r="J459" s="775"/>
      <c r="M459" s="771" t="s">
        <v>703</v>
      </c>
      <c r="N459" s="772">
        <v>2319.0</v>
      </c>
      <c r="O459" s="773"/>
      <c r="P459" s="774"/>
      <c r="Q459" s="199"/>
    </row>
    <row r="460">
      <c r="A460" s="1031"/>
      <c r="B460" s="779" t="s">
        <v>704</v>
      </c>
      <c r="C460" s="779" t="s">
        <v>5</v>
      </c>
      <c r="D460" s="779" t="s">
        <v>6</v>
      </c>
      <c r="E460" s="779" t="s">
        <v>7</v>
      </c>
      <c r="F460" s="779" t="s">
        <v>8</v>
      </c>
      <c r="G460" s="779" t="s">
        <v>706</v>
      </c>
      <c r="H460" s="779" t="s">
        <v>707</v>
      </c>
      <c r="I460" s="34"/>
      <c r="J460" s="779" t="s">
        <v>704</v>
      </c>
      <c r="K460" s="779" t="s">
        <v>5</v>
      </c>
      <c r="L460" s="779" t="s">
        <v>6</v>
      </c>
      <c r="M460" s="779" t="s">
        <v>7</v>
      </c>
      <c r="N460" s="779" t="s">
        <v>1178</v>
      </c>
      <c r="O460" s="779" t="s">
        <v>839</v>
      </c>
      <c r="P460" s="779" t="s">
        <v>707</v>
      </c>
      <c r="Q460" s="1032"/>
      <c r="R460" s="1032"/>
    </row>
    <row r="461">
      <c r="A461" s="229"/>
      <c r="B461" s="780"/>
      <c r="C461" s="781"/>
      <c r="D461" s="781"/>
      <c r="E461" s="781"/>
      <c r="F461" s="782"/>
      <c r="G461" s="783">
        <v>1.0</v>
      </c>
      <c r="H461" s="782"/>
      <c r="I461" s="283"/>
      <c r="J461" s="1033"/>
      <c r="K461" s="1034"/>
      <c r="L461" s="1034"/>
      <c r="M461" s="1034"/>
      <c r="N461" s="1035"/>
      <c r="O461" s="1036"/>
      <c r="P461" s="1035">
        <f t="shared" ref="P461:P466" si="13">N461*O461</f>
        <v>0</v>
      </c>
      <c r="Q461" s="199"/>
    </row>
    <row r="462">
      <c r="A462" s="229"/>
      <c r="B462" s="780"/>
      <c r="C462" s="781"/>
      <c r="D462" s="781"/>
      <c r="E462" s="781"/>
      <c r="F462" s="782"/>
      <c r="G462" s="783">
        <v>1.0</v>
      </c>
      <c r="H462" s="782"/>
      <c r="I462" s="283"/>
      <c r="J462" s="780"/>
      <c r="K462" s="781"/>
      <c r="L462" s="781"/>
      <c r="M462" s="781"/>
      <c r="N462" s="782"/>
      <c r="O462" s="783"/>
      <c r="P462" s="789">
        <f t="shared" si="13"/>
        <v>0</v>
      </c>
      <c r="Q462" s="199"/>
    </row>
    <row r="463">
      <c r="A463" s="238"/>
      <c r="B463" s="785"/>
      <c r="C463" s="786"/>
      <c r="D463" s="786"/>
      <c r="E463" s="786"/>
      <c r="F463" s="785"/>
      <c r="G463" s="787"/>
      <c r="H463" s="788"/>
      <c r="I463" s="283"/>
      <c r="J463" s="785"/>
      <c r="K463" s="786"/>
      <c r="L463" s="786"/>
      <c r="M463" s="786"/>
      <c r="N463" s="785"/>
      <c r="O463" s="787"/>
      <c r="P463" s="789">
        <f t="shared" si="13"/>
        <v>0</v>
      </c>
      <c r="Q463" s="199"/>
    </row>
    <row r="464">
      <c r="A464" s="238"/>
      <c r="B464" s="785"/>
      <c r="C464" s="786"/>
      <c r="D464" s="786"/>
      <c r="E464" s="786"/>
      <c r="F464" s="785"/>
      <c r="G464" s="787"/>
      <c r="H464" s="788"/>
      <c r="I464" s="283"/>
      <c r="J464" s="785"/>
      <c r="K464" s="786"/>
      <c r="L464" s="786"/>
      <c r="M464" s="786"/>
      <c r="N464" s="785"/>
      <c r="O464" s="787"/>
      <c r="P464" s="789">
        <f t="shared" si="13"/>
        <v>0</v>
      </c>
      <c r="Q464" s="199"/>
    </row>
    <row r="465">
      <c r="A465" s="238"/>
      <c r="B465" s="785"/>
      <c r="C465" s="786"/>
      <c r="D465" s="786"/>
      <c r="E465" s="786"/>
      <c r="F465" s="785"/>
      <c r="G465" s="787"/>
      <c r="H465" s="788"/>
      <c r="I465" s="283"/>
      <c r="J465" s="785"/>
      <c r="K465" s="786"/>
      <c r="L465" s="786"/>
      <c r="M465" s="786"/>
      <c r="N465" s="785"/>
      <c r="O465" s="787"/>
      <c r="P465" s="789">
        <f t="shared" si="13"/>
        <v>0</v>
      </c>
      <c r="Q465" s="199"/>
    </row>
    <row r="466">
      <c r="A466" s="238"/>
      <c r="B466" s="785"/>
      <c r="C466" s="786"/>
      <c r="D466" s="786"/>
      <c r="E466" s="786"/>
      <c r="F466" s="785"/>
      <c r="G466" s="787"/>
      <c r="H466" s="788"/>
      <c r="I466" s="283"/>
      <c r="J466" s="785"/>
      <c r="K466" s="786"/>
      <c r="L466" s="786"/>
      <c r="M466" s="786"/>
      <c r="N466" s="785"/>
      <c r="O466" s="787"/>
      <c r="P466" s="789">
        <f t="shared" si="13"/>
        <v>0</v>
      </c>
      <c r="Q466" s="199"/>
    </row>
    <row r="467">
      <c r="A467" s="197"/>
      <c r="B467" s="790" t="s">
        <v>711</v>
      </c>
      <c r="C467" s="791"/>
      <c r="D467" s="791"/>
      <c r="E467" s="792"/>
      <c r="F467" s="793">
        <f>SUM(F461:F466)</f>
        <v>0</v>
      </c>
      <c r="G467" s="794"/>
      <c r="H467" s="793">
        <f>SUM(H461:H466)</f>
        <v>0</v>
      </c>
      <c r="I467" s="283"/>
      <c r="J467" s="790" t="s">
        <v>711</v>
      </c>
      <c r="K467" s="791"/>
      <c r="L467" s="791"/>
      <c r="M467" s="792"/>
      <c r="N467" s="793">
        <f>SUM(N461:N466)</f>
        <v>0</v>
      </c>
      <c r="O467" s="794"/>
      <c r="P467" s="793">
        <f>SUM(P461:P466)</f>
        <v>0</v>
      </c>
      <c r="Q467" s="199"/>
    </row>
    <row r="468">
      <c r="A468" s="238"/>
      <c r="B468" s="796"/>
      <c r="E468" s="798"/>
      <c r="H468" s="799"/>
      <c r="I468" s="283"/>
      <c r="J468" s="796"/>
      <c r="M468" s="798"/>
      <c r="P468" s="799"/>
      <c r="Q468" s="199"/>
    </row>
    <row r="469">
      <c r="A469" s="197"/>
      <c r="B469" s="800" t="s">
        <v>712</v>
      </c>
      <c r="C469" s="803"/>
      <c r="D469" s="804"/>
      <c r="H469" s="799"/>
      <c r="I469" s="283"/>
      <c r="J469" s="800" t="s">
        <v>712</v>
      </c>
      <c r="K469" s="803"/>
      <c r="L469" s="804"/>
      <c r="P469" s="799"/>
      <c r="Q469" s="199"/>
    </row>
    <row r="470">
      <c r="A470" s="197"/>
      <c r="B470" s="867"/>
      <c r="C470" s="808"/>
      <c r="D470" s="809"/>
      <c r="H470" s="799"/>
      <c r="I470" s="283"/>
      <c r="J470" s="867"/>
      <c r="K470" s="808"/>
      <c r="L470" s="809"/>
      <c r="P470" s="799"/>
      <c r="Q470" s="199"/>
    </row>
    <row r="471">
      <c r="A471" s="238"/>
      <c r="B471" s="868"/>
      <c r="C471" s="774"/>
      <c r="D471" s="816"/>
      <c r="H471" s="799"/>
      <c r="I471" s="283"/>
      <c r="J471" s="868"/>
      <c r="K471" s="774"/>
      <c r="L471" s="816"/>
      <c r="P471" s="799"/>
      <c r="Q471" s="199"/>
    </row>
    <row r="472">
      <c r="A472" s="197"/>
      <c r="B472" s="815"/>
      <c r="C472" s="792"/>
      <c r="D472" s="816"/>
      <c r="H472" s="799"/>
      <c r="I472" s="283"/>
      <c r="J472" s="815"/>
      <c r="K472" s="792"/>
      <c r="L472" s="816"/>
      <c r="P472" s="799"/>
      <c r="Q472" s="199"/>
    </row>
    <row r="473">
      <c r="A473" s="238"/>
      <c r="B473" s="817"/>
      <c r="C473" s="774"/>
      <c r="D473" s="818"/>
      <c r="H473" s="799"/>
      <c r="I473" s="283"/>
      <c r="J473" s="817"/>
      <c r="K473" s="774"/>
      <c r="L473" s="818"/>
      <c r="P473" s="799"/>
      <c r="Q473" s="199"/>
    </row>
    <row r="474">
      <c r="A474" s="197"/>
      <c r="B474" s="817"/>
      <c r="C474" s="774"/>
      <c r="D474" s="818"/>
      <c r="H474" s="799"/>
      <c r="I474" s="283"/>
      <c r="J474" s="817"/>
      <c r="K474" s="774"/>
      <c r="L474" s="818"/>
      <c r="P474" s="799"/>
      <c r="Q474" s="199"/>
    </row>
    <row r="475">
      <c r="A475" s="197"/>
      <c r="B475" s="821" t="s">
        <v>714</v>
      </c>
      <c r="C475" s="822"/>
      <c r="D475" s="823">
        <f>SUM(D470:D474)</f>
        <v>0</v>
      </c>
      <c r="H475" s="799"/>
      <c r="I475" s="283"/>
      <c r="J475" s="821" t="s">
        <v>714</v>
      </c>
      <c r="K475" s="822"/>
      <c r="L475" s="827"/>
      <c r="P475" s="799"/>
      <c r="Q475" s="199"/>
    </row>
    <row r="476">
      <c r="A476" s="197"/>
      <c r="B476" s="828"/>
      <c r="D476" s="829"/>
      <c r="H476" s="799"/>
      <c r="I476" s="283"/>
      <c r="J476" s="828"/>
      <c r="L476" s="829"/>
      <c r="P476" s="799"/>
      <c r="Q476" s="199"/>
    </row>
    <row r="477">
      <c r="A477" s="197"/>
      <c r="B477" s="833" t="s">
        <v>715</v>
      </c>
      <c r="C477" s="834"/>
      <c r="D477" s="835"/>
      <c r="H477" s="799"/>
      <c r="I477" s="283"/>
      <c r="J477" s="833" t="s">
        <v>715</v>
      </c>
      <c r="K477" s="834"/>
      <c r="L477" s="835"/>
      <c r="P477" s="799"/>
      <c r="Q477" s="199"/>
    </row>
    <row r="478">
      <c r="A478" s="197"/>
      <c r="B478" s="839"/>
      <c r="C478" s="840"/>
      <c r="D478" s="841"/>
      <c r="H478" s="799"/>
      <c r="I478" s="283"/>
      <c r="J478" s="839"/>
      <c r="K478" s="840"/>
      <c r="L478" s="841"/>
      <c r="P478" s="799"/>
      <c r="Q478" s="199"/>
    </row>
    <row r="479">
      <c r="A479" s="238"/>
      <c r="B479" s="847"/>
      <c r="C479" s="848"/>
      <c r="D479" s="849"/>
      <c r="E479" s="248"/>
      <c r="F479" s="845" t="s">
        <v>1182</v>
      </c>
      <c r="H479" s="1037">
        <f>H467+D475-D484</f>
        <v>0</v>
      </c>
      <c r="I479" s="283"/>
      <c r="J479" s="847"/>
      <c r="K479" s="848"/>
      <c r="L479" s="849"/>
      <c r="M479" s="248"/>
      <c r="N479" s="845" t="s">
        <v>1183</v>
      </c>
      <c r="P479" s="846">
        <f>P467+L475-L484</f>
        <v>0</v>
      </c>
      <c r="Q479" s="199"/>
    </row>
    <row r="480">
      <c r="A480" s="238"/>
      <c r="B480" s="847"/>
      <c r="C480" s="848"/>
      <c r="D480" s="849"/>
      <c r="H480" s="799"/>
      <c r="I480" s="283"/>
      <c r="J480" s="847"/>
      <c r="K480" s="848"/>
      <c r="L480" s="849"/>
      <c r="P480" s="799"/>
      <c r="Q480" s="199"/>
    </row>
    <row r="481">
      <c r="A481" s="238"/>
      <c r="B481" s="847"/>
      <c r="C481" s="848"/>
      <c r="D481" s="849"/>
      <c r="H481" s="799"/>
      <c r="I481" s="283"/>
      <c r="J481" s="847"/>
      <c r="K481" s="848"/>
      <c r="L481" s="849"/>
      <c r="P481" s="799"/>
      <c r="Q481" s="199"/>
    </row>
    <row r="482">
      <c r="A482" s="238"/>
      <c r="B482" s="847"/>
      <c r="C482" s="848"/>
      <c r="D482" s="849"/>
      <c r="F482" s="248"/>
      <c r="H482" s="799"/>
      <c r="I482" s="283"/>
      <c r="J482" s="847"/>
      <c r="K482" s="848"/>
      <c r="L482" s="849"/>
      <c r="N482" s="248"/>
      <c r="P482" s="799"/>
      <c r="Q482" s="199"/>
    </row>
    <row r="483">
      <c r="A483" s="238"/>
      <c r="B483" s="847"/>
      <c r="C483" s="848"/>
      <c r="D483" s="849"/>
      <c r="H483" s="799"/>
      <c r="I483" s="283"/>
      <c r="J483" s="847"/>
      <c r="K483" s="848"/>
      <c r="L483" s="849"/>
      <c r="P483" s="799"/>
      <c r="Q483" s="199"/>
    </row>
    <row r="484">
      <c r="A484" s="197"/>
      <c r="B484" s="853" t="s">
        <v>721</v>
      </c>
      <c r="C484" s="854"/>
      <c r="D484" s="855">
        <f>SUM(D478:D483)</f>
        <v>0</v>
      </c>
      <c r="H484" s="799"/>
      <c r="I484" s="283"/>
      <c r="J484" s="853" t="s">
        <v>721</v>
      </c>
      <c r="K484" s="854"/>
      <c r="L484" s="855"/>
      <c r="P484" s="799"/>
      <c r="Q484" s="199"/>
    </row>
    <row r="485">
      <c r="A485" s="283"/>
      <c r="B485" s="856"/>
      <c r="C485" s="857"/>
      <c r="D485" s="857"/>
      <c r="E485" s="857"/>
      <c r="F485" s="857"/>
      <c r="G485" s="857"/>
      <c r="H485" s="808"/>
      <c r="I485" s="283"/>
      <c r="J485" s="856"/>
      <c r="K485" s="857"/>
      <c r="L485" s="857"/>
      <c r="M485" s="857"/>
      <c r="N485" s="857"/>
      <c r="O485" s="857"/>
      <c r="P485" s="808"/>
      <c r="Q485" s="199"/>
    </row>
    <row r="486">
      <c r="A486" s="1039"/>
      <c r="Y486" s="194"/>
    </row>
    <row r="487" ht="24.75" customHeight="1">
      <c r="A487" s="201"/>
      <c r="B487" s="769"/>
      <c r="C487" s="770"/>
      <c r="D487" s="770"/>
      <c r="E487" s="771" t="s">
        <v>700</v>
      </c>
      <c r="F487" s="772" t="str">
        <f>A2</f>
        <v>11.24.25-11.30.25</v>
      </c>
      <c r="G487" s="773"/>
      <c r="H487" s="774"/>
      <c r="I487" s="305">
        <v>13.0</v>
      </c>
      <c r="J487" s="769"/>
      <c r="K487" s="770"/>
      <c r="L487" s="770"/>
      <c r="M487" s="771" t="s">
        <v>700</v>
      </c>
      <c r="N487" s="772" t="str">
        <f>F487</f>
        <v>11.24.25-11.30.25</v>
      </c>
      <c r="O487" s="773"/>
      <c r="P487" s="774"/>
      <c r="Q487" s="199"/>
    </row>
    <row r="488" ht="25.5" customHeight="1">
      <c r="A488" s="194"/>
      <c r="B488" s="775"/>
      <c r="E488" s="771" t="s">
        <v>702</v>
      </c>
      <c r="F488" s="772" t="s">
        <v>660</v>
      </c>
      <c r="G488" s="773"/>
      <c r="H488" s="774"/>
      <c r="I488" s="283"/>
      <c r="J488" s="775"/>
      <c r="M488" s="771" t="s">
        <v>702</v>
      </c>
      <c r="N488" s="772"/>
      <c r="O488" s="773"/>
      <c r="P488" s="774"/>
      <c r="Q488" s="199"/>
    </row>
    <row r="489" ht="29.25" customHeight="1">
      <c r="A489" s="194"/>
      <c r="B489" s="775"/>
      <c r="E489" s="771" t="s">
        <v>703</v>
      </c>
      <c r="F489" s="772">
        <v>2319.0</v>
      </c>
      <c r="G489" s="773"/>
      <c r="H489" s="774"/>
      <c r="I489" s="283"/>
      <c r="J489" s="775"/>
      <c r="M489" s="771" t="s">
        <v>703</v>
      </c>
      <c r="N489" s="772">
        <v>2319.0</v>
      </c>
      <c r="O489" s="773"/>
      <c r="P489" s="774"/>
      <c r="Q489" s="199"/>
    </row>
    <row r="490">
      <c r="A490" s="1031"/>
      <c r="B490" s="779" t="s">
        <v>704</v>
      </c>
      <c r="C490" s="779" t="s">
        <v>5</v>
      </c>
      <c r="D490" s="779" t="s">
        <v>6</v>
      </c>
      <c r="E490" s="779" t="s">
        <v>7</v>
      </c>
      <c r="F490" s="779" t="s">
        <v>8</v>
      </c>
      <c r="G490" s="779" t="s">
        <v>706</v>
      </c>
      <c r="H490" s="779" t="s">
        <v>707</v>
      </c>
      <c r="I490" s="34"/>
      <c r="J490" s="779" t="s">
        <v>704</v>
      </c>
      <c r="K490" s="779" t="s">
        <v>5</v>
      </c>
      <c r="L490" s="779" t="s">
        <v>6</v>
      </c>
      <c r="M490" s="779" t="s">
        <v>7</v>
      </c>
      <c r="N490" s="779" t="s">
        <v>1178</v>
      </c>
      <c r="O490" s="779" t="s">
        <v>839</v>
      </c>
      <c r="P490" s="779" t="s">
        <v>707</v>
      </c>
      <c r="Q490" s="1032"/>
      <c r="R490" s="1032"/>
    </row>
    <row r="491">
      <c r="A491" s="229"/>
      <c r="B491" s="780"/>
      <c r="C491" s="781"/>
      <c r="D491" s="781"/>
      <c r="E491" s="781"/>
      <c r="F491" s="782"/>
      <c r="G491" s="783">
        <v>1.0</v>
      </c>
      <c r="H491" s="782"/>
      <c r="I491" s="283"/>
      <c r="J491" s="1033"/>
      <c r="K491" s="1034"/>
      <c r="L491" s="1034"/>
      <c r="M491" s="1034"/>
      <c r="N491" s="1035"/>
      <c r="O491" s="1036"/>
      <c r="P491" s="1035">
        <f t="shared" ref="P491:P496" si="14">N491*O491</f>
        <v>0</v>
      </c>
      <c r="Q491" s="199"/>
    </row>
    <row r="492">
      <c r="A492" s="229"/>
      <c r="B492" s="780"/>
      <c r="C492" s="781"/>
      <c r="D492" s="781"/>
      <c r="E492" s="781"/>
      <c r="F492" s="782"/>
      <c r="G492" s="783">
        <v>1.0</v>
      </c>
      <c r="H492" s="782"/>
      <c r="I492" s="283"/>
      <c r="J492" s="780"/>
      <c r="K492" s="781"/>
      <c r="L492" s="781"/>
      <c r="M492" s="781"/>
      <c r="N492" s="782"/>
      <c r="O492" s="783"/>
      <c r="P492" s="789">
        <f t="shared" si="14"/>
        <v>0</v>
      </c>
      <c r="Q492" s="199"/>
    </row>
    <row r="493">
      <c r="A493" s="238"/>
      <c r="B493" s="785"/>
      <c r="C493" s="786"/>
      <c r="D493" s="786"/>
      <c r="E493" s="786"/>
      <c r="F493" s="785"/>
      <c r="G493" s="787"/>
      <c r="H493" s="788"/>
      <c r="I493" s="283"/>
      <c r="J493" s="785"/>
      <c r="K493" s="786"/>
      <c r="L493" s="786"/>
      <c r="M493" s="786"/>
      <c r="N493" s="785"/>
      <c r="O493" s="787"/>
      <c r="P493" s="789">
        <f t="shared" si="14"/>
        <v>0</v>
      </c>
      <c r="Q493" s="199"/>
    </row>
    <row r="494">
      <c r="A494" s="238"/>
      <c r="B494" s="785"/>
      <c r="C494" s="786"/>
      <c r="D494" s="786"/>
      <c r="E494" s="786"/>
      <c r="F494" s="785"/>
      <c r="G494" s="787"/>
      <c r="H494" s="788"/>
      <c r="I494" s="283"/>
      <c r="J494" s="785"/>
      <c r="K494" s="786"/>
      <c r="L494" s="786"/>
      <c r="M494" s="786"/>
      <c r="N494" s="785"/>
      <c r="O494" s="787"/>
      <c r="P494" s="789">
        <f t="shared" si="14"/>
        <v>0</v>
      </c>
      <c r="Q494" s="199"/>
    </row>
    <row r="495">
      <c r="A495" s="238"/>
      <c r="B495" s="785"/>
      <c r="C495" s="786"/>
      <c r="D495" s="786"/>
      <c r="E495" s="786"/>
      <c r="F495" s="785"/>
      <c r="G495" s="787"/>
      <c r="H495" s="788"/>
      <c r="I495" s="283"/>
      <c r="J495" s="785"/>
      <c r="K495" s="786"/>
      <c r="L495" s="786"/>
      <c r="M495" s="786"/>
      <c r="N495" s="785"/>
      <c r="O495" s="787"/>
      <c r="P495" s="789">
        <f t="shared" si="14"/>
        <v>0</v>
      </c>
      <c r="Q495" s="199"/>
    </row>
    <row r="496">
      <c r="A496" s="238"/>
      <c r="B496" s="785"/>
      <c r="C496" s="786"/>
      <c r="D496" s="786"/>
      <c r="E496" s="786"/>
      <c r="F496" s="785"/>
      <c r="G496" s="787"/>
      <c r="H496" s="788"/>
      <c r="I496" s="283"/>
      <c r="J496" s="785"/>
      <c r="K496" s="786"/>
      <c r="L496" s="786"/>
      <c r="M496" s="786"/>
      <c r="N496" s="785"/>
      <c r="O496" s="787"/>
      <c r="P496" s="789">
        <f t="shared" si="14"/>
        <v>0</v>
      </c>
      <c r="Q496" s="199"/>
    </row>
    <row r="497">
      <c r="A497" s="197"/>
      <c r="B497" s="790" t="s">
        <v>711</v>
      </c>
      <c r="C497" s="791"/>
      <c r="D497" s="791"/>
      <c r="E497" s="792"/>
      <c r="F497" s="793">
        <f>SUM(F491:F496)</f>
        <v>0</v>
      </c>
      <c r="G497" s="794"/>
      <c r="H497" s="793">
        <f>SUM(H491:H496)</f>
        <v>0</v>
      </c>
      <c r="I497" s="283"/>
      <c r="J497" s="790" t="s">
        <v>711</v>
      </c>
      <c r="K497" s="791"/>
      <c r="L497" s="791"/>
      <c r="M497" s="792"/>
      <c r="N497" s="793">
        <f>SUM(N491:N496)</f>
        <v>0</v>
      </c>
      <c r="O497" s="794"/>
      <c r="P497" s="793">
        <f>SUM(P491:P496)</f>
        <v>0</v>
      </c>
      <c r="Q497" s="199"/>
    </row>
    <row r="498">
      <c r="A498" s="238"/>
      <c r="B498" s="796"/>
      <c r="E498" s="798"/>
      <c r="H498" s="799"/>
      <c r="I498" s="283"/>
      <c r="J498" s="796"/>
      <c r="M498" s="798"/>
      <c r="P498" s="799"/>
      <c r="Q498" s="199"/>
    </row>
    <row r="499">
      <c r="A499" s="197"/>
      <c r="B499" s="800" t="s">
        <v>712</v>
      </c>
      <c r="C499" s="803"/>
      <c r="D499" s="804"/>
      <c r="H499" s="799"/>
      <c r="I499" s="283"/>
      <c r="J499" s="800" t="s">
        <v>712</v>
      </c>
      <c r="K499" s="803"/>
      <c r="L499" s="804"/>
      <c r="P499" s="799"/>
      <c r="Q499" s="199"/>
    </row>
    <row r="500">
      <c r="A500" s="197"/>
      <c r="B500" s="867"/>
      <c r="C500" s="808"/>
      <c r="D500" s="809"/>
      <c r="H500" s="799"/>
      <c r="I500" s="283"/>
      <c r="J500" s="867"/>
      <c r="K500" s="808"/>
      <c r="L500" s="809"/>
      <c r="P500" s="799"/>
      <c r="Q500" s="199"/>
    </row>
    <row r="501">
      <c r="A501" s="238"/>
      <c r="B501" s="868"/>
      <c r="C501" s="774"/>
      <c r="D501" s="816"/>
      <c r="H501" s="799"/>
      <c r="I501" s="283"/>
      <c r="J501" s="868"/>
      <c r="K501" s="774"/>
      <c r="L501" s="816"/>
      <c r="P501" s="799"/>
      <c r="Q501" s="199"/>
    </row>
    <row r="502">
      <c r="A502" s="197"/>
      <c r="B502" s="815"/>
      <c r="C502" s="792"/>
      <c r="D502" s="816"/>
      <c r="H502" s="799"/>
      <c r="I502" s="283"/>
      <c r="J502" s="815"/>
      <c r="K502" s="792"/>
      <c r="L502" s="816"/>
      <c r="P502" s="799"/>
      <c r="Q502" s="199"/>
    </row>
    <row r="503">
      <c r="A503" s="238"/>
      <c r="B503" s="817"/>
      <c r="C503" s="774"/>
      <c r="D503" s="818"/>
      <c r="H503" s="799"/>
      <c r="I503" s="283"/>
      <c r="J503" s="817"/>
      <c r="K503" s="774"/>
      <c r="L503" s="818"/>
      <c r="P503" s="799"/>
      <c r="Q503" s="199"/>
    </row>
    <row r="504">
      <c r="A504" s="197"/>
      <c r="B504" s="817"/>
      <c r="C504" s="774"/>
      <c r="D504" s="818"/>
      <c r="H504" s="799"/>
      <c r="I504" s="283"/>
      <c r="J504" s="817"/>
      <c r="K504" s="774"/>
      <c r="L504" s="818"/>
      <c r="P504" s="799"/>
      <c r="Q504" s="199"/>
    </row>
    <row r="505">
      <c r="A505" s="197"/>
      <c r="B505" s="821" t="s">
        <v>714</v>
      </c>
      <c r="C505" s="822"/>
      <c r="D505" s="823">
        <f>SUM(D500:D504)</f>
        <v>0</v>
      </c>
      <c r="H505" s="799"/>
      <c r="I505" s="283"/>
      <c r="J505" s="821" t="s">
        <v>714</v>
      </c>
      <c r="K505" s="822"/>
      <c r="L505" s="827"/>
      <c r="P505" s="799"/>
      <c r="Q505" s="199"/>
    </row>
    <row r="506">
      <c r="A506" s="197"/>
      <c r="B506" s="828"/>
      <c r="D506" s="829"/>
      <c r="H506" s="799"/>
      <c r="I506" s="283"/>
      <c r="J506" s="828"/>
      <c r="L506" s="829"/>
      <c r="P506" s="799"/>
      <c r="Q506" s="199"/>
    </row>
    <row r="507">
      <c r="A507" s="197"/>
      <c r="B507" s="833" t="s">
        <v>715</v>
      </c>
      <c r="C507" s="834"/>
      <c r="D507" s="835"/>
      <c r="H507" s="799"/>
      <c r="I507" s="283"/>
      <c r="J507" s="833" t="s">
        <v>715</v>
      </c>
      <c r="K507" s="834"/>
      <c r="L507" s="835"/>
      <c r="P507" s="799"/>
      <c r="Q507" s="199"/>
    </row>
    <row r="508">
      <c r="A508" s="197"/>
      <c r="B508" s="839"/>
      <c r="C508" s="840"/>
      <c r="D508" s="841"/>
      <c r="H508" s="799"/>
      <c r="I508" s="283"/>
      <c r="J508" s="839"/>
      <c r="K508" s="840"/>
      <c r="L508" s="841"/>
      <c r="P508" s="799"/>
      <c r="Q508" s="199"/>
    </row>
    <row r="509">
      <c r="A509" s="238"/>
      <c r="B509" s="847"/>
      <c r="C509" s="848"/>
      <c r="D509" s="849"/>
      <c r="E509" s="248"/>
      <c r="F509" s="845" t="s">
        <v>1182</v>
      </c>
      <c r="H509" s="1037">
        <f>H497+D505-D514</f>
        <v>0</v>
      </c>
      <c r="I509" s="283"/>
      <c r="J509" s="847"/>
      <c r="K509" s="848"/>
      <c r="L509" s="849"/>
      <c r="M509" s="248"/>
      <c r="N509" s="845" t="s">
        <v>1183</v>
      </c>
      <c r="P509" s="846">
        <f>P497+L505-L514</f>
        <v>0</v>
      </c>
      <c r="Q509" s="199"/>
    </row>
    <row r="510">
      <c r="A510" s="238"/>
      <c r="B510" s="847"/>
      <c r="C510" s="848"/>
      <c r="D510" s="849"/>
      <c r="H510" s="799"/>
      <c r="I510" s="283"/>
      <c r="J510" s="847"/>
      <c r="K510" s="848"/>
      <c r="L510" s="849"/>
      <c r="P510" s="799"/>
      <c r="Q510" s="199"/>
    </row>
    <row r="511">
      <c r="A511" s="238"/>
      <c r="B511" s="847"/>
      <c r="C511" s="848"/>
      <c r="D511" s="849"/>
      <c r="H511" s="799"/>
      <c r="I511" s="283"/>
      <c r="J511" s="847"/>
      <c r="K511" s="848"/>
      <c r="L511" s="849"/>
      <c r="P511" s="799"/>
      <c r="Q511" s="199"/>
    </row>
    <row r="512">
      <c r="A512" s="238"/>
      <c r="B512" s="847"/>
      <c r="C512" s="848"/>
      <c r="D512" s="849"/>
      <c r="F512" s="248"/>
      <c r="H512" s="799"/>
      <c r="I512" s="283"/>
      <c r="J512" s="847"/>
      <c r="K512" s="848"/>
      <c r="L512" s="849"/>
      <c r="N512" s="248"/>
      <c r="P512" s="799"/>
      <c r="Q512" s="199"/>
    </row>
    <row r="513">
      <c r="A513" s="238"/>
      <c r="B513" s="847"/>
      <c r="C513" s="848"/>
      <c r="D513" s="849"/>
      <c r="H513" s="799"/>
      <c r="I513" s="283"/>
      <c r="J513" s="847"/>
      <c r="K513" s="848"/>
      <c r="L513" s="849"/>
      <c r="P513" s="799"/>
      <c r="Q513" s="199"/>
    </row>
    <row r="514">
      <c r="A514" s="197"/>
      <c r="B514" s="853" t="s">
        <v>721</v>
      </c>
      <c r="C514" s="854"/>
      <c r="D514" s="855">
        <f>SUM(D508:D513)</f>
        <v>0</v>
      </c>
      <c r="H514" s="799"/>
      <c r="I514" s="283"/>
      <c r="J514" s="853" t="s">
        <v>721</v>
      </c>
      <c r="K514" s="854"/>
      <c r="L514" s="855"/>
      <c r="P514" s="799"/>
      <c r="Q514" s="199"/>
    </row>
    <row r="515">
      <c r="A515" s="283"/>
      <c r="B515" s="856"/>
      <c r="C515" s="857"/>
      <c r="D515" s="857"/>
      <c r="E515" s="857"/>
      <c r="F515" s="857"/>
      <c r="G515" s="857"/>
      <c r="H515" s="808"/>
      <c r="I515" s="283"/>
      <c r="J515" s="856"/>
      <c r="K515" s="857"/>
      <c r="L515" s="857"/>
      <c r="M515" s="857"/>
      <c r="N515" s="857"/>
      <c r="O515" s="857"/>
      <c r="P515" s="808"/>
      <c r="Q515" s="199"/>
    </row>
    <row r="516">
      <c r="A516" s="1038"/>
      <c r="Y516" s="283"/>
    </row>
    <row r="517" ht="24.75" customHeight="1">
      <c r="A517" s="201"/>
      <c r="B517" s="769"/>
      <c r="C517" s="770"/>
      <c r="D517" s="770"/>
      <c r="E517" s="771" t="s">
        <v>700</v>
      </c>
      <c r="F517" s="772" t="str">
        <f>A2</f>
        <v>11.24.25-11.30.25</v>
      </c>
      <c r="G517" s="773"/>
      <c r="H517" s="774"/>
      <c r="I517" s="305">
        <v>14.0</v>
      </c>
      <c r="J517" s="769"/>
      <c r="K517" s="770"/>
      <c r="L517" s="770"/>
      <c r="M517" s="771" t="s">
        <v>700</v>
      </c>
      <c r="N517" s="772" t="str">
        <f>F517</f>
        <v>11.24.25-11.30.25</v>
      </c>
      <c r="O517" s="773"/>
      <c r="P517" s="774"/>
      <c r="Q517" s="199"/>
    </row>
    <row r="518" ht="25.5" customHeight="1">
      <c r="A518" s="194"/>
      <c r="B518" s="775"/>
      <c r="E518" s="771" t="s">
        <v>702</v>
      </c>
      <c r="F518" s="772" t="s">
        <v>660</v>
      </c>
      <c r="G518" s="773"/>
      <c r="H518" s="774"/>
      <c r="I518" s="283"/>
      <c r="J518" s="775"/>
      <c r="M518" s="771" t="s">
        <v>702</v>
      </c>
      <c r="N518" s="772"/>
      <c r="O518" s="773"/>
      <c r="P518" s="774"/>
      <c r="Q518" s="199"/>
    </row>
    <row r="519" ht="29.25" customHeight="1">
      <c r="A519" s="194"/>
      <c r="B519" s="775"/>
      <c r="E519" s="771" t="s">
        <v>703</v>
      </c>
      <c r="F519" s="772">
        <v>2319.0</v>
      </c>
      <c r="G519" s="773"/>
      <c r="H519" s="774"/>
      <c r="I519" s="283"/>
      <c r="J519" s="775"/>
      <c r="M519" s="771" t="s">
        <v>703</v>
      </c>
      <c r="N519" s="772">
        <v>2319.0</v>
      </c>
      <c r="O519" s="773"/>
      <c r="P519" s="774"/>
      <c r="Q519" s="199"/>
    </row>
    <row r="520">
      <c r="A520" s="1031"/>
      <c r="B520" s="779" t="s">
        <v>704</v>
      </c>
      <c r="C520" s="779" t="s">
        <v>5</v>
      </c>
      <c r="D520" s="779" t="s">
        <v>6</v>
      </c>
      <c r="E520" s="779" t="s">
        <v>7</v>
      </c>
      <c r="F520" s="779" t="s">
        <v>8</v>
      </c>
      <c r="G520" s="779" t="s">
        <v>706</v>
      </c>
      <c r="H520" s="779" t="s">
        <v>707</v>
      </c>
      <c r="I520" s="34"/>
      <c r="J520" s="779" t="s">
        <v>704</v>
      </c>
      <c r="K520" s="779" t="s">
        <v>5</v>
      </c>
      <c r="L520" s="779" t="s">
        <v>6</v>
      </c>
      <c r="M520" s="779" t="s">
        <v>7</v>
      </c>
      <c r="N520" s="779" t="s">
        <v>1178</v>
      </c>
      <c r="O520" s="779" t="s">
        <v>839</v>
      </c>
      <c r="P520" s="779" t="s">
        <v>707</v>
      </c>
      <c r="Q520" s="1032"/>
      <c r="R520" s="1032"/>
    </row>
    <row r="521">
      <c r="A521" s="229"/>
      <c r="B521" s="780"/>
      <c r="C521" s="781"/>
      <c r="D521" s="781"/>
      <c r="E521" s="781"/>
      <c r="F521" s="782"/>
      <c r="G521" s="783">
        <v>1.0</v>
      </c>
      <c r="H521" s="782"/>
      <c r="I521" s="283"/>
      <c r="J521" s="1033"/>
      <c r="K521" s="1034"/>
      <c r="L521" s="1034"/>
      <c r="M521" s="1034"/>
      <c r="N521" s="1035"/>
      <c r="O521" s="1036"/>
      <c r="P521" s="1035">
        <f t="shared" ref="P521:P526" si="15">N521*O521</f>
        <v>0</v>
      </c>
      <c r="Q521" s="199"/>
    </row>
    <row r="522">
      <c r="A522" s="229"/>
      <c r="B522" s="780"/>
      <c r="C522" s="781"/>
      <c r="D522" s="781"/>
      <c r="E522" s="781"/>
      <c r="F522" s="782"/>
      <c r="G522" s="783">
        <v>1.0</v>
      </c>
      <c r="H522" s="782"/>
      <c r="I522" s="283"/>
      <c r="J522" s="780"/>
      <c r="K522" s="781"/>
      <c r="L522" s="781"/>
      <c r="M522" s="781"/>
      <c r="N522" s="782"/>
      <c r="O522" s="783"/>
      <c r="P522" s="789">
        <f t="shared" si="15"/>
        <v>0</v>
      </c>
      <c r="Q522" s="199"/>
    </row>
    <row r="523">
      <c r="A523" s="238"/>
      <c r="B523" s="785"/>
      <c r="C523" s="786"/>
      <c r="D523" s="786"/>
      <c r="E523" s="786"/>
      <c r="F523" s="785"/>
      <c r="G523" s="787"/>
      <c r="H523" s="788"/>
      <c r="I523" s="283"/>
      <c r="J523" s="785"/>
      <c r="K523" s="786"/>
      <c r="L523" s="786"/>
      <c r="M523" s="786"/>
      <c r="N523" s="785"/>
      <c r="O523" s="787"/>
      <c r="P523" s="789">
        <f t="shared" si="15"/>
        <v>0</v>
      </c>
      <c r="Q523" s="199"/>
    </row>
    <row r="524">
      <c r="A524" s="238"/>
      <c r="B524" s="785"/>
      <c r="C524" s="786"/>
      <c r="D524" s="786"/>
      <c r="E524" s="786"/>
      <c r="F524" s="785"/>
      <c r="G524" s="787"/>
      <c r="H524" s="788"/>
      <c r="I524" s="283"/>
      <c r="J524" s="785"/>
      <c r="K524" s="786"/>
      <c r="L524" s="786"/>
      <c r="M524" s="786"/>
      <c r="N524" s="785"/>
      <c r="O524" s="787"/>
      <c r="P524" s="789">
        <f t="shared" si="15"/>
        <v>0</v>
      </c>
      <c r="Q524" s="199"/>
    </row>
    <row r="525">
      <c r="A525" s="238"/>
      <c r="B525" s="785"/>
      <c r="C525" s="786"/>
      <c r="D525" s="786"/>
      <c r="E525" s="786"/>
      <c r="F525" s="785"/>
      <c r="G525" s="787"/>
      <c r="H525" s="788"/>
      <c r="I525" s="283"/>
      <c r="J525" s="785"/>
      <c r="K525" s="786"/>
      <c r="L525" s="786"/>
      <c r="M525" s="786"/>
      <c r="N525" s="785"/>
      <c r="O525" s="787"/>
      <c r="P525" s="789">
        <f t="shared" si="15"/>
        <v>0</v>
      </c>
      <c r="Q525" s="199"/>
    </row>
    <row r="526">
      <c r="A526" s="238"/>
      <c r="B526" s="785"/>
      <c r="C526" s="786"/>
      <c r="D526" s="786"/>
      <c r="E526" s="786"/>
      <c r="F526" s="785"/>
      <c r="G526" s="787"/>
      <c r="H526" s="788"/>
      <c r="I526" s="283"/>
      <c r="J526" s="785"/>
      <c r="K526" s="786"/>
      <c r="L526" s="786"/>
      <c r="M526" s="786"/>
      <c r="N526" s="785"/>
      <c r="O526" s="787"/>
      <c r="P526" s="789">
        <f t="shared" si="15"/>
        <v>0</v>
      </c>
      <c r="Q526" s="199"/>
    </row>
    <row r="527">
      <c r="A527" s="197"/>
      <c r="B527" s="790" t="s">
        <v>711</v>
      </c>
      <c r="C527" s="791"/>
      <c r="D527" s="791"/>
      <c r="E527" s="792"/>
      <c r="F527" s="793">
        <f>SUM(F521:F526)</f>
        <v>0</v>
      </c>
      <c r="G527" s="794"/>
      <c r="H527" s="793">
        <f>SUM(H521:H526)</f>
        <v>0</v>
      </c>
      <c r="I527" s="283"/>
      <c r="J527" s="790" t="s">
        <v>711</v>
      </c>
      <c r="K527" s="791"/>
      <c r="L527" s="791"/>
      <c r="M527" s="792"/>
      <c r="N527" s="793">
        <f>SUM(N521:N526)</f>
        <v>0</v>
      </c>
      <c r="O527" s="794"/>
      <c r="P527" s="793">
        <f>SUM(P521:P526)</f>
        <v>0</v>
      </c>
      <c r="Q527" s="199"/>
    </row>
    <row r="528">
      <c r="A528" s="238"/>
      <c r="B528" s="796"/>
      <c r="E528" s="798"/>
      <c r="H528" s="799"/>
      <c r="I528" s="283"/>
      <c r="J528" s="796"/>
      <c r="M528" s="798"/>
      <c r="P528" s="799"/>
      <c r="Q528" s="199"/>
    </row>
    <row r="529">
      <c r="A529" s="197"/>
      <c r="B529" s="800" t="s">
        <v>712</v>
      </c>
      <c r="C529" s="803"/>
      <c r="D529" s="804"/>
      <c r="H529" s="799"/>
      <c r="I529" s="283"/>
      <c r="J529" s="800" t="s">
        <v>712</v>
      </c>
      <c r="K529" s="803"/>
      <c r="L529" s="804"/>
      <c r="P529" s="799"/>
      <c r="Q529" s="199"/>
    </row>
    <row r="530">
      <c r="A530" s="197"/>
      <c r="B530" s="867"/>
      <c r="C530" s="808"/>
      <c r="D530" s="809"/>
      <c r="H530" s="799"/>
      <c r="I530" s="283"/>
      <c r="J530" s="867"/>
      <c r="K530" s="808"/>
      <c r="L530" s="809"/>
      <c r="P530" s="799"/>
      <c r="Q530" s="199"/>
    </row>
    <row r="531">
      <c r="A531" s="238"/>
      <c r="B531" s="868"/>
      <c r="C531" s="774"/>
      <c r="D531" s="816"/>
      <c r="H531" s="799"/>
      <c r="I531" s="283"/>
      <c r="J531" s="868"/>
      <c r="K531" s="774"/>
      <c r="L531" s="816"/>
      <c r="P531" s="799"/>
      <c r="Q531" s="199"/>
    </row>
    <row r="532">
      <c r="A532" s="197"/>
      <c r="B532" s="815"/>
      <c r="C532" s="792"/>
      <c r="D532" s="816"/>
      <c r="H532" s="799"/>
      <c r="I532" s="283"/>
      <c r="J532" s="815"/>
      <c r="K532" s="792"/>
      <c r="L532" s="816"/>
      <c r="P532" s="799"/>
      <c r="Q532" s="199"/>
    </row>
    <row r="533">
      <c r="A533" s="238"/>
      <c r="B533" s="817"/>
      <c r="C533" s="774"/>
      <c r="D533" s="818"/>
      <c r="H533" s="799"/>
      <c r="I533" s="283"/>
      <c r="J533" s="817"/>
      <c r="K533" s="774"/>
      <c r="L533" s="818"/>
      <c r="P533" s="799"/>
      <c r="Q533" s="199"/>
    </row>
    <row r="534">
      <c r="A534" s="197"/>
      <c r="B534" s="817"/>
      <c r="C534" s="774"/>
      <c r="D534" s="818"/>
      <c r="H534" s="799"/>
      <c r="I534" s="283"/>
      <c r="J534" s="817"/>
      <c r="K534" s="774"/>
      <c r="L534" s="818"/>
      <c r="P534" s="799"/>
      <c r="Q534" s="199"/>
    </row>
    <row r="535">
      <c r="A535" s="197"/>
      <c r="B535" s="821" t="s">
        <v>714</v>
      </c>
      <c r="C535" s="822"/>
      <c r="D535" s="823">
        <f>SUM(D530:D534)</f>
        <v>0</v>
      </c>
      <c r="H535" s="799"/>
      <c r="I535" s="283"/>
      <c r="J535" s="821" t="s">
        <v>714</v>
      </c>
      <c r="K535" s="822"/>
      <c r="L535" s="827"/>
      <c r="P535" s="799"/>
      <c r="Q535" s="199"/>
    </row>
    <row r="536">
      <c r="A536" s="197"/>
      <c r="B536" s="828"/>
      <c r="D536" s="829"/>
      <c r="H536" s="799"/>
      <c r="I536" s="283"/>
      <c r="J536" s="828"/>
      <c r="L536" s="829"/>
      <c r="P536" s="799"/>
      <c r="Q536" s="199"/>
    </row>
    <row r="537">
      <c r="A537" s="197"/>
      <c r="B537" s="833" t="s">
        <v>715</v>
      </c>
      <c r="C537" s="834"/>
      <c r="D537" s="835"/>
      <c r="H537" s="799"/>
      <c r="I537" s="283"/>
      <c r="J537" s="833" t="s">
        <v>715</v>
      </c>
      <c r="K537" s="834"/>
      <c r="L537" s="835"/>
      <c r="P537" s="799"/>
      <c r="Q537" s="199"/>
    </row>
    <row r="538">
      <c r="A538" s="197"/>
      <c r="B538" s="839"/>
      <c r="C538" s="840"/>
      <c r="D538" s="841"/>
      <c r="H538" s="799"/>
      <c r="I538" s="283"/>
      <c r="J538" s="839"/>
      <c r="K538" s="840"/>
      <c r="L538" s="841"/>
      <c r="P538" s="799"/>
      <c r="Q538" s="199"/>
    </row>
    <row r="539">
      <c r="A539" s="238"/>
      <c r="B539" s="847"/>
      <c r="C539" s="848"/>
      <c r="D539" s="849"/>
      <c r="E539" s="248"/>
      <c r="F539" s="845" t="s">
        <v>1182</v>
      </c>
      <c r="H539" s="1037">
        <f>H527+D535-D544</f>
        <v>0</v>
      </c>
      <c r="I539" s="283"/>
      <c r="J539" s="847"/>
      <c r="K539" s="848"/>
      <c r="L539" s="849"/>
      <c r="M539" s="248"/>
      <c r="N539" s="845" t="s">
        <v>1183</v>
      </c>
      <c r="P539" s="846">
        <f>P527+L535-L544</f>
        <v>0</v>
      </c>
      <c r="Q539" s="199"/>
    </row>
    <row r="540">
      <c r="A540" s="238"/>
      <c r="B540" s="847"/>
      <c r="C540" s="848"/>
      <c r="D540" s="849"/>
      <c r="H540" s="799"/>
      <c r="I540" s="283"/>
      <c r="J540" s="847"/>
      <c r="K540" s="848"/>
      <c r="L540" s="849"/>
      <c r="P540" s="799"/>
      <c r="Q540" s="199"/>
    </row>
    <row r="541">
      <c r="A541" s="238"/>
      <c r="B541" s="847"/>
      <c r="C541" s="848"/>
      <c r="D541" s="849"/>
      <c r="H541" s="799"/>
      <c r="I541" s="283"/>
      <c r="J541" s="847"/>
      <c r="K541" s="848"/>
      <c r="L541" s="849"/>
      <c r="P541" s="799"/>
      <c r="Q541" s="199"/>
    </row>
    <row r="542">
      <c r="A542" s="238"/>
      <c r="B542" s="847"/>
      <c r="C542" s="848"/>
      <c r="D542" s="849"/>
      <c r="F542" s="248"/>
      <c r="H542" s="799"/>
      <c r="I542" s="283"/>
      <c r="J542" s="847"/>
      <c r="K542" s="848"/>
      <c r="L542" s="849"/>
      <c r="N542" s="248"/>
      <c r="P542" s="799"/>
      <c r="Q542" s="199"/>
    </row>
    <row r="543">
      <c r="A543" s="238"/>
      <c r="B543" s="847"/>
      <c r="C543" s="848"/>
      <c r="D543" s="849"/>
      <c r="H543" s="799"/>
      <c r="I543" s="283"/>
      <c r="J543" s="847"/>
      <c r="K543" s="848"/>
      <c r="L543" s="849"/>
      <c r="P543" s="799"/>
      <c r="Q543" s="199"/>
    </row>
    <row r="544">
      <c r="A544" s="197"/>
      <c r="B544" s="853" t="s">
        <v>721</v>
      </c>
      <c r="C544" s="854"/>
      <c r="D544" s="855">
        <f>SUM(D538:D543)</f>
        <v>0</v>
      </c>
      <c r="H544" s="799"/>
      <c r="I544" s="283"/>
      <c r="J544" s="853" t="s">
        <v>721</v>
      </c>
      <c r="K544" s="854"/>
      <c r="L544" s="855"/>
      <c r="P544" s="799"/>
      <c r="Q544" s="199"/>
    </row>
    <row r="545">
      <c r="A545" s="283"/>
      <c r="B545" s="856"/>
      <c r="C545" s="857"/>
      <c r="D545" s="857"/>
      <c r="E545" s="857"/>
      <c r="F545" s="857"/>
      <c r="G545" s="857"/>
      <c r="H545" s="808"/>
      <c r="I545" s="283"/>
      <c r="J545" s="856"/>
      <c r="K545" s="857"/>
      <c r="L545" s="857"/>
      <c r="M545" s="857"/>
      <c r="N545" s="857"/>
      <c r="O545" s="857"/>
      <c r="P545" s="808"/>
      <c r="Q545" s="199"/>
    </row>
    <row r="546">
      <c r="A546" s="1041"/>
      <c r="Y546" s="283"/>
    </row>
    <row r="547" ht="24.75" customHeight="1">
      <c r="A547" s="201"/>
      <c r="B547" s="769"/>
      <c r="C547" s="770"/>
      <c r="D547" s="770"/>
      <c r="E547" s="771" t="s">
        <v>700</v>
      </c>
      <c r="F547" s="772" t="str">
        <f>A2</f>
        <v>11.24.25-11.30.25</v>
      </c>
      <c r="G547" s="773"/>
      <c r="H547" s="774"/>
      <c r="I547" s="305">
        <v>15.0</v>
      </c>
      <c r="J547" s="769"/>
      <c r="K547" s="770"/>
      <c r="L547" s="770"/>
      <c r="M547" s="771" t="s">
        <v>700</v>
      </c>
      <c r="N547" s="772" t="str">
        <f>F547</f>
        <v>11.24.25-11.30.25</v>
      </c>
      <c r="O547" s="773"/>
      <c r="P547" s="774"/>
      <c r="Q547" s="199"/>
    </row>
    <row r="548" ht="25.5" customHeight="1">
      <c r="A548" s="194"/>
      <c r="B548" s="775"/>
      <c r="E548" s="771" t="s">
        <v>702</v>
      </c>
      <c r="F548" s="772" t="s">
        <v>660</v>
      </c>
      <c r="G548" s="773"/>
      <c r="H548" s="774"/>
      <c r="I548" s="283"/>
      <c r="J548" s="775"/>
      <c r="M548" s="771" t="s">
        <v>702</v>
      </c>
      <c r="N548" s="772"/>
      <c r="O548" s="773"/>
      <c r="P548" s="774"/>
      <c r="Q548" s="199"/>
    </row>
    <row r="549" ht="29.25" customHeight="1">
      <c r="A549" s="194"/>
      <c r="B549" s="775"/>
      <c r="E549" s="771" t="s">
        <v>703</v>
      </c>
      <c r="F549" s="772">
        <v>2319.0</v>
      </c>
      <c r="G549" s="773"/>
      <c r="H549" s="774"/>
      <c r="I549" s="283"/>
      <c r="J549" s="775"/>
      <c r="M549" s="771" t="s">
        <v>703</v>
      </c>
      <c r="N549" s="772">
        <v>2319.0</v>
      </c>
      <c r="O549" s="773"/>
      <c r="P549" s="774"/>
      <c r="Q549" s="199"/>
    </row>
    <row r="550">
      <c r="A550" s="1031"/>
      <c r="B550" s="779" t="s">
        <v>704</v>
      </c>
      <c r="C550" s="779" t="s">
        <v>5</v>
      </c>
      <c r="D550" s="779" t="s">
        <v>6</v>
      </c>
      <c r="E550" s="779" t="s">
        <v>7</v>
      </c>
      <c r="F550" s="779" t="s">
        <v>8</v>
      </c>
      <c r="G550" s="779" t="s">
        <v>706</v>
      </c>
      <c r="H550" s="779" t="s">
        <v>707</v>
      </c>
      <c r="I550" s="34"/>
      <c r="J550" s="779" t="s">
        <v>704</v>
      </c>
      <c r="K550" s="779" t="s">
        <v>5</v>
      </c>
      <c r="L550" s="779" t="s">
        <v>6</v>
      </c>
      <c r="M550" s="779" t="s">
        <v>7</v>
      </c>
      <c r="N550" s="779" t="s">
        <v>1178</v>
      </c>
      <c r="O550" s="779" t="s">
        <v>839</v>
      </c>
      <c r="P550" s="779" t="s">
        <v>707</v>
      </c>
      <c r="Q550" s="1032"/>
      <c r="R550" s="1032"/>
    </row>
    <row r="551">
      <c r="A551" s="229"/>
      <c r="B551" s="780"/>
      <c r="C551" s="781"/>
      <c r="D551" s="781"/>
      <c r="E551" s="781"/>
      <c r="F551" s="782"/>
      <c r="G551" s="783">
        <v>1.0</v>
      </c>
      <c r="H551" s="782"/>
      <c r="I551" s="283"/>
      <c r="J551" s="1033"/>
      <c r="K551" s="1034"/>
      <c r="L551" s="1034"/>
      <c r="M551" s="1034"/>
      <c r="N551" s="1035"/>
      <c r="O551" s="1036"/>
      <c r="P551" s="1035">
        <f t="shared" ref="P551:P556" si="16">N551*O551</f>
        <v>0</v>
      </c>
      <c r="Q551" s="199"/>
    </row>
    <row r="552">
      <c r="A552" s="229"/>
      <c r="B552" s="780"/>
      <c r="C552" s="781"/>
      <c r="D552" s="781"/>
      <c r="E552" s="781"/>
      <c r="F552" s="782"/>
      <c r="G552" s="783">
        <v>1.0</v>
      </c>
      <c r="H552" s="782"/>
      <c r="I552" s="283"/>
      <c r="J552" s="780"/>
      <c r="K552" s="781"/>
      <c r="L552" s="781"/>
      <c r="M552" s="781"/>
      <c r="N552" s="782"/>
      <c r="O552" s="783"/>
      <c r="P552" s="789">
        <f t="shared" si="16"/>
        <v>0</v>
      </c>
      <c r="Q552" s="199"/>
    </row>
    <row r="553">
      <c r="A553" s="238"/>
      <c r="B553" s="785"/>
      <c r="C553" s="786"/>
      <c r="D553" s="786"/>
      <c r="E553" s="786"/>
      <c r="F553" s="785"/>
      <c r="G553" s="787"/>
      <c r="H553" s="788"/>
      <c r="I553" s="283"/>
      <c r="J553" s="785"/>
      <c r="K553" s="786"/>
      <c r="L553" s="786"/>
      <c r="M553" s="786"/>
      <c r="N553" s="785"/>
      <c r="O553" s="787"/>
      <c r="P553" s="789">
        <f t="shared" si="16"/>
        <v>0</v>
      </c>
      <c r="Q553" s="199"/>
    </row>
    <row r="554">
      <c r="A554" s="238"/>
      <c r="B554" s="785"/>
      <c r="C554" s="786"/>
      <c r="D554" s="786"/>
      <c r="E554" s="786"/>
      <c r="F554" s="785"/>
      <c r="G554" s="787"/>
      <c r="H554" s="788"/>
      <c r="I554" s="283"/>
      <c r="J554" s="785"/>
      <c r="K554" s="786"/>
      <c r="L554" s="786"/>
      <c r="M554" s="786"/>
      <c r="N554" s="785"/>
      <c r="O554" s="787"/>
      <c r="P554" s="789">
        <f t="shared" si="16"/>
        <v>0</v>
      </c>
      <c r="Q554" s="199"/>
    </row>
    <row r="555">
      <c r="A555" s="238"/>
      <c r="B555" s="785"/>
      <c r="C555" s="786"/>
      <c r="D555" s="786"/>
      <c r="E555" s="786"/>
      <c r="F555" s="785"/>
      <c r="G555" s="787"/>
      <c r="H555" s="788"/>
      <c r="I555" s="283"/>
      <c r="J555" s="785"/>
      <c r="K555" s="786"/>
      <c r="L555" s="786"/>
      <c r="M555" s="786"/>
      <c r="N555" s="785"/>
      <c r="O555" s="787"/>
      <c r="P555" s="789">
        <f t="shared" si="16"/>
        <v>0</v>
      </c>
      <c r="Q555" s="199"/>
    </row>
    <row r="556">
      <c r="A556" s="238"/>
      <c r="B556" s="785"/>
      <c r="C556" s="786"/>
      <c r="D556" s="786"/>
      <c r="E556" s="786"/>
      <c r="F556" s="785"/>
      <c r="G556" s="787"/>
      <c r="H556" s="788"/>
      <c r="I556" s="283"/>
      <c r="J556" s="785"/>
      <c r="K556" s="786"/>
      <c r="L556" s="786"/>
      <c r="M556" s="786"/>
      <c r="N556" s="785"/>
      <c r="O556" s="787"/>
      <c r="P556" s="789">
        <f t="shared" si="16"/>
        <v>0</v>
      </c>
      <c r="Q556" s="199"/>
    </row>
    <row r="557">
      <c r="A557" s="197"/>
      <c r="B557" s="790" t="s">
        <v>711</v>
      </c>
      <c r="C557" s="791"/>
      <c r="D557" s="791"/>
      <c r="E557" s="792"/>
      <c r="F557" s="793">
        <f>SUM(F551:F556)</f>
        <v>0</v>
      </c>
      <c r="G557" s="794"/>
      <c r="H557" s="793">
        <f>SUM(H551:H556)</f>
        <v>0</v>
      </c>
      <c r="I557" s="283"/>
      <c r="J557" s="790" t="s">
        <v>711</v>
      </c>
      <c r="K557" s="791"/>
      <c r="L557" s="791"/>
      <c r="M557" s="792"/>
      <c r="N557" s="793">
        <f>SUM(N551:N556)</f>
        <v>0</v>
      </c>
      <c r="O557" s="794"/>
      <c r="P557" s="793">
        <f>SUM(P551:P556)</f>
        <v>0</v>
      </c>
      <c r="Q557" s="199"/>
    </row>
    <row r="558">
      <c r="A558" s="238"/>
      <c r="B558" s="1042"/>
      <c r="E558" s="798"/>
      <c r="H558" s="829"/>
      <c r="I558" s="1040"/>
      <c r="J558" s="1042"/>
      <c r="M558" s="798"/>
      <c r="P558" s="829"/>
      <c r="Q558" s="199"/>
    </row>
    <row r="559">
      <c r="A559" s="197"/>
      <c r="B559" s="800" t="s">
        <v>712</v>
      </c>
      <c r="C559" s="803"/>
      <c r="D559" s="804"/>
      <c r="H559" s="799"/>
      <c r="I559" s="283"/>
      <c r="J559" s="800" t="s">
        <v>712</v>
      </c>
      <c r="K559" s="803"/>
      <c r="L559" s="804"/>
      <c r="P559" s="799"/>
      <c r="Q559" s="199"/>
    </row>
    <row r="560">
      <c r="A560" s="197"/>
      <c r="B560" s="867"/>
      <c r="C560" s="808"/>
      <c r="D560" s="809"/>
      <c r="H560" s="799"/>
      <c r="I560" s="283"/>
      <c r="J560" s="867"/>
      <c r="K560" s="808"/>
      <c r="L560" s="809"/>
      <c r="P560" s="799"/>
      <c r="Q560" s="199"/>
    </row>
    <row r="561">
      <c r="A561" s="238"/>
      <c r="B561" s="868"/>
      <c r="C561" s="774"/>
      <c r="D561" s="816"/>
      <c r="H561" s="799"/>
      <c r="I561" s="283"/>
      <c r="J561" s="868"/>
      <c r="K561" s="774"/>
      <c r="L561" s="816"/>
      <c r="P561" s="799"/>
      <c r="Q561" s="199"/>
    </row>
    <row r="562">
      <c r="A562" s="197"/>
      <c r="B562" s="815"/>
      <c r="C562" s="792"/>
      <c r="D562" s="816"/>
      <c r="H562" s="799"/>
      <c r="I562" s="283"/>
      <c r="J562" s="815"/>
      <c r="K562" s="792"/>
      <c r="L562" s="816"/>
      <c r="P562" s="799"/>
      <c r="Q562" s="199"/>
    </row>
    <row r="563">
      <c r="A563" s="238"/>
      <c r="B563" s="817"/>
      <c r="C563" s="792"/>
      <c r="D563" s="818"/>
      <c r="H563" s="799"/>
      <c r="I563" s="283"/>
      <c r="J563" s="817"/>
      <c r="K563" s="774"/>
      <c r="L563" s="818"/>
      <c r="P563" s="799"/>
      <c r="Q563" s="199"/>
    </row>
    <row r="564">
      <c r="A564" s="197"/>
      <c r="B564" s="817"/>
      <c r="C564" s="774"/>
      <c r="D564" s="818"/>
      <c r="H564" s="799"/>
      <c r="I564" s="283"/>
      <c r="J564" s="817"/>
      <c r="K564" s="774"/>
      <c r="L564" s="818"/>
      <c r="P564" s="799"/>
      <c r="Q564" s="199"/>
    </row>
    <row r="565">
      <c r="A565" s="197"/>
      <c r="B565" s="821" t="s">
        <v>714</v>
      </c>
      <c r="C565" s="1043"/>
      <c r="D565" s="823">
        <f>SUM(D560:D564)</f>
        <v>0</v>
      </c>
      <c r="H565" s="829"/>
      <c r="I565" s="1040"/>
      <c r="J565" s="821" t="s">
        <v>714</v>
      </c>
      <c r="K565" s="1043"/>
      <c r="L565" s="827"/>
      <c r="P565" s="829"/>
      <c r="Q565" s="199"/>
    </row>
    <row r="566">
      <c r="A566" s="197"/>
      <c r="B566" s="828"/>
      <c r="D566" s="829"/>
      <c r="H566" s="799"/>
      <c r="I566" s="283"/>
      <c r="J566" s="828"/>
      <c r="L566" s="829"/>
      <c r="P566" s="799"/>
      <c r="Q566" s="199"/>
    </row>
    <row r="567">
      <c r="A567" s="197"/>
      <c r="B567" s="833" t="s">
        <v>715</v>
      </c>
      <c r="C567" s="834"/>
      <c r="D567" s="835"/>
      <c r="H567" s="799"/>
      <c r="I567" s="283"/>
      <c r="J567" s="833" t="s">
        <v>715</v>
      </c>
      <c r="K567" s="834"/>
      <c r="L567" s="835"/>
      <c r="P567" s="799"/>
      <c r="Q567" s="199"/>
    </row>
    <row r="568">
      <c r="A568" s="197"/>
      <c r="B568" s="839"/>
      <c r="C568" s="840"/>
      <c r="D568" s="841"/>
      <c r="H568" s="799"/>
      <c r="I568" s="283"/>
      <c r="J568" s="839"/>
      <c r="K568" s="840"/>
      <c r="L568" s="841"/>
      <c r="P568" s="799"/>
      <c r="Q568" s="199"/>
    </row>
    <row r="569">
      <c r="A569" s="238"/>
      <c r="B569" s="847"/>
      <c r="C569" s="848"/>
      <c r="D569" s="849"/>
      <c r="E569" s="248"/>
      <c r="F569" s="845" t="s">
        <v>1182</v>
      </c>
      <c r="H569" s="1037">
        <f>H557+D565-D574</f>
        <v>0</v>
      </c>
      <c r="I569" s="283"/>
      <c r="J569" s="847"/>
      <c r="K569" s="848"/>
      <c r="L569" s="849"/>
      <c r="M569" s="248"/>
      <c r="N569" s="845" t="s">
        <v>1183</v>
      </c>
      <c r="P569" s="846">
        <f>P557+L565-L574</f>
        <v>0</v>
      </c>
      <c r="Q569" s="199"/>
    </row>
    <row r="570">
      <c r="A570" s="238"/>
      <c r="B570" s="847"/>
      <c r="C570" s="848"/>
      <c r="D570" s="849"/>
      <c r="H570" s="799"/>
      <c r="I570" s="283"/>
      <c r="J570" s="847"/>
      <c r="K570" s="848"/>
      <c r="L570" s="849"/>
      <c r="P570" s="799"/>
      <c r="Q570" s="199"/>
    </row>
    <row r="571">
      <c r="A571" s="238"/>
      <c r="B571" s="847"/>
      <c r="C571" s="848"/>
      <c r="D571" s="849"/>
      <c r="H571" s="799"/>
      <c r="I571" s="283"/>
      <c r="J571" s="847"/>
      <c r="K571" s="848"/>
      <c r="L571" s="849"/>
      <c r="P571" s="799"/>
      <c r="Q571" s="199"/>
    </row>
    <row r="572">
      <c r="A572" s="238"/>
      <c r="B572" s="847"/>
      <c r="C572" s="848"/>
      <c r="D572" s="849"/>
      <c r="F572" s="248"/>
      <c r="H572" s="799"/>
      <c r="I572" s="283"/>
      <c r="J572" s="847"/>
      <c r="K572" s="848"/>
      <c r="L572" s="849"/>
      <c r="N572" s="248"/>
      <c r="P572" s="799"/>
      <c r="Q572" s="199"/>
    </row>
    <row r="573">
      <c r="A573" s="238"/>
      <c r="B573" s="847"/>
      <c r="C573" s="848"/>
      <c r="D573" s="849"/>
      <c r="H573" s="799"/>
      <c r="I573" s="283"/>
      <c r="J573" s="847"/>
      <c r="K573" s="848"/>
      <c r="L573" s="849"/>
      <c r="P573" s="799"/>
      <c r="Q573" s="199"/>
    </row>
    <row r="574">
      <c r="A574" s="197"/>
      <c r="B574" s="853" t="s">
        <v>721</v>
      </c>
      <c r="C574" s="854"/>
      <c r="D574" s="855">
        <f>SUM(D568:D573)</f>
        <v>0</v>
      </c>
      <c r="H574" s="799"/>
      <c r="I574" s="283"/>
      <c r="J574" s="853" t="s">
        <v>721</v>
      </c>
      <c r="K574" s="854"/>
      <c r="L574" s="855"/>
      <c r="P574" s="799"/>
      <c r="Q574" s="199"/>
    </row>
    <row r="575">
      <c r="A575" s="283"/>
      <c r="B575" s="856"/>
      <c r="C575" s="857"/>
      <c r="D575" s="857"/>
      <c r="E575" s="857"/>
      <c r="F575" s="857"/>
      <c r="G575" s="857"/>
      <c r="H575" s="808"/>
      <c r="I575" s="283"/>
      <c r="J575" s="856"/>
      <c r="K575" s="857"/>
      <c r="L575" s="857"/>
      <c r="M575" s="857"/>
      <c r="N575" s="857"/>
      <c r="O575" s="857"/>
      <c r="P575" s="808"/>
      <c r="Q575" s="199"/>
    </row>
    <row r="576">
      <c r="A576" s="1041"/>
      <c r="Y576" s="283"/>
    </row>
    <row r="577" ht="24.75" customHeight="1">
      <c r="A577" s="201"/>
      <c r="B577" s="769"/>
      <c r="C577" s="770"/>
      <c r="D577" s="770"/>
      <c r="E577" s="771" t="s">
        <v>700</v>
      </c>
      <c r="F577" s="772" t="str">
        <f>A2</f>
        <v>11.24.25-11.30.25</v>
      </c>
      <c r="G577" s="773"/>
      <c r="H577" s="774"/>
      <c r="I577" s="305">
        <v>16.0</v>
      </c>
      <c r="J577" s="769"/>
      <c r="K577" s="770"/>
      <c r="L577" s="770"/>
      <c r="M577" s="771" t="s">
        <v>700</v>
      </c>
      <c r="N577" s="772" t="str">
        <f>F577</f>
        <v>11.24.25-11.30.25</v>
      </c>
      <c r="O577" s="773"/>
      <c r="P577" s="774"/>
      <c r="Q577" s="199"/>
    </row>
    <row r="578" ht="25.5" customHeight="1">
      <c r="A578" s="194"/>
      <c r="B578" s="775"/>
      <c r="E578" s="771" t="s">
        <v>702</v>
      </c>
      <c r="F578" s="772" t="s">
        <v>660</v>
      </c>
      <c r="G578" s="773"/>
      <c r="H578" s="774"/>
      <c r="I578" s="283"/>
      <c r="J578" s="775"/>
      <c r="M578" s="771" t="s">
        <v>702</v>
      </c>
      <c r="N578" s="772"/>
      <c r="O578" s="773"/>
      <c r="P578" s="774"/>
      <c r="Q578" s="199"/>
    </row>
    <row r="579" ht="29.25" customHeight="1">
      <c r="A579" s="194"/>
      <c r="B579" s="775"/>
      <c r="E579" s="771" t="s">
        <v>703</v>
      </c>
      <c r="F579" s="772">
        <v>2319.0</v>
      </c>
      <c r="G579" s="773"/>
      <c r="H579" s="774"/>
      <c r="I579" s="283"/>
      <c r="J579" s="775"/>
      <c r="M579" s="771" t="s">
        <v>703</v>
      </c>
      <c r="N579" s="772">
        <v>2319.0</v>
      </c>
      <c r="O579" s="773"/>
      <c r="P579" s="774"/>
      <c r="Q579" s="199"/>
    </row>
    <row r="580">
      <c r="A580" s="1031"/>
      <c r="B580" s="779" t="s">
        <v>704</v>
      </c>
      <c r="C580" s="779" t="s">
        <v>5</v>
      </c>
      <c r="D580" s="779" t="s">
        <v>6</v>
      </c>
      <c r="E580" s="779" t="s">
        <v>7</v>
      </c>
      <c r="F580" s="779" t="s">
        <v>8</v>
      </c>
      <c r="G580" s="779" t="s">
        <v>706</v>
      </c>
      <c r="H580" s="779" t="s">
        <v>707</v>
      </c>
      <c r="I580" s="34"/>
      <c r="J580" s="779" t="s">
        <v>704</v>
      </c>
      <c r="K580" s="779" t="s">
        <v>5</v>
      </c>
      <c r="L580" s="779" t="s">
        <v>6</v>
      </c>
      <c r="M580" s="779" t="s">
        <v>7</v>
      </c>
      <c r="N580" s="779" t="s">
        <v>1178</v>
      </c>
      <c r="O580" s="779" t="s">
        <v>839</v>
      </c>
      <c r="P580" s="779" t="s">
        <v>707</v>
      </c>
      <c r="Q580" s="1032"/>
      <c r="R580" s="1032"/>
    </row>
    <row r="581">
      <c r="A581" s="229"/>
      <c r="B581" s="780"/>
      <c r="C581" s="781"/>
      <c r="D581" s="781"/>
      <c r="E581" s="781"/>
      <c r="F581" s="782"/>
      <c r="G581" s="783">
        <v>1.0</v>
      </c>
      <c r="H581" s="782"/>
      <c r="I581" s="283"/>
      <c r="J581" s="1033"/>
      <c r="K581" s="1034"/>
      <c r="L581" s="1034"/>
      <c r="M581" s="1034"/>
      <c r="N581" s="1035"/>
      <c r="O581" s="1036"/>
      <c r="P581" s="1035">
        <f t="shared" ref="P581:P586" si="17">N581*O581</f>
        <v>0</v>
      </c>
      <c r="Q581" s="199"/>
    </row>
    <row r="582">
      <c r="A582" s="229"/>
      <c r="B582" s="780"/>
      <c r="C582" s="781"/>
      <c r="D582" s="781"/>
      <c r="E582" s="781"/>
      <c r="F582" s="782"/>
      <c r="G582" s="783">
        <v>1.0</v>
      </c>
      <c r="H582" s="782"/>
      <c r="I582" s="283"/>
      <c r="J582" s="780"/>
      <c r="K582" s="781"/>
      <c r="L582" s="781"/>
      <c r="M582" s="781"/>
      <c r="N582" s="782"/>
      <c r="O582" s="783"/>
      <c r="P582" s="789">
        <f t="shared" si="17"/>
        <v>0</v>
      </c>
      <c r="Q582" s="199"/>
    </row>
    <row r="583">
      <c r="A583" s="238"/>
      <c r="B583" s="785"/>
      <c r="C583" s="786"/>
      <c r="D583" s="786"/>
      <c r="E583" s="786"/>
      <c r="F583" s="785"/>
      <c r="G583" s="787"/>
      <c r="H583" s="788"/>
      <c r="I583" s="283"/>
      <c r="J583" s="785"/>
      <c r="K583" s="786"/>
      <c r="L583" s="786"/>
      <c r="M583" s="786"/>
      <c r="N583" s="785"/>
      <c r="O583" s="787"/>
      <c r="P583" s="789">
        <f t="shared" si="17"/>
        <v>0</v>
      </c>
      <c r="Q583" s="199"/>
    </row>
    <row r="584">
      <c r="A584" s="238"/>
      <c r="B584" s="785"/>
      <c r="C584" s="786"/>
      <c r="D584" s="786"/>
      <c r="E584" s="786"/>
      <c r="F584" s="785"/>
      <c r="G584" s="787"/>
      <c r="H584" s="788"/>
      <c r="I584" s="283"/>
      <c r="J584" s="785"/>
      <c r="K584" s="786"/>
      <c r="L584" s="786"/>
      <c r="M584" s="786"/>
      <c r="N584" s="785"/>
      <c r="O584" s="787"/>
      <c r="P584" s="789">
        <f t="shared" si="17"/>
        <v>0</v>
      </c>
      <c r="Q584" s="199"/>
    </row>
    <row r="585">
      <c r="A585" s="238"/>
      <c r="B585" s="785"/>
      <c r="C585" s="786"/>
      <c r="D585" s="786"/>
      <c r="E585" s="786"/>
      <c r="F585" s="785"/>
      <c r="G585" s="787"/>
      <c r="H585" s="788"/>
      <c r="I585" s="283"/>
      <c r="J585" s="785"/>
      <c r="K585" s="786"/>
      <c r="L585" s="786"/>
      <c r="M585" s="786"/>
      <c r="N585" s="785"/>
      <c r="O585" s="787"/>
      <c r="P585" s="789">
        <f t="shared" si="17"/>
        <v>0</v>
      </c>
      <c r="Q585" s="199"/>
    </row>
    <row r="586">
      <c r="A586" s="238"/>
      <c r="B586" s="785"/>
      <c r="C586" s="786"/>
      <c r="D586" s="786"/>
      <c r="E586" s="786"/>
      <c r="F586" s="785"/>
      <c r="G586" s="787"/>
      <c r="H586" s="788"/>
      <c r="I586" s="283"/>
      <c r="J586" s="785"/>
      <c r="K586" s="786"/>
      <c r="L586" s="786"/>
      <c r="M586" s="786"/>
      <c r="N586" s="785"/>
      <c r="O586" s="787"/>
      <c r="P586" s="789">
        <f t="shared" si="17"/>
        <v>0</v>
      </c>
      <c r="Q586" s="199"/>
    </row>
    <row r="587">
      <c r="A587" s="197"/>
      <c r="B587" s="790" t="s">
        <v>711</v>
      </c>
      <c r="C587" s="791"/>
      <c r="D587" s="791"/>
      <c r="E587" s="792"/>
      <c r="F587" s="793">
        <f>SUM(F581:F586)</f>
        <v>0</v>
      </c>
      <c r="G587" s="794"/>
      <c r="H587" s="793">
        <f>SUM(H581:H586)</f>
        <v>0</v>
      </c>
      <c r="I587" s="283"/>
      <c r="J587" s="790" t="s">
        <v>711</v>
      </c>
      <c r="K587" s="791"/>
      <c r="L587" s="791"/>
      <c r="M587" s="792"/>
      <c r="N587" s="793">
        <f>SUM(N581:N586)</f>
        <v>0</v>
      </c>
      <c r="O587" s="794"/>
      <c r="P587" s="793">
        <f>SUM(P581:P586)</f>
        <v>0</v>
      </c>
      <c r="Q587" s="199"/>
    </row>
    <row r="588">
      <c r="A588" s="238"/>
      <c r="B588" s="796"/>
      <c r="E588" s="798"/>
      <c r="H588" s="799"/>
      <c r="I588" s="283"/>
      <c r="J588" s="796"/>
      <c r="M588" s="798"/>
      <c r="P588" s="799"/>
      <c r="Q588" s="199"/>
    </row>
    <row r="589">
      <c r="A589" s="197"/>
      <c r="B589" s="800" t="s">
        <v>712</v>
      </c>
      <c r="C589" s="801"/>
      <c r="D589" s="802"/>
      <c r="H589" s="799"/>
      <c r="I589" s="283"/>
      <c r="J589" s="800" t="s">
        <v>712</v>
      </c>
      <c r="K589" s="803"/>
      <c r="L589" s="804"/>
      <c r="P589" s="799"/>
      <c r="Q589" s="199"/>
    </row>
    <row r="590">
      <c r="A590" s="197"/>
      <c r="B590" s="867"/>
      <c r="C590" s="808"/>
      <c r="D590" s="809"/>
      <c r="H590" s="799"/>
      <c r="I590" s="283"/>
      <c r="J590" s="867"/>
      <c r="K590" s="808"/>
      <c r="L590" s="809"/>
      <c r="P590" s="799"/>
      <c r="Q590" s="199"/>
    </row>
    <row r="591">
      <c r="A591" s="238"/>
      <c r="B591" s="868"/>
      <c r="C591" s="774"/>
      <c r="D591" s="816"/>
      <c r="H591" s="799"/>
      <c r="I591" s="283"/>
      <c r="J591" s="868"/>
      <c r="K591" s="774"/>
      <c r="L591" s="816"/>
      <c r="P591" s="799"/>
      <c r="Q591" s="199"/>
    </row>
    <row r="592">
      <c r="A592" s="197"/>
      <c r="B592" s="815"/>
      <c r="C592" s="792"/>
      <c r="D592" s="816"/>
      <c r="H592" s="799"/>
      <c r="I592" s="283"/>
      <c r="J592" s="815"/>
      <c r="K592" s="792"/>
      <c r="L592" s="816"/>
      <c r="P592" s="799"/>
      <c r="Q592" s="199"/>
    </row>
    <row r="593">
      <c r="A593" s="238"/>
      <c r="B593" s="817"/>
      <c r="C593" s="774"/>
      <c r="D593" s="818"/>
      <c r="H593" s="799"/>
      <c r="I593" s="283"/>
      <c r="J593" s="817"/>
      <c r="K593" s="774"/>
      <c r="L593" s="818"/>
      <c r="P593" s="799"/>
      <c r="Q593" s="199"/>
    </row>
    <row r="594">
      <c r="A594" s="197"/>
      <c r="B594" s="817"/>
      <c r="C594" s="792"/>
      <c r="D594" s="818"/>
      <c r="H594" s="799"/>
      <c r="I594" s="283"/>
      <c r="J594" s="817"/>
      <c r="K594" s="792"/>
      <c r="L594" s="818"/>
      <c r="P594" s="799"/>
      <c r="Q594" s="199"/>
    </row>
    <row r="595">
      <c r="A595" s="197"/>
      <c r="B595" s="821" t="s">
        <v>714</v>
      </c>
      <c r="C595" s="822"/>
      <c r="D595" s="823">
        <f>SUM(D590:D594)</f>
        <v>0</v>
      </c>
      <c r="H595" s="799"/>
      <c r="I595" s="283"/>
      <c r="J595" s="821" t="s">
        <v>714</v>
      </c>
      <c r="K595" s="826"/>
      <c r="L595" s="827"/>
      <c r="P595" s="799"/>
      <c r="Q595" s="199"/>
    </row>
    <row r="596">
      <c r="A596" s="197"/>
      <c r="B596" s="828"/>
      <c r="D596" s="829"/>
      <c r="H596" s="799"/>
      <c r="I596" s="283"/>
      <c r="J596" s="828"/>
      <c r="L596" s="829"/>
      <c r="P596" s="799"/>
      <c r="Q596" s="199"/>
    </row>
    <row r="597">
      <c r="A597" s="197"/>
      <c r="B597" s="833" t="s">
        <v>715</v>
      </c>
      <c r="C597" s="834"/>
      <c r="D597" s="835"/>
      <c r="H597" s="799"/>
      <c r="I597" s="283"/>
      <c r="J597" s="833" t="s">
        <v>715</v>
      </c>
      <c r="K597" s="834"/>
      <c r="L597" s="835"/>
      <c r="P597" s="799"/>
      <c r="Q597" s="199"/>
    </row>
    <row r="598">
      <c r="A598" s="197"/>
      <c r="B598" s="839"/>
      <c r="C598" s="840"/>
      <c r="D598" s="841"/>
      <c r="H598" s="799"/>
      <c r="I598" s="283"/>
      <c r="J598" s="839"/>
      <c r="K598" s="840"/>
      <c r="L598" s="841"/>
      <c r="P598" s="799"/>
      <c r="Q598" s="199"/>
    </row>
    <row r="599">
      <c r="A599" s="238"/>
      <c r="B599" s="847"/>
      <c r="C599" s="848"/>
      <c r="D599" s="849"/>
      <c r="E599" s="248"/>
      <c r="F599" s="845" t="s">
        <v>1182</v>
      </c>
      <c r="H599" s="1037">
        <f>H587+D595-D604</f>
        <v>0</v>
      </c>
      <c r="I599" s="283"/>
      <c r="J599" s="847"/>
      <c r="K599" s="848"/>
      <c r="L599" s="849"/>
      <c r="M599" s="248"/>
      <c r="N599" s="845" t="s">
        <v>1183</v>
      </c>
      <c r="P599" s="846">
        <f>P587+L595-L604</f>
        <v>0</v>
      </c>
      <c r="Q599" s="199"/>
    </row>
    <row r="600">
      <c r="A600" s="238"/>
      <c r="B600" s="847"/>
      <c r="C600" s="848"/>
      <c r="D600" s="849"/>
      <c r="H600" s="799"/>
      <c r="I600" s="283"/>
      <c r="J600" s="847"/>
      <c r="K600" s="848"/>
      <c r="L600" s="849"/>
      <c r="P600" s="799"/>
      <c r="Q600" s="199"/>
    </row>
    <row r="601">
      <c r="A601" s="238"/>
      <c r="B601" s="847"/>
      <c r="C601" s="848"/>
      <c r="D601" s="849"/>
      <c r="H601" s="799"/>
      <c r="I601" s="283"/>
      <c r="J601" s="847"/>
      <c r="K601" s="848"/>
      <c r="L601" s="849"/>
      <c r="P601" s="799"/>
      <c r="Q601" s="199"/>
    </row>
    <row r="602">
      <c r="A602" s="238"/>
      <c r="B602" s="847"/>
      <c r="C602" s="848"/>
      <c r="D602" s="849"/>
      <c r="F602" s="248"/>
      <c r="H602" s="799"/>
      <c r="I602" s="283"/>
      <c r="J602" s="847"/>
      <c r="K602" s="848"/>
      <c r="L602" s="849"/>
      <c r="N602" s="248"/>
      <c r="P602" s="799"/>
      <c r="Q602" s="199"/>
    </row>
    <row r="603">
      <c r="A603" s="238"/>
      <c r="B603" s="847"/>
      <c r="C603" s="848"/>
      <c r="D603" s="849"/>
      <c r="H603" s="799"/>
      <c r="I603" s="283"/>
      <c r="J603" s="847"/>
      <c r="K603" s="848"/>
      <c r="L603" s="849"/>
      <c r="P603" s="799"/>
      <c r="Q603" s="199"/>
    </row>
    <row r="604">
      <c r="A604" s="197"/>
      <c r="B604" s="853" t="s">
        <v>721</v>
      </c>
      <c r="C604" s="854"/>
      <c r="D604" s="855">
        <f>SUM(D598:D603)</f>
        <v>0</v>
      </c>
      <c r="H604" s="799"/>
      <c r="I604" s="283"/>
      <c r="J604" s="853" t="s">
        <v>721</v>
      </c>
      <c r="K604" s="854"/>
      <c r="L604" s="855"/>
      <c r="P604" s="799"/>
      <c r="Q604" s="199"/>
    </row>
    <row r="605">
      <c r="A605" s="283"/>
      <c r="B605" s="856"/>
      <c r="C605" s="857"/>
      <c r="D605" s="857"/>
      <c r="E605" s="857"/>
      <c r="F605" s="857"/>
      <c r="G605" s="857"/>
      <c r="H605" s="808"/>
      <c r="I605" s="283"/>
      <c r="J605" s="856"/>
      <c r="K605" s="857"/>
      <c r="L605" s="857"/>
      <c r="M605" s="857"/>
      <c r="N605" s="857"/>
      <c r="O605" s="857"/>
      <c r="P605" s="808"/>
      <c r="Q605" s="199"/>
    </row>
    <row r="606">
      <c r="A606" s="1038"/>
      <c r="Y606" s="283"/>
    </row>
    <row r="607" ht="24.75" customHeight="1">
      <c r="A607" s="201"/>
      <c r="B607" s="769"/>
      <c r="C607" s="770"/>
      <c r="D607" s="770"/>
      <c r="E607" s="771" t="s">
        <v>700</v>
      </c>
      <c r="F607" s="772" t="str">
        <f>A2</f>
        <v>11.24.25-11.30.25</v>
      </c>
      <c r="G607" s="773"/>
      <c r="H607" s="774"/>
      <c r="I607" s="305">
        <v>17.0</v>
      </c>
      <c r="J607" s="769"/>
      <c r="K607" s="770"/>
      <c r="L607" s="770"/>
      <c r="M607" s="771" t="s">
        <v>700</v>
      </c>
      <c r="N607" s="772" t="str">
        <f>F607</f>
        <v>11.24.25-11.30.25</v>
      </c>
      <c r="O607" s="773"/>
      <c r="P607" s="774"/>
      <c r="Q607" s="199"/>
    </row>
    <row r="608" ht="25.5" customHeight="1">
      <c r="A608" s="194"/>
      <c r="B608" s="775"/>
      <c r="E608" s="771" t="s">
        <v>702</v>
      </c>
      <c r="F608" s="772" t="s">
        <v>660</v>
      </c>
      <c r="G608" s="773"/>
      <c r="H608" s="774"/>
      <c r="I608" s="283"/>
      <c r="J608" s="775"/>
      <c r="M608" s="771" t="s">
        <v>702</v>
      </c>
      <c r="N608" s="772"/>
      <c r="O608" s="773"/>
      <c r="P608" s="774"/>
      <c r="Q608" s="199"/>
    </row>
    <row r="609" ht="29.25" customHeight="1">
      <c r="A609" s="194"/>
      <c r="B609" s="775"/>
      <c r="E609" s="771" t="s">
        <v>703</v>
      </c>
      <c r="F609" s="772">
        <v>2319.0</v>
      </c>
      <c r="G609" s="773"/>
      <c r="H609" s="774"/>
      <c r="I609" s="283"/>
      <c r="J609" s="775"/>
      <c r="M609" s="771" t="s">
        <v>703</v>
      </c>
      <c r="N609" s="772">
        <v>2319.0</v>
      </c>
      <c r="O609" s="773"/>
      <c r="P609" s="774"/>
      <c r="Q609" s="199"/>
    </row>
    <row r="610">
      <c r="A610" s="1031"/>
      <c r="B610" s="779" t="s">
        <v>704</v>
      </c>
      <c r="C610" s="779" t="s">
        <v>5</v>
      </c>
      <c r="D610" s="779" t="s">
        <v>6</v>
      </c>
      <c r="E610" s="779" t="s">
        <v>7</v>
      </c>
      <c r="F610" s="779" t="s">
        <v>8</v>
      </c>
      <c r="G610" s="779" t="s">
        <v>706</v>
      </c>
      <c r="H610" s="779" t="s">
        <v>707</v>
      </c>
      <c r="I610" s="34"/>
      <c r="J610" s="779" t="s">
        <v>704</v>
      </c>
      <c r="K610" s="779" t="s">
        <v>5</v>
      </c>
      <c r="L610" s="779" t="s">
        <v>6</v>
      </c>
      <c r="M610" s="779" t="s">
        <v>7</v>
      </c>
      <c r="N610" s="779" t="s">
        <v>1178</v>
      </c>
      <c r="O610" s="779" t="s">
        <v>839</v>
      </c>
      <c r="P610" s="779" t="s">
        <v>707</v>
      </c>
      <c r="Q610" s="1032"/>
      <c r="R610" s="1032"/>
    </row>
    <row r="611">
      <c r="A611" s="229"/>
      <c r="B611" s="780"/>
      <c r="C611" s="781"/>
      <c r="D611" s="781"/>
      <c r="E611" s="781"/>
      <c r="F611" s="782"/>
      <c r="G611" s="783">
        <v>1.0</v>
      </c>
      <c r="H611" s="782"/>
      <c r="I611" s="283"/>
      <c r="J611" s="1033"/>
      <c r="K611" s="1034"/>
      <c r="L611" s="1034"/>
      <c r="M611" s="1034"/>
      <c r="N611" s="1035"/>
      <c r="O611" s="1036"/>
      <c r="P611" s="1035">
        <f t="shared" ref="P611:P616" si="18">N611*O611</f>
        <v>0</v>
      </c>
      <c r="Q611" s="199"/>
    </row>
    <row r="612">
      <c r="A612" s="229"/>
      <c r="B612" s="780"/>
      <c r="C612" s="781"/>
      <c r="D612" s="781"/>
      <c r="E612" s="781"/>
      <c r="F612" s="782"/>
      <c r="G612" s="783">
        <v>1.0</v>
      </c>
      <c r="H612" s="782"/>
      <c r="I612" s="283"/>
      <c r="J612" s="780"/>
      <c r="K612" s="781"/>
      <c r="L612" s="781"/>
      <c r="M612" s="781"/>
      <c r="N612" s="782"/>
      <c r="O612" s="783"/>
      <c r="P612" s="789">
        <f t="shared" si="18"/>
        <v>0</v>
      </c>
      <c r="Q612" s="199"/>
    </row>
    <row r="613">
      <c r="A613" s="238"/>
      <c r="B613" s="785"/>
      <c r="C613" s="786"/>
      <c r="D613" s="786"/>
      <c r="E613" s="786"/>
      <c r="F613" s="785"/>
      <c r="G613" s="787"/>
      <c r="H613" s="788"/>
      <c r="I613" s="283"/>
      <c r="J613" s="785"/>
      <c r="K613" s="786"/>
      <c r="L613" s="786"/>
      <c r="M613" s="786"/>
      <c r="N613" s="785"/>
      <c r="O613" s="787"/>
      <c r="P613" s="789">
        <f t="shared" si="18"/>
        <v>0</v>
      </c>
      <c r="Q613" s="199"/>
    </row>
    <row r="614">
      <c r="A614" s="238"/>
      <c r="B614" s="785"/>
      <c r="C614" s="786"/>
      <c r="D614" s="786"/>
      <c r="E614" s="786"/>
      <c r="F614" s="785"/>
      <c r="G614" s="787"/>
      <c r="H614" s="788"/>
      <c r="I614" s="283"/>
      <c r="J614" s="785"/>
      <c r="K614" s="786"/>
      <c r="L614" s="786"/>
      <c r="M614" s="786"/>
      <c r="N614" s="785"/>
      <c r="O614" s="787"/>
      <c r="P614" s="789">
        <f t="shared" si="18"/>
        <v>0</v>
      </c>
      <c r="Q614" s="199"/>
    </row>
    <row r="615">
      <c r="A615" s="238"/>
      <c r="B615" s="785"/>
      <c r="C615" s="786"/>
      <c r="D615" s="786"/>
      <c r="E615" s="786"/>
      <c r="F615" s="785"/>
      <c r="G615" s="787"/>
      <c r="H615" s="788"/>
      <c r="I615" s="283"/>
      <c r="J615" s="785"/>
      <c r="K615" s="786"/>
      <c r="L615" s="786"/>
      <c r="M615" s="786"/>
      <c r="N615" s="785"/>
      <c r="O615" s="787"/>
      <c r="P615" s="789">
        <f t="shared" si="18"/>
        <v>0</v>
      </c>
      <c r="Q615" s="199"/>
    </row>
    <row r="616">
      <c r="A616" s="238"/>
      <c r="B616" s="785"/>
      <c r="C616" s="786"/>
      <c r="D616" s="786"/>
      <c r="E616" s="786"/>
      <c r="F616" s="785"/>
      <c r="G616" s="787"/>
      <c r="H616" s="788"/>
      <c r="I616" s="283"/>
      <c r="J616" s="785"/>
      <c r="K616" s="786"/>
      <c r="L616" s="786"/>
      <c r="M616" s="786"/>
      <c r="N616" s="785"/>
      <c r="O616" s="787"/>
      <c r="P616" s="789">
        <f t="shared" si="18"/>
        <v>0</v>
      </c>
      <c r="Q616" s="199"/>
    </row>
    <row r="617">
      <c r="A617" s="197"/>
      <c r="B617" s="790" t="s">
        <v>711</v>
      </c>
      <c r="C617" s="791"/>
      <c r="D617" s="791"/>
      <c r="E617" s="792"/>
      <c r="F617" s="793">
        <f>SUM(F611:F616)</f>
        <v>0</v>
      </c>
      <c r="G617" s="794"/>
      <c r="H617" s="793">
        <f>SUM(H611:H616)</f>
        <v>0</v>
      </c>
      <c r="I617" s="283"/>
      <c r="J617" s="790" t="s">
        <v>711</v>
      </c>
      <c r="K617" s="791"/>
      <c r="L617" s="791"/>
      <c r="M617" s="792"/>
      <c r="N617" s="793">
        <f>SUM(N611:N616)</f>
        <v>0</v>
      </c>
      <c r="O617" s="794"/>
      <c r="P617" s="793">
        <f>SUM(P611:P616)</f>
        <v>0</v>
      </c>
      <c r="Q617" s="199"/>
    </row>
    <row r="618">
      <c r="A618" s="238"/>
      <c r="B618" s="796"/>
      <c r="E618" s="798"/>
      <c r="H618" s="799"/>
      <c r="I618" s="283"/>
      <c r="J618" s="796"/>
      <c r="M618" s="798"/>
      <c r="P618" s="799"/>
      <c r="Q618" s="199"/>
    </row>
    <row r="619">
      <c r="A619" s="197"/>
      <c r="B619" s="800" t="s">
        <v>712</v>
      </c>
      <c r="C619" s="803"/>
      <c r="D619" s="804"/>
      <c r="H619" s="799"/>
      <c r="I619" s="283"/>
      <c r="J619" s="800" t="s">
        <v>712</v>
      </c>
      <c r="K619" s="803"/>
      <c r="L619" s="804"/>
      <c r="P619" s="799"/>
      <c r="Q619" s="199"/>
    </row>
    <row r="620">
      <c r="A620" s="197"/>
      <c r="B620" s="867"/>
      <c r="C620" s="808"/>
      <c r="D620" s="809"/>
      <c r="H620" s="799"/>
      <c r="I620" s="283"/>
      <c r="J620" s="867"/>
      <c r="K620" s="808"/>
      <c r="L620" s="809"/>
      <c r="P620" s="799"/>
      <c r="Q620" s="199"/>
    </row>
    <row r="621">
      <c r="A621" s="238"/>
      <c r="B621" s="868"/>
      <c r="C621" s="774"/>
      <c r="D621" s="816"/>
      <c r="H621" s="799"/>
      <c r="I621" s="283"/>
      <c r="J621" s="868"/>
      <c r="K621" s="774"/>
      <c r="L621" s="816"/>
      <c r="P621" s="799"/>
      <c r="Q621" s="199"/>
    </row>
    <row r="622">
      <c r="A622" s="197"/>
      <c r="B622" s="815"/>
      <c r="C622" s="792"/>
      <c r="D622" s="816"/>
      <c r="H622" s="799"/>
      <c r="I622" s="283"/>
      <c r="J622" s="815"/>
      <c r="K622" s="792"/>
      <c r="L622" s="816"/>
      <c r="P622" s="799"/>
      <c r="Q622" s="199"/>
    </row>
    <row r="623">
      <c r="A623" s="238"/>
      <c r="B623" s="817"/>
      <c r="C623" s="774"/>
      <c r="D623" s="818"/>
      <c r="H623" s="799"/>
      <c r="I623" s="283"/>
      <c r="J623" s="817"/>
      <c r="K623" s="774"/>
      <c r="L623" s="818"/>
      <c r="P623" s="799"/>
      <c r="Q623" s="199"/>
    </row>
    <row r="624">
      <c r="A624" s="197"/>
      <c r="B624" s="817"/>
      <c r="C624" s="774"/>
      <c r="D624" s="818"/>
      <c r="H624" s="799"/>
      <c r="I624" s="283"/>
      <c r="J624" s="817"/>
      <c r="K624" s="774"/>
      <c r="L624" s="818"/>
      <c r="P624" s="799"/>
      <c r="Q624" s="199"/>
    </row>
    <row r="625">
      <c r="A625" s="197"/>
      <c r="B625" s="821" t="s">
        <v>714</v>
      </c>
      <c r="C625" s="822"/>
      <c r="D625" s="823">
        <f>SUM(D620:D624)</f>
        <v>0</v>
      </c>
      <c r="H625" s="799"/>
      <c r="I625" s="283"/>
      <c r="J625" s="821" t="s">
        <v>714</v>
      </c>
      <c r="K625" s="822"/>
      <c r="L625" s="827"/>
      <c r="P625" s="799"/>
      <c r="Q625" s="199"/>
    </row>
    <row r="626">
      <c r="A626" s="197"/>
      <c r="B626" s="828"/>
      <c r="D626" s="829"/>
      <c r="H626" s="799"/>
      <c r="I626" s="283"/>
      <c r="J626" s="828"/>
      <c r="L626" s="829"/>
      <c r="P626" s="799"/>
      <c r="Q626" s="199"/>
    </row>
    <row r="627">
      <c r="A627" s="197"/>
      <c r="B627" s="833" t="s">
        <v>715</v>
      </c>
      <c r="C627" s="834"/>
      <c r="D627" s="835"/>
      <c r="H627" s="799"/>
      <c r="I627" s="283"/>
      <c r="J627" s="833" t="s">
        <v>715</v>
      </c>
      <c r="K627" s="834"/>
      <c r="L627" s="835"/>
      <c r="P627" s="799"/>
      <c r="Q627" s="199"/>
    </row>
    <row r="628">
      <c r="A628" s="197"/>
      <c r="B628" s="839"/>
      <c r="C628" s="840"/>
      <c r="D628" s="841"/>
      <c r="H628" s="799"/>
      <c r="I628" s="283"/>
      <c r="J628" s="839"/>
      <c r="K628" s="840"/>
      <c r="L628" s="841"/>
      <c r="P628" s="799"/>
      <c r="Q628" s="199"/>
    </row>
    <row r="629">
      <c r="A629" s="238"/>
      <c r="B629" s="847"/>
      <c r="C629" s="848"/>
      <c r="D629" s="849"/>
      <c r="E629" s="248"/>
      <c r="F629" s="845" t="s">
        <v>1182</v>
      </c>
      <c r="H629" s="1037">
        <f>H617+D625-D634</f>
        <v>0</v>
      </c>
      <c r="I629" s="283"/>
      <c r="J629" s="847"/>
      <c r="K629" s="848"/>
      <c r="L629" s="849"/>
      <c r="M629" s="248"/>
      <c r="N629" s="845" t="s">
        <v>1183</v>
      </c>
      <c r="P629" s="846">
        <f>P617+L625-L634</f>
        <v>0</v>
      </c>
      <c r="Q629" s="199"/>
    </row>
    <row r="630">
      <c r="A630" s="238"/>
      <c r="B630" s="847"/>
      <c r="C630" s="848"/>
      <c r="D630" s="849"/>
      <c r="H630" s="799"/>
      <c r="I630" s="283"/>
      <c r="J630" s="847"/>
      <c r="K630" s="848"/>
      <c r="L630" s="849"/>
      <c r="P630" s="799"/>
      <c r="Q630" s="199"/>
    </row>
    <row r="631">
      <c r="A631" s="238"/>
      <c r="B631" s="847"/>
      <c r="C631" s="848"/>
      <c r="D631" s="849"/>
      <c r="H631" s="799"/>
      <c r="I631" s="283"/>
      <c r="J631" s="847"/>
      <c r="K631" s="848"/>
      <c r="L631" s="849"/>
      <c r="P631" s="799"/>
      <c r="Q631" s="199"/>
    </row>
    <row r="632">
      <c r="A632" s="238"/>
      <c r="B632" s="847"/>
      <c r="C632" s="848"/>
      <c r="D632" s="849"/>
      <c r="F632" s="248"/>
      <c r="H632" s="799"/>
      <c r="I632" s="283"/>
      <c r="J632" s="847"/>
      <c r="K632" s="848"/>
      <c r="L632" s="849"/>
      <c r="N632" s="248"/>
      <c r="P632" s="799"/>
      <c r="Q632" s="199"/>
    </row>
    <row r="633">
      <c r="A633" s="238"/>
      <c r="B633" s="847"/>
      <c r="C633" s="848"/>
      <c r="D633" s="849"/>
      <c r="H633" s="799"/>
      <c r="I633" s="283"/>
      <c r="J633" s="847"/>
      <c r="K633" s="848"/>
      <c r="L633" s="849"/>
      <c r="P633" s="799"/>
      <c r="Q633" s="199"/>
    </row>
    <row r="634">
      <c r="A634" s="197"/>
      <c r="B634" s="853" t="s">
        <v>721</v>
      </c>
      <c r="C634" s="854"/>
      <c r="D634" s="855">
        <f>SUM(D628:D633)</f>
        <v>0</v>
      </c>
      <c r="H634" s="799"/>
      <c r="I634" s="283"/>
      <c r="J634" s="853" t="s">
        <v>721</v>
      </c>
      <c r="K634" s="854"/>
      <c r="L634" s="855"/>
      <c r="P634" s="799"/>
      <c r="Q634" s="199"/>
    </row>
    <row r="635">
      <c r="A635" s="283"/>
      <c r="B635" s="856"/>
      <c r="C635" s="857"/>
      <c r="D635" s="857"/>
      <c r="E635" s="857"/>
      <c r="F635" s="857"/>
      <c r="G635" s="857"/>
      <c r="H635" s="808"/>
      <c r="I635" s="283"/>
      <c r="J635" s="856"/>
      <c r="K635" s="857"/>
      <c r="L635" s="857"/>
      <c r="M635" s="857"/>
      <c r="N635" s="857"/>
      <c r="O635" s="857"/>
      <c r="P635" s="808"/>
      <c r="Q635" s="199"/>
    </row>
    <row r="636">
      <c r="A636" s="1039"/>
      <c r="Y636" s="194"/>
    </row>
    <row r="637" ht="24.75" customHeight="1">
      <c r="A637" s="201"/>
      <c r="B637" s="769"/>
      <c r="C637" s="770"/>
      <c r="D637" s="770"/>
      <c r="E637" s="771" t="s">
        <v>700</v>
      </c>
      <c r="F637" s="772" t="str">
        <f>A2</f>
        <v>11.24.25-11.30.25</v>
      </c>
      <c r="G637" s="773"/>
      <c r="H637" s="774"/>
      <c r="I637" s="305">
        <v>18.0</v>
      </c>
      <c r="J637" s="769"/>
      <c r="K637" s="770"/>
      <c r="L637" s="770"/>
      <c r="M637" s="771" t="s">
        <v>700</v>
      </c>
      <c r="N637" s="772" t="str">
        <f>F637</f>
        <v>11.24.25-11.30.25</v>
      </c>
      <c r="O637" s="773"/>
      <c r="P637" s="774"/>
      <c r="Q637" s="199"/>
    </row>
    <row r="638" ht="25.5" customHeight="1">
      <c r="A638" s="194"/>
      <c r="B638" s="775"/>
      <c r="E638" s="771" t="s">
        <v>702</v>
      </c>
      <c r="F638" s="772" t="s">
        <v>660</v>
      </c>
      <c r="G638" s="773"/>
      <c r="H638" s="774"/>
      <c r="I638" s="283"/>
      <c r="J638" s="775"/>
      <c r="M638" s="771" t="s">
        <v>702</v>
      </c>
      <c r="N638" s="772"/>
      <c r="O638" s="773"/>
      <c r="P638" s="774"/>
      <c r="Q638" s="199"/>
    </row>
    <row r="639" ht="29.25" customHeight="1">
      <c r="A639" s="194"/>
      <c r="B639" s="775"/>
      <c r="E639" s="771" t="s">
        <v>703</v>
      </c>
      <c r="F639" s="772">
        <v>2319.0</v>
      </c>
      <c r="G639" s="773"/>
      <c r="H639" s="774"/>
      <c r="I639" s="283"/>
      <c r="J639" s="775"/>
      <c r="M639" s="771" t="s">
        <v>703</v>
      </c>
      <c r="N639" s="772">
        <v>2319.0</v>
      </c>
      <c r="O639" s="773"/>
      <c r="P639" s="774"/>
      <c r="Q639" s="199"/>
    </row>
    <row r="640">
      <c r="A640" s="1031"/>
      <c r="B640" s="779" t="s">
        <v>704</v>
      </c>
      <c r="C640" s="779" t="s">
        <v>5</v>
      </c>
      <c r="D640" s="779" t="s">
        <v>6</v>
      </c>
      <c r="E640" s="779" t="s">
        <v>7</v>
      </c>
      <c r="F640" s="779" t="s">
        <v>8</v>
      </c>
      <c r="G640" s="779" t="s">
        <v>706</v>
      </c>
      <c r="H640" s="779" t="s">
        <v>707</v>
      </c>
      <c r="I640" s="34"/>
      <c r="J640" s="779" t="s">
        <v>704</v>
      </c>
      <c r="K640" s="779" t="s">
        <v>5</v>
      </c>
      <c r="L640" s="779" t="s">
        <v>6</v>
      </c>
      <c r="M640" s="779" t="s">
        <v>7</v>
      </c>
      <c r="N640" s="779" t="s">
        <v>1178</v>
      </c>
      <c r="O640" s="779" t="s">
        <v>839</v>
      </c>
      <c r="P640" s="779" t="s">
        <v>707</v>
      </c>
      <c r="Q640" s="1032"/>
      <c r="R640" s="1032"/>
    </row>
    <row r="641">
      <c r="A641" s="229"/>
      <c r="B641" s="780"/>
      <c r="C641" s="781"/>
      <c r="D641" s="781"/>
      <c r="E641" s="781"/>
      <c r="F641" s="782"/>
      <c r="G641" s="783">
        <v>1.0</v>
      </c>
      <c r="H641" s="782"/>
      <c r="I641" s="283"/>
      <c r="J641" s="1033"/>
      <c r="K641" s="1034"/>
      <c r="L641" s="1034"/>
      <c r="M641" s="1034"/>
      <c r="N641" s="1035"/>
      <c r="O641" s="1036"/>
      <c r="P641" s="1035">
        <f t="shared" ref="P641:P646" si="19">N641*O641</f>
        <v>0</v>
      </c>
      <c r="Q641" s="199"/>
    </row>
    <row r="642">
      <c r="A642" s="229"/>
      <c r="B642" s="780"/>
      <c r="C642" s="781"/>
      <c r="D642" s="781"/>
      <c r="E642" s="781"/>
      <c r="F642" s="782"/>
      <c r="G642" s="783">
        <v>1.0</v>
      </c>
      <c r="H642" s="782"/>
      <c r="I642" s="283"/>
      <c r="J642" s="780"/>
      <c r="K642" s="781"/>
      <c r="L642" s="781"/>
      <c r="M642" s="781"/>
      <c r="N642" s="782"/>
      <c r="O642" s="783"/>
      <c r="P642" s="789">
        <f t="shared" si="19"/>
        <v>0</v>
      </c>
      <c r="Q642" s="199"/>
    </row>
    <row r="643">
      <c r="A643" s="238"/>
      <c r="B643" s="785"/>
      <c r="C643" s="786"/>
      <c r="D643" s="786"/>
      <c r="E643" s="786"/>
      <c r="F643" s="785"/>
      <c r="G643" s="787"/>
      <c r="H643" s="788"/>
      <c r="I643" s="283"/>
      <c r="J643" s="785"/>
      <c r="K643" s="786"/>
      <c r="L643" s="786"/>
      <c r="M643" s="786"/>
      <c r="N643" s="785"/>
      <c r="O643" s="787"/>
      <c r="P643" s="789">
        <f t="shared" si="19"/>
        <v>0</v>
      </c>
      <c r="Q643" s="199"/>
    </row>
    <row r="644">
      <c r="A644" s="238"/>
      <c r="B644" s="785"/>
      <c r="C644" s="786"/>
      <c r="D644" s="786"/>
      <c r="E644" s="786"/>
      <c r="F644" s="785"/>
      <c r="G644" s="787"/>
      <c r="H644" s="788"/>
      <c r="I644" s="283"/>
      <c r="J644" s="785"/>
      <c r="K644" s="786"/>
      <c r="L644" s="786"/>
      <c r="M644" s="786"/>
      <c r="N644" s="785"/>
      <c r="O644" s="787"/>
      <c r="P644" s="789">
        <f t="shared" si="19"/>
        <v>0</v>
      </c>
      <c r="Q644" s="199"/>
    </row>
    <row r="645">
      <c r="A645" s="238"/>
      <c r="B645" s="785"/>
      <c r="C645" s="786"/>
      <c r="D645" s="786"/>
      <c r="E645" s="786"/>
      <c r="F645" s="785"/>
      <c r="G645" s="787"/>
      <c r="H645" s="788"/>
      <c r="I645" s="283"/>
      <c r="J645" s="785"/>
      <c r="K645" s="786"/>
      <c r="L645" s="786"/>
      <c r="M645" s="786"/>
      <c r="N645" s="785"/>
      <c r="O645" s="787"/>
      <c r="P645" s="789">
        <f t="shared" si="19"/>
        <v>0</v>
      </c>
      <c r="Q645" s="199"/>
    </row>
    <row r="646">
      <c r="A646" s="238"/>
      <c r="B646" s="785"/>
      <c r="C646" s="786"/>
      <c r="D646" s="786"/>
      <c r="E646" s="786"/>
      <c r="F646" s="785"/>
      <c r="G646" s="787"/>
      <c r="H646" s="788"/>
      <c r="I646" s="283"/>
      <c r="J646" s="785"/>
      <c r="K646" s="786"/>
      <c r="L646" s="786"/>
      <c r="M646" s="786"/>
      <c r="N646" s="785"/>
      <c r="O646" s="787"/>
      <c r="P646" s="789">
        <f t="shared" si="19"/>
        <v>0</v>
      </c>
      <c r="Q646" s="199"/>
    </row>
    <row r="647">
      <c r="A647" s="197"/>
      <c r="B647" s="790" t="s">
        <v>711</v>
      </c>
      <c r="C647" s="791"/>
      <c r="D647" s="791"/>
      <c r="E647" s="792"/>
      <c r="F647" s="793">
        <f>SUM(F641:F646)</f>
        <v>0</v>
      </c>
      <c r="G647" s="794"/>
      <c r="H647" s="793">
        <f>SUM(H641:H646)</f>
        <v>0</v>
      </c>
      <c r="I647" s="1040"/>
      <c r="J647" s="790" t="s">
        <v>711</v>
      </c>
      <c r="K647" s="791"/>
      <c r="L647" s="791"/>
      <c r="M647" s="792"/>
      <c r="N647" s="793">
        <f>SUM(N641:N646)</f>
        <v>0</v>
      </c>
      <c r="O647" s="794"/>
      <c r="P647" s="793">
        <f>SUM(P641:P646)</f>
        <v>0</v>
      </c>
      <c r="Q647" s="199"/>
    </row>
    <row r="648">
      <c r="A648" s="238"/>
      <c r="B648" s="796"/>
      <c r="E648" s="798"/>
      <c r="H648" s="799"/>
      <c r="I648" s="283"/>
      <c r="J648" s="796"/>
      <c r="M648" s="798"/>
      <c r="P648" s="799"/>
      <c r="Q648" s="199"/>
    </row>
    <row r="649">
      <c r="A649" s="197"/>
      <c r="B649" s="800" t="s">
        <v>712</v>
      </c>
      <c r="C649" s="803"/>
      <c r="D649" s="804"/>
      <c r="H649" s="799"/>
      <c r="I649" s="283"/>
      <c r="J649" s="800" t="s">
        <v>712</v>
      </c>
      <c r="K649" s="803"/>
      <c r="L649" s="804"/>
      <c r="P649" s="799"/>
      <c r="Q649" s="199"/>
    </row>
    <row r="650">
      <c r="A650" s="197"/>
      <c r="B650" s="867"/>
      <c r="C650" s="808"/>
      <c r="D650" s="809"/>
      <c r="H650" s="799"/>
      <c r="I650" s="283"/>
      <c r="J650" s="867"/>
      <c r="K650" s="808"/>
      <c r="L650" s="809"/>
      <c r="P650" s="799"/>
      <c r="Q650" s="199"/>
    </row>
    <row r="651">
      <c r="A651" s="238"/>
      <c r="B651" s="868"/>
      <c r="C651" s="774"/>
      <c r="D651" s="816"/>
      <c r="H651" s="799"/>
      <c r="I651" s="283"/>
      <c r="J651" s="868"/>
      <c r="K651" s="774"/>
      <c r="L651" s="816"/>
      <c r="P651" s="799"/>
      <c r="Q651" s="199"/>
    </row>
    <row r="652">
      <c r="A652" s="197"/>
      <c r="B652" s="815"/>
      <c r="C652" s="792"/>
      <c r="D652" s="816"/>
      <c r="H652" s="829"/>
      <c r="I652" s="1040"/>
      <c r="J652" s="815"/>
      <c r="K652" s="792"/>
      <c r="L652" s="816"/>
      <c r="P652" s="829"/>
      <c r="Q652" s="199"/>
    </row>
    <row r="653">
      <c r="A653" s="238"/>
      <c r="B653" s="817"/>
      <c r="C653" s="774"/>
      <c r="D653" s="818"/>
      <c r="H653" s="799"/>
      <c r="I653" s="283"/>
      <c r="J653" s="817"/>
      <c r="K653" s="774"/>
      <c r="L653" s="818"/>
      <c r="P653" s="799"/>
      <c r="Q653" s="199"/>
    </row>
    <row r="654">
      <c r="A654" s="197"/>
      <c r="B654" s="817"/>
      <c r="C654" s="792"/>
      <c r="D654" s="818"/>
      <c r="H654" s="829"/>
      <c r="I654" s="1040"/>
      <c r="J654" s="817"/>
      <c r="K654" s="792"/>
      <c r="L654" s="818"/>
      <c r="P654" s="829"/>
      <c r="Q654" s="199"/>
    </row>
    <row r="655">
      <c r="A655" s="197"/>
      <c r="B655" s="821" t="s">
        <v>714</v>
      </c>
      <c r="C655" s="822"/>
      <c r="D655" s="823">
        <f>SUM(D650:D654)</f>
        <v>0</v>
      </c>
      <c r="H655" s="799"/>
      <c r="I655" s="283"/>
      <c r="J655" s="821" t="s">
        <v>714</v>
      </c>
      <c r="K655" s="822"/>
      <c r="L655" s="827"/>
      <c r="P655" s="799"/>
      <c r="Q655" s="199"/>
    </row>
    <row r="656">
      <c r="A656" s="197"/>
      <c r="B656" s="828"/>
      <c r="D656" s="829"/>
      <c r="H656" s="799"/>
      <c r="I656" s="283"/>
      <c r="J656" s="828"/>
      <c r="L656" s="829"/>
      <c r="P656" s="799"/>
      <c r="Q656" s="199"/>
    </row>
    <row r="657">
      <c r="A657" s="197"/>
      <c r="B657" s="833" t="s">
        <v>715</v>
      </c>
      <c r="C657" s="834"/>
      <c r="D657" s="835"/>
      <c r="H657" s="799"/>
      <c r="I657" s="283"/>
      <c r="J657" s="833" t="s">
        <v>715</v>
      </c>
      <c r="K657" s="834"/>
      <c r="L657" s="835"/>
      <c r="P657" s="799"/>
      <c r="Q657" s="199"/>
    </row>
    <row r="658">
      <c r="A658" s="197"/>
      <c r="B658" s="839"/>
      <c r="C658" s="840"/>
      <c r="D658" s="841"/>
      <c r="H658" s="799"/>
      <c r="I658" s="283"/>
      <c r="J658" s="839"/>
      <c r="K658" s="840"/>
      <c r="L658" s="841"/>
      <c r="P658" s="799"/>
      <c r="Q658" s="199"/>
    </row>
    <row r="659">
      <c r="A659" s="238"/>
      <c r="B659" s="847"/>
      <c r="C659" s="848"/>
      <c r="D659" s="849"/>
      <c r="E659" s="248"/>
      <c r="F659" s="845" t="s">
        <v>1182</v>
      </c>
      <c r="H659" s="1037">
        <f>H647+D655-D664</f>
        <v>0</v>
      </c>
      <c r="I659" s="283"/>
      <c r="J659" s="847"/>
      <c r="K659" s="848"/>
      <c r="L659" s="849"/>
      <c r="M659" s="248"/>
      <c r="N659" s="845" t="s">
        <v>1183</v>
      </c>
      <c r="P659" s="846">
        <f>P647+L655-L664</f>
        <v>0</v>
      </c>
      <c r="Q659" s="199"/>
    </row>
    <row r="660">
      <c r="A660" s="238"/>
      <c r="B660" s="847"/>
      <c r="C660" s="848"/>
      <c r="D660" s="849"/>
      <c r="H660" s="799"/>
      <c r="I660" s="283"/>
      <c r="J660" s="847"/>
      <c r="K660" s="848"/>
      <c r="L660" s="849"/>
      <c r="P660" s="799"/>
      <c r="Q660" s="199"/>
    </row>
    <row r="661">
      <c r="A661" s="238"/>
      <c r="B661" s="847"/>
      <c r="C661" s="848"/>
      <c r="D661" s="849"/>
      <c r="H661" s="799"/>
      <c r="I661" s="283"/>
      <c r="J661" s="847"/>
      <c r="K661" s="848"/>
      <c r="L661" s="849"/>
      <c r="P661" s="799"/>
      <c r="Q661" s="199"/>
    </row>
    <row r="662">
      <c r="A662" s="238"/>
      <c r="B662" s="847"/>
      <c r="C662" s="848"/>
      <c r="D662" s="849"/>
      <c r="F662" s="248"/>
      <c r="H662" s="799"/>
      <c r="I662" s="283"/>
      <c r="J662" s="847"/>
      <c r="K662" s="848"/>
      <c r="L662" s="849"/>
      <c r="N662" s="248"/>
      <c r="P662" s="799"/>
      <c r="Q662" s="199"/>
    </row>
    <row r="663">
      <c r="A663" s="238"/>
      <c r="B663" s="847"/>
      <c r="C663" s="848"/>
      <c r="D663" s="849"/>
      <c r="H663" s="799"/>
      <c r="I663" s="283"/>
      <c r="J663" s="847"/>
      <c r="K663" s="848"/>
      <c r="L663" s="849"/>
      <c r="P663" s="799"/>
      <c r="Q663" s="199"/>
    </row>
    <row r="664">
      <c r="A664" s="197"/>
      <c r="B664" s="853" t="s">
        <v>721</v>
      </c>
      <c r="C664" s="854"/>
      <c r="D664" s="855">
        <f>SUM(D658:D663)</f>
        <v>0</v>
      </c>
      <c r="H664" s="829"/>
      <c r="I664" s="1040"/>
      <c r="J664" s="853" t="s">
        <v>721</v>
      </c>
      <c r="K664" s="854"/>
      <c r="L664" s="855"/>
      <c r="P664" s="829"/>
      <c r="Q664" s="199"/>
    </row>
    <row r="665">
      <c r="A665" s="283"/>
      <c r="B665" s="856"/>
      <c r="C665" s="857"/>
      <c r="D665" s="857"/>
      <c r="E665" s="857"/>
      <c r="F665" s="857"/>
      <c r="G665" s="857"/>
      <c r="H665" s="808"/>
      <c r="I665" s="283"/>
      <c r="J665" s="856"/>
      <c r="K665" s="857"/>
      <c r="L665" s="857"/>
      <c r="M665" s="857"/>
      <c r="N665" s="857"/>
      <c r="O665" s="857"/>
      <c r="P665" s="808"/>
      <c r="Q665" s="199"/>
    </row>
    <row r="666">
      <c r="A666" s="1038"/>
      <c r="Y666" s="283"/>
    </row>
    <row r="667" ht="24.75" customHeight="1">
      <c r="A667" s="201"/>
      <c r="B667" s="769"/>
      <c r="C667" s="770"/>
      <c r="D667" s="770"/>
      <c r="E667" s="771" t="s">
        <v>700</v>
      </c>
      <c r="F667" s="772" t="str">
        <f>A2</f>
        <v>11.24.25-11.30.25</v>
      </c>
      <c r="G667" s="773"/>
      <c r="H667" s="774"/>
      <c r="I667" s="305">
        <v>19.0</v>
      </c>
      <c r="J667" s="769"/>
      <c r="K667" s="770"/>
      <c r="L667" s="770"/>
      <c r="M667" s="771" t="s">
        <v>700</v>
      </c>
      <c r="N667" s="772" t="str">
        <f>F667</f>
        <v>11.24.25-11.30.25</v>
      </c>
      <c r="O667" s="773"/>
      <c r="P667" s="774"/>
      <c r="Q667" s="199"/>
    </row>
    <row r="668" ht="25.5" customHeight="1">
      <c r="A668" s="194"/>
      <c r="B668" s="775"/>
      <c r="E668" s="771" t="s">
        <v>702</v>
      </c>
      <c r="F668" s="772" t="s">
        <v>660</v>
      </c>
      <c r="G668" s="773"/>
      <c r="H668" s="774"/>
      <c r="I668" s="283"/>
      <c r="J668" s="775"/>
      <c r="M668" s="771" t="s">
        <v>702</v>
      </c>
      <c r="N668" s="772"/>
      <c r="O668" s="773"/>
      <c r="P668" s="774"/>
      <c r="Q668" s="199"/>
    </row>
    <row r="669" ht="29.25" customHeight="1">
      <c r="A669" s="194"/>
      <c r="B669" s="775"/>
      <c r="E669" s="771" t="s">
        <v>703</v>
      </c>
      <c r="F669" s="772">
        <v>2319.0</v>
      </c>
      <c r="G669" s="773"/>
      <c r="H669" s="774"/>
      <c r="I669" s="283"/>
      <c r="J669" s="775"/>
      <c r="M669" s="771" t="s">
        <v>703</v>
      </c>
      <c r="N669" s="772">
        <v>2319.0</v>
      </c>
      <c r="O669" s="773"/>
      <c r="P669" s="774"/>
      <c r="Q669" s="199"/>
    </row>
    <row r="670">
      <c r="A670" s="1031"/>
      <c r="B670" s="779" t="s">
        <v>704</v>
      </c>
      <c r="C670" s="779" t="s">
        <v>5</v>
      </c>
      <c r="D670" s="779" t="s">
        <v>6</v>
      </c>
      <c r="E670" s="779" t="s">
        <v>7</v>
      </c>
      <c r="F670" s="779" t="s">
        <v>8</v>
      </c>
      <c r="G670" s="779" t="s">
        <v>706</v>
      </c>
      <c r="H670" s="779" t="s">
        <v>707</v>
      </c>
      <c r="I670" s="34"/>
      <c r="J670" s="779" t="s">
        <v>704</v>
      </c>
      <c r="K670" s="779" t="s">
        <v>5</v>
      </c>
      <c r="L670" s="779" t="s">
        <v>6</v>
      </c>
      <c r="M670" s="779" t="s">
        <v>7</v>
      </c>
      <c r="N670" s="779" t="s">
        <v>1178</v>
      </c>
      <c r="O670" s="779" t="s">
        <v>839</v>
      </c>
      <c r="P670" s="779" t="s">
        <v>707</v>
      </c>
      <c r="Q670" s="1032"/>
      <c r="R670" s="1032"/>
    </row>
    <row r="671">
      <c r="A671" s="229"/>
      <c r="B671" s="780"/>
      <c r="C671" s="781"/>
      <c r="D671" s="781"/>
      <c r="E671" s="781"/>
      <c r="F671" s="782"/>
      <c r="G671" s="783">
        <v>1.0</v>
      </c>
      <c r="H671" s="782"/>
      <c r="I671" s="283"/>
      <c r="J671" s="1033"/>
      <c r="K671" s="1034"/>
      <c r="L671" s="1034"/>
      <c r="M671" s="1034"/>
      <c r="N671" s="1035"/>
      <c r="O671" s="1036"/>
      <c r="P671" s="1035">
        <f t="shared" ref="P671:P676" si="20">N671*O671</f>
        <v>0</v>
      </c>
      <c r="Q671" s="199"/>
    </row>
    <row r="672">
      <c r="A672" s="229"/>
      <c r="B672" s="780"/>
      <c r="C672" s="781"/>
      <c r="D672" s="781"/>
      <c r="E672" s="781"/>
      <c r="F672" s="782"/>
      <c r="G672" s="783">
        <v>1.0</v>
      </c>
      <c r="H672" s="782"/>
      <c r="I672" s="283"/>
      <c r="J672" s="780"/>
      <c r="K672" s="781"/>
      <c r="L672" s="781"/>
      <c r="M672" s="781"/>
      <c r="N672" s="782"/>
      <c r="O672" s="783"/>
      <c r="P672" s="789">
        <f t="shared" si="20"/>
        <v>0</v>
      </c>
      <c r="Q672" s="199"/>
    </row>
    <row r="673">
      <c r="A673" s="238"/>
      <c r="B673" s="785"/>
      <c r="C673" s="786"/>
      <c r="D673" s="786"/>
      <c r="E673" s="786"/>
      <c r="F673" s="785"/>
      <c r="G673" s="787"/>
      <c r="H673" s="788"/>
      <c r="I673" s="283"/>
      <c r="J673" s="785"/>
      <c r="K673" s="786"/>
      <c r="L673" s="786"/>
      <c r="M673" s="786"/>
      <c r="N673" s="785"/>
      <c r="O673" s="787"/>
      <c r="P673" s="789">
        <f t="shared" si="20"/>
        <v>0</v>
      </c>
      <c r="Q673" s="199"/>
    </row>
    <row r="674">
      <c r="A674" s="238"/>
      <c r="B674" s="785"/>
      <c r="C674" s="786"/>
      <c r="D674" s="786"/>
      <c r="E674" s="786"/>
      <c r="F674" s="785"/>
      <c r="G674" s="787"/>
      <c r="H674" s="788"/>
      <c r="I674" s="283"/>
      <c r="J674" s="785"/>
      <c r="K674" s="786"/>
      <c r="L674" s="786"/>
      <c r="M674" s="786"/>
      <c r="N674" s="785"/>
      <c r="O674" s="787"/>
      <c r="P674" s="789">
        <f t="shared" si="20"/>
        <v>0</v>
      </c>
      <c r="Q674" s="199"/>
    </row>
    <row r="675">
      <c r="A675" s="238"/>
      <c r="B675" s="785"/>
      <c r="C675" s="786"/>
      <c r="D675" s="786"/>
      <c r="E675" s="786"/>
      <c r="F675" s="785"/>
      <c r="G675" s="787"/>
      <c r="H675" s="788"/>
      <c r="I675" s="283"/>
      <c r="J675" s="785"/>
      <c r="K675" s="786"/>
      <c r="L675" s="786"/>
      <c r="M675" s="786"/>
      <c r="N675" s="785"/>
      <c r="O675" s="787"/>
      <c r="P675" s="789">
        <f t="shared" si="20"/>
        <v>0</v>
      </c>
      <c r="Q675" s="199"/>
    </row>
    <row r="676">
      <c r="A676" s="238"/>
      <c r="B676" s="785"/>
      <c r="C676" s="786"/>
      <c r="D676" s="786"/>
      <c r="E676" s="786"/>
      <c r="F676" s="785"/>
      <c r="G676" s="787"/>
      <c r="H676" s="788"/>
      <c r="I676" s="283"/>
      <c r="J676" s="785"/>
      <c r="K676" s="786"/>
      <c r="L676" s="786"/>
      <c r="M676" s="786"/>
      <c r="N676" s="785"/>
      <c r="O676" s="787"/>
      <c r="P676" s="789">
        <f t="shared" si="20"/>
        <v>0</v>
      </c>
      <c r="Q676" s="199"/>
    </row>
    <row r="677">
      <c r="A677" s="197"/>
      <c r="B677" s="790" t="s">
        <v>711</v>
      </c>
      <c r="C677" s="791"/>
      <c r="D677" s="791"/>
      <c r="E677" s="792"/>
      <c r="F677" s="793">
        <f>SUM(F671:F676)</f>
        <v>0</v>
      </c>
      <c r="G677" s="794"/>
      <c r="H677" s="793">
        <f>SUM(H671:H676)</f>
        <v>0</v>
      </c>
      <c r="I677" s="1040"/>
      <c r="J677" s="790" t="s">
        <v>711</v>
      </c>
      <c r="K677" s="791"/>
      <c r="L677" s="791"/>
      <c r="M677" s="792"/>
      <c r="N677" s="793">
        <f>SUM(N671:N676)</f>
        <v>0</v>
      </c>
      <c r="O677" s="794"/>
      <c r="P677" s="793">
        <f>SUM(P671:P676)</f>
        <v>0</v>
      </c>
      <c r="Q677" s="199"/>
    </row>
    <row r="678">
      <c r="A678" s="238"/>
      <c r="B678" s="796"/>
      <c r="E678" s="798"/>
      <c r="H678" s="799"/>
      <c r="I678" s="283"/>
      <c r="J678" s="796"/>
      <c r="M678" s="798"/>
      <c r="P678" s="799"/>
      <c r="Q678" s="199"/>
    </row>
    <row r="679">
      <c r="A679" s="197"/>
      <c r="B679" s="800" t="s">
        <v>712</v>
      </c>
      <c r="C679" s="803"/>
      <c r="D679" s="804"/>
      <c r="H679" s="799"/>
      <c r="I679" s="283"/>
      <c r="J679" s="800" t="s">
        <v>712</v>
      </c>
      <c r="K679" s="803"/>
      <c r="L679" s="804"/>
      <c r="P679" s="799"/>
      <c r="Q679" s="199"/>
    </row>
    <row r="680">
      <c r="A680" s="197"/>
      <c r="B680" s="867"/>
      <c r="C680" s="808"/>
      <c r="D680" s="809"/>
      <c r="H680" s="799"/>
      <c r="I680" s="283"/>
      <c r="J680" s="867"/>
      <c r="K680" s="808"/>
      <c r="L680" s="809"/>
      <c r="P680" s="799"/>
      <c r="Q680" s="199"/>
    </row>
    <row r="681">
      <c r="A681" s="238"/>
      <c r="B681" s="868"/>
      <c r="C681" s="774"/>
      <c r="D681" s="816"/>
      <c r="H681" s="799"/>
      <c r="I681" s="283"/>
      <c r="J681" s="868"/>
      <c r="K681" s="774"/>
      <c r="L681" s="816"/>
      <c r="P681" s="799"/>
      <c r="Q681" s="199"/>
    </row>
    <row r="682">
      <c r="A682" s="197"/>
      <c r="B682" s="815"/>
      <c r="C682" s="792"/>
      <c r="D682" s="816"/>
      <c r="H682" s="829"/>
      <c r="I682" s="1040"/>
      <c r="J682" s="815"/>
      <c r="K682" s="792"/>
      <c r="L682" s="816"/>
      <c r="P682" s="829"/>
      <c r="Q682" s="199"/>
    </row>
    <row r="683">
      <c r="A683" s="238"/>
      <c r="B683" s="817"/>
      <c r="C683" s="774"/>
      <c r="D683" s="818"/>
      <c r="H683" s="799"/>
      <c r="I683" s="283"/>
      <c r="J683" s="817"/>
      <c r="K683" s="774"/>
      <c r="L683" s="818"/>
      <c r="P683" s="799"/>
      <c r="Q683" s="199"/>
    </row>
    <row r="684">
      <c r="A684" s="197"/>
      <c r="B684" s="817"/>
      <c r="C684" s="792"/>
      <c r="D684" s="818"/>
      <c r="H684" s="829"/>
      <c r="I684" s="1040"/>
      <c r="J684" s="817"/>
      <c r="K684" s="792"/>
      <c r="L684" s="818"/>
      <c r="P684" s="829"/>
      <c r="Q684" s="199"/>
    </row>
    <row r="685">
      <c r="A685" s="197"/>
      <c r="B685" s="821" t="s">
        <v>714</v>
      </c>
      <c r="C685" s="822"/>
      <c r="D685" s="823">
        <f>SUM(D680:D684)</f>
        <v>0</v>
      </c>
      <c r="H685" s="799"/>
      <c r="I685" s="283"/>
      <c r="J685" s="821" t="s">
        <v>714</v>
      </c>
      <c r="K685" s="822"/>
      <c r="L685" s="827"/>
      <c r="P685" s="799"/>
      <c r="Q685" s="199"/>
    </row>
    <row r="686">
      <c r="A686" s="197"/>
      <c r="B686" s="828"/>
      <c r="D686" s="829"/>
      <c r="H686" s="799"/>
      <c r="I686" s="283"/>
      <c r="J686" s="828"/>
      <c r="L686" s="829"/>
      <c r="P686" s="799"/>
      <c r="Q686" s="199"/>
    </row>
    <row r="687">
      <c r="A687" s="197"/>
      <c r="B687" s="833" t="s">
        <v>715</v>
      </c>
      <c r="C687" s="834"/>
      <c r="D687" s="835"/>
      <c r="H687" s="799"/>
      <c r="I687" s="283"/>
      <c r="J687" s="833" t="s">
        <v>715</v>
      </c>
      <c r="K687" s="834"/>
      <c r="L687" s="835"/>
      <c r="P687" s="799"/>
      <c r="Q687" s="199"/>
    </row>
    <row r="688">
      <c r="A688" s="197"/>
      <c r="B688" s="839"/>
      <c r="C688" s="840"/>
      <c r="D688" s="841"/>
      <c r="H688" s="799"/>
      <c r="I688" s="283"/>
      <c r="J688" s="839"/>
      <c r="K688" s="840"/>
      <c r="L688" s="841"/>
      <c r="P688" s="799"/>
      <c r="Q688" s="199"/>
    </row>
    <row r="689">
      <c r="A689" s="238"/>
      <c r="B689" s="847"/>
      <c r="C689" s="848"/>
      <c r="D689" s="849"/>
      <c r="E689" s="248"/>
      <c r="F689" s="845" t="s">
        <v>1182</v>
      </c>
      <c r="H689" s="1037">
        <f>H677+D685-D694</f>
        <v>0</v>
      </c>
      <c r="I689" s="283"/>
      <c r="J689" s="847"/>
      <c r="K689" s="848"/>
      <c r="L689" s="849"/>
      <c r="M689" s="248"/>
      <c r="N689" s="845" t="s">
        <v>1183</v>
      </c>
      <c r="P689" s="846">
        <f>P677+L685-L694</f>
        <v>0</v>
      </c>
      <c r="Q689" s="199"/>
    </row>
    <row r="690">
      <c r="A690" s="238"/>
      <c r="B690" s="847"/>
      <c r="C690" s="848"/>
      <c r="D690" s="849"/>
      <c r="H690" s="799"/>
      <c r="I690" s="283"/>
      <c r="J690" s="847"/>
      <c r="K690" s="848"/>
      <c r="L690" s="849"/>
      <c r="P690" s="799"/>
      <c r="Q690" s="199"/>
    </row>
    <row r="691">
      <c r="A691" s="238"/>
      <c r="B691" s="847"/>
      <c r="C691" s="848"/>
      <c r="D691" s="849"/>
      <c r="H691" s="799"/>
      <c r="I691" s="283"/>
      <c r="J691" s="847"/>
      <c r="K691" s="848"/>
      <c r="L691" s="849"/>
      <c r="P691" s="799"/>
      <c r="Q691" s="199"/>
    </row>
    <row r="692">
      <c r="A692" s="238"/>
      <c r="B692" s="847"/>
      <c r="C692" s="848"/>
      <c r="D692" s="849"/>
      <c r="F692" s="248"/>
      <c r="H692" s="799"/>
      <c r="I692" s="283"/>
      <c r="J692" s="847"/>
      <c r="K692" s="848"/>
      <c r="L692" s="849"/>
      <c r="N692" s="248"/>
      <c r="P692" s="799"/>
      <c r="Q692" s="199"/>
    </row>
    <row r="693">
      <c r="A693" s="238"/>
      <c r="B693" s="847"/>
      <c r="C693" s="848"/>
      <c r="D693" s="849"/>
      <c r="H693" s="799"/>
      <c r="I693" s="283"/>
      <c r="J693" s="847"/>
      <c r="K693" s="848"/>
      <c r="L693" s="849"/>
      <c r="P693" s="799"/>
      <c r="Q693" s="199"/>
    </row>
    <row r="694">
      <c r="A694" s="197"/>
      <c r="B694" s="853" t="s">
        <v>721</v>
      </c>
      <c r="C694" s="854"/>
      <c r="D694" s="855">
        <f>SUM(D688:D693)</f>
        <v>0</v>
      </c>
      <c r="H694" s="829"/>
      <c r="I694" s="1040"/>
      <c r="J694" s="853" t="s">
        <v>721</v>
      </c>
      <c r="K694" s="854"/>
      <c r="L694" s="855"/>
      <c r="P694" s="829"/>
      <c r="Q694" s="199"/>
    </row>
    <row r="695">
      <c r="A695" s="283"/>
      <c r="B695" s="856"/>
      <c r="C695" s="857"/>
      <c r="D695" s="857"/>
      <c r="E695" s="857"/>
      <c r="F695" s="857"/>
      <c r="G695" s="857"/>
      <c r="H695" s="808"/>
      <c r="I695" s="283"/>
      <c r="J695" s="856"/>
      <c r="K695" s="857"/>
      <c r="L695" s="857"/>
      <c r="M695" s="857"/>
      <c r="N695" s="857"/>
      <c r="O695" s="857"/>
      <c r="P695" s="808"/>
      <c r="Q695" s="199"/>
    </row>
    <row r="696">
      <c r="A696" s="1041"/>
      <c r="Y696" s="283"/>
    </row>
    <row r="697" ht="24.75" customHeight="1">
      <c r="A697" s="201"/>
      <c r="B697" s="769"/>
      <c r="C697" s="770"/>
      <c r="D697" s="770"/>
      <c r="E697" s="771" t="s">
        <v>700</v>
      </c>
      <c r="F697" s="772" t="str">
        <f>A2</f>
        <v>11.24.25-11.30.25</v>
      </c>
      <c r="G697" s="773"/>
      <c r="H697" s="774"/>
      <c r="I697" s="305">
        <v>20.0</v>
      </c>
      <c r="J697" s="769"/>
      <c r="K697" s="770"/>
      <c r="L697" s="770"/>
      <c r="M697" s="771" t="s">
        <v>700</v>
      </c>
      <c r="N697" s="772" t="str">
        <f>F697</f>
        <v>11.24.25-11.30.25</v>
      </c>
      <c r="O697" s="773"/>
      <c r="P697" s="774"/>
      <c r="Q697" s="199"/>
    </row>
    <row r="698" ht="25.5" customHeight="1">
      <c r="A698" s="194"/>
      <c r="B698" s="775"/>
      <c r="E698" s="771" t="s">
        <v>702</v>
      </c>
      <c r="F698" s="772" t="s">
        <v>660</v>
      </c>
      <c r="G698" s="773"/>
      <c r="H698" s="774"/>
      <c r="I698" s="283"/>
      <c r="J698" s="775"/>
      <c r="M698" s="771" t="s">
        <v>702</v>
      </c>
      <c r="N698" s="772"/>
      <c r="O698" s="773"/>
      <c r="P698" s="774"/>
      <c r="Q698" s="199"/>
    </row>
    <row r="699" ht="29.25" customHeight="1">
      <c r="A699" s="194"/>
      <c r="B699" s="775"/>
      <c r="E699" s="771" t="s">
        <v>703</v>
      </c>
      <c r="F699" s="772">
        <v>2319.0</v>
      </c>
      <c r="G699" s="773"/>
      <c r="H699" s="774"/>
      <c r="I699" s="283"/>
      <c r="J699" s="775"/>
      <c r="M699" s="771" t="s">
        <v>703</v>
      </c>
      <c r="N699" s="772">
        <v>2319.0</v>
      </c>
      <c r="O699" s="773"/>
      <c r="P699" s="774"/>
      <c r="Q699" s="199"/>
    </row>
    <row r="700">
      <c r="A700" s="1031"/>
      <c r="B700" s="779" t="s">
        <v>704</v>
      </c>
      <c r="C700" s="779" t="s">
        <v>5</v>
      </c>
      <c r="D700" s="779" t="s">
        <v>6</v>
      </c>
      <c r="E700" s="779" t="s">
        <v>7</v>
      </c>
      <c r="F700" s="779" t="s">
        <v>8</v>
      </c>
      <c r="G700" s="779" t="s">
        <v>706</v>
      </c>
      <c r="H700" s="779" t="s">
        <v>707</v>
      </c>
      <c r="I700" s="34"/>
      <c r="J700" s="779" t="s">
        <v>704</v>
      </c>
      <c r="K700" s="779" t="s">
        <v>5</v>
      </c>
      <c r="L700" s="779" t="s">
        <v>6</v>
      </c>
      <c r="M700" s="779" t="s">
        <v>7</v>
      </c>
      <c r="N700" s="779" t="s">
        <v>1178</v>
      </c>
      <c r="O700" s="779" t="s">
        <v>839</v>
      </c>
      <c r="P700" s="779" t="s">
        <v>707</v>
      </c>
      <c r="Q700" s="1032"/>
      <c r="R700" s="1032"/>
    </row>
    <row r="701">
      <c r="A701" s="229"/>
      <c r="B701" s="780"/>
      <c r="C701" s="781"/>
      <c r="D701" s="781"/>
      <c r="E701" s="781"/>
      <c r="F701" s="782"/>
      <c r="G701" s="783">
        <v>1.0</v>
      </c>
      <c r="H701" s="782"/>
      <c r="I701" s="283"/>
      <c r="J701" s="1033"/>
      <c r="K701" s="1034"/>
      <c r="L701" s="1034"/>
      <c r="M701" s="1034"/>
      <c r="N701" s="1035"/>
      <c r="O701" s="1036"/>
      <c r="P701" s="1035">
        <f t="shared" ref="P701:P706" si="21">N701*O701</f>
        <v>0</v>
      </c>
      <c r="Q701" s="199"/>
    </row>
    <row r="702">
      <c r="A702" s="229"/>
      <c r="B702" s="780"/>
      <c r="C702" s="781"/>
      <c r="D702" s="781"/>
      <c r="E702" s="781"/>
      <c r="F702" s="782"/>
      <c r="G702" s="783">
        <v>1.0</v>
      </c>
      <c r="H702" s="782"/>
      <c r="I702" s="283"/>
      <c r="J702" s="780"/>
      <c r="K702" s="781"/>
      <c r="L702" s="781"/>
      <c r="M702" s="781"/>
      <c r="N702" s="782"/>
      <c r="O702" s="783"/>
      <c r="P702" s="789">
        <f t="shared" si="21"/>
        <v>0</v>
      </c>
      <c r="Q702" s="199"/>
    </row>
    <row r="703">
      <c r="A703" s="238"/>
      <c r="B703" s="785"/>
      <c r="C703" s="786"/>
      <c r="D703" s="786"/>
      <c r="E703" s="786"/>
      <c r="F703" s="785"/>
      <c r="G703" s="787"/>
      <c r="H703" s="788"/>
      <c r="I703" s="283"/>
      <c r="J703" s="785"/>
      <c r="K703" s="786"/>
      <c r="L703" s="786"/>
      <c r="M703" s="786"/>
      <c r="N703" s="785"/>
      <c r="O703" s="787"/>
      <c r="P703" s="789">
        <f t="shared" si="21"/>
        <v>0</v>
      </c>
      <c r="Q703" s="199"/>
    </row>
    <row r="704">
      <c r="A704" s="238"/>
      <c r="B704" s="785"/>
      <c r="C704" s="786"/>
      <c r="D704" s="786"/>
      <c r="E704" s="786"/>
      <c r="F704" s="785"/>
      <c r="G704" s="787"/>
      <c r="H704" s="788"/>
      <c r="I704" s="283"/>
      <c r="J704" s="785"/>
      <c r="K704" s="786"/>
      <c r="L704" s="786"/>
      <c r="M704" s="786"/>
      <c r="N704" s="785"/>
      <c r="O704" s="787"/>
      <c r="P704" s="789">
        <f t="shared" si="21"/>
        <v>0</v>
      </c>
      <c r="Q704" s="199"/>
    </row>
    <row r="705">
      <c r="A705" s="238"/>
      <c r="B705" s="785"/>
      <c r="C705" s="786"/>
      <c r="D705" s="786"/>
      <c r="E705" s="786"/>
      <c r="F705" s="785"/>
      <c r="G705" s="787"/>
      <c r="H705" s="788"/>
      <c r="I705" s="283"/>
      <c r="J705" s="785"/>
      <c r="K705" s="786"/>
      <c r="L705" s="786"/>
      <c r="M705" s="786"/>
      <c r="N705" s="785"/>
      <c r="O705" s="787"/>
      <c r="P705" s="789">
        <f t="shared" si="21"/>
        <v>0</v>
      </c>
      <c r="Q705" s="199"/>
    </row>
    <row r="706">
      <c r="A706" s="238"/>
      <c r="B706" s="785"/>
      <c r="C706" s="786"/>
      <c r="D706" s="786"/>
      <c r="E706" s="786"/>
      <c r="F706" s="785"/>
      <c r="G706" s="787"/>
      <c r="H706" s="788"/>
      <c r="I706" s="283"/>
      <c r="J706" s="785"/>
      <c r="K706" s="786"/>
      <c r="L706" s="786"/>
      <c r="M706" s="786"/>
      <c r="N706" s="785"/>
      <c r="O706" s="787"/>
      <c r="P706" s="789">
        <f t="shared" si="21"/>
        <v>0</v>
      </c>
      <c r="Q706" s="199"/>
    </row>
    <row r="707">
      <c r="A707" s="197"/>
      <c r="B707" s="790" t="s">
        <v>711</v>
      </c>
      <c r="C707" s="791"/>
      <c r="D707" s="791"/>
      <c r="E707" s="792"/>
      <c r="F707" s="793">
        <f>SUM(F701:F706)</f>
        <v>0</v>
      </c>
      <c r="G707" s="794"/>
      <c r="H707" s="793">
        <f>SUM(H701:H706)</f>
        <v>0</v>
      </c>
      <c r="I707" s="283"/>
      <c r="J707" s="790" t="s">
        <v>711</v>
      </c>
      <c r="K707" s="791"/>
      <c r="L707" s="791"/>
      <c r="M707" s="792"/>
      <c r="N707" s="793">
        <f>SUM(N701:N706)</f>
        <v>0</v>
      </c>
      <c r="O707" s="794"/>
      <c r="P707" s="793">
        <f>SUM(P701:P706)</f>
        <v>0</v>
      </c>
      <c r="Q707" s="199"/>
    </row>
    <row r="708">
      <c r="A708" s="238"/>
      <c r="B708" s="1042"/>
      <c r="E708" s="798"/>
      <c r="H708" s="829"/>
      <c r="I708" s="1040"/>
      <c r="J708" s="1042"/>
      <c r="M708" s="798"/>
      <c r="P708" s="829"/>
      <c r="Q708" s="199"/>
    </row>
    <row r="709">
      <c r="A709" s="197"/>
      <c r="B709" s="800" t="s">
        <v>712</v>
      </c>
      <c r="C709" s="803"/>
      <c r="D709" s="804"/>
      <c r="H709" s="799"/>
      <c r="I709" s="283"/>
      <c r="J709" s="800" t="s">
        <v>712</v>
      </c>
      <c r="K709" s="803"/>
      <c r="L709" s="804"/>
      <c r="P709" s="799"/>
      <c r="Q709" s="199"/>
    </row>
    <row r="710">
      <c r="A710" s="197"/>
      <c r="B710" s="867"/>
      <c r="C710" s="808"/>
      <c r="D710" s="809"/>
      <c r="H710" s="799"/>
      <c r="I710" s="283"/>
      <c r="J710" s="867"/>
      <c r="K710" s="808"/>
      <c r="L710" s="809"/>
      <c r="P710" s="799"/>
      <c r="Q710" s="199"/>
    </row>
    <row r="711">
      <c r="A711" s="238"/>
      <c r="B711" s="868"/>
      <c r="C711" s="774"/>
      <c r="D711" s="816"/>
      <c r="H711" s="799"/>
      <c r="I711" s="283"/>
      <c r="J711" s="868"/>
      <c r="K711" s="774"/>
      <c r="L711" s="816"/>
      <c r="P711" s="799"/>
      <c r="Q711" s="199"/>
    </row>
    <row r="712">
      <c r="A712" s="197"/>
      <c r="B712" s="815"/>
      <c r="C712" s="792"/>
      <c r="D712" s="816"/>
      <c r="H712" s="799"/>
      <c r="I712" s="283"/>
      <c r="J712" s="815"/>
      <c r="K712" s="792"/>
      <c r="L712" s="816"/>
      <c r="P712" s="799"/>
      <c r="Q712" s="199"/>
    </row>
    <row r="713">
      <c r="A713" s="238"/>
      <c r="B713" s="817"/>
      <c r="C713" s="792"/>
      <c r="D713" s="818"/>
      <c r="H713" s="799"/>
      <c r="I713" s="283"/>
      <c r="J713" s="817"/>
      <c r="K713" s="774"/>
      <c r="L713" s="818"/>
      <c r="P713" s="799"/>
      <c r="Q713" s="199"/>
    </row>
    <row r="714">
      <c r="A714" s="197"/>
      <c r="B714" s="817"/>
      <c r="C714" s="774"/>
      <c r="D714" s="818"/>
      <c r="H714" s="799"/>
      <c r="I714" s="283"/>
      <c r="J714" s="817"/>
      <c r="K714" s="774"/>
      <c r="L714" s="818"/>
      <c r="P714" s="799"/>
      <c r="Q714" s="199"/>
    </row>
    <row r="715">
      <c r="A715" s="197"/>
      <c r="B715" s="821" t="s">
        <v>714</v>
      </c>
      <c r="C715" s="1043"/>
      <c r="D715" s="823">
        <f>SUM(D710:D714)</f>
        <v>0</v>
      </c>
      <c r="H715" s="829"/>
      <c r="I715" s="1040"/>
      <c r="J715" s="821" t="s">
        <v>714</v>
      </c>
      <c r="K715" s="1043"/>
      <c r="L715" s="827"/>
      <c r="P715" s="829"/>
      <c r="Q715" s="199"/>
    </row>
    <row r="716">
      <c r="A716" s="197"/>
      <c r="B716" s="828"/>
      <c r="D716" s="829"/>
      <c r="H716" s="799"/>
      <c r="I716" s="283"/>
      <c r="J716" s="828"/>
      <c r="L716" s="829"/>
      <c r="P716" s="799"/>
      <c r="Q716" s="199"/>
    </row>
    <row r="717">
      <c r="A717" s="197"/>
      <c r="B717" s="833" t="s">
        <v>715</v>
      </c>
      <c r="C717" s="834"/>
      <c r="D717" s="835"/>
      <c r="H717" s="799"/>
      <c r="I717" s="283"/>
      <c r="J717" s="833" t="s">
        <v>715</v>
      </c>
      <c r="K717" s="834"/>
      <c r="L717" s="835"/>
      <c r="P717" s="799"/>
      <c r="Q717" s="199"/>
    </row>
    <row r="718">
      <c r="A718" s="197"/>
      <c r="B718" s="839"/>
      <c r="C718" s="840"/>
      <c r="D718" s="841"/>
      <c r="H718" s="799"/>
      <c r="I718" s="283"/>
      <c r="J718" s="839"/>
      <c r="K718" s="840"/>
      <c r="L718" s="841"/>
      <c r="P718" s="799"/>
      <c r="Q718" s="199"/>
    </row>
    <row r="719">
      <c r="A719" s="238"/>
      <c r="B719" s="847"/>
      <c r="C719" s="848"/>
      <c r="D719" s="849"/>
      <c r="E719" s="248"/>
      <c r="F719" s="845" t="s">
        <v>1182</v>
      </c>
      <c r="H719" s="1037">
        <f>H707+D715-D724</f>
        <v>0</v>
      </c>
      <c r="I719" s="283"/>
      <c r="J719" s="847"/>
      <c r="K719" s="848"/>
      <c r="L719" s="849"/>
      <c r="M719" s="248"/>
      <c r="N719" s="845" t="s">
        <v>1183</v>
      </c>
      <c r="P719" s="846">
        <f>P707+L715-L724</f>
        <v>0</v>
      </c>
      <c r="Q719" s="199"/>
    </row>
    <row r="720">
      <c r="A720" s="238"/>
      <c r="B720" s="847"/>
      <c r="C720" s="848"/>
      <c r="D720" s="849"/>
      <c r="H720" s="799"/>
      <c r="I720" s="283"/>
      <c r="J720" s="847"/>
      <c r="K720" s="848"/>
      <c r="L720" s="849"/>
      <c r="P720" s="799"/>
      <c r="Q720" s="199"/>
    </row>
    <row r="721">
      <c r="A721" s="238"/>
      <c r="B721" s="847"/>
      <c r="C721" s="848"/>
      <c r="D721" s="849"/>
      <c r="H721" s="799"/>
      <c r="I721" s="283"/>
      <c r="J721" s="847"/>
      <c r="K721" s="848"/>
      <c r="L721" s="849"/>
      <c r="P721" s="799"/>
      <c r="Q721" s="199"/>
    </row>
    <row r="722">
      <c r="A722" s="238"/>
      <c r="B722" s="847"/>
      <c r="C722" s="848"/>
      <c r="D722" s="849"/>
      <c r="F722" s="248"/>
      <c r="H722" s="799"/>
      <c r="I722" s="283"/>
      <c r="J722" s="847"/>
      <c r="K722" s="848"/>
      <c r="L722" s="849"/>
      <c r="N722" s="248"/>
      <c r="P722" s="799"/>
      <c r="Q722" s="199"/>
    </row>
    <row r="723">
      <c r="A723" s="238"/>
      <c r="B723" s="847"/>
      <c r="C723" s="848"/>
      <c r="D723" s="849"/>
      <c r="H723" s="799"/>
      <c r="I723" s="283"/>
      <c r="J723" s="847"/>
      <c r="K723" s="848"/>
      <c r="L723" s="849"/>
      <c r="P723" s="799"/>
      <c r="Q723" s="199"/>
    </row>
    <row r="724">
      <c r="A724" s="197"/>
      <c r="B724" s="853" t="s">
        <v>721</v>
      </c>
      <c r="C724" s="854"/>
      <c r="D724" s="855">
        <f>SUM(D718:D723)</f>
        <v>0</v>
      </c>
      <c r="H724" s="799"/>
      <c r="I724" s="283"/>
      <c r="J724" s="853" t="s">
        <v>721</v>
      </c>
      <c r="K724" s="854"/>
      <c r="L724" s="855"/>
      <c r="P724" s="799"/>
      <c r="Q724" s="199"/>
    </row>
    <row r="725">
      <c r="A725" s="283"/>
      <c r="B725" s="856"/>
      <c r="C725" s="857"/>
      <c r="D725" s="857"/>
      <c r="E725" s="857"/>
      <c r="F725" s="857"/>
      <c r="G725" s="857"/>
      <c r="H725" s="808"/>
      <c r="I725" s="283"/>
      <c r="J725" s="856"/>
      <c r="K725" s="857"/>
      <c r="L725" s="857"/>
      <c r="M725" s="857"/>
      <c r="N725" s="857"/>
      <c r="O725" s="857"/>
      <c r="P725" s="808"/>
      <c r="Q725" s="199"/>
    </row>
    <row r="726">
      <c r="A726" s="1041"/>
      <c r="Y726" s="283"/>
    </row>
    <row r="727" ht="24.75" customHeight="1">
      <c r="A727" s="201"/>
      <c r="B727" s="769"/>
      <c r="C727" s="770"/>
      <c r="D727" s="770"/>
      <c r="E727" s="771" t="s">
        <v>700</v>
      </c>
      <c r="F727" s="772" t="str">
        <f>A2</f>
        <v>11.24.25-11.30.25</v>
      </c>
      <c r="G727" s="773"/>
      <c r="H727" s="774"/>
      <c r="I727" s="305">
        <v>21.0</v>
      </c>
      <c r="J727" s="769"/>
      <c r="K727" s="770"/>
      <c r="L727" s="770"/>
      <c r="M727" s="771" t="s">
        <v>700</v>
      </c>
      <c r="N727" s="772" t="str">
        <f>F727</f>
        <v>11.24.25-11.30.25</v>
      </c>
      <c r="O727" s="773"/>
      <c r="P727" s="774"/>
      <c r="Q727" s="199"/>
    </row>
    <row r="728" ht="25.5" customHeight="1">
      <c r="A728" s="194"/>
      <c r="B728" s="775"/>
      <c r="E728" s="771" t="s">
        <v>702</v>
      </c>
      <c r="F728" s="772" t="s">
        <v>660</v>
      </c>
      <c r="G728" s="773"/>
      <c r="H728" s="774"/>
      <c r="I728" s="283"/>
      <c r="J728" s="775"/>
      <c r="M728" s="771" t="s">
        <v>702</v>
      </c>
      <c r="N728" s="772"/>
      <c r="O728" s="773"/>
      <c r="P728" s="774"/>
      <c r="Q728" s="199"/>
    </row>
    <row r="729" ht="29.25" customHeight="1">
      <c r="A729" s="194"/>
      <c r="B729" s="775"/>
      <c r="E729" s="771" t="s">
        <v>703</v>
      </c>
      <c r="F729" s="772">
        <v>2319.0</v>
      </c>
      <c r="G729" s="773"/>
      <c r="H729" s="774"/>
      <c r="I729" s="283"/>
      <c r="J729" s="775"/>
      <c r="M729" s="771" t="s">
        <v>703</v>
      </c>
      <c r="N729" s="772">
        <v>2319.0</v>
      </c>
      <c r="O729" s="773"/>
      <c r="P729" s="774"/>
      <c r="Q729" s="199"/>
    </row>
    <row r="730">
      <c r="A730" s="1031"/>
      <c r="B730" s="779" t="s">
        <v>704</v>
      </c>
      <c r="C730" s="779" t="s">
        <v>5</v>
      </c>
      <c r="D730" s="779" t="s">
        <v>6</v>
      </c>
      <c r="E730" s="779" t="s">
        <v>7</v>
      </c>
      <c r="F730" s="779" t="s">
        <v>8</v>
      </c>
      <c r="G730" s="779" t="s">
        <v>706</v>
      </c>
      <c r="H730" s="779" t="s">
        <v>707</v>
      </c>
      <c r="I730" s="34"/>
      <c r="J730" s="779" t="s">
        <v>704</v>
      </c>
      <c r="K730" s="779" t="s">
        <v>5</v>
      </c>
      <c r="L730" s="779" t="s">
        <v>6</v>
      </c>
      <c r="M730" s="779" t="s">
        <v>7</v>
      </c>
      <c r="N730" s="779" t="s">
        <v>1178</v>
      </c>
      <c r="O730" s="779" t="s">
        <v>839</v>
      </c>
      <c r="P730" s="779" t="s">
        <v>707</v>
      </c>
      <c r="Q730" s="1032"/>
      <c r="R730" s="1032"/>
    </row>
    <row r="731">
      <c r="A731" s="229"/>
      <c r="B731" s="780"/>
      <c r="C731" s="781"/>
      <c r="D731" s="781"/>
      <c r="E731" s="781"/>
      <c r="F731" s="782"/>
      <c r="G731" s="783">
        <v>1.0</v>
      </c>
      <c r="H731" s="782"/>
      <c r="I731" s="283"/>
      <c r="J731" s="1033"/>
      <c r="K731" s="1034"/>
      <c r="L731" s="1034"/>
      <c r="M731" s="1034"/>
      <c r="N731" s="1035"/>
      <c r="O731" s="1036"/>
      <c r="P731" s="1035">
        <f t="shared" ref="P731:P736" si="22">N731*O731</f>
        <v>0</v>
      </c>
      <c r="Q731" s="199"/>
    </row>
    <row r="732">
      <c r="A732" s="229"/>
      <c r="B732" s="780"/>
      <c r="C732" s="781"/>
      <c r="D732" s="781"/>
      <c r="E732" s="781"/>
      <c r="F732" s="782"/>
      <c r="G732" s="783">
        <v>1.0</v>
      </c>
      <c r="H732" s="782"/>
      <c r="I732" s="283"/>
      <c r="J732" s="780"/>
      <c r="K732" s="781"/>
      <c r="L732" s="781"/>
      <c r="M732" s="781"/>
      <c r="N732" s="782"/>
      <c r="O732" s="783"/>
      <c r="P732" s="789">
        <f t="shared" si="22"/>
        <v>0</v>
      </c>
      <c r="Q732" s="199"/>
    </row>
    <row r="733">
      <c r="A733" s="238"/>
      <c r="B733" s="785"/>
      <c r="C733" s="786"/>
      <c r="D733" s="786"/>
      <c r="E733" s="786"/>
      <c r="F733" s="785"/>
      <c r="G733" s="787"/>
      <c r="H733" s="788"/>
      <c r="I733" s="283"/>
      <c r="J733" s="785"/>
      <c r="K733" s="786"/>
      <c r="L733" s="786"/>
      <c r="M733" s="786"/>
      <c r="N733" s="785"/>
      <c r="O733" s="787"/>
      <c r="P733" s="789">
        <f t="shared" si="22"/>
        <v>0</v>
      </c>
      <c r="Q733" s="199"/>
    </row>
    <row r="734">
      <c r="A734" s="238"/>
      <c r="B734" s="785"/>
      <c r="C734" s="786"/>
      <c r="D734" s="786"/>
      <c r="E734" s="786"/>
      <c r="F734" s="785"/>
      <c r="G734" s="787"/>
      <c r="H734" s="788"/>
      <c r="I734" s="283"/>
      <c r="J734" s="785"/>
      <c r="K734" s="786"/>
      <c r="L734" s="786"/>
      <c r="M734" s="786"/>
      <c r="N734" s="785"/>
      <c r="O734" s="787"/>
      <c r="P734" s="789">
        <f t="shared" si="22"/>
        <v>0</v>
      </c>
      <c r="Q734" s="199"/>
    </row>
    <row r="735">
      <c r="A735" s="238"/>
      <c r="B735" s="785"/>
      <c r="C735" s="786"/>
      <c r="D735" s="786"/>
      <c r="E735" s="786"/>
      <c r="F735" s="785"/>
      <c r="G735" s="787"/>
      <c r="H735" s="788"/>
      <c r="I735" s="283"/>
      <c r="J735" s="785"/>
      <c r="K735" s="786"/>
      <c r="L735" s="786"/>
      <c r="M735" s="786"/>
      <c r="N735" s="785"/>
      <c r="O735" s="787"/>
      <c r="P735" s="789">
        <f t="shared" si="22"/>
        <v>0</v>
      </c>
      <c r="Q735" s="199"/>
    </row>
    <row r="736">
      <c r="A736" s="238"/>
      <c r="B736" s="785"/>
      <c r="C736" s="786"/>
      <c r="D736" s="786"/>
      <c r="E736" s="786"/>
      <c r="F736" s="785"/>
      <c r="G736" s="787"/>
      <c r="H736" s="788"/>
      <c r="I736" s="283"/>
      <c r="J736" s="785"/>
      <c r="K736" s="786"/>
      <c r="L736" s="786"/>
      <c r="M736" s="786"/>
      <c r="N736" s="785"/>
      <c r="O736" s="787"/>
      <c r="P736" s="789">
        <f t="shared" si="22"/>
        <v>0</v>
      </c>
      <c r="Q736" s="199"/>
    </row>
    <row r="737">
      <c r="A737" s="197"/>
      <c r="B737" s="790" t="s">
        <v>711</v>
      </c>
      <c r="C737" s="791"/>
      <c r="D737" s="791"/>
      <c r="E737" s="792"/>
      <c r="F737" s="793">
        <f>SUM(F731:F736)</f>
        <v>0</v>
      </c>
      <c r="G737" s="794"/>
      <c r="H737" s="793">
        <f>SUM(H731:H736)</f>
        <v>0</v>
      </c>
      <c r="I737" s="283"/>
      <c r="J737" s="790" t="s">
        <v>711</v>
      </c>
      <c r="K737" s="791"/>
      <c r="L737" s="791"/>
      <c r="M737" s="792"/>
      <c r="N737" s="793">
        <f>SUM(N731:N736)</f>
        <v>0</v>
      </c>
      <c r="O737" s="794"/>
      <c r="P737" s="793">
        <f>SUM(P731:P736)</f>
        <v>0</v>
      </c>
      <c r="Q737" s="199"/>
    </row>
    <row r="738">
      <c r="A738" s="238"/>
      <c r="B738" s="796"/>
      <c r="E738" s="798"/>
      <c r="H738" s="799"/>
      <c r="I738" s="283"/>
      <c r="J738" s="796"/>
      <c r="M738" s="798"/>
      <c r="P738" s="799"/>
      <c r="Q738" s="199"/>
    </row>
    <row r="739">
      <c r="A739" s="197"/>
      <c r="B739" s="800" t="s">
        <v>712</v>
      </c>
      <c r="C739" s="801"/>
      <c r="D739" s="802"/>
      <c r="H739" s="799"/>
      <c r="I739" s="283"/>
      <c r="J739" s="800" t="s">
        <v>712</v>
      </c>
      <c r="K739" s="803"/>
      <c r="L739" s="804"/>
      <c r="P739" s="799"/>
      <c r="Q739" s="199"/>
    </row>
    <row r="740">
      <c r="A740" s="197"/>
      <c r="B740" s="867"/>
      <c r="C740" s="808"/>
      <c r="D740" s="809"/>
      <c r="H740" s="799"/>
      <c r="I740" s="283"/>
      <c r="J740" s="867"/>
      <c r="K740" s="808"/>
      <c r="L740" s="809"/>
      <c r="P740" s="799"/>
      <c r="Q740" s="199"/>
    </row>
    <row r="741">
      <c r="A741" s="238"/>
      <c r="B741" s="868"/>
      <c r="C741" s="774"/>
      <c r="D741" s="816"/>
      <c r="H741" s="799"/>
      <c r="I741" s="283"/>
      <c r="J741" s="868"/>
      <c r="K741" s="774"/>
      <c r="L741" s="816"/>
      <c r="P741" s="799"/>
      <c r="Q741" s="199"/>
    </row>
    <row r="742">
      <c r="A742" s="197"/>
      <c r="B742" s="815"/>
      <c r="C742" s="792"/>
      <c r="D742" s="816"/>
      <c r="H742" s="799"/>
      <c r="I742" s="283"/>
      <c r="J742" s="815"/>
      <c r="K742" s="792"/>
      <c r="L742" s="816"/>
      <c r="P742" s="799"/>
      <c r="Q742" s="199"/>
    </row>
    <row r="743">
      <c r="A743" s="238"/>
      <c r="B743" s="817"/>
      <c r="C743" s="774"/>
      <c r="D743" s="818"/>
      <c r="H743" s="799"/>
      <c r="I743" s="283"/>
      <c r="J743" s="817"/>
      <c r="K743" s="774"/>
      <c r="L743" s="818"/>
      <c r="P743" s="799"/>
      <c r="Q743" s="199"/>
    </row>
    <row r="744">
      <c r="A744" s="197"/>
      <c r="B744" s="817"/>
      <c r="C744" s="792"/>
      <c r="D744" s="818"/>
      <c r="H744" s="799"/>
      <c r="I744" s="283"/>
      <c r="J744" s="817"/>
      <c r="K744" s="792"/>
      <c r="L744" s="818"/>
      <c r="P744" s="799"/>
      <c r="Q744" s="199"/>
    </row>
    <row r="745">
      <c r="A745" s="197"/>
      <c r="B745" s="821" t="s">
        <v>714</v>
      </c>
      <c r="C745" s="822"/>
      <c r="D745" s="823">
        <f>SUM(D740:D744)</f>
        <v>0</v>
      </c>
      <c r="H745" s="799"/>
      <c r="I745" s="283"/>
      <c r="J745" s="821" t="s">
        <v>714</v>
      </c>
      <c r="K745" s="826"/>
      <c r="L745" s="827"/>
      <c r="P745" s="799"/>
      <c r="Q745" s="199"/>
    </row>
    <row r="746">
      <c r="A746" s="197"/>
      <c r="B746" s="828"/>
      <c r="D746" s="829"/>
      <c r="H746" s="799"/>
      <c r="I746" s="283"/>
      <c r="J746" s="828"/>
      <c r="L746" s="829"/>
      <c r="P746" s="799"/>
      <c r="Q746" s="199"/>
    </row>
    <row r="747">
      <c r="A747" s="197"/>
      <c r="B747" s="833" t="s">
        <v>715</v>
      </c>
      <c r="C747" s="834"/>
      <c r="D747" s="835"/>
      <c r="H747" s="799"/>
      <c r="I747" s="283"/>
      <c r="J747" s="833" t="s">
        <v>715</v>
      </c>
      <c r="K747" s="834"/>
      <c r="L747" s="835"/>
      <c r="P747" s="799"/>
      <c r="Q747" s="199"/>
    </row>
    <row r="748">
      <c r="A748" s="197"/>
      <c r="B748" s="839"/>
      <c r="C748" s="840"/>
      <c r="D748" s="841"/>
      <c r="H748" s="799"/>
      <c r="I748" s="283"/>
      <c r="J748" s="839"/>
      <c r="K748" s="840"/>
      <c r="L748" s="841"/>
      <c r="P748" s="799"/>
      <c r="Q748" s="199"/>
    </row>
    <row r="749">
      <c r="A749" s="238"/>
      <c r="B749" s="847"/>
      <c r="C749" s="848"/>
      <c r="D749" s="849"/>
      <c r="E749" s="248"/>
      <c r="F749" s="845" t="s">
        <v>1182</v>
      </c>
      <c r="H749" s="1037">
        <f>H737+D745-D754</f>
        <v>0</v>
      </c>
      <c r="I749" s="283"/>
      <c r="J749" s="847"/>
      <c r="K749" s="848"/>
      <c r="L749" s="849"/>
      <c r="M749" s="248"/>
      <c r="N749" s="845" t="s">
        <v>1183</v>
      </c>
      <c r="P749" s="846">
        <f>P737+L745-L754</f>
        <v>0</v>
      </c>
      <c r="Q749" s="199"/>
    </row>
    <row r="750">
      <c r="A750" s="238"/>
      <c r="B750" s="847"/>
      <c r="C750" s="848"/>
      <c r="D750" s="849"/>
      <c r="H750" s="799"/>
      <c r="I750" s="283"/>
      <c r="J750" s="847"/>
      <c r="K750" s="848"/>
      <c r="L750" s="849"/>
      <c r="P750" s="799"/>
      <c r="Q750" s="199"/>
    </row>
    <row r="751">
      <c r="A751" s="238"/>
      <c r="B751" s="847"/>
      <c r="C751" s="848"/>
      <c r="D751" s="849"/>
      <c r="H751" s="799"/>
      <c r="I751" s="283"/>
      <c r="J751" s="847"/>
      <c r="K751" s="848"/>
      <c r="L751" s="849"/>
      <c r="P751" s="799"/>
      <c r="Q751" s="199"/>
    </row>
    <row r="752">
      <c r="A752" s="238"/>
      <c r="B752" s="847"/>
      <c r="C752" s="848"/>
      <c r="D752" s="849"/>
      <c r="F752" s="248"/>
      <c r="H752" s="799"/>
      <c r="I752" s="283"/>
      <c r="J752" s="847"/>
      <c r="K752" s="848"/>
      <c r="L752" s="849"/>
      <c r="N752" s="248"/>
      <c r="P752" s="799"/>
      <c r="Q752" s="199"/>
    </row>
    <row r="753">
      <c r="A753" s="238"/>
      <c r="B753" s="847"/>
      <c r="C753" s="848"/>
      <c r="D753" s="849"/>
      <c r="H753" s="799"/>
      <c r="I753" s="283"/>
      <c r="J753" s="847"/>
      <c r="K753" s="848"/>
      <c r="L753" s="849"/>
      <c r="P753" s="799"/>
      <c r="Q753" s="199"/>
    </row>
    <row r="754">
      <c r="A754" s="197"/>
      <c r="B754" s="853" t="s">
        <v>721</v>
      </c>
      <c r="C754" s="854"/>
      <c r="D754" s="855">
        <f>SUM(D748:D753)</f>
        <v>0</v>
      </c>
      <c r="H754" s="799"/>
      <c r="I754" s="283"/>
      <c r="J754" s="853" t="s">
        <v>721</v>
      </c>
      <c r="K754" s="854"/>
      <c r="L754" s="855"/>
      <c r="P754" s="799"/>
      <c r="Q754" s="199"/>
    </row>
    <row r="755">
      <c r="A755" s="283"/>
      <c r="B755" s="856"/>
      <c r="C755" s="857"/>
      <c r="D755" s="857"/>
      <c r="E755" s="857"/>
      <c r="F755" s="857"/>
      <c r="G755" s="857"/>
      <c r="H755" s="808"/>
      <c r="I755" s="283"/>
      <c r="J755" s="856"/>
      <c r="K755" s="857"/>
      <c r="L755" s="857"/>
      <c r="M755" s="857"/>
      <c r="N755" s="857"/>
      <c r="O755" s="857"/>
      <c r="P755" s="808"/>
      <c r="Q755" s="199"/>
    </row>
    <row r="756">
      <c r="A756" s="1038"/>
      <c r="Y756" s="283"/>
    </row>
    <row r="757" ht="24.75" customHeight="1">
      <c r="A757" s="201"/>
      <c r="B757" s="769"/>
      <c r="C757" s="770"/>
      <c r="D757" s="770"/>
      <c r="E757" s="771" t="s">
        <v>700</v>
      </c>
      <c r="F757" s="772" t="str">
        <f>A2</f>
        <v>11.24.25-11.30.25</v>
      </c>
      <c r="G757" s="773"/>
      <c r="H757" s="774"/>
      <c r="I757" s="305">
        <v>22.0</v>
      </c>
      <c r="J757" s="769"/>
      <c r="K757" s="770"/>
      <c r="L757" s="770"/>
      <c r="M757" s="771" t="s">
        <v>700</v>
      </c>
      <c r="N757" s="772" t="str">
        <f>F757</f>
        <v>11.24.25-11.30.25</v>
      </c>
      <c r="O757" s="773"/>
      <c r="P757" s="774"/>
      <c r="Q757" s="199"/>
    </row>
    <row r="758" ht="25.5" customHeight="1">
      <c r="A758" s="194"/>
      <c r="B758" s="775"/>
      <c r="E758" s="771" t="s">
        <v>702</v>
      </c>
      <c r="F758" s="772" t="s">
        <v>660</v>
      </c>
      <c r="G758" s="773"/>
      <c r="H758" s="774"/>
      <c r="I758" s="283"/>
      <c r="J758" s="775"/>
      <c r="M758" s="771" t="s">
        <v>702</v>
      </c>
      <c r="N758" s="772"/>
      <c r="O758" s="773"/>
      <c r="P758" s="774"/>
      <c r="Q758" s="199"/>
    </row>
    <row r="759" ht="29.25" customHeight="1">
      <c r="A759" s="194"/>
      <c r="B759" s="775"/>
      <c r="E759" s="771" t="s">
        <v>703</v>
      </c>
      <c r="F759" s="772">
        <v>2319.0</v>
      </c>
      <c r="G759" s="773"/>
      <c r="H759" s="774"/>
      <c r="I759" s="283"/>
      <c r="J759" s="775"/>
      <c r="M759" s="771" t="s">
        <v>703</v>
      </c>
      <c r="N759" s="772">
        <v>2319.0</v>
      </c>
      <c r="O759" s="773"/>
      <c r="P759" s="774"/>
      <c r="Q759" s="199"/>
    </row>
    <row r="760">
      <c r="A760" s="1031"/>
      <c r="B760" s="779" t="s">
        <v>704</v>
      </c>
      <c r="C760" s="779" t="s">
        <v>5</v>
      </c>
      <c r="D760" s="779" t="s">
        <v>6</v>
      </c>
      <c r="E760" s="779" t="s">
        <v>7</v>
      </c>
      <c r="F760" s="779" t="s">
        <v>8</v>
      </c>
      <c r="G760" s="779" t="s">
        <v>706</v>
      </c>
      <c r="H760" s="779" t="s">
        <v>707</v>
      </c>
      <c r="I760" s="34"/>
      <c r="J760" s="779" t="s">
        <v>704</v>
      </c>
      <c r="K760" s="779" t="s">
        <v>5</v>
      </c>
      <c r="L760" s="779" t="s">
        <v>6</v>
      </c>
      <c r="M760" s="779" t="s">
        <v>7</v>
      </c>
      <c r="N760" s="779" t="s">
        <v>1178</v>
      </c>
      <c r="O760" s="779" t="s">
        <v>839</v>
      </c>
      <c r="P760" s="779" t="s">
        <v>707</v>
      </c>
      <c r="Q760" s="1032"/>
      <c r="R760" s="1032"/>
    </row>
    <row r="761">
      <c r="A761" s="229"/>
      <c r="B761" s="780"/>
      <c r="C761" s="781"/>
      <c r="D761" s="781"/>
      <c r="E761" s="781"/>
      <c r="F761" s="782"/>
      <c r="G761" s="783">
        <v>1.0</v>
      </c>
      <c r="H761" s="782"/>
      <c r="I761" s="283"/>
      <c r="J761" s="1033"/>
      <c r="K761" s="1034"/>
      <c r="L761" s="1034"/>
      <c r="M761" s="1034"/>
      <c r="N761" s="1035"/>
      <c r="O761" s="1036"/>
      <c r="P761" s="1035">
        <f t="shared" ref="P761:P766" si="23">N761*O761</f>
        <v>0</v>
      </c>
      <c r="Q761" s="199"/>
    </row>
    <row r="762">
      <c r="A762" s="229"/>
      <c r="B762" s="780"/>
      <c r="C762" s="781"/>
      <c r="D762" s="781"/>
      <c r="E762" s="781"/>
      <c r="F762" s="782"/>
      <c r="G762" s="783">
        <v>1.0</v>
      </c>
      <c r="H762" s="782"/>
      <c r="I762" s="283"/>
      <c r="J762" s="780"/>
      <c r="K762" s="781"/>
      <c r="L762" s="781"/>
      <c r="M762" s="781"/>
      <c r="N762" s="782"/>
      <c r="O762" s="783"/>
      <c r="P762" s="789">
        <f t="shared" si="23"/>
        <v>0</v>
      </c>
      <c r="Q762" s="199"/>
    </row>
    <row r="763">
      <c r="A763" s="238"/>
      <c r="B763" s="785"/>
      <c r="C763" s="786"/>
      <c r="D763" s="786"/>
      <c r="E763" s="786"/>
      <c r="F763" s="785"/>
      <c r="G763" s="787"/>
      <c r="H763" s="788"/>
      <c r="I763" s="283"/>
      <c r="J763" s="785"/>
      <c r="K763" s="786"/>
      <c r="L763" s="786"/>
      <c r="M763" s="786"/>
      <c r="N763" s="785"/>
      <c r="O763" s="787"/>
      <c r="P763" s="789">
        <f t="shared" si="23"/>
        <v>0</v>
      </c>
      <c r="Q763" s="199"/>
    </row>
    <row r="764">
      <c r="A764" s="238"/>
      <c r="B764" s="785"/>
      <c r="C764" s="786"/>
      <c r="D764" s="786"/>
      <c r="E764" s="786"/>
      <c r="F764" s="785"/>
      <c r="G764" s="787"/>
      <c r="H764" s="788"/>
      <c r="I764" s="283"/>
      <c r="J764" s="785"/>
      <c r="K764" s="786"/>
      <c r="L764" s="786"/>
      <c r="M764" s="786"/>
      <c r="N764" s="785"/>
      <c r="O764" s="787"/>
      <c r="P764" s="789">
        <f t="shared" si="23"/>
        <v>0</v>
      </c>
      <c r="Q764" s="199"/>
    </row>
    <row r="765">
      <c r="A765" s="238"/>
      <c r="B765" s="785"/>
      <c r="C765" s="786"/>
      <c r="D765" s="786"/>
      <c r="E765" s="786"/>
      <c r="F765" s="785"/>
      <c r="G765" s="787"/>
      <c r="H765" s="788"/>
      <c r="I765" s="283"/>
      <c r="J765" s="785"/>
      <c r="K765" s="786"/>
      <c r="L765" s="786"/>
      <c r="M765" s="786"/>
      <c r="N765" s="785"/>
      <c r="O765" s="787"/>
      <c r="P765" s="789">
        <f t="shared" si="23"/>
        <v>0</v>
      </c>
      <c r="Q765" s="199"/>
    </row>
    <row r="766">
      <c r="A766" s="238"/>
      <c r="B766" s="785"/>
      <c r="C766" s="786"/>
      <c r="D766" s="786"/>
      <c r="E766" s="786"/>
      <c r="F766" s="785"/>
      <c r="G766" s="787"/>
      <c r="H766" s="788"/>
      <c r="I766" s="283"/>
      <c r="J766" s="785"/>
      <c r="K766" s="786"/>
      <c r="L766" s="786"/>
      <c r="M766" s="786"/>
      <c r="N766" s="785"/>
      <c r="O766" s="787"/>
      <c r="P766" s="789">
        <f t="shared" si="23"/>
        <v>0</v>
      </c>
      <c r="Q766" s="199"/>
    </row>
    <row r="767">
      <c r="A767" s="197"/>
      <c r="B767" s="790" t="s">
        <v>711</v>
      </c>
      <c r="C767" s="791"/>
      <c r="D767" s="791"/>
      <c r="E767" s="792"/>
      <c r="F767" s="793">
        <f>SUM(F761:F766)</f>
        <v>0</v>
      </c>
      <c r="G767" s="794"/>
      <c r="H767" s="793">
        <f>SUM(H761:H766)</f>
        <v>0</v>
      </c>
      <c r="I767" s="283"/>
      <c r="J767" s="790" t="s">
        <v>711</v>
      </c>
      <c r="K767" s="791"/>
      <c r="L767" s="791"/>
      <c r="M767" s="792"/>
      <c r="N767" s="793">
        <f>SUM(N761:N766)</f>
        <v>0</v>
      </c>
      <c r="O767" s="794"/>
      <c r="P767" s="793">
        <f>SUM(P761:P766)</f>
        <v>0</v>
      </c>
      <c r="Q767" s="199"/>
    </row>
    <row r="768">
      <c r="A768" s="238"/>
      <c r="B768" s="796"/>
      <c r="E768" s="798"/>
      <c r="H768" s="799"/>
      <c r="I768" s="283"/>
      <c r="J768" s="796"/>
      <c r="M768" s="798"/>
      <c r="P768" s="799"/>
      <c r="Q768" s="199"/>
    </row>
    <row r="769">
      <c r="A769" s="197"/>
      <c r="B769" s="800" t="s">
        <v>712</v>
      </c>
      <c r="C769" s="803"/>
      <c r="D769" s="804"/>
      <c r="H769" s="799"/>
      <c r="I769" s="283"/>
      <c r="J769" s="800" t="s">
        <v>712</v>
      </c>
      <c r="K769" s="803"/>
      <c r="L769" s="804"/>
      <c r="P769" s="799"/>
      <c r="Q769" s="199"/>
    </row>
    <row r="770">
      <c r="A770" s="197"/>
      <c r="B770" s="867"/>
      <c r="C770" s="808"/>
      <c r="D770" s="809"/>
      <c r="H770" s="799"/>
      <c r="I770" s="283"/>
      <c r="J770" s="867"/>
      <c r="K770" s="808"/>
      <c r="L770" s="809"/>
      <c r="P770" s="799"/>
      <c r="Q770" s="199"/>
    </row>
    <row r="771">
      <c r="A771" s="238"/>
      <c r="B771" s="868"/>
      <c r="C771" s="774"/>
      <c r="D771" s="816"/>
      <c r="H771" s="799"/>
      <c r="I771" s="283"/>
      <c r="J771" s="868"/>
      <c r="K771" s="774"/>
      <c r="L771" s="816"/>
      <c r="P771" s="799"/>
      <c r="Q771" s="199"/>
    </row>
    <row r="772">
      <c r="A772" s="197"/>
      <c r="B772" s="815"/>
      <c r="C772" s="792"/>
      <c r="D772" s="816"/>
      <c r="H772" s="799"/>
      <c r="I772" s="283"/>
      <c r="J772" s="815"/>
      <c r="K772" s="792"/>
      <c r="L772" s="816"/>
      <c r="P772" s="799"/>
      <c r="Q772" s="199"/>
    </row>
    <row r="773">
      <c r="A773" s="238"/>
      <c r="B773" s="817"/>
      <c r="C773" s="774"/>
      <c r="D773" s="818"/>
      <c r="H773" s="799"/>
      <c r="I773" s="283"/>
      <c r="J773" s="817"/>
      <c r="K773" s="774"/>
      <c r="L773" s="818"/>
      <c r="P773" s="799"/>
      <c r="Q773" s="199"/>
    </row>
    <row r="774">
      <c r="A774" s="197"/>
      <c r="B774" s="817"/>
      <c r="C774" s="774"/>
      <c r="D774" s="818"/>
      <c r="H774" s="799"/>
      <c r="I774" s="283"/>
      <c r="J774" s="817"/>
      <c r="K774" s="774"/>
      <c r="L774" s="818"/>
      <c r="P774" s="799"/>
      <c r="Q774" s="199"/>
    </row>
    <row r="775">
      <c r="A775" s="197"/>
      <c r="B775" s="821" t="s">
        <v>714</v>
      </c>
      <c r="C775" s="822"/>
      <c r="D775" s="823">
        <f>SUM(D770:D774)</f>
        <v>0</v>
      </c>
      <c r="H775" s="799"/>
      <c r="I775" s="283"/>
      <c r="J775" s="821" t="s">
        <v>714</v>
      </c>
      <c r="K775" s="822"/>
      <c r="L775" s="827"/>
      <c r="P775" s="799"/>
      <c r="Q775" s="199"/>
    </row>
    <row r="776">
      <c r="A776" s="197"/>
      <c r="B776" s="828"/>
      <c r="D776" s="829"/>
      <c r="H776" s="799"/>
      <c r="I776" s="283"/>
      <c r="J776" s="828"/>
      <c r="L776" s="829"/>
      <c r="P776" s="799"/>
      <c r="Q776" s="199"/>
    </row>
    <row r="777">
      <c r="A777" s="197"/>
      <c r="B777" s="833" t="s">
        <v>715</v>
      </c>
      <c r="C777" s="834"/>
      <c r="D777" s="835"/>
      <c r="H777" s="799"/>
      <c r="I777" s="283"/>
      <c r="J777" s="833" t="s">
        <v>715</v>
      </c>
      <c r="K777" s="834"/>
      <c r="L777" s="835"/>
      <c r="P777" s="799"/>
      <c r="Q777" s="199"/>
    </row>
    <row r="778">
      <c r="A778" s="197"/>
      <c r="B778" s="839"/>
      <c r="C778" s="840"/>
      <c r="D778" s="841"/>
      <c r="H778" s="799"/>
      <c r="I778" s="283"/>
      <c r="J778" s="839"/>
      <c r="K778" s="840"/>
      <c r="L778" s="841"/>
      <c r="P778" s="799"/>
      <c r="Q778" s="199"/>
    </row>
    <row r="779">
      <c r="A779" s="238"/>
      <c r="B779" s="847"/>
      <c r="C779" s="848"/>
      <c r="D779" s="849"/>
      <c r="E779" s="248"/>
      <c r="F779" s="845" t="s">
        <v>1182</v>
      </c>
      <c r="H779" s="1037">
        <f>H767+D775-D784</f>
        <v>0</v>
      </c>
      <c r="I779" s="283"/>
      <c r="J779" s="847"/>
      <c r="K779" s="848"/>
      <c r="L779" s="849"/>
      <c r="M779" s="248"/>
      <c r="N779" s="845" t="s">
        <v>1183</v>
      </c>
      <c r="P779" s="846">
        <f>P767+L775-L784</f>
        <v>0</v>
      </c>
      <c r="Q779" s="199"/>
    </row>
    <row r="780">
      <c r="A780" s="238"/>
      <c r="B780" s="847"/>
      <c r="C780" s="848"/>
      <c r="D780" s="849"/>
      <c r="H780" s="799"/>
      <c r="I780" s="283"/>
      <c r="J780" s="847"/>
      <c r="K780" s="848"/>
      <c r="L780" s="849"/>
      <c r="P780" s="799"/>
      <c r="Q780" s="199"/>
    </row>
    <row r="781">
      <c r="A781" s="238"/>
      <c r="B781" s="847"/>
      <c r="C781" s="848"/>
      <c r="D781" s="849"/>
      <c r="H781" s="799"/>
      <c r="I781" s="283"/>
      <c r="J781" s="847"/>
      <c r="K781" s="848"/>
      <c r="L781" s="849"/>
      <c r="P781" s="799"/>
      <c r="Q781" s="199"/>
    </row>
    <row r="782">
      <c r="A782" s="238"/>
      <c r="B782" s="847"/>
      <c r="C782" s="848"/>
      <c r="D782" s="849"/>
      <c r="F782" s="248"/>
      <c r="H782" s="799"/>
      <c r="I782" s="283"/>
      <c r="J782" s="847"/>
      <c r="K782" s="848"/>
      <c r="L782" s="849"/>
      <c r="N782" s="248"/>
      <c r="P782" s="799"/>
      <c r="Q782" s="199"/>
    </row>
    <row r="783">
      <c r="A783" s="238"/>
      <c r="B783" s="847"/>
      <c r="C783" s="848"/>
      <c r="D783" s="849"/>
      <c r="H783" s="799"/>
      <c r="I783" s="283"/>
      <c r="J783" s="847"/>
      <c r="K783" s="848"/>
      <c r="L783" s="849"/>
      <c r="P783" s="799"/>
      <c r="Q783" s="199"/>
    </row>
    <row r="784">
      <c r="A784" s="197"/>
      <c r="B784" s="853" t="s">
        <v>721</v>
      </c>
      <c r="C784" s="854"/>
      <c r="D784" s="855">
        <f>SUM(D778:D783)</f>
        <v>0</v>
      </c>
      <c r="H784" s="799"/>
      <c r="I784" s="283"/>
      <c r="J784" s="853" t="s">
        <v>721</v>
      </c>
      <c r="K784" s="854"/>
      <c r="L784" s="855"/>
      <c r="P784" s="799"/>
      <c r="Q784" s="199"/>
    </row>
    <row r="785">
      <c r="A785" s="283"/>
      <c r="B785" s="856"/>
      <c r="C785" s="857"/>
      <c r="D785" s="857"/>
      <c r="E785" s="857"/>
      <c r="F785" s="857"/>
      <c r="G785" s="857"/>
      <c r="H785" s="808"/>
      <c r="I785" s="283"/>
      <c r="J785" s="856"/>
      <c r="K785" s="857"/>
      <c r="L785" s="857"/>
      <c r="M785" s="857"/>
      <c r="N785" s="857"/>
      <c r="O785" s="857"/>
      <c r="P785" s="808"/>
      <c r="Q785" s="199"/>
    </row>
    <row r="786">
      <c r="A786" s="1039"/>
      <c r="Y786" s="194"/>
    </row>
    <row r="787" ht="24.75" customHeight="1">
      <c r="A787" s="201"/>
      <c r="B787" s="769"/>
      <c r="C787" s="770"/>
      <c r="D787" s="770"/>
      <c r="E787" s="771" t="s">
        <v>700</v>
      </c>
      <c r="F787" s="772" t="str">
        <f>A2</f>
        <v>11.24.25-11.30.25</v>
      </c>
      <c r="G787" s="773"/>
      <c r="H787" s="774"/>
      <c r="I787" s="305">
        <v>23.0</v>
      </c>
      <c r="J787" s="769"/>
      <c r="K787" s="770"/>
      <c r="L787" s="770"/>
      <c r="M787" s="771" t="s">
        <v>700</v>
      </c>
      <c r="N787" s="772" t="str">
        <f>F787</f>
        <v>11.24.25-11.30.25</v>
      </c>
      <c r="O787" s="773"/>
      <c r="P787" s="774"/>
      <c r="Q787" s="199"/>
    </row>
    <row r="788" ht="25.5" customHeight="1">
      <c r="A788" s="194"/>
      <c r="B788" s="775"/>
      <c r="E788" s="771" t="s">
        <v>702</v>
      </c>
      <c r="F788" s="772" t="s">
        <v>660</v>
      </c>
      <c r="G788" s="773"/>
      <c r="H788" s="774"/>
      <c r="I788" s="283"/>
      <c r="J788" s="775"/>
      <c r="M788" s="771" t="s">
        <v>702</v>
      </c>
      <c r="N788" s="772"/>
      <c r="O788" s="773"/>
      <c r="P788" s="774"/>
      <c r="Q788" s="199"/>
    </row>
    <row r="789" ht="29.25" customHeight="1">
      <c r="A789" s="194"/>
      <c r="B789" s="775"/>
      <c r="E789" s="771" t="s">
        <v>703</v>
      </c>
      <c r="F789" s="772">
        <v>2319.0</v>
      </c>
      <c r="G789" s="773"/>
      <c r="H789" s="774"/>
      <c r="I789" s="283"/>
      <c r="J789" s="775"/>
      <c r="M789" s="771" t="s">
        <v>703</v>
      </c>
      <c r="N789" s="772">
        <v>2319.0</v>
      </c>
      <c r="O789" s="773"/>
      <c r="P789" s="774"/>
      <c r="Q789" s="199"/>
    </row>
    <row r="790">
      <c r="A790" s="1031"/>
      <c r="B790" s="779" t="s">
        <v>704</v>
      </c>
      <c r="C790" s="779" t="s">
        <v>5</v>
      </c>
      <c r="D790" s="779" t="s">
        <v>6</v>
      </c>
      <c r="E790" s="779" t="s">
        <v>7</v>
      </c>
      <c r="F790" s="779" t="s">
        <v>8</v>
      </c>
      <c r="G790" s="779" t="s">
        <v>706</v>
      </c>
      <c r="H790" s="779" t="s">
        <v>707</v>
      </c>
      <c r="I790" s="34"/>
      <c r="J790" s="779" t="s">
        <v>704</v>
      </c>
      <c r="K790" s="779" t="s">
        <v>5</v>
      </c>
      <c r="L790" s="779" t="s">
        <v>6</v>
      </c>
      <c r="M790" s="779" t="s">
        <v>7</v>
      </c>
      <c r="N790" s="779" t="s">
        <v>1178</v>
      </c>
      <c r="O790" s="779" t="s">
        <v>839</v>
      </c>
      <c r="P790" s="779" t="s">
        <v>707</v>
      </c>
      <c r="Q790" s="1032"/>
      <c r="R790" s="1032"/>
    </row>
    <row r="791">
      <c r="A791" s="229"/>
      <c r="B791" s="780"/>
      <c r="C791" s="781"/>
      <c r="D791" s="781"/>
      <c r="E791" s="781"/>
      <c r="F791" s="782"/>
      <c r="G791" s="783">
        <v>1.0</v>
      </c>
      <c r="H791" s="782"/>
      <c r="I791" s="283"/>
      <c r="J791" s="1033"/>
      <c r="K791" s="1034"/>
      <c r="L791" s="1034"/>
      <c r="M791" s="1034"/>
      <c r="N791" s="1035"/>
      <c r="O791" s="1036"/>
      <c r="P791" s="1035">
        <f t="shared" ref="P791:P796" si="24">N791*O791</f>
        <v>0</v>
      </c>
      <c r="Q791" s="199"/>
    </row>
    <row r="792">
      <c r="A792" s="229"/>
      <c r="B792" s="780"/>
      <c r="C792" s="781"/>
      <c r="D792" s="781"/>
      <c r="E792" s="781"/>
      <c r="F792" s="782"/>
      <c r="G792" s="783">
        <v>1.0</v>
      </c>
      <c r="H792" s="782"/>
      <c r="I792" s="283"/>
      <c r="J792" s="780"/>
      <c r="K792" s="781"/>
      <c r="L792" s="781"/>
      <c r="M792" s="781"/>
      <c r="N792" s="782"/>
      <c r="O792" s="783"/>
      <c r="P792" s="789">
        <f t="shared" si="24"/>
        <v>0</v>
      </c>
      <c r="Q792" s="199"/>
    </row>
    <row r="793">
      <c r="A793" s="238"/>
      <c r="B793" s="785"/>
      <c r="C793" s="786"/>
      <c r="D793" s="786"/>
      <c r="E793" s="786"/>
      <c r="F793" s="785"/>
      <c r="G793" s="787"/>
      <c r="H793" s="788"/>
      <c r="I793" s="283"/>
      <c r="J793" s="785"/>
      <c r="K793" s="786"/>
      <c r="L793" s="786"/>
      <c r="M793" s="786"/>
      <c r="N793" s="785"/>
      <c r="O793" s="787"/>
      <c r="P793" s="789">
        <f t="shared" si="24"/>
        <v>0</v>
      </c>
      <c r="Q793" s="199"/>
    </row>
    <row r="794">
      <c r="A794" s="238"/>
      <c r="B794" s="785"/>
      <c r="C794" s="786"/>
      <c r="D794" s="786"/>
      <c r="E794" s="786"/>
      <c r="F794" s="785"/>
      <c r="G794" s="787"/>
      <c r="H794" s="788"/>
      <c r="I794" s="283"/>
      <c r="J794" s="785"/>
      <c r="K794" s="786"/>
      <c r="L794" s="786"/>
      <c r="M794" s="786"/>
      <c r="N794" s="785"/>
      <c r="O794" s="787"/>
      <c r="P794" s="789">
        <f t="shared" si="24"/>
        <v>0</v>
      </c>
      <c r="Q794" s="199"/>
    </row>
    <row r="795">
      <c r="A795" s="238"/>
      <c r="B795" s="785"/>
      <c r="C795" s="786"/>
      <c r="D795" s="786"/>
      <c r="E795" s="786"/>
      <c r="F795" s="785"/>
      <c r="G795" s="787"/>
      <c r="H795" s="788"/>
      <c r="I795" s="283"/>
      <c r="J795" s="785"/>
      <c r="K795" s="786"/>
      <c r="L795" s="786"/>
      <c r="M795" s="786"/>
      <c r="N795" s="785"/>
      <c r="O795" s="787"/>
      <c r="P795" s="789">
        <f t="shared" si="24"/>
        <v>0</v>
      </c>
      <c r="Q795" s="199"/>
    </row>
    <row r="796">
      <c r="A796" s="238"/>
      <c r="B796" s="785"/>
      <c r="C796" s="786"/>
      <c r="D796" s="786"/>
      <c r="E796" s="786"/>
      <c r="F796" s="785"/>
      <c r="G796" s="787"/>
      <c r="H796" s="788"/>
      <c r="I796" s="283"/>
      <c r="J796" s="785"/>
      <c r="K796" s="786"/>
      <c r="L796" s="786"/>
      <c r="M796" s="786"/>
      <c r="N796" s="785"/>
      <c r="O796" s="787"/>
      <c r="P796" s="789">
        <f t="shared" si="24"/>
        <v>0</v>
      </c>
      <c r="Q796" s="199"/>
    </row>
    <row r="797">
      <c r="A797" s="197"/>
      <c r="B797" s="790" t="s">
        <v>711</v>
      </c>
      <c r="C797" s="791"/>
      <c r="D797" s="791"/>
      <c r="E797" s="792"/>
      <c r="F797" s="793">
        <f>SUM(F791:F796)</f>
        <v>0</v>
      </c>
      <c r="G797" s="794"/>
      <c r="H797" s="793">
        <f>SUM(H791:H796)</f>
        <v>0</v>
      </c>
      <c r="I797" s="1040"/>
      <c r="J797" s="790" t="s">
        <v>711</v>
      </c>
      <c r="K797" s="791"/>
      <c r="L797" s="791"/>
      <c r="M797" s="792"/>
      <c r="N797" s="793">
        <f>SUM(N791:N796)</f>
        <v>0</v>
      </c>
      <c r="O797" s="794"/>
      <c r="P797" s="793">
        <f>SUM(P791:P796)</f>
        <v>0</v>
      </c>
      <c r="Q797" s="199"/>
    </row>
    <row r="798">
      <c r="A798" s="238"/>
      <c r="B798" s="796"/>
      <c r="E798" s="798"/>
      <c r="H798" s="799"/>
      <c r="I798" s="283"/>
      <c r="J798" s="796"/>
      <c r="M798" s="798"/>
      <c r="P798" s="799"/>
      <c r="Q798" s="199"/>
    </row>
    <row r="799">
      <c r="A799" s="197"/>
      <c r="B799" s="800" t="s">
        <v>712</v>
      </c>
      <c r="C799" s="803"/>
      <c r="D799" s="804"/>
      <c r="H799" s="799"/>
      <c r="I799" s="283"/>
      <c r="J799" s="800" t="s">
        <v>712</v>
      </c>
      <c r="K799" s="803"/>
      <c r="L799" s="804"/>
      <c r="P799" s="799"/>
      <c r="Q799" s="199"/>
    </row>
    <row r="800">
      <c r="A800" s="197"/>
      <c r="B800" s="867"/>
      <c r="C800" s="808"/>
      <c r="D800" s="809"/>
      <c r="H800" s="799"/>
      <c r="I800" s="283"/>
      <c r="J800" s="867"/>
      <c r="K800" s="808"/>
      <c r="L800" s="809"/>
      <c r="P800" s="799"/>
      <c r="Q800" s="199"/>
    </row>
    <row r="801">
      <c r="A801" s="238"/>
      <c r="B801" s="868"/>
      <c r="C801" s="774"/>
      <c r="D801" s="816"/>
      <c r="H801" s="799"/>
      <c r="I801" s="283"/>
      <c r="J801" s="868"/>
      <c r="K801" s="774"/>
      <c r="L801" s="816"/>
      <c r="P801" s="799"/>
      <c r="Q801" s="199"/>
    </row>
    <row r="802">
      <c r="A802" s="197"/>
      <c r="B802" s="815"/>
      <c r="C802" s="792"/>
      <c r="D802" s="816"/>
      <c r="H802" s="829"/>
      <c r="I802" s="1040"/>
      <c r="J802" s="815"/>
      <c r="K802" s="792"/>
      <c r="L802" s="816"/>
      <c r="P802" s="829"/>
      <c r="Q802" s="199"/>
    </row>
    <row r="803">
      <c r="A803" s="238"/>
      <c r="B803" s="817"/>
      <c r="C803" s="774"/>
      <c r="D803" s="818"/>
      <c r="H803" s="799"/>
      <c r="I803" s="283"/>
      <c r="J803" s="817"/>
      <c r="K803" s="774"/>
      <c r="L803" s="818"/>
      <c r="P803" s="799"/>
      <c r="Q803" s="199"/>
    </row>
    <row r="804">
      <c r="A804" s="197"/>
      <c r="B804" s="817"/>
      <c r="C804" s="792"/>
      <c r="D804" s="818"/>
      <c r="H804" s="829"/>
      <c r="I804" s="1040"/>
      <c r="J804" s="817"/>
      <c r="K804" s="792"/>
      <c r="L804" s="818"/>
      <c r="P804" s="829"/>
      <c r="Q804" s="199"/>
    </row>
    <row r="805">
      <c r="A805" s="197"/>
      <c r="B805" s="821" t="s">
        <v>714</v>
      </c>
      <c r="C805" s="822"/>
      <c r="D805" s="823">
        <f>SUM(D800:D804)</f>
        <v>0</v>
      </c>
      <c r="H805" s="799"/>
      <c r="I805" s="283"/>
      <c r="J805" s="821" t="s">
        <v>714</v>
      </c>
      <c r="K805" s="822"/>
      <c r="L805" s="827"/>
      <c r="P805" s="799"/>
      <c r="Q805" s="199"/>
    </row>
    <row r="806">
      <c r="A806" s="197"/>
      <c r="B806" s="828"/>
      <c r="D806" s="829"/>
      <c r="H806" s="799"/>
      <c r="I806" s="283"/>
      <c r="J806" s="828"/>
      <c r="L806" s="829"/>
      <c r="P806" s="799"/>
      <c r="Q806" s="199"/>
    </row>
    <row r="807">
      <c r="A807" s="197"/>
      <c r="B807" s="833" t="s">
        <v>715</v>
      </c>
      <c r="C807" s="834"/>
      <c r="D807" s="835"/>
      <c r="H807" s="799"/>
      <c r="I807" s="283"/>
      <c r="J807" s="833" t="s">
        <v>715</v>
      </c>
      <c r="K807" s="834"/>
      <c r="L807" s="835"/>
      <c r="P807" s="799"/>
      <c r="Q807" s="199"/>
    </row>
    <row r="808">
      <c r="A808" s="197"/>
      <c r="B808" s="839"/>
      <c r="C808" s="840"/>
      <c r="D808" s="841"/>
      <c r="H808" s="799"/>
      <c r="I808" s="283"/>
      <c r="J808" s="839"/>
      <c r="K808" s="840"/>
      <c r="L808" s="841"/>
      <c r="P808" s="799"/>
      <c r="Q808" s="199"/>
    </row>
    <row r="809">
      <c r="A809" s="238"/>
      <c r="B809" s="847"/>
      <c r="C809" s="848"/>
      <c r="D809" s="849"/>
      <c r="E809" s="248"/>
      <c r="F809" s="845" t="s">
        <v>1182</v>
      </c>
      <c r="H809" s="1037">
        <f>H797+D805-D814</f>
        <v>0</v>
      </c>
      <c r="I809" s="283"/>
      <c r="J809" s="847"/>
      <c r="K809" s="848"/>
      <c r="L809" s="849"/>
      <c r="M809" s="248"/>
      <c r="N809" s="845" t="s">
        <v>1183</v>
      </c>
      <c r="P809" s="846">
        <f>P797+L805-L814</f>
        <v>0</v>
      </c>
      <c r="Q809" s="199"/>
    </row>
    <row r="810">
      <c r="A810" s="238"/>
      <c r="B810" s="847"/>
      <c r="C810" s="848"/>
      <c r="D810" s="849"/>
      <c r="H810" s="799"/>
      <c r="I810" s="283"/>
      <c r="J810" s="847"/>
      <c r="K810" s="848"/>
      <c r="L810" s="849"/>
      <c r="P810" s="799"/>
      <c r="Q810" s="199"/>
    </row>
    <row r="811">
      <c r="A811" s="238"/>
      <c r="B811" s="847"/>
      <c r="C811" s="848"/>
      <c r="D811" s="849"/>
      <c r="H811" s="799"/>
      <c r="I811" s="283"/>
      <c r="J811" s="847"/>
      <c r="K811" s="848"/>
      <c r="L811" s="849"/>
      <c r="P811" s="799"/>
      <c r="Q811" s="199"/>
    </row>
    <row r="812">
      <c r="A812" s="238"/>
      <c r="B812" s="847"/>
      <c r="C812" s="848"/>
      <c r="D812" s="849"/>
      <c r="F812" s="248"/>
      <c r="H812" s="799"/>
      <c r="I812" s="283"/>
      <c r="J812" s="847"/>
      <c r="K812" s="848"/>
      <c r="L812" s="849"/>
      <c r="N812" s="248"/>
      <c r="P812" s="799"/>
      <c r="Q812" s="199"/>
    </row>
    <row r="813">
      <c r="A813" s="238"/>
      <c r="B813" s="847"/>
      <c r="C813" s="848"/>
      <c r="D813" s="849"/>
      <c r="H813" s="799"/>
      <c r="I813" s="283"/>
      <c r="J813" s="847"/>
      <c r="K813" s="848"/>
      <c r="L813" s="849"/>
      <c r="P813" s="799"/>
      <c r="Q813" s="199"/>
    </row>
    <row r="814">
      <c r="A814" s="197"/>
      <c r="B814" s="853" t="s">
        <v>721</v>
      </c>
      <c r="C814" s="854"/>
      <c r="D814" s="855">
        <f>SUM(D808:D813)</f>
        <v>0</v>
      </c>
      <c r="H814" s="829"/>
      <c r="I814" s="1040"/>
      <c r="J814" s="853" t="s">
        <v>721</v>
      </c>
      <c r="K814" s="854"/>
      <c r="L814" s="855"/>
      <c r="P814" s="829"/>
      <c r="Q814" s="199"/>
    </row>
    <row r="815">
      <c r="A815" s="283"/>
      <c r="B815" s="856"/>
      <c r="C815" s="857"/>
      <c r="D815" s="857"/>
      <c r="E815" s="857"/>
      <c r="F815" s="857"/>
      <c r="G815" s="857"/>
      <c r="H815" s="808"/>
      <c r="I815" s="283"/>
      <c r="J815" s="856"/>
      <c r="K815" s="857"/>
      <c r="L815" s="857"/>
      <c r="M815" s="857"/>
      <c r="N815" s="857"/>
      <c r="O815" s="857"/>
      <c r="P815" s="808"/>
      <c r="Q815" s="199"/>
    </row>
    <row r="816">
      <c r="A816" s="1038"/>
      <c r="Y816" s="283"/>
    </row>
    <row r="817" ht="24.75" customHeight="1">
      <c r="A817" s="201"/>
      <c r="B817" s="769"/>
      <c r="C817" s="770"/>
      <c r="D817" s="770"/>
      <c r="E817" s="771" t="s">
        <v>700</v>
      </c>
      <c r="F817" s="772" t="str">
        <f>A2</f>
        <v>11.24.25-11.30.25</v>
      </c>
      <c r="G817" s="773"/>
      <c r="H817" s="774"/>
      <c r="I817" s="305">
        <v>24.0</v>
      </c>
      <c r="J817" s="769"/>
      <c r="K817" s="770"/>
      <c r="L817" s="770"/>
      <c r="M817" s="771" t="s">
        <v>700</v>
      </c>
      <c r="N817" s="772" t="str">
        <f>F817</f>
        <v>11.24.25-11.30.25</v>
      </c>
      <c r="O817" s="773"/>
      <c r="P817" s="774"/>
      <c r="Q817" s="199"/>
    </row>
    <row r="818" ht="25.5" customHeight="1">
      <c r="A818" s="194"/>
      <c r="B818" s="775"/>
      <c r="E818" s="771" t="s">
        <v>702</v>
      </c>
      <c r="F818" s="772" t="s">
        <v>660</v>
      </c>
      <c r="G818" s="773"/>
      <c r="H818" s="774"/>
      <c r="I818" s="283"/>
      <c r="J818" s="775"/>
      <c r="M818" s="771" t="s">
        <v>702</v>
      </c>
      <c r="N818" s="772"/>
      <c r="O818" s="773"/>
      <c r="P818" s="774"/>
      <c r="Q818" s="199"/>
    </row>
    <row r="819" ht="29.25" customHeight="1">
      <c r="A819" s="194"/>
      <c r="B819" s="775"/>
      <c r="E819" s="771" t="s">
        <v>703</v>
      </c>
      <c r="F819" s="772">
        <v>2319.0</v>
      </c>
      <c r="G819" s="773"/>
      <c r="H819" s="774"/>
      <c r="I819" s="283"/>
      <c r="J819" s="775"/>
      <c r="M819" s="771" t="s">
        <v>703</v>
      </c>
      <c r="N819" s="772">
        <v>2319.0</v>
      </c>
      <c r="O819" s="773"/>
      <c r="P819" s="774"/>
      <c r="Q819" s="199"/>
    </row>
    <row r="820">
      <c r="A820" s="1031"/>
      <c r="B820" s="779" t="s">
        <v>704</v>
      </c>
      <c r="C820" s="779" t="s">
        <v>5</v>
      </c>
      <c r="D820" s="779" t="s">
        <v>6</v>
      </c>
      <c r="E820" s="779" t="s">
        <v>7</v>
      </c>
      <c r="F820" s="779" t="s">
        <v>8</v>
      </c>
      <c r="G820" s="779" t="s">
        <v>706</v>
      </c>
      <c r="H820" s="779" t="s">
        <v>707</v>
      </c>
      <c r="I820" s="34"/>
      <c r="J820" s="779" t="s">
        <v>704</v>
      </c>
      <c r="K820" s="779" t="s">
        <v>5</v>
      </c>
      <c r="L820" s="779" t="s">
        <v>6</v>
      </c>
      <c r="M820" s="779" t="s">
        <v>7</v>
      </c>
      <c r="N820" s="779" t="s">
        <v>1178</v>
      </c>
      <c r="O820" s="779" t="s">
        <v>839</v>
      </c>
      <c r="P820" s="779" t="s">
        <v>707</v>
      </c>
      <c r="Q820" s="1032"/>
      <c r="R820" s="1032"/>
    </row>
    <row r="821">
      <c r="A821" s="229"/>
      <c r="B821" s="780"/>
      <c r="C821" s="781"/>
      <c r="D821" s="781"/>
      <c r="E821" s="781"/>
      <c r="F821" s="782"/>
      <c r="G821" s="783">
        <v>1.0</v>
      </c>
      <c r="H821" s="782"/>
      <c r="I821" s="283"/>
      <c r="J821" s="1033"/>
      <c r="K821" s="1034"/>
      <c r="L821" s="1034"/>
      <c r="M821" s="1034"/>
      <c r="N821" s="1035"/>
      <c r="O821" s="1036"/>
      <c r="P821" s="1035">
        <f t="shared" ref="P821:P826" si="25">N821*O821</f>
        <v>0</v>
      </c>
      <c r="Q821" s="199"/>
    </row>
    <row r="822">
      <c r="A822" s="229"/>
      <c r="B822" s="780"/>
      <c r="C822" s="781"/>
      <c r="D822" s="781"/>
      <c r="E822" s="781"/>
      <c r="F822" s="782"/>
      <c r="G822" s="783">
        <v>1.0</v>
      </c>
      <c r="H822" s="782"/>
      <c r="I822" s="283"/>
      <c r="J822" s="780"/>
      <c r="K822" s="781"/>
      <c r="L822" s="781"/>
      <c r="M822" s="781"/>
      <c r="N822" s="782"/>
      <c r="O822" s="783"/>
      <c r="P822" s="789">
        <f t="shared" si="25"/>
        <v>0</v>
      </c>
      <c r="Q822" s="199"/>
    </row>
    <row r="823">
      <c r="A823" s="238"/>
      <c r="B823" s="785"/>
      <c r="C823" s="786"/>
      <c r="D823" s="786"/>
      <c r="E823" s="786"/>
      <c r="F823" s="785"/>
      <c r="G823" s="787"/>
      <c r="H823" s="788"/>
      <c r="I823" s="283"/>
      <c r="J823" s="785"/>
      <c r="K823" s="786"/>
      <c r="L823" s="786"/>
      <c r="M823" s="786"/>
      <c r="N823" s="785"/>
      <c r="O823" s="787"/>
      <c r="P823" s="789">
        <f t="shared" si="25"/>
        <v>0</v>
      </c>
      <c r="Q823" s="199"/>
    </row>
    <row r="824">
      <c r="A824" s="238"/>
      <c r="B824" s="785"/>
      <c r="C824" s="786"/>
      <c r="D824" s="786"/>
      <c r="E824" s="786"/>
      <c r="F824" s="785"/>
      <c r="G824" s="787"/>
      <c r="H824" s="788"/>
      <c r="I824" s="283"/>
      <c r="J824" s="785"/>
      <c r="K824" s="786"/>
      <c r="L824" s="786"/>
      <c r="M824" s="786"/>
      <c r="N824" s="785"/>
      <c r="O824" s="787"/>
      <c r="P824" s="789">
        <f t="shared" si="25"/>
        <v>0</v>
      </c>
      <c r="Q824" s="199"/>
    </row>
    <row r="825">
      <c r="A825" s="238"/>
      <c r="B825" s="785"/>
      <c r="C825" s="786"/>
      <c r="D825" s="786"/>
      <c r="E825" s="786"/>
      <c r="F825" s="785"/>
      <c r="G825" s="787"/>
      <c r="H825" s="788"/>
      <c r="I825" s="283"/>
      <c r="J825" s="785"/>
      <c r="K825" s="786"/>
      <c r="L825" s="786"/>
      <c r="M825" s="786"/>
      <c r="N825" s="785"/>
      <c r="O825" s="787"/>
      <c r="P825" s="789">
        <f t="shared" si="25"/>
        <v>0</v>
      </c>
      <c r="Q825" s="199"/>
    </row>
    <row r="826">
      <c r="A826" s="238"/>
      <c r="B826" s="785"/>
      <c r="C826" s="786"/>
      <c r="D826" s="786"/>
      <c r="E826" s="786"/>
      <c r="F826" s="785"/>
      <c r="G826" s="787"/>
      <c r="H826" s="788"/>
      <c r="I826" s="283"/>
      <c r="J826" s="785"/>
      <c r="K826" s="786"/>
      <c r="L826" s="786"/>
      <c r="M826" s="786"/>
      <c r="N826" s="785"/>
      <c r="O826" s="787"/>
      <c r="P826" s="789">
        <f t="shared" si="25"/>
        <v>0</v>
      </c>
      <c r="Q826" s="199"/>
    </row>
    <row r="827">
      <c r="A827" s="197"/>
      <c r="B827" s="790" t="s">
        <v>711</v>
      </c>
      <c r="C827" s="791"/>
      <c r="D827" s="791"/>
      <c r="E827" s="792"/>
      <c r="F827" s="793">
        <f>SUM(F821:F826)</f>
        <v>0</v>
      </c>
      <c r="G827" s="794"/>
      <c r="H827" s="793">
        <f>SUM(H821:H826)</f>
        <v>0</v>
      </c>
      <c r="I827" s="1040"/>
      <c r="J827" s="790" t="s">
        <v>711</v>
      </c>
      <c r="K827" s="791"/>
      <c r="L827" s="791"/>
      <c r="M827" s="792"/>
      <c r="N827" s="793">
        <f>SUM(N821:N826)</f>
        <v>0</v>
      </c>
      <c r="O827" s="794"/>
      <c r="P827" s="793">
        <f>SUM(P821:P826)</f>
        <v>0</v>
      </c>
      <c r="Q827" s="199"/>
    </row>
    <row r="828">
      <c r="A828" s="238"/>
      <c r="B828" s="796"/>
      <c r="E828" s="798"/>
      <c r="H828" s="799"/>
      <c r="I828" s="283"/>
      <c r="J828" s="796"/>
      <c r="M828" s="798"/>
      <c r="P828" s="799"/>
      <c r="Q828" s="199"/>
    </row>
    <row r="829">
      <c r="A829" s="197"/>
      <c r="B829" s="800" t="s">
        <v>712</v>
      </c>
      <c r="C829" s="803"/>
      <c r="D829" s="804"/>
      <c r="H829" s="799"/>
      <c r="I829" s="283"/>
      <c r="J829" s="800" t="s">
        <v>712</v>
      </c>
      <c r="K829" s="803"/>
      <c r="L829" s="804"/>
      <c r="P829" s="799"/>
      <c r="Q829" s="199"/>
    </row>
    <row r="830">
      <c r="A830" s="197"/>
      <c r="B830" s="867"/>
      <c r="C830" s="808"/>
      <c r="D830" s="809"/>
      <c r="H830" s="799"/>
      <c r="I830" s="283"/>
      <c r="J830" s="867"/>
      <c r="K830" s="808"/>
      <c r="L830" s="809"/>
      <c r="P830" s="799"/>
      <c r="Q830" s="199"/>
    </row>
    <row r="831">
      <c r="A831" s="238"/>
      <c r="B831" s="868"/>
      <c r="C831" s="774"/>
      <c r="D831" s="816"/>
      <c r="H831" s="799"/>
      <c r="I831" s="283"/>
      <c r="J831" s="868"/>
      <c r="K831" s="774"/>
      <c r="L831" s="816"/>
      <c r="P831" s="799"/>
      <c r="Q831" s="199"/>
    </row>
    <row r="832">
      <c r="A832" s="197"/>
      <c r="B832" s="815"/>
      <c r="C832" s="792"/>
      <c r="D832" s="816"/>
      <c r="H832" s="829"/>
      <c r="I832" s="1040"/>
      <c r="J832" s="815"/>
      <c r="K832" s="792"/>
      <c r="L832" s="816"/>
      <c r="P832" s="829"/>
      <c r="Q832" s="199"/>
    </row>
    <row r="833">
      <c r="A833" s="238"/>
      <c r="B833" s="817"/>
      <c r="C833" s="774"/>
      <c r="D833" s="818"/>
      <c r="H833" s="799"/>
      <c r="I833" s="283"/>
      <c r="J833" s="817"/>
      <c r="K833" s="774"/>
      <c r="L833" s="818"/>
      <c r="P833" s="799"/>
      <c r="Q833" s="199"/>
    </row>
    <row r="834">
      <c r="A834" s="197"/>
      <c r="B834" s="817"/>
      <c r="C834" s="792"/>
      <c r="D834" s="818"/>
      <c r="H834" s="829"/>
      <c r="I834" s="1040"/>
      <c r="J834" s="817"/>
      <c r="K834" s="792"/>
      <c r="L834" s="818"/>
      <c r="P834" s="829"/>
      <c r="Q834" s="199"/>
    </row>
    <row r="835">
      <c r="A835" s="197"/>
      <c r="B835" s="821" t="s">
        <v>714</v>
      </c>
      <c r="C835" s="822"/>
      <c r="D835" s="823">
        <f>SUM(D830:D834)</f>
        <v>0</v>
      </c>
      <c r="H835" s="799"/>
      <c r="I835" s="283"/>
      <c r="J835" s="821" t="s">
        <v>714</v>
      </c>
      <c r="K835" s="822"/>
      <c r="L835" s="827"/>
      <c r="P835" s="799"/>
      <c r="Q835" s="199"/>
    </row>
    <row r="836">
      <c r="A836" s="197"/>
      <c r="B836" s="828"/>
      <c r="D836" s="829"/>
      <c r="H836" s="799"/>
      <c r="I836" s="283"/>
      <c r="J836" s="828"/>
      <c r="L836" s="829"/>
      <c r="P836" s="799"/>
      <c r="Q836" s="199"/>
    </row>
    <row r="837">
      <c r="A837" s="197"/>
      <c r="B837" s="833" t="s">
        <v>715</v>
      </c>
      <c r="C837" s="834"/>
      <c r="D837" s="835"/>
      <c r="H837" s="799"/>
      <c r="I837" s="283"/>
      <c r="J837" s="833" t="s">
        <v>715</v>
      </c>
      <c r="K837" s="834"/>
      <c r="L837" s="835"/>
      <c r="P837" s="799"/>
      <c r="Q837" s="199"/>
    </row>
    <row r="838">
      <c r="A838" s="197"/>
      <c r="B838" s="839"/>
      <c r="C838" s="840"/>
      <c r="D838" s="841"/>
      <c r="H838" s="799"/>
      <c r="I838" s="283"/>
      <c r="J838" s="839"/>
      <c r="K838" s="840"/>
      <c r="L838" s="841"/>
      <c r="P838" s="799"/>
      <c r="Q838" s="199"/>
    </row>
    <row r="839">
      <c r="A839" s="238"/>
      <c r="B839" s="847"/>
      <c r="C839" s="848"/>
      <c r="D839" s="849"/>
      <c r="E839" s="248"/>
      <c r="F839" s="845" t="s">
        <v>1182</v>
      </c>
      <c r="H839" s="1037">
        <f>H827+D835-D844</f>
        <v>0</v>
      </c>
      <c r="I839" s="283"/>
      <c r="J839" s="847"/>
      <c r="K839" s="848"/>
      <c r="L839" s="849"/>
      <c r="M839" s="248"/>
      <c r="N839" s="845" t="s">
        <v>1183</v>
      </c>
      <c r="P839" s="846">
        <f>P827+L835-L844</f>
        <v>0</v>
      </c>
      <c r="Q839" s="199"/>
    </row>
    <row r="840">
      <c r="A840" s="238"/>
      <c r="B840" s="847"/>
      <c r="C840" s="848"/>
      <c r="D840" s="849"/>
      <c r="H840" s="799"/>
      <c r="I840" s="283"/>
      <c r="J840" s="847"/>
      <c r="K840" s="848"/>
      <c r="L840" s="849"/>
      <c r="P840" s="799"/>
      <c r="Q840" s="199"/>
    </row>
    <row r="841">
      <c r="A841" s="238"/>
      <c r="B841" s="847"/>
      <c r="C841" s="848"/>
      <c r="D841" s="849"/>
      <c r="H841" s="799"/>
      <c r="I841" s="283"/>
      <c r="J841" s="847"/>
      <c r="K841" s="848"/>
      <c r="L841" s="849"/>
      <c r="P841" s="799"/>
      <c r="Q841" s="199"/>
    </row>
    <row r="842">
      <c r="A842" s="238"/>
      <c r="B842" s="847"/>
      <c r="C842" s="848"/>
      <c r="D842" s="849"/>
      <c r="F842" s="248"/>
      <c r="H842" s="799"/>
      <c r="I842" s="283"/>
      <c r="J842" s="847"/>
      <c r="K842" s="848"/>
      <c r="L842" s="849"/>
      <c r="N842" s="248"/>
      <c r="P842" s="799"/>
      <c r="Q842" s="199"/>
    </row>
    <row r="843">
      <c r="A843" s="238"/>
      <c r="B843" s="847"/>
      <c r="C843" s="848"/>
      <c r="D843" s="849"/>
      <c r="H843" s="799"/>
      <c r="I843" s="283"/>
      <c r="J843" s="847"/>
      <c r="K843" s="848"/>
      <c r="L843" s="849"/>
      <c r="P843" s="799"/>
      <c r="Q843" s="199"/>
    </row>
    <row r="844">
      <c r="A844" s="197"/>
      <c r="B844" s="853" t="s">
        <v>721</v>
      </c>
      <c r="C844" s="854"/>
      <c r="D844" s="855">
        <f>SUM(D838:D843)</f>
        <v>0</v>
      </c>
      <c r="H844" s="829"/>
      <c r="I844" s="1040"/>
      <c r="J844" s="853" t="s">
        <v>721</v>
      </c>
      <c r="K844" s="854"/>
      <c r="L844" s="855"/>
      <c r="P844" s="829"/>
      <c r="Q844" s="199"/>
    </row>
    <row r="845">
      <c r="A845" s="283"/>
      <c r="B845" s="856"/>
      <c r="C845" s="857"/>
      <c r="D845" s="857"/>
      <c r="E845" s="857"/>
      <c r="F845" s="857"/>
      <c r="G845" s="857"/>
      <c r="H845" s="808"/>
      <c r="I845" s="283"/>
      <c r="J845" s="856"/>
      <c r="K845" s="857"/>
      <c r="L845" s="857"/>
      <c r="M845" s="857"/>
      <c r="N845" s="857"/>
      <c r="O845" s="857"/>
      <c r="P845" s="808"/>
      <c r="Q845" s="199"/>
    </row>
    <row r="846">
      <c r="A846" s="1041"/>
      <c r="Y846" s="283"/>
    </row>
    <row r="847" ht="24.75" customHeight="1">
      <c r="A847" s="201"/>
      <c r="B847" s="769"/>
      <c r="C847" s="770"/>
      <c r="D847" s="770"/>
      <c r="E847" s="771" t="s">
        <v>700</v>
      </c>
      <c r="F847" s="772" t="str">
        <f>A2</f>
        <v>11.24.25-11.30.25</v>
      </c>
      <c r="G847" s="773"/>
      <c r="H847" s="774"/>
      <c r="I847" s="305">
        <v>25.0</v>
      </c>
      <c r="J847" s="769"/>
      <c r="K847" s="770"/>
      <c r="L847" s="770"/>
      <c r="M847" s="771" t="s">
        <v>700</v>
      </c>
      <c r="N847" s="772" t="str">
        <f>F847</f>
        <v>11.24.25-11.30.25</v>
      </c>
      <c r="O847" s="773"/>
      <c r="P847" s="774"/>
      <c r="Q847" s="199"/>
    </row>
    <row r="848" ht="25.5" customHeight="1">
      <c r="A848" s="194"/>
      <c r="B848" s="775"/>
      <c r="E848" s="771" t="s">
        <v>702</v>
      </c>
      <c r="F848" s="772" t="s">
        <v>660</v>
      </c>
      <c r="G848" s="773"/>
      <c r="H848" s="774"/>
      <c r="I848" s="283"/>
      <c r="J848" s="775"/>
      <c r="M848" s="771" t="s">
        <v>702</v>
      </c>
      <c r="N848" s="772"/>
      <c r="O848" s="773"/>
      <c r="P848" s="774"/>
      <c r="Q848" s="199"/>
    </row>
    <row r="849" ht="29.25" customHeight="1">
      <c r="A849" s="194"/>
      <c r="B849" s="775"/>
      <c r="E849" s="771" t="s">
        <v>703</v>
      </c>
      <c r="F849" s="772">
        <v>2319.0</v>
      </c>
      <c r="G849" s="773"/>
      <c r="H849" s="774"/>
      <c r="I849" s="283"/>
      <c r="J849" s="775"/>
      <c r="M849" s="771" t="s">
        <v>703</v>
      </c>
      <c r="N849" s="772">
        <v>2319.0</v>
      </c>
      <c r="O849" s="773"/>
      <c r="P849" s="774"/>
      <c r="Q849" s="199"/>
    </row>
    <row r="850">
      <c r="A850" s="1031"/>
      <c r="B850" s="779" t="s">
        <v>704</v>
      </c>
      <c r="C850" s="779" t="s">
        <v>5</v>
      </c>
      <c r="D850" s="779" t="s">
        <v>6</v>
      </c>
      <c r="E850" s="779" t="s">
        <v>7</v>
      </c>
      <c r="F850" s="779" t="s">
        <v>8</v>
      </c>
      <c r="G850" s="779" t="s">
        <v>706</v>
      </c>
      <c r="H850" s="779" t="s">
        <v>707</v>
      </c>
      <c r="I850" s="34"/>
      <c r="J850" s="779" t="s">
        <v>704</v>
      </c>
      <c r="K850" s="779" t="s">
        <v>5</v>
      </c>
      <c r="L850" s="779" t="s">
        <v>6</v>
      </c>
      <c r="M850" s="779" t="s">
        <v>7</v>
      </c>
      <c r="N850" s="779" t="s">
        <v>1178</v>
      </c>
      <c r="O850" s="779" t="s">
        <v>839</v>
      </c>
      <c r="P850" s="779" t="s">
        <v>707</v>
      </c>
      <c r="Q850" s="1032"/>
      <c r="R850" s="1032"/>
    </row>
    <row r="851">
      <c r="A851" s="229"/>
      <c r="B851" s="780"/>
      <c r="C851" s="781"/>
      <c r="D851" s="781"/>
      <c r="E851" s="781"/>
      <c r="F851" s="782"/>
      <c r="G851" s="783">
        <v>1.0</v>
      </c>
      <c r="H851" s="782"/>
      <c r="I851" s="283"/>
      <c r="J851" s="1033"/>
      <c r="K851" s="1034"/>
      <c r="L851" s="1034"/>
      <c r="M851" s="1034"/>
      <c r="N851" s="1035"/>
      <c r="O851" s="1036"/>
      <c r="P851" s="1035">
        <f t="shared" ref="P851:P856" si="26">N851*O851</f>
        <v>0</v>
      </c>
      <c r="Q851" s="199"/>
    </row>
    <row r="852">
      <c r="A852" s="229"/>
      <c r="B852" s="780"/>
      <c r="C852" s="781"/>
      <c r="D852" s="781"/>
      <c r="E852" s="781"/>
      <c r="F852" s="782"/>
      <c r="G852" s="783">
        <v>1.0</v>
      </c>
      <c r="H852" s="782"/>
      <c r="I852" s="283"/>
      <c r="J852" s="780"/>
      <c r="K852" s="781"/>
      <c r="L852" s="781"/>
      <c r="M852" s="781"/>
      <c r="N852" s="782"/>
      <c r="O852" s="783"/>
      <c r="P852" s="789">
        <f t="shared" si="26"/>
        <v>0</v>
      </c>
      <c r="Q852" s="199"/>
    </row>
    <row r="853">
      <c r="A853" s="238"/>
      <c r="B853" s="785"/>
      <c r="C853" s="786"/>
      <c r="D853" s="786"/>
      <c r="E853" s="786"/>
      <c r="F853" s="785"/>
      <c r="G853" s="787"/>
      <c r="H853" s="788"/>
      <c r="I853" s="283"/>
      <c r="J853" s="785"/>
      <c r="K853" s="786"/>
      <c r="L853" s="786"/>
      <c r="M853" s="786"/>
      <c r="N853" s="785"/>
      <c r="O853" s="787"/>
      <c r="P853" s="789">
        <f t="shared" si="26"/>
        <v>0</v>
      </c>
      <c r="Q853" s="199"/>
    </row>
    <row r="854">
      <c r="A854" s="238"/>
      <c r="B854" s="785"/>
      <c r="C854" s="786"/>
      <c r="D854" s="786"/>
      <c r="E854" s="786"/>
      <c r="F854" s="785"/>
      <c r="G854" s="787"/>
      <c r="H854" s="788"/>
      <c r="I854" s="283"/>
      <c r="J854" s="785"/>
      <c r="K854" s="786"/>
      <c r="L854" s="786"/>
      <c r="M854" s="786"/>
      <c r="N854" s="785"/>
      <c r="O854" s="787"/>
      <c r="P854" s="789">
        <f t="shared" si="26"/>
        <v>0</v>
      </c>
      <c r="Q854" s="199"/>
    </row>
    <row r="855">
      <c r="A855" s="238"/>
      <c r="B855" s="785"/>
      <c r="C855" s="786"/>
      <c r="D855" s="786"/>
      <c r="E855" s="786"/>
      <c r="F855" s="785"/>
      <c r="G855" s="787"/>
      <c r="H855" s="788"/>
      <c r="I855" s="283"/>
      <c r="J855" s="785"/>
      <c r="K855" s="786"/>
      <c r="L855" s="786"/>
      <c r="M855" s="786"/>
      <c r="N855" s="785"/>
      <c r="O855" s="787"/>
      <c r="P855" s="789">
        <f t="shared" si="26"/>
        <v>0</v>
      </c>
      <c r="Q855" s="199"/>
    </row>
    <row r="856">
      <c r="A856" s="238"/>
      <c r="B856" s="785"/>
      <c r="C856" s="786"/>
      <c r="D856" s="786"/>
      <c r="E856" s="786"/>
      <c r="F856" s="785"/>
      <c r="G856" s="787"/>
      <c r="H856" s="788"/>
      <c r="I856" s="283"/>
      <c r="J856" s="785"/>
      <c r="K856" s="786"/>
      <c r="L856" s="786"/>
      <c r="M856" s="786"/>
      <c r="N856" s="785"/>
      <c r="O856" s="787"/>
      <c r="P856" s="789">
        <f t="shared" si="26"/>
        <v>0</v>
      </c>
      <c r="Q856" s="199"/>
    </row>
    <row r="857">
      <c r="A857" s="197"/>
      <c r="B857" s="790" t="s">
        <v>711</v>
      </c>
      <c r="C857" s="791"/>
      <c r="D857" s="791"/>
      <c r="E857" s="792"/>
      <c r="F857" s="793">
        <f>SUM(F851:F856)</f>
        <v>0</v>
      </c>
      <c r="G857" s="794"/>
      <c r="H857" s="793">
        <f>SUM(H851:H856)</f>
        <v>0</v>
      </c>
      <c r="I857" s="283"/>
      <c r="J857" s="790" t="s">
        <v>711</v>
      </c>
      <c r="K857" s="791"/>
      <c r="L857" s="791"/>
      <c r="M857" s="792"/>
      <c r="N857" s="793">
        <f>SUM(N851:N856)</f>
        <v>0</v>
      </c>
      <c r="O857" s="794"/>
      <c r="P857" s="793">
        <f>SUM(P851:P856)</f>
        <v>0</v>
      </c>
      <c r="Q857" s="199"/>
    </row>
    <row r="858">
      <c r="A858" s="238"/>
      <c r="B858" s="1042"/>
      <c r="E858" s="798"/>
      <c r="H858" s="829"/>
      <c r="I858" s="1040"/>
      <c r="J858" s="1042"/>
      <c r="M858" s="798"/>
      <c r="P858" s="829"/>
      <c r="Q858" s="199"/>
    </row>
    <row r="859">
      <c r="A859" s="197"/>
      <c r="B859" s="800" t="s">
        <v>712</v>
      </c>
      <c r="C859" s="803"/>
      <c r="D859" s="804"/>
      <c r="H859" s="799"/>
      <c r="I859" s="283"/>
      <c r="J859" s="800" t="s">
        <v>712</v>
      </c>
      <c r="K859" s="803"/>
      <c r="L859" s="804"/>
      <c r="P859" s="799"/>
      <c r="Q859" s="199"/>
    </row>
    <row r="860">
      <c r="A860" s="197"/>
      <c r="B860" s="867"/>
      <c r="C860" s="808"/>
      <c r="D860" s="809"/>
      <c r="H860" s="799"/>
      <c r="I860" s="283"/>
      <c r="J860" s="867"/>
      <c r="K860" s="808"/>
      <c r="L860" s="809"/>
      <c r="P860" s="799"/>
      <c r="Q860" s="199"/>
    </row>
    <row r="861">
      <c r="A861" s="238"/>
      <c r="B861" s="868"/>
      <c r="C861" s="774"/>
      <c r="D861" s="816"/>
      <c r="H861" s="799"/>
      <c r="I861" s="283"/>
      <c r="J861" s="868"/>
      <c r="K861" s="774"/>
      <c r="L861" s="816"/>
      <c r="P861" s="799"/>
      <c r="Q861" s="199"/>
    </row>
    <row r="862">
      <c r="A862" s="197"/>
      <c r="B862" s="815"/>
      <c r="C862" s="792"/>
      <c r="D862" s="816"/>
      <c r="H862" s="799"/>
      <c r="I862" s="283"/>
      <c r="J862" s="815"/>
      <c r="K862" s="792"/>
      <c r="L862" s="816"/>
      <c r="P862" s="799"/>
      <c r="Q862" s="199"/>
    </row>
    <row r="863">
      <c r="A863" s="238"/>
      <c r="B863" s="817"/>
      <c r="C863" s="792"/>
      <c r="D863" s="818"/>
      <c r="H863" s="799"/>
      <c r="I863" s="283"/>
      <c r="J863" s="817"/>
      <c r="K863" s="774"/>
      <c r="L863" s="818"/>
      <c r="P863" s="799"/>
      <c r="Q863" s="199"/>
    </row>
    <row r="864">
      <c r="A864" s="197"/>
      <c r="B864" s="817"/>
      <c r="C864" s="774"/>
      <c r="D864" s="818"/>
      <c r="H864" s="799"/>
      <c r="I864" s="283"/>
      <c r="J864" s="817"/>
      <c r="K864" s="774"/>
      <c r="L864" s="818"/>
      <c r="P864" s="799"/>
      <c r="Q864" s="199"/>
    </row>
    <row r="865">
      <c r="A865" s="197"/>
      <c r="B865" s="821" t="s">
        <v>714</v>
      </c>
      <c r="C865" s="1043"/>
      <c r="D865" s="823">
        <f>SUM(D860:D864)</f>
        <v>0</v>
      </c>
      <c r="H865" s="829"/>
      <c r="I865" s="1040"/>
      <c r="J865" s="821" t="s">
        <v>714</v>
      </c>
      <c r="K865" s="1043"/>
      <c r="L865" s="827"/>
      <c r="P865" s="829"/>
      <c r="Q865" s="199"/>
    </row>
    <row r="866">
      <c r="A866" s="197"/>
      <c r="B866" s="828"/>
      <c r="D866" s="829"/>
      <c r="H866" s="799"/>
      <c r="I866" s="283"/>
      <c r="J866" s="828"/>
      <c r="L866" s="829"/>
      <c r="P866" s="799"/>
      <c r="Q866" s="199"/>
    </row>
    <row r="867">
      <c r="A867" s="197"/>
      <c r="B867" s="833" t="s">
        <v>715</v>
      </c>
      <c r="C867" s="834"/>
      <c r="D867" s="835"/>
      <c r="H867" s="799"/>
      <c r="I867" s="283"/>
      <c r="J867" s="833" t="s">
        <v>715</v>
      </c>
      <c r="K867" s="834"/>
      <c r="L867" s="835"/>
      <c r="P867" s="799"/>
      <c r="Q867" s="199"/>
    </row>
    <row r="868">
      <c r="A868" s="197"/>
      <c r="B868" s="839"/>
      <c r="C868" s="840"/>
      <c r="D868" s="841"/>
      <c r="H868" s="799"/>
      <c r="I868" s="283"/>
      <c r="J868" s="839"/>
      <c r="K868" s="840"/>
      <c r="L868" s="841"/>
      <c r="P868" s="799"/>
      <c r="Q868" s="199"/>
    </row>
    <row r="869">
      <c r="A869" s="238"/>
      <c r="B869" s="847"/>
      <c r="C869" s="848"/>
      <c r="D869" s="849"/>
      <c r="E869" s="248"/>
      <c r="F869" s="845" t="s">
        <v>1182</v>
      </c>
      <c r="H869" s="1037">
        <f>H857+D865-D874</f>
        <v>0</v>
      </c>
      <c r="I869" s="283"/>
      <c r="J869" s="847"/>
      <c r="K869" s="848"/>
      <c r="L869" s="849"/>
      <c r="M869" s="248"/>
      <c r="N869" s="845" t="s">
        <v>1183</v>
      </c>
      <c r="P869" s="846">
        <f>P857+L865-L874</f>
        <v>0</v>
      </c>
      <c r="Q869" s="199"/>
    </row>
    <row r="870">
      <c r="A870" s="238"/>
      <c r="B870" s="847"/>
      <c r="C870" s="848"/>
      <c r="D870" s="849"/>
      <c r="H870" s="799"/>
      <c r="I870" s="283"/>
      <c r="J870" s="847"/>
      <c r="K870" s="848"/>
      <c r="L870" s="849"/>
      <c r="P870" s="799"/>
      <c r="Q870" s="199"/>
    </row>
    <row r="871">
      <c r="A871" s="238"/>
      <c r="B871" s="847"/>
      <c r="C871" s="848"/>
      <c r="D871" s="849"/>
      <c r="H871" s="799"/>
      <c r="I871" s="283"/>
      <c r="J871" s="847"/>
      <c r="K871" s="848"/>
      <c r="L871" s="849"/>
      <c r="P871" s="799"/>
      <c r="Q871" s="199"/>
    </row>
    <row r="872">
      <c r="A872" s="238"/>
      <c r="B872" s="847"/>
      <c r="C872" s="848"/>
      <c r="D872" s="849"/>
      <c r="F872" s="248"/>
      <c r="H872" s="799"/>
      <c r="I872" s="283"/>
      <c r="J872" s="847"/>
      <c r="K872" s="848"/>
      <c r="L872" s="849"/>
      <c r="N872" s="248"/>
      <c r="P872" s="799"/>
      <c r="Q872" s="199"/>
    </row>
    <row r="873">
      <c r="A873" s="238"/>
      <c r="B873" s="847"/>
      <c r="C873" s="848"/>
      <c r="D873" s="849"/>
      <c r="H873" s="799"/>
      <c r="I873" s="283"/>
      <c r="J873" s="847"/>
      <c r="K873" s="848"/>
      <c r="L873" s="849"/>
      <c r="P873" s="799"/>
      <c r="Q873" s="199"/>
    </row>
    <row r="874">
      <c r="A874" s="197"/>
      <c r="B874" s="853" t="s">
        <v>721</v>
      </c>
      <c r="C874" s="854"/>
      <c r="D874" s="855">
        <f>SUM(D868:D873)</f>
        <v>0</v>
      </c>
      <c r="H874" s="799"/>
      <c r="I874" s="283"/>
      <c r="J874" s="853" t="s">
        <v>721</v>
      </c>
      <c r="K874" s="854"/>
      <c r="L874" s="855"/>
      <c r="P874" s="799"/>
      <c r="Q874" s="199"/>
    </row>
    <row r="875">
      <c r="A875" s="283"/>
      <c r="B875" s="856"/>
      <c r="C875" s="857"/>
      <c r="D875" s="857"/>
      <c r="E875" s="857"/>
      <c r="F875" s="857"/>
      <c r="G875" s="857"/>
      <c r="H875" s="808"/>
      <c r="I875" s="283"/>
      <c r="J875" s="856"/>
      <c r="K875" s="857"/>
      <c r="L875" s="857"/>
      <c r="M875" s="857"/>
      <c r="N875" s="857"/>
      <c r="O875" s="857"/>
      <c r="P875" s="808"/>
      <c r="Q875" s="199"/>
    </row>
    <row r="876">
      <c r="A876" s="1041"/>
      <c r="Y876" s="283"/>
    </row>
    <row r="877" ht="24.75" customHeight="1">
      <c r="A877" s="201"/>
      <c r="B877" s="769"/>
      <c r="C877" s="770"/>
      <c r="D877" s="770"/>
      <c r="E877" s="771" t="s">
        <v>700</v>
      </c>
      <c r="F877" s="772" t="str">
        <f>A2</f>
        <v>11.24.25-11.30.25</v>
      </c>
      <c r="G877" s="773"/>
      <c r="H877" s="774"/>
      <c r="I877" s="305">
        <v>26.0</v>
      </c>
      <c r="J877" s="769"/>
      <c r="K877" s="770"/>
      <c r="L877" s="770"/>
      <c r="M877" s="771" t="s">
        <v>700</v>
      </c>
      <c r="N877" s="772" t="str">
        <f>F877</f>
        <v>11.24.25-11.30.25</v>
      </c>
      <c r="O877" s="773"/>
      <c r="P877" s="774"/>
      <c r="Q877" s="199"/>
    </row>
    <row r="878" ht="25.5" customHeight="1">
      <c r="A878" s="194"/>
      <c r="B878" s="775"/>
      <c r="E878" s="771" t="s">
        <v>702</v>
      </c>
      <c r="F878" s="772" t="s">
        <v>660</v>
      </c>
      <c r="G878" s="773"/>
      <c r="H878" s="774"/>
      <c r="I878" s="283"/>
      <c r="J878" s="775"/>
      <c r="M878" s="771" t="s">
        <v>702</v>
      </c>
      <c r="N878" s="772"/>
      <c r="O878" s="773"/>
      <c r="P878" s="774"/>
      <c r="Q878" s="199"/>
    </row>
    <row r="879" ht="29.25" customHeight="1">
      <c r="A879" s="194"/>
      <c r="B879" s="775"/>
      <c r="E879" s="771" t="s">
        <v>703</v>
      </c>
      <c r="F879" s="772">
        <v>2319.0</v>
      </c>
      <c r="G879" s="773"/>
      <c r="H879" s="774"/>
      <c r="I879" s="283"/>
      <c r="J879" s="775"/>
      <c r="M879" s="771" t="s">
        <v>703</v>
      </c>
      <c r="N879" s="772">
        <v>2319.0</v>
      </c>
      <c r="O879" s="773"/>
      <c r="P879" s="774"/>
      <c r="Q879" s="199"/>
    </row>
    <row r="880">
      <c r="A880" s="1031"/>
      <c r="B880" s="779" t="s">
        <v>704</v>
      </c>
      <c r="C880" s="779" t="s">
        <v>5</v>
      </c>
      <c r="D880" s="779" t="s">
        <v>6</v>
      </c>
      <c r="E880" s="779" t="s">
        <v>7</v>
      </c>
      <c r="F880" s="779" t="s">
        <v>8</v>
      </c>
      <c r="G880" s="779" t="s">
        <v>706</v>
      </c>
      <c r="H880" s="779" t="s">
        <v>707</v>
      </c>
      <c r="I880" s="34"/>
      <c r="J880" s="779" t="s">
        <v>704</v>
      </c>
      <c r="K880" s="779" t="s">
        <v>5</v>
      </c>
      <c r="L880" s="779" t="s">
        <v>6</v>
      </c>
      <c r="M880" s="779" t="s">
        <v>7</v>
      </c>
      <c r="N880" s="779" t="s">
        <v>1178</v>
      </c>
      <c r="O880" s="779" t="s">
        <v>839</v>
      </c>
      <c r="P880" s="779" t="s">
        <v>707</v>
      </c>
      <c r="Q880" s="1032"/>
      <c r="R880" s="1032"/>
    </row>
    <row r="881">
      <c r="A881" s="229"/>
      <c r="B881" s="780"/>
      <c r="C881" s="781"/>
      <c r="D881" s="781"/>
      <c r="E881" s="781"/>
      <c r="F881" s="782"/>
      <c r="G881" s="783">
        <v>1.0</v>
      </c>
      <c r="H881" s="782"/>
      <c r="I881" s="283"/>
      <c r="J881" s="1033"/>
      <c r="K881" s="1034"/>
      <c r="L881" s="1034"/>
      <c r="M881" s="1034"/>
      <c r="N881" s="1035"/>
      <c r="O881" s="1036"/>
      <c r="P881" s="1035">
        <f t="shared" ref="P881:P886" si="27">N881*O881</f>
        <v>0</v>
      </c>
      <c r="Q881" s="199"/>
    </row>
    <row r="882">
      <c r="A882" s="229"/>
      <c r="B882" s="780"/>
      <c r="C882" s="781"/>
      <c r="D882" s="781"/>
      <c r="E882" s="781"/>
      <c r="F882" s="782"/>
      <c r="G882" s="783">
        <v>1.0</v>
      </c>
      <c r="H882" s="782"/>
      <c r="I882" s="283"/>
      <c r="J882" s="780"/>
      <c r="K882" s="781"/>
      <c r="L882" s="781"/>
      <c r="M882" s="781"/>
      <c r="N882" s="782"/>
      <c r="O882" s="783"/>
      <c r="P882" s="789">
        <f t="shared" si="27"/>
        <v>0</v>
      </c>
      <c r="Q882" s="199"/>
    </row>
    <row r="883">
      <c r="A883" s="238"/>
      <c r="B883" s="785"/>
      <c r="C883" s="786"/>
      <c r="D883" s="786"/>
      <c r="E883" s="786"/>
      <c r="F883" s="785"/>
      <c r="G883" s="787"/>
      <c r="H883" s="788"/>
      <c r="I883" s="283"/>
      <c r="J883" s="785"/>
      <c r="K883" s="786"/>
      <c r="L883" s="786"/>
      <c r="M883" s="786"/>
      <c r="N883" s="785"/>
      <c r="O883" s="787"/>
      <c r="P883" s="789">
        <f t="shared" si="27"/>
        <v>0</v>
      </c>
      <c r="Q883" s="199"/>
    </row>
    <row r="884">
      <c r="A884" s="238"/>
      <c r="B884" s="785"/>
      <c r="C884" s="786"/>
      <c r="D884" s="786"/>
      <c r="E884" s="786"/>
      <c r="F884" s="785"/>
      <c r="G884" s="787"/>
      <c r="H884" s="788"/>
      <c r="I884" s="283"/>
      <c r="J884" s="785"/>
      <c r="K884" s="786"/>
      <c r="L884" s="786"/>
      <c r="M884" s="786"/>
      <c r="N884" s="785"/>
      <c r="O884" s="787"/>
      <c r="P884" s="789">
        <f t="shared" si="27"/>
        <v>0</v>
      </c>
      <c r="Q884" s="199"/>
    </row>
    <row r="885">
      <c r="A885" s="238"/>
      <c r="B885" s="785"/>
      <c r="C885" s="786"/>
      <c r="D885" s="786"/>
      <c r="E885" s="786"/>
      <c r="F885" s="785"/>
      <c r="G885" s="787"/>
      <c r="H885" s="788"/>
      <c r="I885" s="283"/>
      <c r="J885" s="785"/>
      <c r="K885" s="786"/>
      <c r="L885" s="786"/>
      <c r="M885" s="786"/>
      <c r="N885" s="785"/>
      <c r="O885" s="787"/>
      <c r="P885" s="789">
        <f t="shared" si="27"/>
        <v>0</v>
      </c>
      <c r="Q885" s="199"/>
    </row>
    <row r="886">
      <c r="A886" s="238"/>
      <c r="B886" s="785"/>
      <c r="C886" s="786"/>
      <c r="D886" s="786"/>
      <c r="E886" s="786"/>
      <c r="F886" s="785"/>
      <c r="G886" s="787"/>
      <c r="H886" s="788"/>
      <c r="I886" s="283"/>
      <c r="J886" s="785"/>
      <c r="K886" s="786"/>
      <c r="L886" s="786"/>
      <c r="M886" s="786"/>
      <c r="N886" s="785"/>
      <c r="O886" s="787"/>
      <c r="P886" s="789">
        <f t="shared" si="27"/>
        <v>0</v>
      </c>
      <c r="Q886" s="199"/>
    </row>
    <row r="887">
      <c r="A887" s="197"/>
      <c r="B887" s="790" t="s">
        <v>711</v>
      </c>
      <c r="C887" s="791"/>
      <c r="D887" s="791"/>
      <c r="E887" s="792"/>
      <c r="F887" s="793">
        <f>SUM(F881:F886)</f>
        <v>0</v>
      </c>
      <c r="G887" s="794"/>
      <c r="H887" s="793">
        <f>SUM(H881:H886)</f>
        <v>0</v>
      </c>
      <c r="I887" s="283"/>
      <c r="J887" s="790" t="s">
        <v>711</v>
      </c>
      <c r="K887" s="791"/>
      <c r="L887" s="791"/>
      <c r="M887" s="792"/>
      <c r="N887" s="793">
        <f>SUM(N881:N886)</f>
        <v>0</v>
      </c>
      <c r="O887" s="794"/>
      <c r="P887" s="793">
        <f>SUM(P881:P886)</f>
        <v>0</v>
      </c>
      <c r="Q887" s="199"/>
    </row>
    <row r="888">
      <c r="A888" s="238"/>
      <c r="B888" s="796"/>
      <c r="E888" s="798"/>
      <c r="H888" s="799"/>
      <c r="I888" s="283"/>
      <c r="J888" s="796"/>
      <c r="M888" s="798"/>
      <c r="P888" s="799"/>
      <c r="Q888" s="199"/>
    </row>
    <row r="889">
      <c r="A889" s="197"/>
      <c r="B889" s="800" t="s">
        <v>712</v>
      </c>
      <c r="C889" s="801"/>
      <c r="D889" s="802"/>
      <c r="H889" s="799"/>
      <c r="I889" s="283"/>
      <c r="J889" s="800" t="s">
        <v>712</v>
      </c>
      <c r="K889" s="803"/>
      <c r="L889" s="804"/>
      <c r="P889" s="799"/>
      <c r="Q889" s="199"/>
    </row>
    <row r="890">
      <c r="A890" s="197"/>
      <c r="B890" s="867"/>
      <c r="C890" s="808"/>
      <c r="D890" s="809"/>
      <c r="H890" s="799"/>
      <c r="I890" s="283"/>
      <c r="J890" s="867"/>
      <c r="K890" s="808"/>
      <c r="L890" s="809"/>
      <c r="P890" s="799"/>
      <c r="Q890" s="199"/>
    </row>
    <row r="891">
      <c r="A891" s="238"/>
      <c r="B891" s="868"/>
      <c r="C891" s="774"/>
      <c r="D891" s="816"/>
      <c r="H891" s="799"/>
      <c r="I891" s="283"/>
      <c r="J891" s="868"/>
      <c r="K891" s="774"/>
      <c r="L891" s="816"/>
      <c r="P891" s="799"/>
      <c r="Q891" s="199"/>
    </row>
    <row r="892">
      <c r="A892" s="197"/>
      <c r="B892" s="815"/>
      <c r="C892" s="792"/>
      <c r="D892" s="816"/>
      <c r="H892" s="799"/>
      <c r="I892" s="283"/>
      <c r="J892" s="815"/>
      <c r="K892" s="792"/>
      <c r="L892" s="816"/>
      <c r="P892" s="799"/>
      <c r="Q892" s="199"/>
    </row>
    <row r="893">
      <c r="A893" s="238"/>
      <c r="B893" s="817"/>
      <c r="C893" s="774"/>
      <c r="D893" s="818"/>
      <c r="H893" s="799"/>
      <c r="I893" s="283"/>
      <c r="J893" s="817"/>
      <c r="K893" s="774"/>
      <c r="L893" s="818"/>
      <c r="P893" s="799"/>
      <c r="Q893" s="199"/>
    </row>
    <row r="894">
      <c r="A894" s="197"/>
      <c r="B894" s="817"/>
      <c r="C894" s="792"/>
      <c r="D894" s="818"/>
      <c r="H894" s="799"/>
      <c r="I894" s="283"/>
      <c r="J894" s="817"/>
      <c r="K894" s="792"/>
      <c r="L894" s="818"/>
      <c r="P894" s="799"/>
      <c r="Q894" s="199"/>
    </row>
    <row r="895">
      <c r="A895" s="197"/>
      <c r="B895" s="821" t="s">
        <v>714</v>
      </c>
      <c r="C895" s="822"/>
      <c r="D895" s="823">
        <f>SUM(D890:D894)</f>
        <v>0</v>
      </c>
      <c r="H895" s="799"/>
      <c r="I895" s="283"/>
      <c r="J895" s="821" t="s">
        <v>714</v>
      </c>
      <c r="K895" s="826"/>
      <c r="L895" s="827"/>
      <c r="P895" s="799"/>
      <c r="Q895" s="199"/>
    </row>
    <row r="896">
      <c r="A896" s="197"/>
      <c r="B896" s="828"/>
      <c r="D896" s="829"/>
      <c r="H896" s="799"/>
      <c r="I896" s="283"/>
      <c r="J896" s="828"/>
      <c r="L896" s="829"/>
      <c r="P896" s="799"/>
      <c r="Q896" s="199"/>
    </row>
    <row r="897">
      <c r="A897" s="197"/>
      <c r="B897" s="833" t="s">
        <v>715</v>
      </c>
      <c r="C897" s="834"/>
      <c r="D897" s="835"/>
      <c r="H897" s="799"/>
      <c r="I897" s="283"/>
      <c r="J897" s="833" t="s">
        <v>715</v>
      </c>
      <c r="K897" s="834"/>
      <c r="L897" s="835"/>
      <c r="P897" s="799"/>
      <c r="Q897" s="199"/>
    </row>
    <row r="898">
      <c r="A898" s="197"/>
      <c r="B898" s="839"/>
      <c r="C898" s="840"/>
      <c r="D898" s="841"/>
      <c r="H898" s="799"/>
      <c r="I898" s="283"/>
      <c r="J898" s="839"/>
      <c r="K898" s="840"/>
      <c r="L898" s="841"/>
      <c r="P898" s="799"/>
      <c r="Q898" s="199"/>
    </row>
    <row r="899">
      <c r="A899" s="238"/>
      <c r="B899" s="847"/>
      <c r="C899" s="848"/>
      <c r="D899" s="849"/>
      <c r="E899" s="248"/>
      <c r="F899" s="845" t="s">
        <v>1182</v>
      </c>
      <c r="H899" s="1037">
        <f>H887+D895-D904</f>
        <v>0</v>
      </c>
      <c r="I899" s="283"/>
      <c r="J899" s="847"/>
      <c r="K899" s="848"/>
      <c r="L899" s="849"/>
      <c r="M899" s="248"/>
      <c r="N899" s="845" t="s">
        <v>1183</v>
      </c>
      <c r="P899" s="846">
        <f>P887+L895-L904</f>
        <v>0</v>
      </c>
      <c r="Q899" s="199"/>
    </row>
    <row r="900">
      <c r="A900" s="238"/>
      <c r="B900" s="847"/>
      <c r="C900" s="848"/>
      <c r="D900" s="849"/>
      <c r="H900" s="799"/>
      <c r="I900" s="283"/>
      <c r="J900" s="847"/>
      <c r="K900" s="848"/>
      <c r="L900" s="849"/>
      <c r="P900" s="799"/>
      <c r="Q900" s="199"/>
    </row>
    <row r="901">
      <c r="A901" s="238"/>
      <c r="B901" s="847"/>
      <c r="C901" s="848"/>
      <c r="D901" s="849"/>
      <c r="H901" s="799"/>
      <c r="I901" s="283"/>
      <c r="J901" s="847"/>
      <c r="K901" s="848"/>
      <c r="L901" s="849"/>
      <c r="P901" s="799"/>
      <c r="Q901" s="199"/>
    </row>
    <row r="902">
      <c r="A902" s="238"/>
      <c r="B902" s="847"/>
      <c r="C902" s="848"/>
      <c r="D902" s="849"/>
      <c r="F902" s="248"/>
      <c r="H902" s="799"/>
      <c r="I902" s="283"/>
      <c r="J902" s="847"/>
      <c r="K902" s="848"/>
      <c r="L902" s="849"/>
      <c r="N902" s="248"/>
      <c r="P902" s="799"/>
      <c r="Q902" s="199"/>
    </row>
    <row r="903">
      <c r="A903" s="238"/>
      <c r="B903" s="847"/>
      <c r="C903" s="848"/>
      <c r="D903" s="849"/>
      <c r="H903" s="799"/>
      <c r="I903" s="283"/>
      <c r="J903" s="847"/>
      <c r="K903" s="848"/>
      <c r="L903" s="849"/>
      <c r="P903" s="799"/>
      <c r="Q903" s="199"/>
    </row>
    <row r="904">
      <c r="A904" s="197"/>
      <c r="B904" s="853" t="s">
        <v>721</v>
      </c>
      <c r="C904" s="854"/>
      <c r="D904" s="855">
        <f>SUM(D898:D903)</f>
        <v>0</v>
      </c>
      <c r="H904" s="799"/>
      <c r="I904" s="283"/>
      <c r="J904" s="853" t="s">
        <v>721</v>
      </c>
      <c r="K904" s="854"/>
      <c r="L904" s="855"/>
      <c r="P904" s="799"/>
      <c r="Q904" s="199"/>
    </row>
    <row r="905">
      <c r="A905" s="283"/>
      <c r="B905" s="856"/>
      <c r="C905" s="857"/>
      <c r="D905" s="857"/>
      <c r="E905" s="857"/>
      <c r="F905" s="857"/>
      <c r="G905" s="857"/>
      <c r="H905" s="808"/>
      <c r="I905" s="283"/>
      <c r="J905" s="856"/>
      <c r="K905" s="857"/>
      <c r="L905" s="857"/>
      <c r="M905" s="857"/>
      <c r="N905" s="857"/>
      <c r="O905" s="857"/>
      <c r="P905" s="808"/>
      <c r="Q905" s="199"/>
    </row>
    <row r="906">
      <c r="A906" s="1038"/>
      <c r="Y906" s="283"/>
    </row>
    <row r="907" ht="24.75" customHeight="1">
      <c r="A907" s="201"/>
      <c r="B907" s="769"/>
      <c r="C907" s="770"/>
      <c r="D907" s="770"/>
      <c r="E907" s="771" t="s">
        <v>700</v>
      </c>
      <c r="F907" s="772" t="str">
        <f>A2</f>
        <v>11.24.25-11.30.25</v>
      </c>
      <c r="G907" s="773"/>
      <c r="H907" s="774"/>
      <c r="I907" s="305">
        <v>27.0</v>
      </c>
      <c r="J907" s="769"/>
      <c r="K907" s="770"/>
      <c r="L907" s="770"/>
      <c r="M907" s="771" t="s">
        <v>700</v>
      </c>
      <c r="N907" s="772" t="str">
        <f>F907</f>
        <v>11.24.25-11.30.25</v>
      </c>
      <c r="O907" s="773"/>
      <c r="P907" s="774"/>
      <c r="Q907" s="199"/>
    </row>
    <row r="908" ht="25.5" customHeight="1">
      <c r="A908" s="194"/>
      <c r="B908" s="775"/>
      <c r="E908" s="771" t="s">
        <v>702</v>
      </c>
      <c r="F908" s="772" t="s">
        <v>660</v>
      </c>
      <c r="G908" s="773"/>
      <c r="H908" s="774"/>
      <c r="I908" s="283"/>
      <c r="J908" s="775"/>
      <c r="M908" s="771" t="s">
        <v>702</v>
      </c>
      <c r="N908" s="772"/>
      <c r="O908" s="773"/>
      <c r="P908" s="774"/>
      <c r="Q908" s="199"/>
    </row>
    <row r="909" ht="29.25" customHeight="1">
      <c r="A909" s="194"/>
      <c r="B909" s="775"/>
      <c r="E909" s="771" t="s">
        <v>703</v>
      </c>
      <c r="F909" s="772">
        <v>2319.0</v>
      </c>
      <c r="G909" s="773"/>
      <c r="H909" s="774"/>
      <c r="I909" s="283"/>
      <c r="J909" s="775"/>
      <c r="M909" s="771" t="s">
        <v>703</v>
      </c>
      <c r="N909" s="772">
        <v>2319.0</v>
      </c>
      <c r="O909" s="773"/>
      <c r="P909" s="774"/>
      <c r="Q909" s="199"/>
    </row>
    <row r="910">
      <c r="A910" s="1031"/>
      <c r="B910" s="779" t="s">
        <v>704</v>
      </c>
      <c r="C910" s="779" t="s">
        <v>5</v>
      </c>
      <c r="D910" s="779" t="s">
        <v>6</v>
      </c>
      <c r="E910" s="779" t="s">
        <v>7</v>
      </c>
      <c r="F910" s="779" t="s">
        <v>8</v>
      </c>
      <c r="G910" s="779" t="s">
        <v>706</v>
      </c>
      <c r="H910" s="779" t="s">
        <v>707</v>
      </c>
      <c r="I910" s="34"/>
      <c r="J910" s="779" t="s">
        <v>704</v>
      </c>
      <c r="K910" s="779" t="s">
        <v>5</v>
      </c>
      <c r="L910" s="779" t="s">
        <v>6</v>
      </c>
      <c r="M910" s="779" t="s">
        <v>7</v>
      </c>
      <c r="N910" s="779" t="s">
        <v>1178</v>
      </c>
      <c r="O910" s="779" t="s">
        <v>839</v>
      </c>
      <c r="P910" s="779" t="s">
        <v>707</v>
      </c>
      <c r="Q910" s="1032"/>
      <c r="R910" s="1032"/>
    </row>
    <row r="911">
      <c r="A911" s="229"/>
      <c r="B911" s="780"/>
      <c r="C911" s="781"/>
      <c r="D911" s="781"/>
      <c r="E911" s="781"/>
      <c r="F911" s="782"/>
      <c r="G911" s="783">
        <v>1.0</v>
      </c>
      <c r="H911" s="782"/>
      <c r="I911" s="283"/>
      <c r="J911" s="1033"/>
      <c r="K911" s="1034"/>
      <c r="L911" s="1034"/>
      <c r="M911" s="1034"/>
      <c r="N911" s="1035"/>
      <c r="O911" s="1036"/>
      <c r="P911" s="1035">
        <f t="shared" ref="P911:P916" si="28">N911*O911</f>
        <v>0</v>
      </c>
      <c r="Q911" s="199"/>
    </row>
    <row r="912">
      <c r="A912" s="229"/>
      <c r="B912" s="780"/>
      <c r="C912" s="781"/>
      <c r="D912" s="781"/>
      <c r="E912" s="781"/>
      <c r="F912" s="782"/>
      <c r="G912" s="783">
        <v>1.0</v>
      </c>
      <c r="H912" s="782"/>
      <c r="I912" s="283"/>
      <c r="J912" s="780"/>
      <c r="K912" s="781"/>
      <c r="L912" s="781"/>
      <c r="M912" s="781"/>
      <c r="N912" s="782"/>
      <c r="O912" s="783"/>
      <c r="P912" s="789">
        <f t="shared" si="28"/>
        <v>0</v>
      </c>
      <c r="Q912" s="199"/>
    </row>
    <row r="913">
      <c r="A913" s="238"/>
      <c r="B913" s="785"/>
      <c r="C913" s="786"/>
      <c r="D913" s="786"/>
      <c r="E913" s="786"/>
      <c r="F913" s="785"/>
      <c r="G913" s="787"/>
      <c r="H913" s="788"/>
      <c r="I913" s="283"/>
      <c r="J913" s="785"/>
      <c r="K913" s="786"/>
      <c r="L913" s="786"/>
      <c r="M913" s="786"/>
      <c r="N913" s="785"/>
      <c r="O913" s="787"/>
      <c r="P913" s="789">
        <f t="shared" si="28"/>
        <v>0</v>
      </c>
      <c r="Q913" s="199"/>
    </row>
    <row r="914">
      <c r="A914" s="238"/>
      <c r="B914" s="785"/>
      <c r="C914" s="786"/>
      <c r="D914" s="786"/>
      <c r="E914" s="786"/>
      <c r="F914" s="785"/>
      <c r="G914" s="787"/>
      <c r="H914" s="788"/>
      <c r="I914" s="283"/>
      <c r="J914" s="785"/>
      <c r="K914" s="786"/>
      <c r="L914" s="786"/>
      <c r="M914" s="786"/>
      <c r="N914" s="785"/>
      <c r="O914" s="787"/>
      <c r="P914" s="789">
        <f t="shared" si="28"/>
        <v>0</v>
      </c>
      <c r="Q914" s="199"/>
    </row>
    <row r="915">
      <c r="A915" s="238"/>
      <c r="B915" s="785"/>
      <c r="C915" s="786"/>
      <c r="D915" s="786"/>
      <c r="E915" s="786"/>
      <c r="F915" s="785"/>
      <c r="G915" s="787"/>
      <c r="H915" s="788"/>
      <c r="I915" s="283"/>
      <c r="J915" s="785"/>
      <c r="K915" s="786"/>
      <c r="L915" s="786"/>
      <c r="M915" s="786"/>
      <c r="N915" s="785"/>
      <c r="O915" s="787"/>
      <c r="P915" s="789">
        <f t="shared" si="28"/>
        <v>0</v>
      </c>
      <c r="Q915" s="199"/>
    </row>
    <row r="916">
      <c r="A916" s="238"/>
      <c r="B916" s="785"/>
      <c r="C916" s="786"/>
      <c r="D916" s="786"/>
      <c r="E916" s="786"/>
      <c r="F916" s="785"/>
      <c r="G916" s="787"/>
      <c r="H916" s="788"/>
      <c r="I916" s="283"/>
      <c r="J916" s="785"/>
      <c r="K916" s="786"/>
      <c r="L916" s="786"/>
      <c r="M916" s="786"/>
      <c r="N916" s="785"/>
      <c r="O916" s="787"/>
      <c r="P916" s="789">
        <f t="shared" si="28"/>
        <v>0</v>
      </c>
      <c r="Q916" s="199"/>
    </row>
    <row r="917">
      <c r="A917" s="197"/>
      <c r="B917" s="790" t="s">
        <v>711</v>
      </c>
      <c r="C917" s="791"/>
      <c r="D917" s="791"/>
      <c r="E917" s="792"/>
      <c r="F917" s="793">
        <f>SUM(F911:F916)</f>
        <v>0</v>
      </c>
      <c r="G917" s="794"/>
      <c r="H917" s="793">
        <f>SUM(H911:H916)</f>
        <v>0</v>
      </c>
      <c r="I917" s="283"/>
      <c r="J917" s="790" t="s">
        <v>711</v>
      </c>
      <c r="K917" s="791"/>
      <c r="L917" s="791"/>
      <c r="M917" s="792"/>
      <c r="N917" s="793">
        <f>SUM(N911:N916)</f>
        <v>0</v>
      </c>
      <c r="O917" s="794"/>
      <c r="P917" s="793">
        <f>SUM(P911:P916)</f>
        <v>0</v>
      </c>
      <c r="Q917" s="199"/>
    </row>
    <row r="918">
      <c r="A918" s="238"/>
      <c r="B918" s="796"/>
      <c r="E918" s="798"/>
      <c r="H918" s="799"/>
      <c r="I918" s="283"/>
      <c r="J918" s="796"/>
      <c r="M918" s="798"/>
      <c r="P918" s="799"/>
      <c r="Q918" s="199"/>
    </row>
    <row r="919">
      <c r="A919" s="197"/>
      <c r="B919" s="800" t="s">
        <v>712</v>
      </c>
      <c r="C919" s="803"/>
      <c r="D919" s="804"/>
      <c r="H919" s="799"/>
      <c r="I919" s="283"/>
      <c r="J919" s="800" t="s">
        <v>712</v>
      </c>
      <c r="K919" s="803"/>
      <c r="L919" s="804"/>
      <c r="P919" s="799"/>
      <c r="Q919" s="199"/>
    </row>
    <row r="920">
      <c r="A920" s="197"/>
      <c r="B920" s="867"/>
      <c r="C920" s="808"/>
      <c r="D920" s="809"/>
      <c r="H920" s="799"/>
      <c r="I920" s="283"/>
      <c r="J920" s="867"/>
      <c r="K920" s="808"/>
      <c r="L920" s="809"/>
      <c r="P920" s="799"/>
      <c r="Q920" s="199"/>
    </row>
    <row r="921">
      <c r="A921" s="238"/>
      <c r="B921" s="868"/>
      <c r="C921" s="774"/>
      <c r="D921" s="816"/>
      <c r="H921" s="799"/>
      <c r="I921" s="283"/>
      <c r="J921" s="868"/>
      <c r="K921" s="774"/>
      <c r="L921" s="816"/>
      <c r="P921" s="799"/>
      <c r="Q921" s="199"/>
    </row>
    <row r="922">
      <c r="A922" s="197"/>
      <c r="B922" s="815"/>
      <c r="C922" s="792"/>
      <c r="D922" s="816"/>
      <c r="H922" s="799"/>
      <c r="I922" s="283"/>
      <c r="J922" s="815"/>
      <c r="K922" s="792"/>
      <c r="L922" s="816"/>
      <c r="P922" s="799"/>
      <c r="Q922" s="199"/>
    </row>
    <row r="923">
      <c r="A923" s="238"/>
      <c r="B923" s="817"/>
      <c r="C923" s="774"/>
      <c r="D923" s="818"/>
      <c r="H923" s="799"/>
      <c r="I923" s="283"/>
      <c r="J923" s="817"/>
      <c r="K923" s="774"/>
      <c r="L923" s="818"/>
      <c r="P923" s="799"/>
      <c r="Q923" s="199"/>
    </row>
    <row r="924">
      <c r="A924" s="197"/>
      <c r="B924" s="817"/>
      <c r="C924" s="774"/>
      <c r="D924" s="818"/>
      <c r="H924" s="799"/>
      <c r="I924" s="283"/>
      <c r="J924" s="817"/>
      <c r="K924" s="774"/>
      <c r="L924" s="818"/>
      <c r="P924" s="799"/>
      <c r="Q924" s="199"/>
    </row>
    <row r="925">
      <c r="A925" s="197"/>
      <c r="B925" s="821" t="s">
        <v>714</v>
      </c>
      <c r="C925" s="822"/>
      <c r="D925" s="823">
        <f>SUM(D920:D924)</f>
        <v>0</v>
      </c>
      <c r="H925" s="799"/>
      <c r="I925" s="283"/>
      <c r="J925" s="821" t="s">
        <v>714</v>
      </c>
      <c r="K925" s="822"/>
      <c r="L925" s="827"/>
      <c r="P925" s="799"/>
      <c r="Q925" s="199"/>
    </row>
    <row r="926">
      <c r="A926" s="197"/>
      <c r="B926" s="828"/>
      <c r="D926" s="829"/>
      <c r="H926" s="799"/>
      <c r="I926" s="283"/>
      <c r="J926" s="828"/>
      <c r="L926" s="829"/>
      <c r="P926" s="799"/>
      <c r="Q926" s="199"/>
    </row>
    <row r="927">
      <c r="A927" s="197"/>
      <c r="B927" s="833" t="s">
        <v>715</v>
      </c>
      <c r="C927" s="834"/>
      <c r="D927" s="835"/>
      <c r="H927" s="799"/>
      <c r="I927" s="283"/>
      <c r="J927" s="833" t="s">
        <v>715</v>
      </c>
      <c r="K927" s="834"/>
      <c r="L927" s="835"/>
      <c r="P927" s="799"/>
      <c r="Q927" s="199"/>
    </row>
    <row r="928">
      <c r="A928" s="197"/>
      <c r="B928" s="839"/>
      <c r="C928" s="840"/>
      <c r="D928" s="841"/>
      <c r="H928" s="799"/>
      <c r="I928" s="283"/>
      <c r="J928" s="839"/>
      <c r="K928" s="840"/>
      <c r="L928" s="841"/>
      <c r="P928" s="799"/>
      <c r="Q928" s="199"/>
    </row>
    <row r="929">
      <c r="A929" s="238"/>
      <c r="B929" s="847"/>
      <c r="C929" s="848"/>
      <c r="D929" s="849"/>
      <c r="E929" s="248"/>
      <c r="F929" s="845" t="s">
        <v>1182</v>
      </c>
      <c r="H929" s="1037">
        <f>H917+D925-D934</f>
        <v>0</v>
      </c>
      <c r="I929" s="283"/>
      <c r="J929" s="847"/>
      <c r="K929" s="848"/>
      <c r="L929" s="849"/>
      <c r="M929" s="248"/>
      <c r="N929" s="845" t="s">
        <v>1183</v>
      </c>
      <c r="P929" s="846">
        <f>P917+L925-L934</f>
        <v>0</v>
      </c>
      <c r="Q929" s="199"/>
    </row>
    <row r="930">
      <c r="A930" s="238"/>
      <c r="B930" s="847"/>
      <c r="C930" s="848"/>
      <c r="D930" s="849"/>
      <c r="H930" s="799"/>
      <c r="I930" s="283"/>
      <c r="J930" s="847"/>
      <c r="K930" s="848"/>
      <c r="L930" s="849"/>
      <c r="P930" s="799"/>
      <c r="Q930" s="199"/>
    </row>
    <row r="931">
      <c r="A931" s="238"/>
      <c r="B931" s="847"/>
      <c r="C931" s="848"/>
      <c r="D931" s="849"/>
      <c r="H931" s="799"/>
      <c r="I931" s="283"/>
      <c r="J931" s="847"/>
      <c r="K931" s="848"/>
      <c r="L931" s="849"/>
      <c r="P931" s="799"/>
      <c r="Q931" s="199"/>
    </row>
    <row r="932">
      <c r="A932" s="238"/>
      <c r="B932" s="847"/>
      <c r="C932" s="848"/>
      <c r="D932" s="849"/>
      <c r="F932" s="248"/>
      <c r="H932" s="799"/>
      <c r="I932" s="283"/>
      <c r="J932" s="847"/>
      <c r="K932" s="848"/>
      <c r="L932" s="849"/>
      <c r="N932" s="248"/>
      <c r="P932" s="799"/>
      <c r="Q932" s="199"/>
    </row>
    <row r="933">
      <c r="A933" s="238"/>
      <c r="B933" s="847"/>
      <c r="C933" s="848"/>
      <c r="D933" s="849"/>
      <c r="H933" s="799"/>
      <c r="I933" s="283"/>
      <c r="J933" s="847"/>
      <c r="K933" s="848"/>
      <c r="L933" s="849"/>
      <c r="P933" s="799"/>
      <c r="Q933" s="199"/>
    </row>
    <row r="934">
      <c r="A934" s="197"/>
      <c r="B934" s="853" t="s">
        <v>721</v>
      </c>
      <c r="C934" s="854"/>
      <c r="D934" s="855">
        <f>SUM(D928:D933)</f>
        <v>0</v>
      </c>
      <c r="H934" s="799"/>
      <c r="I934" s="283"/>
      <c r="J934" s="853" t="s">
        <v>721</v>
      </c>
      <c r="K934" s="854"/>
      <c r="L934" s="855"/>
      <c r="P934" s="799"/>
      <c r="Q934" s="199"/>
    </row>
    <row r="935">
      <c r="A935" s="283"/>
      <c r="B935" s="856"/>
      <c r="C935" s="857"/>
      <c r="D935" s="857"/>
      <c r="E935" s="857"/>
      <c r="F935" s="857"/>
      <c r="G935" s="857"/>
      <c r="H935" s="808"/>
      <c r="I935" s="283"/>
      <c r="J935" s="856"/>
      <c r="K935" s="857"/>
      <c r="L935" s="857"/>
      <c r="M935" s="857"/>
      <c r="N935" s="857"/>
      <c r="O935" s="857"/>
      <c r="P935" s="808"/>
      <c r="Q935" s="199"/>
    </row>
    <row r="936">
      <c r="A936" s="1039"/>
      <c r="Y936" s="194"/>
    </row>
    <row r="937" ht="24.75" customHeight="1">
      <c r="A937" s="201"/>
      <c r="B937" s="769"/>
      <c r="C937" s="770"/>
      <c r="D937" s="770"/>
      <c r="E937" s="771" t="s">
        <v>700</v>
      </c>
      <c r="F937" s="772" t="str">
        <f>A2</f>
        <v>11.24.25-11.30.25</v>
      </c>
      <c r="G937" s="773"/>
      <c r="H937" s="774"/>
      <c r="I937" s="305">
        <v>28.0</v>
      </c>
      <c r="J937" s="769"/>
      <c r="K937" s="770"/>
      <c r="L937" s="770"/>
      <c r="M937" s="771" t="s">
        <v>700</v>
      </c>
      <c r="N937" s="772" t="str">
        <f>F937</f>
        <v>11.24.25-11.30.25</v>
      </c>
      <c r="O937" s="773"/>
      <c r="P937" s="774"/>
      <c r="Q937" s="199"/>
    </row>
    <row r="938" ht="25.5" customHeight="1">
      <c r="A938" s="194"/>
      <c r="B938" s="775"/>
      <c r="E938" s="771" t="s">
        <v>702</v>
      </c>
      <c r="F938" s="772" t="s">
        <v>660</v>
      </c>
      <c r="G938" s="773"/>
      <c r="H938" s="774"/>
      <c r="I938" s="283"/>
      <c r="J938" s="775"/>
      <c r="M938" s="771" t="s">
        <v>702</v>
      </c>
      <c r="N938" s="772"/>
      <c r="O938" s="773"/>
      <c r="P938" s="774"/>
      <c r="Q938" s="199"/>
    </row>
    <row r="939" ht="29.25" customHeight="1">
      <c r="A939" s="194"/>
      <c r="B939" s="775"/>
      <c r="E939" s="771" t="s">
        <v>703</v>
      </c>
      <c r="F939" s="772">
        <v>2319.0</v>
      </c>
      <c r="G939" s="773"/>
      <c r="H939" s="774"/>
      <c r="I939" s="283"/>
      <c r="J939" s="775"/>
      <c r="M939" s="771" t="s">
        <v>703</v>
      </c>
      <c r="N939" s="772">
        <v>2319.0</v>
      </c>
      <c r="O939" s="773"/>
      <c r="P939" s="774"/>
      <c r="Q939" s="199"/>
    </row>
    <row r="940">
      <c r="A940" s="1031"/>
      <c r="B940" s="779" t="s">
        <v>704</v>
      </c>
      <c r="C940" s="779" t="s">
        <v>5</v>
      </c>
      <c r="D940" s="779" t="s">
        <v>6</v>
      </c>
      <c r="E940" s="779" t="s">
        <v>7</v>
      </c>
      <c r="F940" s="779" t="s">
        <v>8</v>
      </c>
      <c r="G940" s="779" t="s">
        <v>706</v>
      </c>
      <c r="H940" s="779" t="s">
        <v>707</v>
      </c>
      <c r="I940" s="34"/>
      <c r="J940" s="779" t="s">
        <v>704</v>
      </c>
      <c r="K940" s="779" t="s">
        <v>5</v>
      </c>
      <c r="L940" s="779" t="s">
        <v>6</v>
      </c>
      <c r="M940" s="779" t="s">
        <v>7</v>
      </c>
      <c r="N940" s="779" t="s">
        <v>1178</v>
      </c>
      <c r="O940" s="779" t="s">
        <v>839</v>
      </c>
      <c r="P940" s="779" t="s">
        <v>707</v>
      </c>
      <c r="Q940" s="1032"/>
      <c r="R940" s="1032"/>
    </row>
    <row r="941">
      <c r="A941" s="229"/>
      <c r="B941" s="780"/>
      <c r="C941" s="781"/>
      <c r="D941" s="781"/>
      <c r="E941" s="781"/>
      <c r="F941" s="782"/>
      <c r="G941" s="783">
        <v>1.0</v>
      </c>
      <c r="H941" s="782"/>
      <c r="I941" s="283"/>
      <c r="J941" s="1033"/>
      <c r="K941" s="1034"/>
      <c r="L941" s="1034"/>
      <c r="M941" s="1034"/>
      <c r="N941" s="1035"/>
      <c r="O941" s="1036"/>
      <c r="P941" s="1035">
        <f t="shared" ref="P941:P946" si="29">N941*O941</f>
        <v>0</v>
      </c>
      <c r="Q941" s="199"/>
    </row>
    <row r="942">
      <c r="A942" s="229"/>
      <c r="B942" s="780"/>
      <c r="C942" s="781"/>
      <c r="D942" s="781"/>
      <c r="E942" s="781"/>
      <c r="F942" s="782"/>
      <c r="G942" s="783">
        <v>1.0</v>
      </c>
      <c r="H942" s="782"/>
      <c r="I942" s="283"/>
      <c r="J942" s="780"/>
      <c r="K942" s="781"/>
      <c r="L942" s="781"/>
      <c r="M942" s="781"/>
      <c r="N942" s="782"/>
      <c r="O942" s="783"/>
      <c r="P942" s="789">
        <f t="shared" si="29"/>
        <v>0</v>
      </c>
      <c r="Q942" s="199"/>
    </row>
    <row r="943">
      <c r="A943" s="238"/>
      <c r="B943" s="785"/>
      <c r="C943" s="786"/>
      <c r="D943" s="786"/>
      <c r="E943" s="786"/>
      <c r="F943" s="785"/>
      <c r="G943" s="787"/>
      <c r="H943" s="788"/>
      <c r="I943" s="283"/>
      <c r="J943" s="785"/>
      <c r="K943" s="786"/>
      <c r="L943" s="786"/>
      <c r="M943" s="786"/>
      <c r="N943" s="785"/>
      <c r="O943" s="787"/>
      <c r="P943" s="789">
        <f t="shared" si="29"/>
        <v>0</v>
      </c>
      <c r="Q943" s="199"/>
    </row>
    <row r="944">
      <c r="A944" s="238"/>
      <c r="B944" s="785"/>
      <c r="C944" s="786"/>
      <c r="D944" s="786"/>
      <c r="E944" s="786"/>
      <c r="F944" s="785"/>
      <c r="G944" s="787"/>
      <c r="H944" s="788"/>
      <c r="I944" s="283"/>
      <c r="J944" s="785"/>
      <c r="K944" s="786"/>
      <c r="L944" s="786"/>
      <c r="M944" s="786"/>
      <c r="N944" s="785"/>
      <c r="O944" s="787"/>
      <c r="P944" s="789">
        <f t="shared" si="29"/>
        <v>0</v>
      </c>
      <c r="Q944" s="199"/>
    </row>
    <row r="945">
      <c r="A945" s="238"/>
      <c r="B945" s="785"/>
      <c r="C945" s="786"/>
      <c r="D945" s="786"/>
      <c r="E945" s="786"/>
      <c r="F945" s="785"/>
      <c r="G945" s="787"/>
      <c r="H945" s="788"/>
      <c r="I945" s="283"/>
      <c r="J945" s="785"/>
      <c r="K945" s="786"/>
      <c r="L945" s="786"/>
      <c r="M945" s="786"/>
      <c r="N945" s="785"/>
      <c r="O945" s="787"/>
      <c r="P945" s="789">
        <f t="shared" si="29"/>
        <v>0</v>
      </c>
      <c r="Q945" s="199"/>
    </row>
    <row r="946">
      <c r="A946" s="238"/>
      <c r="B946" s="785"/>
      <c r="C946" s="786"/>
      <c r="D946" s="786"/>
      <c r="E946" s="786"/>
      <c r="F946" s="785"/>
      <c r="G946" s="787"/>
      <c r="H946" s="788"/>
      <c r="I946" s="283"/>
      <c r="J946" s="785"/>
      <c r="K946" s="786"/>
      <c r="L946" s="786"/>
      <c r="M946" s="786"/>
      <c r="N946" s="785"/>
      <c r="O946" s="787"/>
      <c r="P946" s="789">
        <f t="shared" si="29"/>
        <v>0</v>
      </c>
      <c r="Q946" s="199"/>
    </row>
    <row r="947">
      <c r="A947" s="197"/>
      <c r="B947" s="790" t="s">
        <v>711</v>
      </c>
      <c r="C947" s="791"/>
      <c r="D947" s="791"/>
      <c r="E947" s="792"/>
      <c r="F947" s="793">
        <f>SUM(F941:F946)</f>
        <v>0</v>
      </c>
      <c r="G947" s="794"/>
      <c r="H947" s="793">
        <f>SUM(H941:H946)</f>
        <v>0</v>
      </c>
      <c r="I947" s="1040"/>
      <c r="J947" s="790" t="s">
        <v>711</v>
      </c>
      <c r="K947" s="791"/>
      <c r="L947" s="791"/>
      <c r="M947" s="792"/>
      <c r="N947" s="793">
        <f>SUM(N941:N946)</f>
        <v>0</v>
      </c>
      <c r="O947" s="794"/>
      <c r="P947" s="793">
        <f>SUM(P941:P946)</f>
        <v>0</v>
      </c>
      <c r="Q947" s="199"/>
    </row>
    <row r="948">
      <c r="A948" s="238"/>
      <c r="B948" s="796"/>
      <c r="E948" s="798"/>
      <c r="H948" s="799"/>
      <c r="I948" s="283"/>
      <c r="J948" s="796"/>
      <c r="M948" s="798"/>
      <c r="P948" s="799"/>
      <c r="Q948" s="199"/>
    </row>
    <row r="949">
      <c r="A949" s="197"/>
      <c r="B949" s="800" t="s">
        <v>712</v>
      </c>
      <c r="C949" s="803"/>
      <c r="D949" s="804"/>
      <c r="H949" s="799"/>
      <c r="I949" s="283"/>
      <c r="J949" s="800" t="s">
        <v>712</v>
      </c>
      <c r="K949" s="803"/>
      <c r="L949" s="804"/>
      <c r="P949" s="799"/>
      <c r="Q949" s="199"/>
    </row>
    <row r="950">
      <c r="A950" s="197"/>
      <c r="B950" s="867"/>
      <c r="C950" s="808"/>
      <c r="D950" s="809"/>
      <c r="H950" s="799"/>
      <c r="I950" s="283"/>
      <c r="J950" s="867"/>
      <c r="K950" s="808"/>
      <c r="L950" s="809"/>
      <c r="P950" s="799"/>
      <c r="Q950" s="199"/>
    </row>
    <row r="951">
      <c r="A951" s="238"/>
      <c r="B951" s="868"/>
      <c r="C951" s="774"/>
      <c r="D951" s="816"/>
      <c r="H951" s="799"/>
      <c r="I951" s="283"/>
      <c r="J951" s="868"/>
      <c r="K951" s="774"/>
      <c r="L951" s="816"/>
      <c r="P951" s="799"/>
      <c r="Q951" s="199"/>
    </row>
    <row r="952">
      <c r="A952" s="197"/>
      <c r="B952" s="815"/>
      <c r="C952" s="792"/>
      <c r="D952" s="816"/>
      <c r="H952" s="829"/>
      <c r="I952" s="1040"/>
      <c r="J952" s="815"/>
      <c r="K952" s="792"/>
      <c r="L952" s="816"/>
      <c r="P952" s="829"/>
      <c r="Q952" s="199"/>
    </row>
    <row r="953">
      <c r="A953" s="238"/>
      <c r="B953" s="817"/>
      <c r="C953" s="774"/>
      <c r="D953" s="818"/>
      <c r="H953" s="799"/>
      <c r="I953" s="283"/>
      <c r="J953" s="817"/>
      <c r="K953" s="774"/>
      <c r="L953" s="818"/>
      <c r="P953" s="799"/>
      <c r="Q953" s="199"/>
    </row>
    <row r="954">
      <c r="A954" s="197"/>
      <c r="B954" s="817"/>
      <c r="C954" s="792"/>
      <c r="D954" s="818"/>
      <c r="H954" s="829"/>
      <c r="I954" s="1040"/>
      <c r="J954" s="817"/>
      <c r="K954" s="792"/>
      <c r="L954" s="818"/>
      <c r="P954" s="829"/>
      <c r="Q954" s="199"/>
    </row>
    <row r="955">
      <c r="A955" s="197"/>
      <c r="B955" s="821" t="s">
        <v>714</v>
      </c>
      <c r="C955" s="822"/>
      <c r="D955" s="823">
        <f>SUM(D950:D954)</f>
        <v>0</v>
      </c>
      <c r="H955" s="799"/>
      <c r="I955" s="283"/>
      <c r="J955" s="821" t="s">
        <v>714</v>
      </c>
      <c r="K955" s="822"/>
      <c r="L955" s="827"/>
      <c r="P955" s="799"/>
      <c r="Q955" s="199"/>
    </row>
    <row r="956">
      <c r="A956" s="197"/>
      <c r="B956" s="828"/>
      <c r="D956" s="829"/>
      <c r="H956" s="799"/>
      <c r="I956" s="283"/>
      <c r="J956" s="828"/>
      <c r="L956" s="829"/>
      <c r="P956" s="799"/>
      <c r="Q956" s="199"/>
    </row>
    <row r="957">
      <c r="A957" s="197"/>
      <c r="B957" s="833" t="s">
        <v>715</v>
      </c>
      <c r="C957" s="834"/>
      <c r="D957" s="835"/>
      <c r="H957" s="799"/>
      <c r="I957" s="283"/>
      <c r="J957" s="833" t="s">
        <v>715</v>
      </c>
      <c r="K957" s="834"/>
      <c r="L957" s="835"/>
      <c r="P957" s="799"/>
      <c r="Q957" s="199"/>
    </row>
    <row r="958">
      <c r="A958" s="197"/>
      <c r="B958" s="839"/>
      <c r="C958" s="840"/>
      <c r="D958" s="841"/>
      <c r="H958" s="799"/>
      <c r="I958" s="283"/>
      <c r="J958" s="839"/>
      <c r="K958" s="840"/>
      <c r="L958" s="841"/>
      <c r="P958" s="799"/>
      <c r="Q958" s="199"/>
    </row>
    <row r="959">
      <c r="A959" s="238"/>
      <c r="B959" s="847"/>
      <c r="C959" s="848"/>
      <c r="D959" s="849"/>
      <c r="E959" s="248"/>
      <c r="F959" s="845" t="s">
        <v>1182</v>
      </c>
      <c r="H959" s="1037">
        <f>H947+D955-D964</f>
        <v>0</v>
      </c>
      <c r="I959" s="283"/>
      <c r="J959" s="847"/>
      <c r="K959" s="848"/>
      <c r="L959" s="849"/>
      <c r="M959" s="248"/>
      <c r="N959" s="845" t="s">
        <v>1183</v>
      </c>
      <c r="P959" s="846">
        <f>P947+L955-L964</f>
        <v>0</v>
      </c>
      <c r="Q959" s="199"/>
    </row>
    <row r="960">
      <c r="A960" s="238"/>
      <c r="B960" s="847"/>
      <c r="C960" s="848"/>
      <c r="D960" s="849"/>
      <c r="H960" s="799"/>
      <c r="I960" s="283"/>
      <c r="J960" s="847"/>
      <c r="K960" s="848"/>
      <c r="L960" s="849"/>
      <c r="P960" s="799"/>
      <c r="Q960" s="199"/>
    </row>
    <row r="961">
      <c r="A961" s="238"/>
      <c r="B961" s="847"/>
      <c r="C961" s="848"/>
      <c r="D961" s="849"/>
      <c r="H961" s="799"/>
      <c r="I961" s="283"/>
      <c r="J961" s="847"/>
      <c r="K961" s="848"/>
      <c r="L961" s="849"/>
      <c r="P961" s="799"/>
      <c r="Q961" s="199"/>
    </row>
    <row r="962">
      <c r="A962" s="238"/>
      <c r="B962" s="847"/>
      <c r="C962" s="848"/>
      <c r="D962" s="849"/>
      <c r="F962" s="248"/>
      <c r="H962" s="799"/>
      <c r="I962" s="283"/>
      <c r="J962" s="847"/>
      <c r="K962" s="848"/>
      <c r="L962" s="849"/>
      <c r="N962" s="248"/>
      <c r="P962" s="799"/>
      <c r="Q962" s="199"/>
    </row>
    <row r="963">
      <c r="A963" s="238"/>
      <c r="B963" s="847"/>
      <c r="C963" s="848"/>
      <c r="D963" s="849"/>
      <c r="H963" s="799"/>
      <c r="I963" s="283"/>
      <c r="J963" s="847"/>
      <c r="K963" s="848"/>
      <c r="L963" s="849"/>
      <c r="P963" s="799"/>
      <c r="Q963" s="199"/>
    </row>
    <row r="964">
      <c r="A964" s="197"/>
      <c r="B964" s="853" t="s">
        <v>721</v>
      </c>
      <c r="C964" s="854"/>
      <c r="D964" s="855">
        <f>SUM(D958:D963)</f>
        <v>0</v>
      </c>
      <c r="H964" s="829"/>
      <c r="I964" s="1040"/>
      <c r="J964" s="853" t="s">
        <v>721</v>
      </c>
      <c r="K964" s="854"/>
      <c r="L964" s="855"/>
      <c r="P964" s="829"/>
      <c r="Q964" s="199"/>
    </row>
    <row r="965">
      <c r="A965" s="283"/>
      <c r="B965" s="856"/>
      <c r="C965" s="857"/>
      <c r="D965" s="857"/>
      <c r="E965" s="857"/>
      <c r="F965" s="857"/>
      <c r="G965" s="857"/>
      <c r="H965" s="808"/>
      <c r="I965" s="283"/>
      <c r="J965" s="856"/>
      <c r="K965" s="857"/>
      <c r="L965" s="857"/>
      <c r="M965" s="857"/>
      <c r="N965" s="857"/>
      <c r="O965" s="857"/>
      <c r="P965" s="808"/>
      <c r="Q965" s="199"/>
    </row>
    <row r="966">
      <c r="A966" s="1038"/>
      <c r="Y966" s="283"/>
    </row>
    <row r="967" ht="24.75" customHeight="1">
      <c r="A967" s="201"/>
      <c r="B967" s="769"/>
      <c r="C967" s="770"/>
      <c r="D967" s="770"/>
      <c r="E967" s="771" t="s">
        <v>700</v>
      </c>
      <c r="F967" s="772" t="str">
        <f>A2</f>
        <v>11.24.25-11.30.25</v>
      </c>
      <c r="G967" s="773"/>
      <c r="H967" s="774"/>
      <c r="I967" s="305">
        <v>29.0</v>
      </c>
      <c r="J967" s="769"/>
      <c r="K967" s="770"/>
      <c r="L967" s="770"/>
      <c r="M967" s="771" t="s">
        <v>700</v>
      </c>
      <c r="N967" s="772" t="str">
        <f>F967</f>
        <v>11.24.25-11.30.25</v>
      </c>
      <c r="O967" s="773"/>
      <c r="P967" s="774"/>
      <c r="Q967" s="199"/>
    </row>
    <row r="968" ht="25.5" customHeight="1">
      <c r="A968" s="194"/>
      <c r="B968" s="775"/>
      <c r="E968" s="771" t="s">
        <v>702</v>
      </c>
      <c r="F968" s="772" t="s">
        <v>660</v>
      </c>
      <c r="G968" s="773"/>
      <c r="H968" s="774"/>
      <c r="I968" s="283"/>
      <c r="J968" s="775"/>
      <c r="M968" s="771" t="s">
        <v>702</v>
      </c>
      <c r="N968" s="772"/>
      <c r="O968" s="773"/>
      <c r="P968" s="774"/>
      <c r="Q968" s="199"/>
    </row>
    <row r="969" ht="29.25" customHeight="1">
      <c r="A969" s="194"/>
      <c r="B969" s="775"/>
      <c r="E969" s="771" t="s">
        <v>703</v>
      </c>
      <c r="F969" s="772">
        <v>2319.0</v>
      </c>
      <c r="G969" s="773"/>
      <c r="H969" s="774"/>
      <c r="I969" s="283"/>
      <c r="J969" s="775"/>
      <c r="M969" s="771" t="s">
        <v>703</v>
      </c>
      <c r="N969" s="772">
        <v>2319.0</v>
      </c>
      <c r="O969" s="773"/>
      <c r="P969" s="774"/>
      <c r="Q969" s="199"/>
    </row>
    <row r="970">
      <c r="A970" s="1031"/>
      <c r="B970" s="779" t="s">
        <v>704</v>
      </c>
      <c r="C970" s="779" t="s">
        <v>5</v>
      </c>
      <c r="D970" s="779" t="s">
        <v>6</v>
      </c>
      <c r="E970" s="779" t="s">
        <v>7</v>
      </c>
      <c r="F970" s="779" t="s">
        <v>8</v>
      </c>
      <c r="G970" s="779" t="s">
        <v>706</v>
      </c>
      <c r="H970" s="779" t="s">
        <v>707</v>
      </c>
      <c r="I970" s="34"/>
      <c r="J970" s="779" t="s">
        <v>704</v>
      </c>
      <c r="K970" s="779" t="s">
        <v>5</v>
      </c>
      <c r="L970" s="779" t="s">
        <v>6</v>
      </c>
      <c r="M970" s="779" t="s">
        <v>7</v>
      </c>
      <c r="N970" s="779" t="s">
        <v>1178</v>
      </c>
      <c r="O970" s="779" t="s">
        <v>839</v>
      </c>
      <c r="P970" s="779" t="s">
        <v>707</v>
      </c>
      <c r="Q970" s="1032"/>
      <c r="R970" s="1032"/>
    </row>
    <row r="971">
      <c r="A971" s="229"/>
      <c r="B971" s="780"/>
      <c r="C971" s="781"/>
      <c r="D971" s="781"/>
      <c r="E971" s="781"/>
      <c r="F971" s="782"/>
      <c r="G971" s="783">
        <v>1.0</v>
      </c>
      <c r="H971" s="782"/>
      <c r="I971" s="283"/>
      <c r="J971" s="1033"/>
      <c r="K971" s="1034"/>
      <c r="L971" s="1034"/>
      <c r="M971" s="1034"/>
      <c r="N971" s="1035"/>
      <c r="O971" s="1036"/>
      <c r="P971" s="1035">
        <f t="shared" ref="P971:P976" si="30">N971*O971</f>
        <v>0</v>
      </c>
      <c r="Q971" s="199"/>
    </row>
    <row r="972">
      <c r="A972" s="229"/>
      <c r="B972" s="780"/>
      <c r="C972" s="781"/>
      <c r="D972" s="781"/>
      <c r="E972" s="781"/>
      <c r="F972" s="782"/>
      <c r="G972" s="783">
        <v>1.0</v>
      </c>
      <c r="H972" s="782"/>
      <c r="I972" s="283"/>
      <c r="J972" s="780"/>
      <c r="K972" s="781"/>
      <c r="L972" s="781"/>
      <c r="M972" s="781"/>
      <c r="N972" s="782"/>
      <c r="O972" s="783"/>
      <c r="P972" s="789">
        <f t="shared" si="30"/>
        <v>0</v>
      </c>
      <c r="Q972" s="199"/>
    </row>
    <row r="973">
      <c r="A973" s="238"/>
      <c r="B973" s="785"/>
      <c r="C973" s="786"/>
      <c r="D973" s="786"/>
      <c r="E973" s="786"/>
      <c r="F973" s="785"/>
      <c r="G973" s="787"/>
      <c r="H973" s="788"/>
      <c r="I973" s="283"/>
      <c r="J973" s="785"/>
      <c r="K973" s="786"/>
      <c r="L973" s="786"/>
      <c r="M973" s="786"/>
      <c r="N973" s="785"/>
      <c r="O973" s="787"/>
      <c r="P973" s="789">
        <f t="shared" si="30"/>
        <v>0</v>
      </c>
      <c r="Q973" s="199"/>
    </row>
    <row r="974">
      <c r="A974" s="238"/>
      <c r="B974" s="785"/>
      <c r="C974" s="786"/>
      <c r="D974" s="786"/>
      <c r="E974" s="786"/>
      <c r="F974" s="785"/>
      <c r="G974" s="787"/>
      <c r="H974" s="788"/>
      <c r="I974" s="283"/>
      <c r="J974" s="785"/>
      <c r="K974" s="786"/>
      <c r="L974" s="786"/>
      <c r="M974" s="786"/>
      <c r="N974" s="785"/>
      <c r="O974" s="787"/>
      <c r="P974" s="789">
        <f t="shared" si="30"/>
        <v>0</v>
      </c>
      <c r="Q974" s="199"/>
    </row>
    <row r="975">
      <c r="A975" s="238"/>
      <c r="B975" s="785"/>
      <c r="C975" s="786"/>
      <c r="D975" s="786"/>
      <c r="E975" s="786"/>
      <c r="F975" s="785"/>
      <c r="G975" s="787"/>
      <c r="H975" s="788"/>
      <c r="I975" s="283"/>
      <c r="J975" s="785"/>
      <c r="K975" s="786"/>
      <c r="L975" s="786"/>
      <c r="M975" s="786"/>
      <c r="N975" s="785"/>
      <c r="O975" s="787"/>
      <c r="P975" s="789">
        <f t="shared" si="30"/>
        <v>0</v>
      </c>
      <c r="Q975" s="199"/>
    </row>
    <row r="976">
      <c r="A976" s="238"/>
      <c r="B976" s="785"/>
      <c r="C976" s="786"/>
      <c r="D976" s="786"/>
      <c r="E976" s="786"/>
      <c r="F976" s="785"/>
      <c r="G976" s="787"/>
      <c r="H976" s="788"/>
      <c r="I976" s="283"/>
      <c r="J976" s="785"/>
      <c r="K976" s="786"/>
      <c r="L976" s="786"/>
      <c r="M976" s="786"/>
      <c r="N976" s="785"/>
      <c r="O976" s="787"/>
      <c r="P976" s="789">
        <f t="shared" si="30"/>
        <v>0</v>
      </c>
      <c r="Q976" s="199"/>
    </row>
    <row r="977">
      <c r="A977" s="197"/>
      <c r="B977" s="790" t="s">
        <v>711</v>
      </c>
      <c r="C977" s="791"/>
      <c r="D977" s="791"/>
      <c r="E977" s="792"/>
      <c r="F977" s="793">
        <f>SUM(F971:F976)</f>
        <v>0</v>
      </c>
      <c r="G977" s="794"/>
      <c r="H977" s="793">
        <f>SUM(H971:H976)</f>
        <v>0</v>
      </c>
      <c r="I977" s="1040"/>
      <c r="J977" s="790" t="s">
        <v>711</v>
      </c>
      <c r="K977" s="791"/>
      <c r="L977" s="791"/>
      <c r="M977" s="792"/>
      <c r="N977" s="793">
        <f>SUM(N971:N976)</f>
        <v>0</v>
      </c>
      <c r="O977" s="794"/>
      <c r="P977" s="793">
        <f>SUM(P971:P976)</f>
        <v>0</v>
      </c>
      <c r="Q977" s="199"/>
    </row>
    <row r="978">
      <c r="A978" s="238"/>
      <c r="B978" s="796"/>
      <c r="E978" s="798"/>
      <c r="H978" s="799"/>
      <c r="I978" s="283"/>
      <c r="J978" s="796"/>
      <c r="M978" s="798"/>
      <c r="P978" s="799"/>
      <c r="Q978" s="199"/>
    </row>
    <row r="979">
      <c r="A979" s="197"/>
      <c r="B979" s="800" t="s">
        <v>712</v>
      </c>
      <c r="C979" s="803"/>
      <c r="D979" s="804"/>
      <c r="H979" s="799"/>
      <c r="I979" s="283"/>
      <c r="J979" s="800" t="s">
        <v>712</v>
      </c>
      <c r="K979" s="803"/>
      <c r="L979" s="804"/>
      <c r="P979" s="799"/>
      <c r="Q979" s="199"/>
    </row>
    <row r="980">
      <c r="A980" s="197"/>
      <c r="B980" s="867"/>
      <c r="C980" s="808"/>
      <c r="D980" s="809"/>
      <c r="H980" s="799"/>
      <c r="I980" s="283"/>
      <c r="J980" s="867"/>
      <c r="K980" s="808"/>
      <c r="L980" s="809"/>
      <c r="P980" s="799"/>
      <c r="Q980" s="199"/>
    </row>
    <row r="981">
      <c r="A981" s="238"/>
      <c r="B981" s="868"/>
      <c r="C981" s="774"/>
      <c r="D981" s="816"/>
      <c r="H981" s="799"/>
      <c r="I981" s="283"/>
      <c r="J981" s="868"/>
      <c r="K981" s="774"/>
      <c r="L981" s="816"/>
      <c r="P981" s="799"/>
      <c r="Q981" s="199"/>
    </row>
    <row r="982">
      <c r="A982" s="197"/>
      <c r="B982" s="815"/>
      <c r="C982" s="792"/>
      <c r="D982" s="816"/>
      <c r="H982" s="829"/>
      <c r="I982" s="1040"/>
      <c r="J982" s="815"/>
      <c r="K982" s="792"/>
      <c r="L982" s="816"/>
      <c r="P982" s="829"/>
      <c r="Q982" s="199"/>
    </row>
    <row r="983">
      <c r="A983" s="238"/>
      <c r="B983" s="817"/>
      <c r="C983" s="774"/>
      <c r="D983" s="818"/>
      <c r="H983" s="799"/>
      <c r="I983" s="283"/>
      <c r="J983" s="817"/>
      <c r="K983" s="774"/>
      <c r="L983" s="818"/>
      <c r="P983" s="799"/>
      <c r="Q983" s="199"/>
    </row>
    <row r="984">
      <c r="A984" s="197"/>
      <c r="B984" s="817"/>
      <c r="C984" s="792"/>
      <c r="D984" s="818"/>
      <c r="H984" s="829"/>
      <c r="I984" s="1040"/>
      <c r="J984" s="817"/>
      <c r="K984" s="792"/>
      <c r="L984" s="818"/>
      <c r="P984" s="829"/>
      <c r="Q984" s="199"/>
    </row>
    <row r="985">
      <c r="A985" s="197"/>
      <c r="B985" s="821" t="s">
        <v>714</v>
      </c>
      <c r="C985" s="822"/>
      <c r="D985" s="823">
        <f>SUM(D980:D984)</f>
        <v>0</v>
      </c>
      <c r="H985" s="799"/>
      <c r="I985" s="283"/>
      <c r="J985" s="821" t="s">
        <v>714</v>
      </c>
      <c r="K985" s="822"/>
      <c r="L985" s="827"/>
      <c r="P985" s="799"/>
      <c r="Q985" s="199"/>
    </row>
    <row r="986">
      <c r="A986" s="197"/>
      <c r="B986" s="828"/>
      <c r="D986" s="829"/>
      <c r="H986" s="799"/>
      <c r="I986" s="283"/>
      <c r="J986" s="828"/>
      <c r="L986" s="829"/>
      <c r="P986" s="799"/>
      <c r="Q986" s="199"/>
    </row>
    <row r="987">
      <c r="A987" s="197"/>
      <c r="B987" s="833" t="s">
        <v>715</v>
      </c>
      <c r="C987" s="834"/>
      <c r="D987" s="835"/>
      <c r="H987" s="799"/>
      <c r="I987" s="283"/>
      <c r="J987" s="833" t="s">
        <v>715</v>
      </c>
      <c r="K987" s="834"/>
      <c r="L987" s="835"/>
      <c r="P987" s="799"/>
      <c r="Q987" s="199"/>
    </row>
    <row r="988">
      <c r="A988" s="197"/>
      <c r="B988" s="839"/>
      <c r="C988" s="840"/>
      <c r="D988" s="841"/>
      <c r="H988" s="799"/>
      <c r="I988" s="283"/>
      <c r="J988" s="839"/>
      <c r="K988" s="840"/>
      <c r="L988" s="841"/>
      <c r="P988" s="799"/>
      <c r="Q988" s="199"/>
    </row>
    <row r="989">
      <c r="A989" s="238"/>
      <c r="B989" s="847"/>
      <c r="C989" s="848"/>
      <c r="D989" s="849"/>
      <c r="E989" s="248"/>
      <c r="F989" s="845" t="s">
        <v>1182</v>
      </c>
      <c r="H989" s="1037">
        <f>H977+D985-D994</f>
        <v>0</v>
      </c>
      <c r="I989" s="283"/>
      <c r="J989" s="847"/>
      <c r="K989" s="848"/>
      <c r="L989" s="849"/>
      <c r="M989" s="248"/>
      <c r="N989" s="845" t="s">
        <v>1183</v>
      </c>
      <c r="P989" s="846">
        <f>P977+L985-L994</f>
        <v>0</v>
      </c>
      <c r="Q989" s="199"/>
    </row>
    <row r="990">
      <c r="A990" s="238"/>
      <c r="B990" s="847"/>
      <c r="C990" s="848"/>
      <c r="D990" s="849"/>
      <c r="H990" s="799"/>
      <c r="I990" s="283"/>
      <c r="J990" s="847"/>
      <c r="K990" s="848"/>
      <c r="L990" s="849"/>
      <c r="P990" s="799"/>
      <c r="Q990" s="199"/>
    </row>
    <row r="991">
      <c r="A991" s="238"/>
      <c r="B991" s="847"/>
      <c r="C991" s="848"/>
      <c r="D991" s="849"/>
      <c r="H991" s="799"/>
      <c r="I991" s="283"/>
      <c r="J991" s="847"/>
      <c r="K991" s="848"/>
      <c r="L991" s="849"/>
      <c r="P991" s="799"/>
      <c r="Q991" s="199"/>
    </row>
    <row r="992">
      <c r="A992" s="238"/>
      <c r="B992" s="847"/>
      <c r="C992" s="848"/>
      <c r="D992" s="849"/>
      <c r="F992" s="248"/>
      <c r="H992" s="799"/>
      <c r="I992" s="283"/>
      <c r="J992" s="847"/>
      <c r="K992" s="848"/>
      <c r="L992" s="849"/>
      <c r="N992" s="248"/>
      <c r="P992" s="799"/>
      <c r="Q992" s="199"/>
    </row>
    <row r="993">
      <c r="A993" s="238"/>
      <c r="B993" s="847"/>
      <c r="C993" s="848"/>
      <c r="D993" s="849"/>
      <c r="H993" s="799"/>
      <c r="I993" s="283"/>
      <c r="J993" s="847"/>
      <c r="K993" s="848"/>
      <c r="L993" s="849"/>
      <c r="P993" s="799"/>
      <c r="Q993" s="199"/>
    </row>
    <row r="994">
      <c r="A994" s="197"/>
      <c r="B994" s="853" t="s">
        <v>721</v>
      </c>
      <c r="C994" s="854"/>
      <c r="D994" s="855">
        <f>SUM(D988:D993)</f>
        <v>0</v>
      </c>
      <c r="H994" s="829"/>
      <c r="I994" s="1040"/>
      <c r="J994" s="853" t="s">
        <v>721</v>
      </c>
      <c r="K994" s="854"/>
      <c r="L994" s="855"/>
      <c r="P994" s="829"/>
      <c r="Q994" s="199"/>
    </row>
    <row r="995">
      <c r="A995" s="283"/>
      <c r="B995" s="856"/>
      <c r="C995" s="857"/>
      <c r="D995" s="857"/>
      <c r="E995" s="857"/>
      <c r="F995" s="857"/>
      <c r="G995" s="857"/>
      <c r="H995" s="808"/>
      <c r="I995" s="283"/>
      <c r="J995" s="856"/>
      <c r="K995" s="857"/>
      <c r="L995" s="857"/>
      <c r="M995" s="857"/>
      <c r="N995" s="857"/>
      <c r="O995" s="857"/>
      <c r="P995" s="808"/>
      <c r="Q995" s="199"/>
    </row>
    <row r="996">
      <c r="A996" s="1041"/>
      <c r="Y996" s="283"/>
    </row>
    <row r="997" ht="24.75" customHeight="1">
      <c r="A997" s="201"/>
      <c r="B997" s="769"/>
      <c r="C997" s="770"/>
      <c r="D997" s="770"/>
      <c r="E997" s="771" t="s">
        <v>700</v>
      </c>
      <c r="F997" s="772" t="str">
        <f>A2</f>
        <v>11.24.25-11.30.25</v>
      </c>
      <c r="G997" s="773"/>
      <c r="H997" s="774"/>
      <c r="I997" s="305">
        <v>30.0</v>
      </c>
      <c r="J997" s="769"/>
      <c r="K997" s="770"/>
      <c r="L997" s="770"/>
      <c r="M997" s="771" t="s">
        <v>700</v>
      </c>
      <c r="N997" s="772" t="str">
        <f>F997</f>
        <v>11.24.25-11.30.25</v>
      </c>
      <c r="O997" s="773"/>
      <c r="P997" s="774"/>
      <c r="Q997" s="199"/>
    </row>
    <row r="998" ht="25.5" customHeight="1">
      <c r="A998" s="194"/>
      <c r="B998" s="775"/>
      <c r="E998" s="771" t="s">
        <v>702</v>
      </c>
      <c r="F998" s="772" t="s">
        <v>660</v>
      </c>
      <c r="G998" s="773"/>
      <c r="H998" s="774"/>
      <c r="I998" s="283"/>
      <c r="J998" s="775"/>
      <c r="M998" s="771" t="s">
        <v>702</v>
      </c>
      <c r="N998" s="772"/>
      <c r="O998" s="773"/>
      <c r="P998" s="774"/>
      <c r="Q998" s="199"/>
    </row>
    <row r="999" ht="29.25" customHeight="1">
      <c r="A999" s="194"/>
      <c r="B999" s="775"/>
      <c r="E999" s="771" t="s">
        <v>703</v>
      </c>
      <c r="F999" s="772">
        <v>2319.0</v>
      </c>
      <c r="G999" s="773"/>
      <c r="H999" s="774"/>
      <c r="I999" s="283"/>
      <c r="J999" s="775"/>
      <c r="M999" s="771" t="s">
        <v>703</v>
      </c>
      <c r="N999" s="772">
        <v>2319.0</v>
      </c>
      <c r="O999" s="773"/>
      <c r="P999" s="774"/>
      <c r="Q999" s="199"/>
    </row>
    <row r="1000">
      <c r="A1000" s="1031"/>
      <c r="B1000" s="779" t="s">
        <v>704</v>
      </c>
      <c r="C1000" s="779" t="s">
        <v>5</v>
      </c>
      <c r="D1000" s="779" t="s">
        <v>6</v>
      </c>
      <c r="E1000" s="779" t="s">
        <v>7</v>
      </c>
      <c r="F1000" s="779" t="s">
        <v>8</v>
      </c>
      <c r="G1000" s="779" t="s">
        <v>706</v>
      </c>
      <c r="H1000" s="779" t="s">
        <v>707</v>
      </c>
      <c r="I1000" s="34"/>
      <c r="J1000" s="779" t="s">
        <v>704</v>
      </c>
      <c r="K1000" s="779" t="s">
        <v>5</v>
      </c>
      <c r="L1000" s="779" t="s">
        <v>6</v>
      </c>
      <c r="M1000" s="779" t="s">
        <v>7</v>
      </c>
      <c r="N1000" s="779" t="s">
        <v>1178</v>
      </c>
      <c r="O1000" s="779" t="s">
        <v>839</v>
      </c>
      <c r="P1000" s="779" t="s">
        <v>707</v>
      </c>
      <c r="Q1000" s="1032"/>
      <c r="R1000" s="1032"/>
    </row>
    <row r="1001">
      <c r="A1001" s="229"/>
      <c r="B1001" s="780"/>
      <c r="C1001" s="781"/>
      <c r="D1001" s="781"/>
      <c r="E1001" s="781"/>
      <c r="F1001" s="782"/>
      <c r="G1001" s="783">
        <v>1.0</v>
      </c>
      <c r="H1001" s="782"/>
      <c r="I1001" s="283"/>
      <c r="J1001" s="1033"/>
      <c r="K1001" s="1034"/>
      <c r="L1001" s="1034"/>
      <c r="M1001" s="1034"/>
      <c r="N1001" s="1035"/>
      <c r="O1001" s="1036"/>
      <c r="P1001" s="1035">
        <f t="shared" ref="P1001:P1006" si="31">N1001*O1001</f>
        <v>0</v>
      </c>
      <c r="Q1001" s="199"/>
    </row>
    <row r="1002">
      <c r="A1002" s="229"/>
      <c r="B1002" s="780"/>
      <c r="C1002" s="781"/>
      <c r="D1002" s="781"/>
      <c r="E1002" s="781"/>
      <c r="F1002" s="782"/>
      <c r="G1002" s="783">
        <v>1.0</v>
      </c>
      <c r="H1002" s="782"/>
      <c r="I1002" s="283"/>
      <c r="J1002" s="780"/>
      <c r="K1002" s="781"/>
      <c r="L1002" s="781"/>
      <c r="M1002" s="781"/>
      <c r="N1002" s="782"/>
      <c r="O1002" s="783"/>
      <c r="P1002" s="789">
        <f t="shared" si="31"/>
        <v>0</v>
      </c>
      <c r="Q1002" s="199"/>
    </row>
    <row r="1003">
      <c r="A1003" s="238"/>
      <c r="B1003" s="785"/>
      <c r="C1003" s="786"/>
      <c r="D1003" s="786"/>
      <c r="E1003" s="786"/>
      <c r="F1003" s="785"/>
      <c r="G1003" s="787"/>
      <c r="H1003" s="788"/>
      <c r="I1003" s="283"/>
      <c r="J1003" s="785"/>
      <c r="K1003" s="786"/>
      <c r="L1003" s="786"/>
      <c r="M1003" s="786"/>
      <c r="N1003" s="785"/>
      <c r="O1003" s="787"/>
      <c r="P1003" s="789">
        <f t="shared" si="31"/>
        <v>0</v>
      </c>
      <c r="Q1003" s="199"/>
    </row>
    <row r="1004">
      <c r="A1004" s="238"/>
      <c r="B1004" s="785"/>
      <c r="C1004" s="786"/>
      <c r="D1004" s="786"/>
      <c r="E1004" s="786"/>
      <c r="F1004" s="785"/>
      <c r="G1004" s="787"/>
      <c r="H1004" s="788"/>
      <c r="I1004" s="283"/>
      <c r="J1004" s="785"/>
      <c r="K1004" s="786"/>
      <c r="L1004" s="786"/>
      <c r="M1004" s="786"/>
      <c r="N1004" s="785"/>
      <c r="O1004" s="787"/>
      <c r="P1004" s="789">
        <f t="shared" si="31"/>
        <v>0</v>
      </c>
      <c r="Q1004" s="199"/>
    </row>
    <row r="1005">
      <c r="A1005" s="238"/>
      <c r="B1005" s="785"/>
      <c r="C1005" s="786"/>
      <c r="D1005" s="786"/>
      <c r="E1005" s="786"/>
      <c r="F1005" s="785"/>
      <c r="G1005" s="787"/>
      <c r="H1005" s="788"/>
      <c r="I1005" s="283"/>
      <c r="J1005" s="785"/>
      <c r="K1005" s="786"/>
      <c r="L1005" s="786"/>
      <c r="M1005" s="786"/>
      <c r="N1005" s="785"/>
      <c r="O1005" s="787"/>
      <c r="P1005" s="789">
        <f t="shared" si="31"/>
        <v>0</v>
      </c>
      <c r="Q1005" s="199"/>
    </row>
    <row r="1006">
      <c r="A1006" s="238"/>
      <c r="B1006" s="785"/>
      <c r="C1006" s="786"/>
      <c r="D1006" s="786"/>
      <c r="E1006" s="786"/>
      <c r="F1006" s="785"/>
      <c r="G1006" s="787"/>
      <c r="H1006" s="788"/>
      <c r="I1006" s="283"/>
      <c r="J1006" s="785"/>
      <c r="K1006" s="786"/>
      <c r="L1006" s="786"/>
      <c r="M1006" s="786"/>
      <c r="N1006" s="785"/>
      <c r="O1006" s="787"/>
      <c r="P1006" s="789">
        <f t="shared" si="31"/>
        <v>0</v>
      </c>
      <c r="Q1006" s="199"/>
    </row>
    <row r="1007">
      <c r="A1007" s="197"/>
      <c r="B1007" s="790" t="s">
        <v>711</v>
      </c>
      <c r="C1007" s="791"/>
      <c r="D1007" s="791"/>
      <c r="E1007" s="792"/>
      <c r="F1007" s="793">
        <f>SUM(F1001:F1006)</f>
        <v>0</v>
      </c>
      <c r="G1007" s="794"/>
      <c r="H1007" s="793">
        <f>SUM(H1001:H1006)</f>
        <v>0</v>
      </c>
      <c r="I1007" s="283"/>
      <c r="J1007" s="790" t="s">
        <v>711</v>
      </c>
      <c r="K1007" s="791"/>
      <c r="L1007" s="791"/>
      <c r="M1007" s="792"/>
      <c r="N1007" s="793">
        <f>SUM(N1001:N1006)</f>
        <v>0</v>
      </c>
      <c r="O1007" s="794"/>
      <c r="P1007" s="793">
        <f>SUM(P1001:P1006)</f>
        <v>0</v>
      </c>
      <c r="Q1007" s="199"/>
    </row>
    <row r="1008">
      <c r="A1008" s="238"/>
      <c r="B1008" s="1042"/>
      <c r="E1008" s="798"/>
      <c r="H1008" s="829"/>
      <c r="I1008" s="1040"/>
      <c r="J1008" s="1042"/>
      <c r="M1008" s="798"/>
      <c r="P1008" s="829"/>
      <c r="Q1008" s="199"/>
    </row>
    <row r="1009">
      <c r="A1009" s="197"/>
      <c r="B1009" s="800" t="s">
        <v>712</v>
      </c>
      <c r="C1009" s="803"/>
      <c r="D1009" s="804"/>
      <c r="H1009" s="799"/>
      <c r="I1009" s="283"/>
      <c r="J1009" s="800" t="s">
        <v>712</v>
      </c>
      <c r="K1009" s="803"/>
      <c r="L1009" s="804"/>
      <c r="P1009" s="799"/>
      <c r="Q1009" s="199"/>
    </row>
    <row r="1010">
      <c r="A1010" s="197"/>
      <c r="B1010" s="867"/>
      <c r="C1010" s="808"/>
      <c r="D1010" s="809"/>
      <c r="H1010" s="799"/>
      <c r="I1010" s="283"/>
      <c r="J1010" s="867"/>
      <c r="K1010" s="808"/>
      <c r="L1010" s="809"/>
      <c r="P1010" s="799"/>
      <c r="Q1010" s="199"/>
    </row>
    <row r="1011">
      <c r="A1011" s="238"/>
      <c r="B1011" s="868"/>
      <c r="C1011" s="774"/>
      <c r="D1011" s="816"/>
      <c r="H1011" s="799"/>
      <c r="I1011" s="283"/>
      <c r="J1011" s="868"/>
      <c r="K1011" s="774"/>
      <c r="L1011" s="816"/>
      <c r="P1011" s="799"/>
      <c r="Q1011" s="199"/>
    </row>
    <row r="1012">
      <c r="A1012" s="197"/>
      <c r="B1012" s="815"/>
      <c r="C1012" s="792"/>
      <c r="D1012" s="816"/>
      <c r="H1012" s="799"/>
      <c r="I1012" s="283"/>
      <c r="J1012" s="815"/>
      <c r="K1012" s="792"/>
      <c r="L1012" s="816"/>
      <c r="P1012" s="799"/>
      <c r="Q1012" s="199"/>
    </row>
    <row r="1013">
      <c r="A1013" s="238"/>
      <c r="B1013" s="817"/>
      <c r="C1013" s="792"/>
      <c r="D1013" s="818"/>
      <c r="H1013" s="799"/>
      <c r="I1013" s="283"/>
      <c r="J1013" s="817"/>
      <c r="K1013" s="774"/>
      <c r="L1013" s="818"/>
      <c r="P1013" s="799"/>
      <c r="Q1013" s="199"/>
    </row>
    <row r="1014">
      <c r="A1014" s="197"/>
      <c r="B1014" s="817"/>
      <c r="C1014" s="774"/>
      <c r="D1014" s="818"/>
      <c r="H1014" s="799"/>
      <c r="I1014" s="283"/>
      <c r="J1014" s="817"/>
      <c r="K1014" s="774"/>
      <c r="L1014" s="818"/>
      <c r="P1014" s="799"/>
      <c r="Q1014" s="199"/>
    </row>
    <row r="1015">
      <c r="A1015" s="197"/>
      <c r="B1015" s="821" t="s">
        <v>714</v>
      </c>
      <c r="C1015" s="1043"/>
      <c r="D1015" s="823">
        <f>SUM(D1010:D1014)</f>
        <v>0</v>
      </c>
      <c r="H1015" s="829"/>
      <c r="I1015" s="1040"/>
      <c r="J1015" s="821" t="s">
        <v>714</v>
      </c>
      <c r="K1015" s="1043"/>
      <c r="L1015" s="827"/>
      <c r="P1015" s="829"/>
      <c r="Q1015" s="199"/>
    </row>
    <row r="1016">
      <c r="A1016" s="197"/>
      <c r="B1016" s="828"/>
      <c r="D1016" s="829"/>
      <c r="H1016" s="799"/>
      <c r="I1016" s="283"/>
      <c r="J1016" s="828"/>
      <c r="L1016" s="829"/>
      <c r="P1016" s="799"/>
      <c r="Q1016" s="199"/>
    </row>
    <row r="1017">
      <c r="A1017" s="197"/>
      <c r="B1017" s="833" t="s">
        <v>715</v>
      </c>
      <c r="C1017" s="834"/>
      <c r="D1017" s="835"/>
      <c r="H1017" s="799"/>
      <c r="I1017" s="283"/>
      <c r="J1017" s="833" t="s">
        <v>715</v>
      </c>
      <c r="K1017" s="834"/>
      <c r="L1017" s="835"/>
      <c r="P1017" s="799"/>
      <c r="Q1017" s="199"/>
    </row>
    <row r="1018">
      <c r="A1018" s="197"/>
      <c r="B1018" s="839"/>
      <c r="C1018" s="840"/>
      <c r="D1018" s="841"/>
      <c r="H1018" s="799"/>
      <c r="I1018" s="283"/>
      <c r="J1018" s="839"/>
      <c r="K1018" s="840"/>
      <c r="L1018" s="841"/>
      <c r="P1018" s="799"/>
      <c r="Q1018" s="199"/>
    </row>
    <row r="1019">
      <c r="A1019" s="238"/>
      <c r="B1019" s="847"/>
      <c r="C1019" s="848"/>
      <c r="D1019" s="849"/>
      <c r="E1019" s="248"/>
      <c r="F1019" s="845" t="s">
        <v>1182</v>
      </c>
      <c r="H1019" s="1037">
        <f>H1007+D1015-D1024</f>
        <v>0</v>
      </c>
      <c r="I1019" s="283"/>
      <c r="J1019" s="847"/>
      <c r="K1019" s="848"/>
      <c r="L1019" s="849"/>
      <c r="M1019" s="248"/>
      <c r="N1019" s="845" t="s">
        <v>1183</v>
      </c>
      <c r="P1019" s="846">
        <f>P1007+L1015-L1024</f>
        <v>0</v>
      </c>
      <c r="Q1019" s="199"/>
    </row>
    <row r="1020">
      <c r="A1020" s="238"/>
      <c r="B1020" s="847"/>
      <c r="C1020" s="848"/>
      <c r="D1020" s="849"/>
      <c r="H1020" s="799"/>
      <c r="I1020" s="283"/>
      <c r="J1020" s="847"/>
      <c r="K1020" s="848"/>
      <c r="L1020" s="849"/>
      <c r="P1020" s="799"/>
      <c r="Q1020" s="199"/>
    </row>
    <row r="1021">
      <c r="A1021" s="238"/>
      <c r="B1021" s="847"/>
      <c r="C1021" s="848"/>
      <c r="D1021" s="849"/>
      <c r="H1021" s="799"/>
      <c r="I1021" s="283"/>
      <c r="J1021" s="847"/>
      <c r="K1021" s="848"/>
      <c r="L1021" s="849"/>
      <c r="P1021" s="799"/>
      <c r="Q1021" s="199"/>
    </row>
    <row r="1022">
      <c r="A1022" s="238"/>
      <c r="B1022" s="847"/>
      <c r="C1022" s="848"/>
      <c r="D1022" s="849"/>
      <c r="F1022" s="248"/>
      <c r="H1022" s="799"/>
      <c r="I1022" s="283"/>
      <c r="J1022" s="847"/>
      <c r="K1022" s="848"/>
      <c r="L1022" s="849"/>
      <c r="N1022" s="248"/>
      <c r="P1022" s="799"/>
      <c r="Q1022" s="199"/>
    </row>
    <row r="1023">
      <c r="A1023" s="238"/>
      <c r="B1023" s="847"/>
      <c r="C1023" s="848"/>
      <c r="D1023" s="849"/>
      <c r="H1023" s="799"/>
      <c r="I1023" s="283"/>
      <c r="J1023" s="847"/>
      <c r="K1023" s="848"/>
      <c r="L1023" s="849"/>
      <c r="P1023" s="799"/>
      <c r="Q1023" s="199"/>
    </row>
    <row r="1024">
      <c r="A1024" s="197"/>
      <c r="B1024" s="853" t="s">
        <v>721</v>
      </c>
      <c r="C1024" s="854"/>
      <c r="D1024" s="855">
        <f>SUM(D1018:D1023)</f>
        <v>0</v>
      </c>
      <c r="H1024" s="799"/>
      <c r="I1024" s="283"/>
      <c r="J1024" s="853" t="s">
        <v>721</v>
      </c>
      <c r="K1024" s="854"/>
      <c r="L1024" s="855"/>
      <c r="P1024" s="799"/>
      <c r="Q1024" s="199"/>
    </row>
    <row r="1025">
      <c r="A1025" s="283"/>
      <c r="B1025" s="856"/>
      <c r="C1025" s="857"/>
      <c r="D1025" s="857"/>
      <c r="E1025" s="857"/>
      <c r="F1025" s="857"/>
      <c r="G1025" s="857"/>
      <c r="H1025" s="808"/>
      <c r="I1025" s="283"/>
      <c r="J1025" s="856"/>
      <c r="K1025" s="857"/>
      <c r="L1025" s="857"/>
      <c r="M1025" s="857"/>
      <c r="N1025" s="857"/>
      <c r="O1025" s="857"/>
      <c r="P1025" s="808"/>
      <c r="Q1025" s="199"/>
    </row>
    <row r="1026">
      <c r="A1026" s="1041"/>
      <c r="Y1026" s="283"/>
    </row>
    <row r="1027">
      <c r="A1027" s="283"/>
      <c r="B1027" s="199"/>
      <c r="C1027" s="199"/>
      <c r="D1027" s="199"/>
      <c r="E1027" s="199"/>
      <c r="F1027" s="199"/>
      <c r="G1027" s="199"/>
      <c r="H1027" s="199"/>
      <c r="I1027" s="283"/>
      <c r="J1027" s="199"/>
      <c r="K1027" s="199"/>
      <c r="L1027" s="199"/>
      <c r="M1027" s="199"/>
      <c r="N1027" s="199"/>
      <c r="O1027" s="199"/>
      <c r="P1027" s="199"/>
      <c r="Q1027" s="199"/>
    </row>
    <row r="1028">
      <c r="A1028" s="283"/>
      <c r="B1028" s="199"/>
      <c r="C1028" s="199"/>
      <c r="D1028" s="199"/>
      <c r="E1028" s="199"/>
      <c r="F1028" s="199"/>
      <c r="G1028" s="199"/>
      <c r="H1028" s="199"/>
      <c r="I1028" s="283"/>
      <c r="J1028" s="199"/>
      <c r="K1028" s="199"/>
      <c r="L1028" s="199"/>
      <c r="M1028" s="199"/>
      <c r="N1028" s="199"/>
      <c r="O1028" s="199"/>
      <c r="P1028" s="199"/>
      <c r="Q1028" s="199"/>
    </row>
    <row r="1029">
      <c r="A1029" s="283"/>
      <c r="B1029" s="199"/>
      <c r="C1029" s="199"/>
      <c r="D1029" s="199"/>
      <c r="E1029" s="199"/>
      <c r="F1029" s="199"/>
      <c r="G1029" s="199"/>
      <c r="H1029" s="199"/>
      <c r="I1029" s="283"/>
      <c r="J1029" s="199"/>
      <c r="K1029" s="199"/>
      <c r="L1029" s="199"/>
      <c r="M1029" s="199"/>
      <c r="N1029" s="199"/>
      <c r="O1029" s="199"/>
      <c r="P1029" s="199"/>
      <c r="Q1029" s="199"/>
    </row>
    <row r="1030">
      <c r="A1030" s="283"/>
      <c r="B1030" s="199"/>
      <c r="C1030" s="199"/>
      <c r="D1030" s="199"/>
      <c r="E1030" s="199"/>
      <c r="F1030" s="199"/>
      <c r="G1030" s="199"/>
      <c r="H1030" s="199"/>
      <c r="I1030" s="283"/>
      <c r="J1030" s="199"/>
      <c r="K1030" s="199"/>
      <c r="L1030" s="199"/>
      <c r="M1030" s="199"/>
      <c r="N1030" s="199"/>
      <c r="O1030" s="199"/>
      <c r="P1030" s="199"/>
      <c r="Q1030" s="199"/>
    </row>
    <row r="1031">
      <c r="A1031" s="283"/>
      <c r="B1031" s="199"/>
      <c r="C1031" s="199"/>
      <c r="D1031" s="199"/>
      <c r="E1031" s="199"/>
      <c r="F1031" s="199"/>
      <c r="G1031" s="199"/>
      <c r="H1031" s="199"/>
      <c r="I1031" s="283"/>
      <c r="J1031" s="199"/>
      <c r="K1031" s="199"/>
      <c r="L1031" s="199"/>
      <c r="M1031" s="199"/>
      <c r="N1031" s="199"/>
      <c r="O1031" s="199"/>
      <c r="P1031" s="199"/>
      <c r="Q1031" s="199"/>
    </row>
    <row r="1032">
      <c r="A1032" s="283"/>
      <c r="B1032" s="199"/>
      <c r="C1032" s="199"/>
      <c r="D1032" s="199"/>
      <c r="E1032" s="199"/>
      <c r="F1032" s="199"/>
      <c r="G1032" s="199"/>
      <c r="H1032" s="199"/>
      <c r="I1032" s="283"/>
      <c r="J1032" s="199"/>
      <c r="K1032" s="199"/>
      <c r="L1032" s="199"/>
      <c r="M1032" s="199"/>
      <c r="N1032" s="199"/>
      <c r="O1032" s="199"/>
      <c r="P1032" s="199"/>
      <c r="Q1032" s="199"/>
    </row>
    <row r="1033">
      <c r="A1033" s="283"/>
      <c r="B1033" s="199"/>
      <c r="C1033" s="199"/>
      <c r="D1033" s="199"/>
      <c r="E1033" s="199"/>
      <c r="F1033" s="199"/>
      <c r="G1033" s="199"/>
      <c r="H1033" s="199"/>
      <c r="I1033" s="283"/>
      <c r="J1033" s="199"/>
      <c r="K1033" s="199"/>
      <c r="L1033" s="199"/>
      <c r="M1033" s="199"/>
      <c r="N1033" s="199"/>
      <c r="O1033" s="199"/>
      <c r="P1033" s="199"/>
      <c r="Q1033" s="199"/>
    </row>
    <row r="1034">
      <c r="A1034" s="283"/>
      <c r="B1034" s="199"/>
      <c r="C1034" s="199"/>
      <c r="D1034" s="199"/>
      <c r="E1034" s="199"/>
      <c r="F1034" s="199"/>
      <c r="G1034" s="199"/>
      <c r="H1034" s="199"/>
      <c r="I1034" s="283"/>
      <c r="J1034" s="199"/>
      <c r="K1034" s="199"/>
      <c r="L1034" s="199"/>
      <c r="M1034" s="199"/>
      <c r="N1034" s="199"/>
      <c r="O1034" s="199"/>
      <c r="P1034" s="199"/>
      <c r="Q1034" s="199"/>
    </row>
    <row r="1035">
      <c r="A1035" s="283"/>
      <c r="B1035" s="199"/>
      <c r="C1035" s="199"/>
      <c r="D1035" s="199"/>
      <c r="E1035" s="199"/>
      <c r="F1035" s="199"/>
      <c r="G1035" s="199"/>
      <c r="H1035" s="199"/>
      <c r="I1035" s="283"/>
      <c r="J1035" s="199"/>
      <c r="K1035" s="199"/>
      <c r="L1035" s="199"/>
      <c r="M1035" s="199"/>
      <c r="N1035" s="199"/>
      <c r="O1035" s="199"/>
      <c r="P1035" s="199"/>
      <c r="Q1035" s="199"/>
    </row>
    <row r="1036">
      <c r="A1036" s="283"/>
      <c r="B1036" s="199"/>
      <c r="C1036" s="199"/>
      <c r="D1036" s="199"/>
      <c r="E1036" s="199"/>
      <c r="F1036" s="199"/>
      <c r="G1036" s="199"/>
      <c r="H1036" s="199"/>
      <c r="I1036" s="283"/>
      <c r="J1036" s="199"/>
      <c r="K1036" s="199"/>
      <c r="L1036" s="199"/>
      <c r="M1036" s="199"/>
      <c r="N1036" s="199"/>
      <c r="O1036" s="199"/>
      <c r="P1036" s="199"/>
      <c r="Q1036" s="199"/>
    </row>
    <row r="1037">
      <c r="A1037" s="283"/>
      <c r="B1037" s="199"/>
      <c r="C1037" s="199"/>
      <c r="D1037" s="199"/>
      <c r="E1037" s="199"/>
      <c r="F1037" s="199"/>
      <c r="G1037" s="199"/>
      <c r="H1037" s="199"/>
      <c r="I1037" s="283"/>
      <c r="J1037" s="199"/>
      <c r="K1037" s="199"/>
      <c r="L1037" s="199"/>
      <c r="M1037" s="199"/>
      <c r="N1037" s="199"/>
      <c r="O1037" s="199"/>
      <c r="P1037" s="199"/>
      <c r="Q1037" s="199"/>
    </row>
    <row r="1038">
      <c r="A1038" s="283"/>
      <c r="B1038" s="199"/>
      <c r="C1038" s="199"/>
      <c r="D1038" s="199"/>
      <c r="E1038" s="199"/>
      <c r="F1038" s="199"/>
      <c r="G1038" s="199"/>
      <c r="H1038" s="199"/>
      <c r="I1038" s="283"/>
      <c r="J1038" s="199"/>
      <c r="K1038" s="199"/>
      <c r="L1038" s="199"/>
      <c r="M1038" s="199"/>
      <c r="N1038" s="199"/>
      <c r="O1038" s="199"/>
      <c r="P1038" s="199"/>
      <c r="Q1038" s="199"/>
    </row>
    <row r="1039">
      <c r="A1039" s="283"/>
      <c r="B1039" s="199"/>
      <c r="C1039" s="199"/>
      <c r="D1039" s="199"/>
      <c r="E1039" s="199"/>
      <c r="F1039" s="199"/>
      <c r="G1039" s="199"/>
      <c r="H1039" s="199"/>
      <c r="I1039" s="283"/>
      <c r="J1039" s="199"/>
      <c r="K1039" s="199"/>
      <c r="L1039" s="199"/>
      <c r="M1039" s="199"/>
      <c r="N1039" s="199"/>
      <c r="O1039" s="199"/>
      <c r="P1039" s="199"/>
      <c r="Q1039" s="199"/>
    </row>
    <row r="1040">
      <c r="A1040" s="283"/>
      <c r="B1040" s="199"/>
      <c r="C1040" s="199"/>
      <c r="D1040" s="199"/>
      <c r="E1040" s="199"/>
      <c r="F1040" s="199"/>
      <c r="G1040" s="199"/>
      <c r="H1040" s="199"/>
      <c r="I1040" s="283"/>
      <c r="J1040" s="199"/>
      <c r="K1040" s="199"/>
      <c r="L1040" s="199"/>
      <c r="M1040" s="199"/>
      <c r="N1040" s="199"/>
      <c r="O1040" s="199"/>
      <c r="P1040" s="199"/>
      <c r="Q1040" s="199"/>
    </row>
    <row r="1041">
      <c r="A1041" s="283"/>
      <c r="B1041" s="199"/>
      <c r="C1041" s="199"/>
      <c r="D1041" s="199"/>
      <c r="E1041" s="199"/>
      <c r="F1041" s="199"/>
      <c r="G1041" s="199"/>
      <c r="H1041" s="199"/>
      <c r="I1041" s="283"/>
      <c r="J1041" s="199"/>
      <c r="K1041" s="199"/>
      <c r="L1041" s="199"/>
      <c r="M1041" s="199"/>
      <c r="N1041" s="199"/>
      <c r="O1041" s="199"/>
      <c r="P1041" s="199"/>
      <c r="Q1041" s="199"/>
    </row>
    <row r="1042">
      <c r="A1042" s="283"/>
      <c r="B1042" s="199"/>
      <c r="C1042" s="199"/>
      <c r="D1042" s="199"/>
      <c r="E1042" s="199"/>
      <c r="F1042" s="199"/>
      <c r="G1042" s="199"/>
      <c r="H1042" s="199"/>
      <c r="I1042" s="283"/>
      <c r="J1042" s="199"/>
      <c r="K1042" s="199"/>
      <c r="L1042" s="199"/>
      <c r="M1042" s="199"/>
      <c r="N1042" s="199"/>
      <c r="O1042" s="199"/>
      <c r="P1042" s="199"/>
      <c r="Q1042" s="199"/>
    </row>
    <row r="1043">
      <c r="A1043" s="283"/>
      <c r="B1043" s="199"/>
      <c r="C1043" s="199"/>
      <c r="D1043" s="199"/>
      <c r="E1043" s="199"/>
      <c r="F1043" s="199"/>
      <c r="G1043" s="199"/>
      <c r="H1043" s="199"/>
      <c r="I1043" s="283"/>
      <c r="J1043" s="199"/>
      <c r="K1043" s="199"/>
      <c r="L1043" s="199"/>
      <c r="M1043" s="199"/>
      <c r="N1043" s="199"/>
      <c r="O1043" s="199"/>
      <c r="P1043" s="199"/>
      <c r="Q1043" s="199"/>
    </row>
    <row r="1044">
      <c r="A1044" s="283"/>
      <c r="B1044" s="199"/>
      <c r="C1044" s="199"/>
      <c r="D1044" s="199"/>
      <c r="E1044" s="199"/>
      <c r="F1044" s="199"/>
      <c r="G1044" s="199"/>
      <c r="H1044" s="199"/>
      <c r="I1044" s="283"/>
      <c r="J1044" s="199"/>
      <c r="K1044" s="199"/>
      <c r="L1044" s="199"/>
      <c r="M1044" s="199"/>
      <c r="N1044" s="199"/>
      <c r="O1044" s="199"/>
      <c r="P1044" s="199"/>
      <c r="Q1044" s="199"/>
    </row>
    <row r="1045">
      <c r="A1045" s="283"/>
      <c r="B1045" s="199"/>
      <c r="C1045" s="199"/>
      <c r="D1045" s="199"/>
      <c r="E1045" s="199"/>
      <c r="F1045" s="199"/>
      <c r="G1045" s="199"/>
      <c r="H1045" s="199"/>
      <c r="I1045" s="283"/>
      <c r="J1045" s="199"/>
      <c r="K1045" s="199"/>
      <c r="L1045" s="199"/>
      <c r="M1045" s="199"/>
      <c r="N1045" s="199"/>
      <c r="O1045" s="199"/>
      <c r="P1045" s="199"/>
      <c r="Q1045" s="199"/>
    </row>
    <row r="1046">
      <c r="A1046" s="283"/>
      <c r="B1046" s="199"/>
      <c r="C1046" s="199"/>
      <c r="D1046" s="199"/>
      <c r="E1046" s="199"/>
      <c r="F1046" s="199"/>
      <c r="G1046" s="199"/>
      <c r="H1046" s="199"/>
      <c r="I1046" s="283"/>
      <c r="J1046" s="199"/>
      <c r="K1046" s="199"/>
      <c r="L1046" s="199"/>
      <c r="M1046" s="199"/>
      <c r="N1046" s="199"/>
      <c r="O1046" s="199"/>
      <c r="P1046" s="199"/>
      <c r="Q1046" s="199"/>
    </row>
    <row r="1047">
      <c r="A1047" s="283"/>
      <c r="B1047" s="199"/>
      <c r="C1047" s="199"/>
      <c r="D1047" s="199"/>
      <c r="E1047" s="199"/>
      <c r="F1047" s="199"/>
      <c r="G1047" s="199"/>
      <c r="H1047" s="199"/>
      <c r="I1047" s="283"/>
      <c r="J1047" s="199"/>
      <c r="K1047" s="199"/>
      <c r="L1047" s="199"/>
      <c r="M1047" s="199"/>
      <c r="N1047" s="199"/>
      <c r="O1047" s="199"/>
      <c r="P1047" s="199"/>
      <c r="Q1047" s="199"/>
    </row>
    <row r="1048">
      <c r="A1048" s="283"/>
      <c r="B1048" s="199"/>
      <c r="C1048" s="199"/>
      <c r="D1048" s="199"/>
      <c r="E1048" s="199"/>
      <c r="F1048" s="199"/>
      <c r="G1048" s="199"/>
      <c r="H1048" s="199"/>
      <c r="I1048" s="283"/>
      <c r="J1048" s="199"/>
      <c r="K1048" s="199"/>
      <c r="L1048" s="199"/>
      <c r="M1048" s="199"/>
      <c r="N1048" s="199"/>
      <c r="O1048" s="199"/>
      <c r="P1048" s="199"/>
      <c r="Q1048" s="199"/>
    </row>
    <row r="1049">
      <c r="A1049" s="283"/>
      <c r="B1049" s="199"/>
      <c r="C1049" s="199"/>
      <c r="D1049" s="199"/>
      <c r="E1049" s="199"/>
      <c r="F1049" s="199"/>
      <c r="G1049" s="199"/>
      <c r="H1049" s="199"/>
      <c r="I1049" s="283"/>
      <c r="J1049" s="199"/>
      <c r="K1049" s="199"/>
      <c r="L1049" s="199"/>
      <c r="M1049" s="199"/>
      <c r="N1049" s="199"/>
      <c r="O1049" s="199"/>
      <c r="P1049" s="199"/>
      <c r="Q1049" s="199"/>
    </row>
    <row r="1050">
      <c r="A1050" s="283"/>
      <c r="B1050" s="199"/>
      <c r="C1050" s="199"/>
      <c r="D1050" s="199"/>
      <c r="E1050" s="199"/>
      <c r="F1050" s="199"/>
      <c r="G1050" s="199"/>
      <c r="H1050" s="199"/>
      <c r="I1050" s="283"/>
      <c r="J1050" s="199"/>
      <c r="K1050" s="199"/>
      <c r="L1050" s="199"/>
      <c r="M1050" s="199"/>
      <c r="N1050" s="199"/>
      <c r="O1050" s="199"/>
      <c r="P1050" s="199"/>
      <c r="Q1050" s="199"/>
    </row>
    <row r="1051">
      <c r="A1051" s="283"/>
      <c r="B1051" s="199"/>
      <c r="C1051" s="199"/>
      <c r="D1051" s="199"/>
      <c r="E1051" s="199"/>
      <c r="F1051" s="199"/>
      <c r="G1051" s="199"/>
      <c r="H1051" s="199"/>
      <c r="I1051" s="283"/>
      <c r="J1051" s="199"/>
      <c r="K1051" s="199"/>
      <c r="L1051" s="199"/>
      <c r="M1051" s="199"/>
      <c r="N1051" s="199"/>
      <c r="O1051" s="199"/>
      <c r="P1051" s="199"/>
      <c r="Q1051" s="199"/>
    </row>
    <row r="1052">
      <c r="A1052" s="283"/>
      <c r="B1052" s="199"/>
      <c r="C1052" s="199"/>
      <c r="D1052" s="199"/>
      <c r="E1052" s="199"/>
      <c r="F1052" s="199"/>
      <c r="G1052" s="199"/>
      <c r="H1052" s="199"/>
      <c r="I1052" s="283"/>
      <c r="J1052" s="199"/>
      <c r="K1052" s="199"/>
      <c r="L1052" s="199"/>
      <c r="M1052" s="199"/>
      <c r="N1052" s="199"/>
      <c r="O1052" s="199"/>
      <c r="P1052" s="199"/>
      <c r="Q1052" s="199"/>
    </row>
    <row r="1053">
      <c r="A1053" s="283"/>
      <c r="B1053" s="199"/>
      <c r="C1053" s="199"/>
      <c r="D1053" s="199"/>
      <c r="E1053" s="199"/>
      <c r="F1053" s="199"/>
      <c r="G1053" s="199"/>
      <c r="H1053" s="199"/>
      <c r="I1053" s="283"/>
      <c r="J1053" s="199"/>
      <c r="K1053" s="199"/>
      <c r="L1053" s="199"/>
      <c r="M1053" s="199"/>
      <c r="N1053" s="199"/>
      <c r="O1053" s="199"/>
      <c r="P1053" s="199"/>
      <c r="Q1053" s="199"/>
    </row>
    <row r="1054">
      <c r="A1054" s="283"/>
      <c r="B1054" s="199"/>
      <c r="C1054" s="199"/>
      <c r="D1054" s="199"/>
      <c r="E1054" s="199"/>
      <c r="F1054" s="199"/>
      <c r="G1054" s="199"/>
      <c r="H1054" s="199"/>
      <c r="I1054" s="283"/>
      <c r="J1054" s="199"/>
      <c r="K1054" s="199"/>
      <c r="L1054" s="199"/>
      <c r="M1054" s="199"/>
      <c r="N1054" s="199"/>
      <c r="O1054" s="199"/>
      <c r="P1054" s="199"/>
      <c r="Q1054" s="199"/>
    </row>
    <row r="1055">
      <c r="A1055" s="283"/>
      <c r="B1055" s="199"/>
      <c r="C1055" s="199"/>
      <c r="D1055" s="199"/>
      <c r="E1055" s="199"/>
      <c r="F1055" s="199"/>
      <c r="G1055" s="199"/>
      <c r="H1055" s="199"/>
      <c r="I1055" s="283"/>
      <c r="J1055" s="199"/>
      <c r="K1055" s="199"/>
      <c r="L1055" s="199"/>
      <c r="M1055" s="199"/>
      <c r="N1055" s="199"/>
      <c r="O1055" s="199"/>
      <c r="P1055" s="199"/>
      <c r="Q1055" s="199"/>
    </row>
    <row r="1056">
      <c r="A1056" s="283"/>
      <c r="B1056" s="199"/>
      <c r="C1056" s="199"/>
      <c r="D1056" s="199"/>
      <c r="E1056" s="199"/>
      <c r="F1056" s="199"/>
      <c r="G1056" s="199"/>
      <c r="H1056" s="199"/>
      <c r="I1056" s="283"/>
      <c r="J1056" s="199"/>
      <c r="K1056" s="199"/>
      <c r="L1056" s="199"/>
      <c r="M1056" s="199"/>
      <c r="N1056" s="199"/>
      <c r="O1056" s="199"/>
      <c r="P1056" s="199"/>
      <c r="Q1056" s="199"/>
    </row>
    <row r="1057">
      <c r="A1057" s="283"/>
      <c r="B1057" s="199"/>
      <c r="C1057" s="199"/>
      <c r="D1057" s="199"/>
      <c r="E1057" s="199"/>
      <c r="F1057" s="199"/>
      <c r="G1057" s="199"/>
      <c r="H1057" s="199"/>
      <c r="I1057" s="283"/>
      <c r="J1057" s="199"/>
      <c r="K1057" s="199"/>
      <c r="L1057" s="199"/>
      <c r="M1057" s="199"/>
      <c r="N1057" s="199"/>
      <c r="O1057" s="199"/>
      <c r="P1057" s="199"/>
      <c r="Q1057" s="199"/>
    </row>
    <row r="1058">
      <c r="A1058" s="283"/>
      <c r="B1058" s="199"/>
      <c r="C1058" s="199"/>
      <c r="D1058" s="199"/>
      <c r="E1058" s="199"/>
      <c r="F1058" s="199"/>
      <c r="G1058" s="199"/>
      <c r="H1058" s="199"/>
      <c r="I1058" s="283"/>
      <c r="J1058" s="199"/>
      <c r="K1058" s="199"/>
      <c r="L1058" s="199"/>
      <c r="M1058" s="199"/>
      <c r="N1058" s="199"/>
      <c r="O1058" s="199"/>
      <c r="P1058" s="199"/>
      <c r="Q1058" s="199"/>
    </row>
    <row r="1059">
      <c r="A1059" s="283"/>
      <c r="B1059" s="199"/>
      <c r="C1059" s="199"/>
      <c r="D1059" s="199"/>
      <c r="E1059" s="199"/>
      <c r="F1059" s="199"/>
      <c r="G1059" s="199"/>
      <c r="H1059" s="199"/>
      <c r="I1059" s="283"/>
      <c r="J1059" s="199"/>
      <c r="K1059" s="199"/>
      <c r="L1059" s="199"/>
      <c r="M1059" s="199"/>
      <c r="N1059" s="199"/>
      <c r="O1059" s="199"/>
      <c r="P1059" s="199"/>
      <c r="Q1059" s="199"/>
    </row>
    <row r="1060">
      <c r="A1060" s="283"/>
      <c r="B1060" s="199"/>
      <c r="C1060" s="199"/>
      <c r="D1060" s="199"/>
      <c r="E1060" s="199"/>
      <c r="F1060" s="199"/>
      <c r="G1060" s="199"/>
      <c r="H1060" s="199"/>
      <c r="I1060" s="283"/>
      <c r="J1060" s="199"/>
      <c r="K1060" s="199"/>
      <c r="L1060" s="199"/>
      <c r="M1060" s="199"/>
      <c r="N1060" s="199"/>
      <c r="O1060" s="199"/>
      <c r="P1060" s="199"/>
      <c r="Q1060" s="199"/>
    </row>
    <row r="1061">
      <c r="A1061" s="283"/>
      <c r="B1061" s="199"/>
      <c r="C1061" s="199"/>
      <c r="D1061" s="199"/>
      <c r="E1061" s="199"/>
      <c r="F1061" s="199"/>
      <c r="G1061" s="199"/>
      <c r="H1061" s="199"/>
      <c r="I1061" s="283"/>
      <c r="J1061" s="199"/>
      <c r="K1061" s="199"/>
      <c r="L1061" s="199"/>
      <c r="M1061" s="199"/>
      <c r="N1061" s="199"/>
      <c r="O1061" s="199"/>
      <c r="P1061" s="199"/>
      <c r="Q1061" s="199"/>
    </row>
    <row r="1062">
      <c r="A1062" s="283"/>
      <c r="B1062" s="199"/>
      <c r="C1062" s="199"/>
      <c r="D1062" s="199"/>
      <c r="E1062" s="199"/>
      <c r="F1062" s="199"/>
      <c r="G1062" s="199"/>
      <c r="H1062" s="199"/>
      <c r="I1062" s="283"/>
      <c r="J1062" s="199"/>
      <c r="K1062" s="199"/>
      <c r="L1062" s="199"/>
      <c r="M1062" s="199"/>
      <c r="N1062" s="199"/>
      <c r="O1062" s="199"/>
      <c r="P1062" s="199"/>
      <c r="Q1062" s="199"/>
    </row>
    <row r="1063">
      <c r="A1063" s="283"/>
      <c r="B1063" s="199"/>
      <c r="C1063" s="199"/>
      <c r="D1063" s="199"/>
      <c r="E1063" s="199"/>
      <c r="F1063" s="199"/>
      <c r="G1063" s="199"/>
      <c r="H1063" s="199"/>
      <c r="I1063" s="283"/>
      <c r="J1063" s="199"/>
      <c r="K1063" s="199"/>
      <c r="L1063" s="199"/>
      <c r="M1063" s="199"/>
      <c r="N1063" s="199"/>
      <c r="O1063" s="199"/>
      <c r="P1063" s="199"/>
      <c r="Q1063" s="199"/>
    </row>
    <row r="1064">
      <c r="A1064" s="283"/>
      <c r="B1064" s="199"/>
      <c r="C1064" s="199"/>
      <c r="D1064" s="199"/>
      <c r="E1064" s="199"/>
      <c r="F1064" s="199"/>
      <c r="G1064" s="199"/>
      <c r="H1064" s="199"/>
      <c r="I1064" s="283"/>
      <c r="J1064" s="199"/>
      <c r="K1064" s="199"/>
      <c r="L1064" s="199"/>
      <c r="M1064" s="199"/>
      <c r="N1064" s="199"/>
      <c r="O1064" s="199"/>
      <c r="P1064" s="199"/>
      <c r="Q1064" s="199"/>
    </row>
    <row r="1065">
      <c r="A1065" s="283"/>
      <c r="B1065" s="199"/>
      <c r="C1065" s="199"/>
      <c r="D1065" s="199"/>
      <c r="E1065" s="199"/>
      <c r="F1065" s="199"/>
      <c r="G1065" s="199"/>
      <c r="H1065" s="199"/>
      <c r="I1065" s="283"/>
      <c r="J1065" s="199"/>
      <c r="K1065" s="199"/>
      <c r="L1065" s="199"/>
      <c r="M1065" s="199"/>
      <c r="N1065" s="199"/>
      <c r="O1065" s="199"/>
      <c r="P1065" s="199"/>
      <c r="Q1065" s="199"/>
    </row>
    <row r="1066">
      <c r="A1066" s="283"/>
      <c r="B1066" s="199"/>
      <c r="C1066" s="199"/>
      <c r="D1066" s="199"/>
      <c r="E1066" s="199"/>
      <c r="F1066" s="199"/>
      <c r="G1066" s="199"/>
      <c r="H1066" s="199"/>
      <c r="I1066" s="283"/>
      <c r="J1066" s="199"/>
      <c r="K1066" s="199"/>
      <c r="L1066" s="199"/>
      <c r="M1066" s="199"/>
      <c r="N1066" s="199"/>
      <c r="O1066" s="199"/>
      <c r="P1066" s="199"/>
      <c r="Q1066" s="199"/>
    </row>
    <row r="1067">
      <c r="A1067" s="283"/>
      <c r="B1067" s="199"/>
      <c r="C1067" s="199"/>
      <c r="D1067" s="199"/>
      <c r="E1067" s="199"/>
      <c r="F1067" s="199"/>
      <c r="G1067" s="199"/>
      <c r="H1067" s="199"/>
      <c r="I1067" s="283"/>
      <c r="J1067" s="199"/>
      <c r="K1067" s="199"/>
      <c r="L1067" s="199"/>
      <c r="M1067" s="199"/>
      <c r="N1067" s="199"/>
      <c r="O1067" s="199"/>
      <c r="P1067" s="199"/>
      <c r="Q1067" s="199"/>
    </row>
    <row r="1068">
      <c r="A1068" s="283"/>
      <c r="B1068" s="199"/>
      <c r="C1068" s="199"/>
      <c r="D1068" s="199"/>
      <c r="E1068" s="199"/>
      <c r="F1068" s="199"/>
      <c r="G1068" s="199"/>
      <c r="H1068" s="199"/>
      <c r="I1068" s="283"/>
      <c r="J1068" s="199"/>
      <c r="K1068" s="199"/>
      <c r="L1068" s="199"/>
      <c r="M1068" s="199"/>
      <c r="N1068" s="199"/>
      <c r="O1068" s="199"/>
      <c r="P1068" s="199"/>
      <c r="Q1068" s="199"/>
    </row>
    <row r="1069">
      <c r="A1069" s="283"/>
      <c r="B1069" s="199"/>
      <c r="C1069" s="199"/>
      <c r="D1069" s="199"/>
      <c r="E1069" s="199"/>
      <c r="F1069" s="199"/>
      <c r="G1069" s="199"/>
      <c r="H1069" s="199"/>
      <c r="I1069" s="283"/>
      <c r="J1069" s="199"/>
      <c r="K1069" s="199"/>
      <c r="L1069" s="199"/>
      <c r="M1069" s="199"/>
      <c r="N1069" s="199"/>
      <c r="O1069" s="199"/>
      <c r="P1069" s="199"/>
      <c r="Q1069" s="199"/>
    </row>
    <row r="1070">
      <c r="A1070" s="283"/>
      <c r="B1070" s="199"/>
      <c r="C1070" s="199"/>
      <c r="D1070" s="199"/>
      <c r="E1070" s="199"/>
      <c r="F1070" s="199"/>
      <c r="G1070" s="199"/>
      <c r="H1070" s="199"/>
      <c r="I1070" s="283"/>
      <c r="J1070" s="199"/>
      <c r="K1070" s="199"/>
      <c r="L1070" s="199"/>
      <c r="M1070" s="199"/>
      <c r="N1070" s="199"/>
      <c r="O1070" s="199"/>
      <c r="P1070" s="199"/>
      <c r="Q1070" s="199"/>
    </row>
    <row r="1071">
      <c r="A1071" s="283"/>
      <c r="B1071" s="199"/>
      <c r="C1071" s="199"/>
      <c r="D1071" s="199"/>
      <c r="E1071" s="199"/>
      <c r="F1071" s="199"/>
      <c r="G1071" s="199"/>
      <c r="H1071" s="199"/>
      <c r="I1071" s="283"/>
      <c r="J1071" s="199"/>
      <c r="K1071" s="199"/>
      <c r="L1071" s="199"/>
      <c r="M1071" s="199"/>
      <c r="N1071" s="199"/>
      <c r="O1071" s="199"/>
      <c r="P1071" s="199"/>
      <c r="Q1071" s="199"/>
    </row>
    <row r="1072">
      <c r="A1072" s="283"/>
      <c r="B1072" s="199"/>
      <c r="C1072" s="199"/>
      <c r="D1072" s="199"/>
      <c r="E1072" s="199"/>
      <c r="F1072" s="199"/>
      <c r="G1072" s="199"/>
      <c r="H1072" s="199"/>
      <c r="I1072" s="283"/>
      <c r="J1072" s="199"/>
      <c r="K1072" s="199"/>
      <c r="L1072" s="199"/>
      <c r="M1072" s="199"/>
      <c r="N1072" s="199"/>
      <c r="O1072" s="199"/>
      <c r="P1072" s="199"/>
      <c r="Q1072" s="199"/>
    </row>
    <row r="1073">
      <c r="A1073" s="283"/>
      <c r="B1073" s="199"/>
      <c r="C1073" s="199"/>
      <c r="D1073" s="199"/>
      <c r="E1073" s="199"/>
      <c r="F1073" s="199"/>
      <c r="G1073" s="199"/>
      <c r="H1073" s="199"/>
      <c r="I1073" s="283"/>
      <c r="J1073" s="199"/>
      <c r="K1073" s="199"/>
      <c r="L1073" s="199"/>
      <c r="M1073" s="199"/>
      <c r="N1073" s="199"/>
      <c r="O1073" s="199"/>
      <c r="P1073" s="199"/>
      <c r="Q1073" s="199"/>
    </row>
    <row r="1074">
      <c r="A1074" s="283"/>
      <c r="B1074" s="199"/>
      <c r="C1074" s="199"/>
      <c r="D1074" s="199"/>
      <c r="E1074" s="199"/>
      <c r="F1074" s="199"/>
      <c r="G1074" s="199"/>
      <c r="H1074" s="199"/>
      <c r="I1074" s="283"/>
      <c r="J1074" s="199"/>
      <c r="K1074" s="199"/>
      <c r="L1074" s="199"/>
      <c r="M1074" s="199"/>
      <c r="N1074" s="199"/>
      <c r="O1074" s="199"/>
      <c r="P1074" s="199"/>
      <c r="Q1074" s="199"/>
    </row>
    <row r="1075">
      <c r="A1075" s="283"/>
      <c r="B1075" s="199"/>
      <c r="C1075" s="199"/>
      <c r="D1075" s="199"/>
      <c r="E1075" s="199"/>
      <c r="F1075" s="199"/>
      <c r="G1075" s="199"/>
      <c r="H1075" s="199"/>
      <c r="I1075" s="283"/>
      <c r="J1075" s="199"/>
      <c r="K1075" s="199"/>
      <c r="L1075" s="199"/>
      <c r="M1075" s="199"/>
      <c r="N1075" s="199"/>
      <c r="O1075" s="199"/>
      <c r="P1075" s="199"/>
      <c r="Q1075" s="199"/>
    </row>
    <row r="1076">
      <c r="A1076" s="283"/>
      <c r="B1076" s="199"/>
      <c r="C1076" s="199"/>
      <c r="D1076" s="199"/>
      <c r="E1076" s="199"/>
      <c r="F1076" s="199"/>
      <c r="G1076" s="199"/>
      <c r="H1076" s="199"/>
      <c r="I1076" s="283"/>
      <c r="J1076" s="199"/>
      <c r="K1076" s="199"/>
      <c r="L1076" s="199"/>
      <c r="M1076" s="199"/>
      <c r="N1076" s="199"/>
      <c r="O1076" s="199"/>
      <c r="P1076" s="199"/>
      <c r="Q1076" s="199"/>
    </row>
    <row r="1077">
      <c r="A1077" s="283"/>
      <c r="B1077" s="199"/>
      <c r="C1077" s="199"/>
      <c r="D1077" s="199"/>
      <c r="E1077" s="199"/>
      <c r="F1077" s="199"/>
      <c r="G1077" s="199"/>
      <c r="H1077" s="199"/>
      <c r="I1077" s="283"/>
      <c r="J1077" s="199"/>
      <c r="K1077" s="199"/>
      <c r="L1077" s="199"/>
      <c r="M1077" s="199"/>
      <c r="N1077" s="199"/>
      <c r="O1077" s="199"/>
      <c r="P1077" s="199"/>
      <c r="Q1077" s="199"/>
    </row>
    <row r="1078">
      <c r="A1078" s="283"/>
      <c r="B1078" s="199"/>
      <c r="C1078" s="199"/>
      <c r="D1078" s="199"/>
      <c r="E1078" s="199"/>
      <c r="F1078" s="199"/>
      <c r="G1078" s="199"/>
      <c r="H1078" s="199"/>
      <c r="I1078" s="283"/>
      <c r="J1078" s="199"/>
      <c r="K1078" s="199"/>
      <c r="L1078" s="199"/>
      <c r="M1078" s="199"/>
      <c r="N1078" s="199"/>
      <c r="O1078" s="199"/>
      <c r="P1078" s="199"/>
      <c r="Q1078" s="199"/>
    </row>
    <row r="1079">
      <c r="A1079" s="283"/>
      <c r="B1079" s="199"/>
      <c r="C1079" s="199"/>
      <c r="D1079" s="199"/>
      <c r="E1079" s="199"/>
      <c r="F1079" s="199"/>
      <c r="G1079" s="199"/>
      <c r="H1079" s="199"/>
      <c r="I1079" s="283"/>
      <c r="J1079" s="199"/>
      <c r="K1079" s="199"/>
      <c r="L1079" s="199"/>
      <c r="M1079" s="199"/>
      <c r="N1079" s="199"/>
      <c r="O1079" s="199"/>
      <c r="P1079" s="199"/>
      <c r="Q1079" s="199"/>
    </row>
    <row r="1080">
      <c r="A1080" s="283"/>
      <c r="B1080" s="199"/>
      <c r="C1080" s="199"/>
      <c r="D1080" s="199"/>
      <c r="E1080" s="199"/>
      <c r="F1080" s="199"/>
      <c r="G1080" s="199"/>
      <c r="H1080" s="199"/>
      <c r="I1080" s="283"/>
      <c r="J1080" s="199"/>
      <c r="K1080" s="199"/>
      <c r="L1080" s="199"/>
      <c r="M1080" s="199"/>
      <c r="N1080" s="199"/>
      <c r="O1080" s="199"/>
      <c r="P1080" s="199"/>
      <c r="Q1080" s="199"/>
    </row>
    <row r="1081">
      <c r="A1081" s="283"/>
      <c r="B1081" s="199"/>
      <c r="C1081" s="199"/>
      <c r="D1081" s="199"/>
      <c r="E1081" s="199"/>
      <c r="F1081" s="199"/>
      <c r="G1081" s="199"/>
      <c r="H1081" s="199"/>
      <c r="I1081" s="283"/>
      <c r="J1081" s="199"/>
      <c r="K1081" s="199"/>
      <c r="L1081" s="199"/>
      <c r="M1081" s="199"/>
      <c r="N1081" s="199"/>
      <c r="O1081" s="199"/>
      <c r="P1081" s="199"/>
      <c r="Q1081" s="199"/>
    </row>
    <row r="1082">
      <c r="A1082" s="283"/>
      <c r="B1082" s="199"/>
      <c r="C1082" s="199"/>
      <c r="D1082" s="199"/>
      <c r="E1082" s="199"/>
      <c r="F1082" s="199"/>
      <c r="G1082" s="199"/>
      <c r="H1082" s="199"/>
      <c r="I1082" s="283"/>
      <c r="J1082" s="199"/>
      <c r="K1082" s="199"/>
      <c r="L1082" s="199"/>
      <c r="M1082" s="199"/>
      <c r="N1082" s="199"/>
      <c r="O1082" s="199"/>
      <c r="P1082" s="199"/>
      <c r="Q1082" s="199"/>
    </row>
    <row r="1083">
      <c r="A1083" s="283"/>
      <c r="B1083" s="199"/>
      <c r="C1083" s="199"/>
      <c r="D1083" s="199"/>
      <c r="E1083" s="199"/>
      <c r="F1083" s="199"/>
      <c r="G1083" s="199"/>
      <c r="H1083" s="199"/>
      <c r="I1083" s="283"/>
      <c r="J1083" s="199"/>
      <c r="K1083" s="199"/>
      <c r="L1083" s="199"/>
      <c r="M1083" s="199"/>
      <c r="N1083" s="199"/>
      <c r="O1083" s="199"/>
      <c r="P1083" s="199"/>
      <c r="Q1083" s="199"/>
    </row>
    <row r="1084">
      <c r="A1084" s="283"/>
      <c r="B1084" s="199"/>
      <c r="C1084" s="199"/>
      <c r="D1084" s="199"/>
      <c r="E1084" s="199"/>
      <c r="F1084" s="199"/>
      <c r="G1084" s="199"/>
      <c r="H1084" s="199"/>
      <c r="I1084" s="283"/>
      <c r="J1084" s="199"/>
      <c r="K1084" s="199"/>
      <c r="L1084" s="199"/>
      <c r="M1084" s="199"/>
      <c r="N1084" s="199"/>
      <c r="O1084" s="199"/>
      <c r="P1084" s="199"/>
      <c r="Q1084" s="199"/>
    </row>
    <row r="1085">
      <c r="A1085" s="283"/>
      <c r="B1085" s="199"/>
      <c r="C1085" s="199"/>
      <c r="D1085" s="199"/>
      <c r="E1085" s="199"/>
      <c r="F1085" s="199"/>
      <c r="G1085" s="199"/>
      <c r="H1085" s="199"/>
      <c r="I1085" s="283"/>
      <c r="J1085" s="199"/>
      <c r="K1085" s="199"/>
      <c r="L1085" s="199"/>
      <c r="M1085" s="199"/>
      <c r="N1085" s="199"/>
      <c r="O1085" s="199"/>
      <c r="P1085" s="199"/>
      <c r="Q1085" s="199"/>
    </row>
    <row r="1086">
      <c r="A1086" s="283"/>
      <c r="B1086" s="199"/>
      <c r="C1086" s="199"/>
      <c r="D1086" s="199"/>
      <c r="E1086" s="199"/>
      <c r="F1086" s="199"/>
      <c r="G1086" s="199"/>
      <c r="H1086" s="199"/>
      <c r="I1086" s="283"/>
      <c r="J1086" s="199"/>
      <c r="K1086" s="199"/>
      <c r="L1086" s="199"/>
      <c r="M1086" s="199"/>
      <c r="N1086" s="199"/>
      <c r="O1086" s="199"/>
      <c r="P1086" s="199"/>
      <c r="Q1086" s="199"/>
    </row>
    <row r="1087">
      <c r="A1087" s="283"/>
      <c r="B1087" s="199"/>
      <c r="C1087" s="199"/>
      <c r="D1087" s="199"/>
      <c r="E1087" s="199"/>
      <c r="F1087" s="199"/>
      <c r="G1087" s="199"/>
      <c r="H1087" s="199"/>
      <c r="I1087" s="283"/>
      <c r="J1087" s="199"/>
      <c r="K1087" s="199"/>
      <c r="L1087" s="199"/>
      <c r="M1087" s="199"/>
      <c r="N1087" s="199"/>
      <c r="O1087" s="199"/>
      <c r="P1087" s="199"/>
      <c r="Q1087" s="199"/>
    </row>
    <row r="1088">
      <c r="A1088" s="283"/>
      <c r="B1088" s="199"/>
      <c r="C1088" s="199"/>
      <c r="D1088" s="199"/>
      <c r="E1088" s="199"/>
      <c r="F1088" s="199"/>
      <c r="G1088" s="199"/>
      <c r="H1088" s="199"/>
      <c r="I1088" s="283"/>
      <c r="J1088" s="199"/>
      <c r="K1088" s="199"/>
      <c r="L1088" s="199"/>
      <c r="M1088" s="199"/>
      <c r="N1088" s="199"/>
      <c r="O1088" s="199"/>
      <c r="P1088" s="199"/>
      <c r="Q1088" s="199"/>
    </row>
    <row r="1089">
      <c r="A1089" s="283"/>
      <c r="B1089" s="199"/>
      <c r="C1089" s="199"/>
      <c r="D1089" s="199"/>
      <c r="E1089" s="199"/>
      <c r="F1089" s="199"/>
      <c r="G1089" s="199"/>
      <c r="H1089" s="199"/>
      <c r="I1089" s="283"/>
      <c r="J1089" s="199"/>
      <c r="K1089" s="199"/>
      <c r="L1089" s="199"/>
      <c r="M1089" s="199"/>
      <c r="N1089" s="199"/>
      <c r="O1089" s="199"/>
      <c r="P1089" s="199"/>
      <c r="Q1089" s="199"/>
    </row>
    <row r="1090">
      <c r="A1090" s="283"/>
      <c r="B1090" s="199"/>
      <c r="C1090" s="199"/>
      <c r="D1090" s="199"/>
      <c r="E1090" s="199"/>
      <c r="F1090" s="199"/>
      <c r="G1090" s="199"/>
      <c r="H1090" s="199"/>
      <c r="I1090" s="283"/>
      <c r="J1090" s="199"/>
      <c r="K1090" s="199"/>
      <c r="L1090" s="199"/>
      <c r="M1090" s="199"/>
      <c r="N1090" s="199"/>
      <c r="O1090" s="199"/>
      <c r="P1090" s="199"/>
      <c r="Q1090" s="199"/>
    </row>
    <row r="1091">
      <c r="A1091" s="283"/>
      <c r="B1091" s="199"/>
      <c r="C1091" s="199"/>
      <c r="D1091" s="199"/>
      <c r="E1091" s="199"/>
      <c r="F1091" s="199"/>
      <c r="G1091" s="199"/>
      <c r="H1091" s="199"/>
      <c r="I1091" s="283"/>
      <c r="J1091" s="199"/>
      <c r="K1091" s="199"/>
      <c r="L1091" s="199"/>
      <c r="M1091" s="199"/>
      <c r="N1091" s="199"/>
      <c r="O1091" s="199"/>
      <c r="P1091" s="199"/>
      <c r="Q1091" s="199"/>
    </row>
    <row r="1092">
      <c r="A1092" s="283"/>
      <c r="B1092" s="199"/>
      <c r="C1092" s="199"/>
      <c r="D1092" s="199"/>
      <c r="E1092" s="199"/>
      <c r="F1092" s="199"/>
      <c r="G1092" s="199"/>
      <c r="H1092" s="199"/>
      <c r="I1092" s="283"/>
      <c r="J1092" s="199"/>
      <c r="K1092" s="199"/>
      <c r="L1092" s="199"/>
      <c r="M1092" s="199"/>
      <c r="N1092" s="199"/>
      <c r="O1092" s="199"/>
      <c r="P1092" s="199"/>
      <c r="Q1092" s="199"/>
    </row>
    <row r="1093">
      <c r="A1093" s="283"/>
      <c r="B1093" s="199"/>
      <c r="C1093" s="199"/>
      <c r="D1093" s="199"/>
      <c r="E1093" s="199"/>
      <c r="F1093" s="199"/>
      <c r="G1093" s="199"/>
      <c r="H1093" s="199"/>
      <c r="I1093" s="283"/>
      <c r="J1093" s="199"/>
      <c r="K1093" s="199"/>
      <c r="L1093" s="199"/>
      <c r="M1093" s="199"/>
      <c r="N1093" s="199"/>
      <c r="O1093" s="199"/>
      <c r="P1093" s="199"/>
      <c r="Q1093" s="199"/>
    </row>
    <row r="1094">
      <c r="A1094" s="283"/>
      <c r="B1094" s="199"/>
      <c r="C1094" s="199"/>
      <c r="D1094" s="199"/>
      <c r="E1094" s="199"/>
      <c r="F1094" s="199"/>
      <c r="G1094" s="199"/>
      <c r="H1094" s="199"/>
      <c r="I1094" s="283"/>
      <c r="J1094" s="199"/>
      <c r="K1094" s="199"/>
      <c r="L1094" s="199"/>
      <c r="M1094" s="199"/>
      <c r="N1094" s="199"/>
      <c r="O1094" s="199"/>
      <c r="P1094" s="199"/>
      <c r="Q1094" s="199"/>
    </row>
    <row r="1095">
      <c r="A1095" s="283"/>
      <c r="B1095" s="199"/>
      <c r="C1095" s="199"/>
      <c r="D1095" s="199"/>
      <c r="E1095" s="199"/>
      <c r="F1095" s="199"/>
      <c r="G1095" s="199"/>
      <c r="H1095" s="199"/>
      <c r="I1095" s="283"/>
      <c r="J1095" s="199"/>
      <c r="K1095" s="199"/>
      <c r="L1095" s="199"/>
      <c r="M1095" s="199"/>
      <c r="N1095" s="199"/>
      <c r="O1095" s="199"/>
      <c r="P1095" s="199"/>
      <c r="Q1095" s="199"/>
    </row>
    <row r="1096">
      <c r="A1096" s="283"/>
      <c r="B1096" s="199"/>
      <c r="C1096" s="199"/>
      <c r="D1096" s="199"/>
      <c r="E1096" s="199"/>
      <c r="F1096" s="199"/>
      <c r="G1096" s="199"/>
      <c r="H1096" s="199"/>
      <c r="I1096" s="283"/>
      <c r="J1096" s="199"/>
      <c r="K1096" s="199"/>
      <c r="L1096" s="199"/>
      <c r="M1096" s="199"/>
      <c r="N1096" s="199"/>
      <c r="O1096" s="199"/>
      <c r="P1096" s="199"/>
      <c r="Q1096" s="199"/>
    </row>
    <row r="1097">
      <c r="A1097" s="283"/>
      <c r="B1097" s="199"/>
      <c r="C1097" s="199"/>
      <c r="D1097" s="199"/>
      <c r="E1097" s="199"/>
      <c r="F1097" s="199"/>
      <c r="G1097" s="199"/>
      <c r="H1097" s="199"/>
      <c r="I1097" s="283"/>
      <c r="J1097" s="199"/>
      <c r="K1097" s="199"/>
      <c r="L1097" s="199"/>
      <c r="M1097" s="199"/>
      <c r="N1097" s="199"/>
      <c r="O1097" s="199"/>
      <c r="P1097" s="199"/>
      <c r="Q1097" s="199"/>
    </row>
    <row r="1098">
      <c r="A1098" s="283"/>
      <c r="B1098" s="199"/>
      <c r="C1098" s="199"/>
      <c r="D1098" s="199"/>
      <c r="E1098" s="199"/>
      <c r="F1098" s="199"/>
      <c r="G1098" s="199"/>
      <c r="H1098" s="199"/>
      <c r="I1098" s="283"/>
      <c r="J1098" s="199"/>
      <c r="K1098" s="199"/>
      <c r="L1098" s="199"/>
      <c r="M1098" s="199"/>
      <c r="N1098" s="199"/>
      <c r="O1098" s="199"/>
      <c r="P1098" s="199"/>
      <c r="Q1098" s="199"/>
    </row>
    <row r="1099">
      <c r="A1099" s="283"/>
      <c r="B1099" s="199"/>
      <c r="C1099" s="199"/>
      <c r="D1099" s="199"/>
      <c r="E1099" s="199"/>
      <c r="F1099" s="199"/>
      <c r="G1099" s="199"/>
      <c r="H1099" s="199"/>
      <c r="I1099" s="283"/>
      <c r="J1099" s="199"/>
      <c r="K1099" s="199"/>
      <c r="L1099" s="199"/>
      <c r="M1099" s="199"/>
      <c r="N1099" s="199"/>
      <c r="O1099" s="199"/>
      <c r="P1099" s="199"/>
      <c r="Q1099" s="199"/>
    </row>
    <row r="1100">
      <c r="A1100" s="283"/>
      <c r="B1100" s="199"/>
      <c r="C1100" s="199"/>
      <c r="D1100" s="199"/>
      <c r="E1100" s="199"/>
      <c r="F1100" s="199"/>
      <c r="G1100" s="199"/>
      <c r="H1100" s="199"/>
      <c r="I1100" s="283"/>
      <c r="J1100" s="199"/>
      <c r="K1100" s="199"/>
      <c r="L1100" s="199"/>
      <c r="M1100" s="199"/>
      <c r="N1100" s="199"/>
      <c r="O1100" s="199"/>
      <c r="P1100" s="199"/>
      <c r="Q1100" s="199"/>
    </row>
    <row r="1101">
      <c r="A1101" s="283"/>
      <c r="B1101" s="199"/>
      <c r="C1101" s="199"/>
      <c r="D1101" s="199"/>
      <c r="E1101" s="199"/>
      <c r="F1101" s="199"/>
      <c r="G1101" s="199"/>
      <c r="H1101" s="199"/>
      <c r="I1101" s="283"/>
      <c r="J1101" s="199"/>
      <c r="K1101" s="199"/>
      <c r="L1101" s="199"/>
      <c r="M1101" s="199"/>
      <c r="N1101" s="199"/>
      <c r="O1101" s="199"/>
      <c r="P1101" s="199"/>
      <c r="Q1101" s="199"/>
    </row>
    <row r="1102">
      <c r="A1102" s="283"/>
      <c r="B1102" s="199"/>
      <c r="C1102" s="199"/>
      <c r="D1102" s="199"/>
      <c r="E1102" s="199"/>
      <c r="F1102" s="199"/>
      <c r="G1102" s="199"/>
      <c r="H1102" s="199"/>
      <c r="I1102" s="283"/>
      <c r="J1102" s="199"/>
      <c r="K1102" s="199"/>
      <c r="L1102" s="199"/>
      <c r="M1102" s="199"/>
      <c r="N1102" s="199"/>
      <c r="O1102" s="199"/>
      <c r="P1102" s="199"/>
      <c r="Q1102" s="199"/>
    </row>
    <row r="1103">
      <c r="A1103" s="283"/>
      <c r="B1103" s="199"/>
      <c r="C1103" s="199"/>
      <c r="D1103" s="199"/>
      <c r="E1103" s="199"/>
      <c r="F1103" s="199"/>
      <c r="G1103" s="199"/>
      <c r="H1103" s="199"/>
      <c r="I1103" s="283"/>
      <c r="J1103" s="199"/>
      <c r="K1103" s="199"/>
      <c r="L1103" s="199"/>
      <c r="M1103" s="199"/>
      <c r="N1103" s="199"/>
      <c r="O1103" s="199"/>
      <c r="P1103" s="199"/>
      <c r="Q1103" s="199"/>
    </row>
    <row r="1104">
      <c r="A1104" s="283"/>
      <c r="B1104" s="199"/>
      <c r="C1104" s="199"/>
      <c r="D1104" s="199"/>
      <c r="E1104" s="199"/>
      <c r="F1104" s="199"/>
      <c r="G1104" s="199"/>
      <c r="H1104" s="199"/>
      <c r="I1104" s="283"/>
      <c r="J1104" s="199"/>
      <c r="K1104" s="199"/>
      <c r="L1104" s="199"/>
      <c r="M1104" s="199"/>
      <c r="N1104" s="199"/>
      <c r="O1104" s="199"/>
      <c r="P1104" s="199"/>
      <c r="Q1104" s="199"/>
    </row>
    <row r="1105">
      <c r="A1105" s="283"/>
      <c r="B1105" s="199"/>
      <c r="C1105" s="199"/>
      <c r="D1105" s="199"/>
      <c r="E1105" s="199"/>
      <c r="F1105" s="199"/>
      <c r="G1105" s="199"/>
      <c r="H1105" s="199"/>
      <c r="I1105" s="283"/>
      <c r="J1105" s="199"/>
      <c r="K1105" s="199"/>
      <c r="L1105" s="199"/>
      <c r="M1105" s="199"/>
      <c r="N1105" s="199"/>
      <c r="O1105" s="199"/>
      <c r="P1105" s="199"/>
      <c r="Q1105" s="199"/>
    </row>
    <row r="1106">
      <c r="A1106" s="283"/>
      <c r="B1106" s="199"/>
      <c r="C1106" s="199"/>
      <c r="D1106" s="199"/>
      <c r="E1106" s="199"/>
      <c r="F1106" s="199"/>
      <c r="G1106" s="199"/>
      <c r="H1106" s="199"/>
      <c r="I1106" s="283"/>
      <c r="J1106" s="199"/>
      <c r="K1106" s="199"/>
      <c r="L1106" s="199"/>
      <c r="M1106" s="199"/>
      <c r="N1106" s="199"/>
      <c r="O1106" s="199"/>
      <c r="P1106" s="199"/>
      <c r="Q1106" s="199"/>
    </row>
    <row r="1107">
      <c r="A1107" s="283"/>
      <c r="B1107" s="199"/>
      <c r="C1107" s="199"/>
      <c r="D1107" s="199"/>
      <c r="E1107" s="199"/>
      <c r="F1107" s="199"/>
      <c r="G1107" s="199"/>
      <c r="H1107" s="199"/>
      <c r="I1107" s="283"/>
      <c r="J1107" s="199"/>
      <c r="K1107" s="199"/>
      <c r="L1107" s="199"/>
      <c r="M1107" s="199"/>
      <c r="N1107" s="199"/>
      <c r="O1107" s="199"/>
      <c r="P1107" s="199"/>
      <c r="Q1107" s="199"/>
    </row>
    <row r="1108">
      <c r="A1108" s="283"/>
      <c r="B1108" s="199"/>
      <c r="C1108" s="199"/>
      <c r="D1108" s="199"/>
      <c r="E1108" s="199"/>
      <c r="F1108" s="199"/>
      <c r="G1108" s="199"/>
      <c r="H1108" s="199"/>
      <c r="I1108" s="283"/>
      <c r="J1108" s="199"/>
      <c r="K1108" s="199"/>
      <c r="L1108" s="199"/>
      <c r="M1108" s="199"/>
      <c r="N1108" s="199"/>
      <c r="O1108" s="199"/>
      <c r="P1108" s="199"/>
      <c r="Q1108" s="199"/>
    </row>
    <row r="1109">
      <c r="A1109" s="283"/>
      <c r="B1109" s="199"/>
      <c r="C1109" s="199"/>
      <c r="D1109" s="199"/>
      <c r="E1109" s="199"/>
      <c r="F1109" s="199"/>
      <c r="G1109" s="199"/>
      <c r="H1109" s="199"/>
      <c r="I1109" s="283"/>
      <c r="J1109" s="199"/>
      <c r="K1109" s="199"/>
      <c r="L1109" s="199"/>
      <c r="M1109" s="199"/>
      <c r="N1109" s="199"/>
      <c r="O1109" s="199"/>
      <c r="P1109" s="199"/>
      <c r="Q1109" s="199"/>
    </row>
    <row r="1110">
      <c r="A1110" s="283"/>
      <c r="B1110" s="199"/>
      <c r="C1110" s="199"/>
      <c r="D1110" s="199"/>
      <c r="E1110" s="199"/>
      <c r="F1110" s="199"/>
      <c r="G1110" s="199"/>
      <c r="H1110" s="199"/>
      <c r="I1110" s="283"/>
      <c r="J1110" s="199"/>
      <c r="K1110" s="199"/>
      <c r="L1110" s="199"/>
      <c r="M1110" s="199"/>
      <c r="N1110" s="199"/>
      <c r="O1110" s="199"/>
      <c r="P1110" s="199"/>
      <c r="Q1110" s="199"/>
    </row>
    <row r="1111">
      <c r="A1111" s="283"/>
      <c r="B1111" s="199"/>
      <c r="C1111" s="199"/>
      <c r="D1111" s="199"/>
      <c r="E1111" s="199"/>
      <c r="F1111" s="199"/>
      <c r="G1111" s="199"/>
      <c r="H1111" s="199"/>
      <c r="I1111" s="283"/>
      <c r="J1111" s="199"/>
      <c r="K1111" s="199"/>
      <c r="L1111" s="199"/>
      <c r="M1111" s="199"/>
      <c r="N1111" s="199"/>
      <c r="O1111" s="199"/>
      <c r="P1111" s="199"/>
      <c r="Q1111" s="199"/>
    </row>
    <row r="1112">
      <c r="A1112" s="283"/>
      <c r="B1112" s="199"/>
      <c r="C1112" s="199"/>
      <c r="D1112" s="199"/>
      <c r="E1112" s="199"/>
      <c r="F1112" s="199"/>
      <c r="G1112" s="199"/>
      <c r="H1112" s="199"/>
      <c r="I1112" s="283"/>
      <c r="J1112" s="199"/>
      <c r="K1112" s="199"/>
      <c r="L1112" s="199"/>
      <c r="M1112" s="199"/>
      <c r="N1112" s="199"/>
      <c r="O1112" s="199"/>
      <c r="P1112" s="199"/>
      <c r="Q1112" s="199"/>
    </row>
    <row r="1113">
      <c r="A1113" s="283"/>
      <c r="B1113" s="199"/>
      <c r="C1113" s="199"/>
      <c r="D1113" s="199"/>
      <c r="E1113" s="199"/>
      <c r="F1113" s="199"/>
      <c r="G1113" s="199"/>
      <c r="H1113" s="199"/>
      <c r="I1113" s="283"/>
      <c r="J1113" s="199"/>
      <c r="K1113" s="199"/>
      <c r="L1113" s="199"/>
      <c r="M1113" s="199"/>
      <c r="N1113" s="199"/>
      <c r="O1113" s="199"/>
      <c r="P1113" s="199"/>
      <c r="Q1113" s="199"/>
    </row>
    <row r="1114">
      <c r="A1114" s="283"/>
      <c r="B1114" s="199"/>
      <c r="C1114" s="199"/>
      <c r="D1114" s="199"/>
      <c r="E1114" s="199"/>
      <c r="F1114" s="199"/>
      <c r="G1114" s="199"/>
      <c r="H1114" s="199"/>
      <c r="I1114" s="283"/>
      <c r="J1114" s="199"/>
      <c r="K1114" s="199"/>
      <c r="L1114" s="199"/>
      <c r="M1114" s="199"/>
      <c r="N1114" s="199"/>
      <c r="O1114" s="199"/>
      <c r="P1114" s="199"/>
      <c r="Q1114" s="199"/>
    </row>
    <row r="1115">
      <c r="A1115" s="283"/>
      <c r="B1115" s="199"/>
      <c r="C1115" s="199"/>
      <c r="D1115" s="199"/>
      <c r="E1115" s="199"/>
      <c r="F1115" s="199"/>
      <c r="G1115" s="199"/>
      <c r="H1115" s="199"/>
      <c r="I1115" s="283"/>
      <c r="J1115" s="199"/>
      <c r="K1115" s="199"/>
      <c r="L1115" s="199"/>
      <c r="M1115" s="199"/>
      <c r="N1115" s="199"/>
      <c r="O1115" s="199"/>
      <c r="P1115" s="199"/>
      <c r="Q1115" s="199"/>
    </row>
    <row r="1116">
      <c r="A1116" s="283"/>
      <c r="B1116" s="199"/>
      <c r="C1116" s="199"/>
      <c r="D1116" s="199"/>
      <c r="E1116" s="199"/>
      <c r="F1116" s="199"/>
      <c r="G1116" s="199"/>
      <c r="H1116" s="199"/>
      <c r="I1116" s="283"/>
      <c r="J1116" s="199"/>
      <c r="K1116" s="199"/>
      <c r="L1116" s="199"/>
      <c r="M1116" s="199"/>
      <c r="N1116" s="199"/>
      <c r="O1116" s="199"/>
      <c r="P1116" s="199"/>
      <c r="Q1116" s="199"/>
    </row>
    <row r="1117">
      <c r="A1117" s="283"/>
      <c r="B1117" s="199"/>
      <c r="C1117" s="199"/>
      <c r="D1117" s="199"/>
      <c r="E1117" s="199"/>
      <c r="F1117" s="199"/>
      <c r="G1117" s="199"/>
      <c r="H1117" s="199"/>
      <c r="I1117" s="283"/>
      <c r="J1117" s="199"/>
      <c r="K1117" s="199"/>
      <c r="L1117" s="199"/>
      <c r="M1117" s="199"/>
      <c r="N1117" s="199"/>
      <c r="O1117" s="199"/>
      <c r="P1117" s="199"/>
      <c r="Q1117" s="199"/>
    </row>
    <row r="1118">
      <c r="A1118" s="283"/>
      <c r="B1118" s="199"/>
      <c r="C1118" s="199"/>
      <c r="D1118" s="199"/>
      <c r="E1118" s="199"/>
      <c r="F1118" s="199"/>
      <c r="G1118" s="199"/>
      <c r="H1118" s="199"/>
      <c r="I1118" s="283"/>
      <c r="J1118" s="199"/>
      <c r="K1118" s="199"/>
      <c r="L1118" s="199"/>
      <c r="M1118" s="199"/>
      <c r="N1118" s="199"/>
      <c r="O1118" s="199"/>
      <c r="P1118" s="199"/>
      <c r="Q1118" s="199"/>
    </row>
    <row r="1119">
      <c r="A1119" s="283"/>
      <c r="B1119" s="199"/>
      <c r="C1119" s="199"/>
      <c r="D1119" s="199"/>
      <c r="E1119" s="199"/>
      <c r="F1119" s="199"/>
      <c r="G1119" s="199"/>
      <c r="H1119" s="199"/>
      <c r="I1119" s="283"/>
      <c r="J1119" s="199"/>
      <c r="K1119" s="199"/>
      <c r="L1119" s="199"/>
      <c r="M1119" s="199"/>
      <c r="N1119" s="199"/>
      <c r="O1119" s="199"/>
      <c r="P1119" s="199"/>
      <c r="Q1119" s="199"/>
    </row>
    <row r="1120">
      <c r="A1120" s="283"/>
      <c r="B1120" s="199"/>
      <c r="C1120" s="199"/>
      <c r="D1120" s="199"/>
      <c r="E1120" s="199"/>
      <c r="F1120" s="199"/>
      <c r="G1120" s="199"/>
      <c r="H1120" s="199"/>
      <c r="I1120" s="283"/>
      <c r="J1120" s="199"/>
      <c r="K1120" s="199"/>
      <c r="L1120" s="199"/>
      <c r="M1120" s="199"/>
      <c r="N1120" s="199"/>
      <c r="O1120" s="199"/>
      <c r="P1120" s="199"/>
      <c r="Q1120" s="199"/>
    </row>
    <row r="1121">
      <c r="A1121" s="283"/>
      <c r="B1121" s="199"/>
      <c r="C1121" s="199"/>
      <c r="D1121" s="199"/>
      <c r="E1121" s="199"/>
      <c r="F1121" s="199"/>
      <c r="G1121" s="199"/>
      <c r="H1121" s="199"/>
      <c r="I1121" s="283"/>
      <c r="J1121" s="199"/>
      <c r="K1121" s="199"/>
      <c r="L1121" s="199"/>
      <c r="M1121" s="199"/>
      <c r="N1121" s="199"/>
      <c r="O1121" s="199"/>
      <c r="P1121" s="199"/>
      <c r="Q1121" s="199"/>
    </row>
    <row r="1122">
      <c r="A1122" s="283"/>
      <c r="B1122" s="199"/>
      <c r="C1122" s="199"/>
      <c r="D1122" s="199"/>
      <c r="E1122" s="199"/>
      <c r="F1122" s="199"/>
      <c r="G1122" s="199"/>
      <c r="H1122" s="199"/>
      <c r="I1122" s="283"/>
      <c r="J1122" s="199"/>
      <c r="K1122" s="199"/>
      <c r="L1122" s="199"/>
      <c r="M1122" s="199"/>
      <c r="N1122" s="199"/>
      <c r="O1122" s="199"/>
      <c r="P1122" s="199"/>
      <c r="Q1122" s="199"/>
    </row>
    <row r="1123">
      <c r="A1123" s="283"/>
      <c r="B1123" s="199"/>
      <c r="C1123" s="199"/>
      <c r="D1123" s="199"/>
      <c r="E1123" s="199"/>
      <c r="F1123" s="199"/>
      <c r="G1123" s="199"/>
      <c r="H1123" s="199"/>
      <c r="I1123" s="283"/>
      <c r="J1123" s="199"/>
      <c r="K1123" s="199"/>
      <c r="L1123" s="199"/>
      <c r="M1123" s="199"/>
      <c r="N1123" s="199"/>
      <c r="O1123" s="199"/>
      <c r="P1123" s="199"/>
      <c r="Q1123" s="199"/>
    </row>
    <row r="1124">
      <c r="A1124" s="283"/>
      <c r="B1124" s="199"/>
      <c r="C1124" s="199"/>
      <c r="D1124" s="199"/>
      <c r="E1124" s="199"/>
      <c r="F1124" s="199"/>
      <c r="G1124" s="199"/>
      <c r="H1124" s="199"/>
      <c r="I1124" s="283"/>
      <c r="J1124" s="199"/>
      <c r="K1124" s="199"/>
      <c r="L1124" s="199"/>
      <c r="M1124" s="199"/>
      <c r="N1124" s="199"/>
      <c r="O1124" s="199"/>
      <c r="P1124" s="199"/>
      <c r="Q1124" s="199"/>
    </row>
    <row r="1125">
      <c r="A1125" s="283"/>
      <c r="B1125" s="199"/>
      <c r="C1125" s="199"/>
      <c r="D1125" s="199"/>
      <c r="E1125" s="199"/>
      <c r="F1125" s="199"/>
      <c r="G1125" s="199"/>
      <c r="H1125" s="199"/>
      <c r="I1125" s="283"/>
      <c r="J1125" s="199"/>
      <c r="K1125" s="199"/>
      <c r="L1125" s="199"/>
      <c r="M1125" s="199"/>
      <c r="N1125" s="199"/>
      <c r="O1125" s="199"/>
      <c r="P1125" s="199"/>
      <c r="Q1125" s="199"/>
    </row>
    <row r="1126">
      <c r="A1126" s="283"/>
      <c r="B1126" s="199"/>
      <c r="C1126" s="199"/>
      <c r="D1126" s="199"/>
      <c r="E1126" s="199"/>
      <c r="F1126" s="199"/>
      <c r="G1126" s="199"/>
      <c r="H1126" s="199"/>
      <c r="I1126" s="283"/>
      <c r="J1126" s="199"/>
      <c r="K1126" s="199"/>
      <c r="L1126" s="199"/>
      <c r="M1126" s="199"/>
      <c r="N1126" s="199"/>
      <c r="O1126" s="199"/>
      <c r="P1126" s="199"/>
      <c r="Q1126" s="199"/>
    </row>
    <row r="1127">
      <c r="A1127" s="283"/>
      <c r="B1127" s="199"/>
      <c r="C1127" s="199"/>
      <c r="D1127" s="199"/>
      <c r="E1127" s="199"/>
      <c r="F1127" s="199"/>
      <c r="G1127" s="199"/>
      <c r="H1127" s="199"/>
      <c r="I1127" s="283"/>
      <c r="J1127" s="199"/>
      <c r="K1127" s="199"/>
      <c r="L1127" s="199"/>
      <c r="M1127" s="199"/>
      <c r="N1127" s="199"/>
      <c r="O1127" s="199"/>
      <c r="P1127" s="199"/>
      <c r="Q1127" s="199"/>
    </row>
    <row r="1128">
      <c r="A1128" s="283"/>
      <c r="B1128" s="199"/>
      <c r="C1128" s="199"/>
      <c r="D1128" s="199"/>
      <c r="E1128" s="199"/>
      <c r="F1128" s="199"/>
      <c r="G1128" s="199"/>
      <c r="H1128" s="199"/>
      <c r="I1128" s="283"/>
      <c r="J1128" s="199"/>
      <c r="K1128" s="199"/>
      <c r="L1128" s="199"/>
      <c r="M1128" s="199"/>
      <c r="N1128" s="199"/>
      <c r="O1128" s="199"/>
      <c r="P1128" s="199"/>
      <c r="Q1128" s="199"/>
    </row>
    <row r="1129">
      <c r="A1129" s="283"/>
      <c r="B1129" s="199"/>
      <c r="C1129" s="199"/>
      <c r="D1129" s="199"/>
      <c r="E1129" s="199"/>
      <c r="F1129" s="199"/>
      <c r="G1129" s="199"/>
      <c r="H1129" s="199"/>
      <c r="I1129" s="283"/>
      <c r="J1129" s="199"/>
      <c r="K1129" s="199"/>
      <c r="L1129" s="199"/>
      <c r="M1129" s="199"/>
      <c r="N1129" s="199"/>
      <c r="O1129" s="199"/>
      <c r="P1129" s="199"/>
      <c r="Q1129" s="199"/>
    </row>
    <row r="1130">
      <c r="A1130" s="283"/>
      <c r="B1130" s="199"/>
      <c r="C1130" s="199"/>
      <c r="D1130" s="199"/>
      <c r="E1130" s="199"/>
      <c r="F1130" s="199"/>
      <c r="G1130" s="199"/>
      <c r="H1130" s="199"/>
      <c r="I1130" s="283"/>
      <c r="J1130" s="199"/>
      <c r="K1130" s="199"/>
      <c r="L1130" s="199"/>
      <c r="M1130" s="199"/>
      <c r="N1130" s="199"/>
      <c r="O1130" s="199"/>
      <c r="P1130" s="199"/>
      <c r="Q1130" s="199"/>
    </row>
    <row r="1131">
      <c r="A1131" s="283"/>
      <c r="B1131" s="199"/>
      <c r="C1131" s="199"/>
      <c r="D1131" s="199"/>
      <c r="E1131" s="199"/>
      <c r="F1131" s="199"/>
      <c r="G1131" s="199"/>
      <c r="H1131" s="199"/>
      <c r="I1131" s="283"/>
      <c r="J1131" s="199"/>
      <c r="K1131" s="199"/>
      <c r="L1131" s="199"/>
      <c r="M1131" s="199"/>
      <c r="N1131" s="199"/>
      <c r="O1131" s="199"/>
      <c r="P1131" s="199"/>
      <c r="Q1131" s="199"/>
    </row>
    <row r="1132">
      <c r="A1132" s="283"/>
      <c r="B1132" s="199"/>
      <c r="C1132" s="199"/>
      <c r="D1132" s="199"/>
      <c r="E1132" s="199"/>
      <c r="F1132" s="199"/>
      <c r="G1132" s="199"/>
      <c r="H1132" s="199"/>
      <c r="I1132" s="283"/>
      <c r="J1132" s="199"/>
      <c r="K1132" s="199"/>
      <c r="L1132" s="199"/>
      <c r="M1132" s="199"/>
      <c r="N1132" s="199"/>
      <c r="O1132" s="199"/>
      <c r="P1132" s="199"/>
      <c r="Q1132" s="199"/>
    </row>
    <row r="1133">
      <c r="A1133" s="283"/>
      <c r="B1133" s="199"/>
      <c r="C1133" s="199"/>
      <c r="D1133" s="199"/>
      <c r="E1133" s="199"/>
      <c r="F1133" s="199"/>
      <c r="G1133" s="199"/>
      <c r="H1133" s="199"/>
      <c r="I1133" s="283"/>
      <c r="J1133" s="199"/>
      <c r="K1133" s="199"/>
      <c r="L1133" s="199"/>
      <c r="M1133" s="199"/>
      <c r="N1133" s="199"/>
      <c r="O1133" s="199"/>
      <c r="P1133" s="199"/>
      <c r="Q1133" s="199"/>
    </row>
    <row r="1134">
      <c r="A1134" s="283"/>
      <c r="B1134" s="199"/>
      <c r="C1134" s="199"/>
      <c r="D1134" s="199"/>
      <c r="E1134" s="199"/>
      <c r="F1134" s="199"/>
      <c r="G1134" s="199"/>
      <c r="H1134" s="199"/>
      <c r="I1134" s="283"/>
      <c r="J1134" s="199"/>
      <c r="K1134" s="199"/>
      <c r="L1134" s="199"/>
      <c r="M1134" s="199"/>
      <c r="N1134" s="199"/>
      <c r="O1134" s="199"/>
      <c r="P1134" s="199"/>
      <c r="Q1134" s="199"/>
    </row>
    <row r="1135">
      <c r="A1135" s="283"/>
      <c r="B1135" s="199"/>
      <c r="C1135" s="199"/>
      <c r="D1135" s="199"/>
      <c r="E1135" s="199"/>
      <c r="F1135" s="199"/>
      <c r="G1135" s="199"/>
      <c r="H1135" s="199"/>
      <c r="I1135" s="283"/>
      <c r="J1135" s="199"/>
      <c r="K1135" s="199"/>
      <c r="L1135" s="199"/>
      <c r="M1135" s="199"/>
      <c r="N1135" s="199"/>
      <c r="O1135" s="199"/>
      <c r="P1135" s="199"/>
      <c r="Q1135" s="199"/>
    </row>
    <row r="1136">
      <c r="A1136" s="283"/>
      <c r="B1136" s="199"/>
      <c r="C1136" s="199"/>
      <c r="D1136" s="199"/>
      <c r="E1136" s="199"/>
      <c r="F1136" s="199"/>
      <c r="G1136" s="199"/>
      <c r="H1136" s="199"/>
      <c r="I1136" s="283"/>
      <c r="J1136" s="199"/>
      <c r="K1136" s="199"/>
      <c r="L1136" s="199"/>
      <c r="M1136" s="199"/>
      <c r="N1136" s="199"/>
      <c r="O1136" s="199"/>
      <c r="P1136" s="199"/>
      <c r="Q1136" s="199"/>
    </row>
    <row r="1137">
      <c r="A1137" s="283"/>
      <c r="B1137" s="199"/>
      <c r="C1137" s="199"/>
      <c r="D1137" s="199"/>
      <c r="E1137" s="199"/>
      <c r="F1137" s="199"/>
      <c r="G1137" s="199"/>
      <c r="H1137" s="199"/>
      <c r="I1137" s="283"/>
      <c r="J1137" s="199"/>
      <c r="K1137" s="199"/>
      <c r="L1137" s="199"/>
      <c r="M1137" s="199"/>
      <c r="N1137" s="199"/>
      <c r="O1137" s="199"/>
      <c r="P1137" s="199"/>
      <c r="Q1137" s="199"/>
    </row>
    <row r="1138">
      <c r="A1138" s="283"/>
      <c r="B1138" s="199"/>
      <c r="C1138" s="199"/>
      <c r="D1138" s="199"/>
      <c r="E1138" s="199"/>
      <c r="F1138" s="199"/>
      <c r="G1138" s="199"/>
      <c r="H1138" s="199"/>
      <c r="I1138" s="283"/>
      <c r="J1138" s="199"/>
      <c r="K1138" s="199"/>
      <c r="L1138" s="199"/>
      <c r="M1138" s="199"/>
      <c r="N1138" s="199"/>
      <c r="O1138" s="199"/>
      <c r="P1138" s="199"/>
      <c r="Q1138" s="199"/>
    </row>
    <row r="1139">
      <c r="A1139" s="283"/>
      <c r="B1139" s="199"/>
      <c r="C1139" s="199"/>
      <c r="D1139" s="199"/>
      <c r="E1139" s="199"/>
      <c r="F1139" s="199"/>
      <c r="G1139" s="199"/>
      <c r="H1139" s="199"/>
      <c r="I1139" s="283"/>
      <c r="J1139" s="199"/>
      <c r="K1139" s="199"/>
      <c r="L1139" s="199"/>
      <c r="M1139" s="199"/>
      <c r="N1139" s="199"/>
      <c r="O1139" s="199"/>
      <c r="P1139" s="199"/>
      <c r="Q1139" s="199"/>
    </row>
    <row r="1140">
      <c r="A1140" s="283"/>
      <c r="B1140" s="199"/>
      <c r="C1140" s="199"/>
      <c r="D1140" s="199"/>
      <c r="E1140" s="199"/>
      <c r="F1140" s="199"/>
      <c r="G1140" s="199"/>
      <c r="H1140" s="199"/>
      <c r="I1140" s="283"/>
      <c r="J1140" s="199"/>
      <c r="K1140" s="199"/>
      <c r="L1140" s="199"/>
      <c r="M1140" s="199"/>
      <c r="N1140" s="199"/>
      <c r="O1140" s="199"/>
      <c r="P1140" s="199"/>
      <c r="Q1140" s="199"/>
    </row>
    <row r="1141">
      <c r="A1141" s="283"/>
      <c r="B1141" s="199"/>
      <c r="C1141" s="199"/>
      <c r="D1141" s="199"/>
      <c r="E1141" s="199"/>
      <c r="F1141" s="199"/>
      <c r="G1141" s="199"/>
      <c r="H1141" s="199"/>
      <c r="I1141" s="283"/>
      <c r="J1141" s="199"/>
      <c r="K1141" s="199"/>
      <c r="L1141" s="199"/>
      <c r="M1141" s="199"/>
      <c r="N1141" s="199"/>
      <c r="O1141" s="199"/>
      <c r="P1141" s="199"/>
      <c r="Q1141" s="199"/>
    </row>
  </sheetData>
  <mergeCells count="1710">
    <mergeCell ref="J147:L147"/>
    <mergeCell ref="J148:K148"/>
    <mergeCell ref="J137:M137"/>
    <mergeCell ref="J138:L138"/>
    <mergeCell ref="M138:P148"/>
    <mergeCell ref="J139:L139"/>
    <mergeCell ref="J140:K140"/>
    <mergeCell ref="J141:K141"/>
    <mergeCell ref="J142:K142"/>
    <mergeCell ref="J151:K151"/>
    <mergeCell ref="J152:K152"/>
    <mergeCell ref="J150:K150"/>
    <mergeCell ref="J153:K153"/>
    <mergeCell ref="J154:K154"/>
    <mergeCell ref="J155:L155"/>
    <mergeCell ref="A156:X156"/>
    <mergeCell ref="J145:K145"/>
    <mergeCell ref="J146:L146"/>
    <mergeCell ref="J149:K149"/>
    <mergeCell ref="M149:M155"/>
    <mergeCell ref="N149:O151"/>
    <mergeCell ref="P149:P151"/>
    <mergeCell ref="N152:P155"/>
    <mergeCell ref="F127:H127"/>
    <mergeCell ref="J127:L129"/>
    <mergeCell ref="N127:P127"/>
    <mergeCell ref="F128:H128"/>
    <mergeCell ref="N128:P128"/>
    <mergeCell ref="F129:H129"/>
    <mergeCell ref="N129:P129"/>
    <mergeCell ref="B142:C142"/>
    <mergeCell ref="B143:C143"/>
    <mergeCell ref="B144:C144"/>
    <mergeCell ref="B145:C145"/>
    <mergeCell ref="B151:C151"/>
    <mergeCell ref="B152:C152"/>
    <mergeCell ref="B150:C150"/>
    <mergeCell ref="B153:C153"/>
    <mergeCell ref="B154:C154"/>
    <mergeCell ref="B155:D155"/>
    <mergeCell ref="N157:P157"/>
    <mergeCell ref="N158:P158"/>
    <mergeCell ref="N159:P159"/>
    <mergeCell ref="J170:K170"/>
    <mergeCell ref="J171:K171"/>
    <mergeCell ref="B167:E167"/>
    <mergeCell ref="B168:D168"/>
    <mergeCell ref="E168:H178"/>
    <mergeCell ref="B169:D169"/>
    <mergeCell ref="B170:C170"/>
    <mergeCell ref="B171:C171"/>
    <mergeCell ref="B172:C172"/>
    <mergeCell ref="B180:C180"/>
    <mergeCell ref="B183:C183"/>
    <mergeCell ref="B184:C184"/>
    <mergeCell ref="B185:D185"/>
    <mergeCell ref="A186:X186"/>
    <mergeCell ref="B177:D177"/>
    <mergeCell ref="B178:C178"/>
    <mergeCell ref="B179:C179"/>
    <mergeCell ref="E179:E185"/>
    <mergeCell ref="F179:G181"/>
    <mergeCell ref="H179:H181"/>
    <mergeCell ref="F182:H185"/>
    <mergeCell ref="B127:D129"/>
    <mergeCell ref="B137:E137"/>
    <mergeCell ref="B138:D138"/>
    <mergeCell ref="E138:H148"/>
    <mergeCell ref="B139:D139"/>
    <mergeCell ref="B140:C140"/>
    <mergeCell ref="B141:C141"/>
    <mergeCell ref="B148:C148"/>
    <mergeCell ref="F152:H155"/>
    <mergeCell ref="F157:H157"/>
    <mergeCell ref="F158:H158"/>
    <mergeCell ref="F159:H159"/>
    <mergeCell ref="B146:D146"/>
    <mergeCell ref="B147:D147"/>
    <mergeCell ref="B149:C149"/>
    <mergeCell ref="E149:E155"/>
    <mergeCell ref="F149:G151"/>
    <mergeCell ref="H149:H151"/>
    <mergeCell ref="B157:D159"/>
    <mergeCell ref="B173:C173"/>
    <mergeCell ref="B174:C174"/>
    <mergeCell ref="B175:C175"/>
    <mergeCell ref="B176:D176"/>
    <mergeCell ref="B181:C181"/>
    <mergeCell ref="B182:C182"/>
    <mergeCell ref="B187:D189"/>
    <mergeCell ref="F187:H187"/>
    <mergeCell ref="F188:H188"/>
    <mergeCell ref="F189:H189"/>
    <mergeCell ref="B197:E197"/>
    <mergeCell ref="J214:K214"/>
    <mergeCell ref="J215:L215"/>
    <mergeCell ref="A216:X216"/>
    <mergeCell ref="N217:P217"/>
    <mergeCell ref="N218:P218"/>
    <mergeCell ref="N219:P219"/>
    <mergeCell ref="J208:K208"/>
    <mergeCell ref="J209:K209"/>
    <mergeCell ref="M209:M215"/>
    <mergeCell ref="J210:K210"/>
    <mergeCell ref="J211:K211"/>
    <mergeCell ref="J212:K212"/>
    <mergeCell ref="J213:K213"/>
    <mergeCell ref="J217:L219"/>
    <mergeCell ref="J231:K231"/>
    <mergeCell ref="J232:K232"/>
    <mergeCell ref="B233:C233"/>
    <mergeCell ref="J233:K233"/>
    <mergeCell ref="B234:C234"/>
    <mergeCell ref="J234:K234"/>
    <mergeCell ref="J235:K235"/>
    <mergeCell ref="B235:C235"/>
    <mergeCell ref="B236:D236"/>
    <mergeCell ref="A246:X246"/>
    <mergeCell ref="A276:X276"/>
    <mergeCell ref="A306:X306"/>
    <mergeCell ref="A336:X336"/>
    <mergeCell ref="A366:X366"/>
    <mergeCell ref="A396:X396"/>
    <mergeCell ref="A426:X426"/>
    <mergeCell ref="A456:X456"/>
    <mergeCell ref="A486:X486"/>
    <mergeCell ref="A516:X516"/>
    <mergeCell ref="A546:X546"/>
    <mergeCell ref="A576:X576"/>
    <mergeCell ref="A816:X816"/>
    <mergeCell ref="A846:X846"/>
    <mergeCell ref="A876:X876"/>
    <mergeCell ref="A906:X906"/>
    <mergeCell ref="A936:X936"/>
    <mergeCell ref="A966:X966"/>
    <mergeCell ref="A996:X996"/>
    <mergeCell ref="A1026:X1026"/>
    <mergeCell ref="A606:X606"/>
    <mergeCell ref="A636:X636"/>
    <mergeCell ref="A666:X666"/>
    <mergeCell ref="A696:X696"/>
    <mergeCell ref="A726:X726"/>
    <mergeCell ref="A756:X756"/>
    <mergeCell ref="A786:X786"/>
    <mergeCell ref="J501:K501"/>
    <mergeCell ref="J502:K502"/>
    <mergeCell ref="J484:K484"/>
    <mergeCell ref="J485:L485"/>
    <mergeCell ref="J487:L489"/>
    <mergeCell ref="J497:M497"/>
    <mergeCell ref="J498:L498"/>
    <mergeCell ref="J499:L499"/>
    <mergeCell ref="J500:K500"/>
    <mergeCell ref="J514:K514"/>
    <mergeCell ref="J515:L515"/>
    <mergeCell ref="J517:L519"/>
    <mergeCell ref="J527:M527"/>
    <mergeCell ref="J528:L528"/>
    <mergeCell ref="J508:K508"/>
    <mergeCell ref="J509:K509"/>
    <mergeCell ref="M509:M515"/>
    <mergeCell ref="J510:K510"/>
    <mergeCell ref="J511:K511"/>
    <mergeCell ref="J512:K512"/>
    <mergeCell ref="J513:K513"/>
    <mergeCell ref="J472:K472"/>
    <mergeCell ref="J473:K473"/>
    <mergeCell ref="J474:K474"/>
    <mergeCell ref="J475:K475"/>
    <mergeCell ref="N457:P457"/>
    <mergeCell ref="N458:P458"/>
    <mergeCell ref="N459:P459"/>
    <mergeCell ref="M468:P478"/>
    <mergeCell ref="J469:L469"/>
    <mergeCell ref="J470:K470"/>
    <mergeCell ref="J471:K471"/>
    <mergeCell ref="J478:K478"/>
    <mergeCell ref="J481:K481"/>
    <mergeCell ref="J482:K482"/>
    <mergeCell ref="J476:L476"/>
    <mergeCell ref="J477:L477"/>
    <mergeCell ref="J479:K479"/>
    <mergeCell ref="M479:M485"/>
    <mergeCell ref="N479:O481"/>
    <mergeCell ref="P479:P481"/>
    <mergeCell ref="N482:P485"/>
    <mergeCell ref="J480:K480"/>
    <mergeCell ref="J483:K483"/>
    <mergeCell ref="J503:K503"/>
    <mergeCell ref="J504:K504"/>
    <mergeCell ref="J505:K505"/>
    <mergeCell ref="J506:L506"/>
    <mergeCell ref="J507:L507"/>
    <mergeCell ref="N487:P487"/>
    <mergeCell ref="N488:P488"/>
    <mergeCell ref="N489:P489"/>
    <mergeCell ref="M498:P508"/>
    <mergeCell ref="N509:O511"/>
    <mergeCell ref="P509:P511"/>
    <mergeCell ref="N512:P515"/>
    <mergeCell ref="J561:K561"/>
    <mergeCell ref="J562:K562"/>
    <mergeCell ref="J544:K544"/>
    <mergeCell ref="J545:L545"/>
    <mergeCell ref="J547:L549"/>
    <mergeCell ref="J557:M557"/>
    <mergeCell ref="J558:L558"/>
    <mergeCell ref="J559:L559"/>
    <mergeCell ref="J560:K560"/>
    <mergeCell ref="J574:K574"/>
    <mergeCell ref="J575:L575"/>
    <mergeCell ref="J577:L579"/>
    <mergeCell ref="J587:M587"/>
    <mergeCell ref="J588:L588"/>
    <mergeCell ref="J568:K568"/>
    <mergeCell ref="J569:K569"/>
    <mergeCell ref="M569:M575"/>
    <mergeCell ref="J570:K570"/>
    <mergeCell ref="J571:K571"/>
    <mergeCell ref="J572:K572"/>
    <mergeCell ref="J573:K573"/>
    <mergeCell ref="J532:K532"/>
    <mergeCell ref="J533:K533"/>
    <mergeCell ref="J534:K534"/>
    <mergeCell ref="J535:K535"/>
    <mergeCell ref="N517:P517"/>
    <mergeCell ref="N518:P518"/>
    <mergeCell ref="N519:P519"/>
    <mergeCell ref="M528:P538"/>
    <mergeCell ref="J529:L529"/>
    <mergeCell ref="J530:K530"/>
    <mergeCell ref="J531:K531"/>
    <mergeCell ref="J538:K538"/>
    <mergeCell ref="J541:K541"/>
    <mergeCell ref="J542:K542"/>
    <mergeCell ref="J536:L536"/>
    <mergeCell ref="J537:L537"/>
    <mergeCell ref="J539:K539"/>
    <mergeCell ref="M539:M545"/>
    <mergeCell ref="N539:O541"/>
    <mergeCell ref="P539:P541"/>
    <mergeCell ref="N542:P545"/>
    <mergeCell ref="J540:K540"/>
    <mergeCell ref="J543:K543"/>
    <mergeCell ref="J563:K563"/>
    <mergeCell ref="J564:K564"/>
    <mergeCell ref="J565:K565"/>
    <mergeCell ref="J566:L566"/>
    <mergeCell ref="J567:L567"/>
    <mergeCell ref="N547:P547"/>
    <mergeCell ref="N548:P548"/>
    <mergeCell ref="N549:P549"/>
    <mergeCell ref="M558:P568"/>
    <mergeCell ref="N569:O571"/>
    <mergeCell ref="P569:P571"/>
    <mergeCell ref="N572:P575"/>
    <mergeCell ref="J634:K634"/>
    <mergeCell ref="J635:L635"/>
    <mergeCell ref="J628:K628"/>
    <mergeCell ref="J629:K629"/>
    <mergeCell ref="M629:M635"/>
    <mergeCell ref="J630:K630"/>
    <mergeCell ref="J631:K631"/>
    <mergeCell ref="J632:K632"/>
    <mergeCell ref="J633:K633"/>
    <mergeCell ref="F482:H485"/>
    <mergeCell ref="F487:H487"/>
    <mergeCell ref="F488:H488"/>
    <mergeCell ref="F489:H489"/>
    <mergeCell ref="E498:H508"/>
    <mergeCell ref="F509:G511"/>
    <mergeCell ref="H509:H511"/>
    <mergeCell ref="F512:H515"/>
    <mergeCell ref="F517:H517"/>
    <mergeCell ref="F518:H518"/>
    <mergeCell ref="F519:H519"/>
    <mergeCell ref="E528:H538"/>
    <mergeCell ref="F539:G541"/>
    <mergeCell ref="H539:H541"/>
    <mergeCell ref="F307:H307"/>
    <mergeCell ref="F308:H308"/>
    <mergeCell ref="F309:H309"/>
    <mergeCell ref="E318:H328"/>
    <mergeCell ref="E329:E335"/>
    <mergeCell ref="F329:G331"/>
    <mergeCell ref="H329:H331"/>
    <mergeCell ref="F332:H335"/>
    <mergeCell ref="F337:H337"/>
    <mergeCell ref="F338:H338"/>
    <mergeCell ref="F339:H339"/>
    <mergeCell ref="E348:H358"/>
    <mergeCell ref="F359:G361"/>
    <mergeCell ref="H359:H361"/>
    <mergeCell ref="F362:H365"/>
    <mergeCell ref="F367:H367"/>
    <mergeCell ref="F368:H368"/>
    <mergeCell ref="F369:H369"/>
    <mergeCell ref="E378:H388"/>
    <mergeCell ref="F389:G391"/>
    <mergeCell ref="H389:H391"/>
    <mergeCell ref="F392:H395"/>
    <mergeCell ref="F397:H397"/>
    <mergeCell ref="F398:H398"/>
    <mergeCell ref="F399:H399"/>
    <mergeCell ref="E408:H418"/>
    <mergeCell ref="F419:G421"/>
    <mergeCell ref="H419:H421"/>
    <mergeCell ref="F422:H425"/>
    <mergeCell ref="F427:H427"/>
    <mergeCell ref="F428:H428"/>
    <mergeCell ref="F429:H429"/>
    <mergeCell ref="E438:H448"/>
    <mergeCell ref="F449:G451"/>
    <mergeCell ref="H449:H451"/>
    <mergeCell ref="F452:H455"/>
    <mergeCell ref="F457:H457"/>
    <mergeCell ref="F458:H458"/>
    <mergeCell ref="F459:H459"/>
    <mergeCell ref="E468:H478"/>
    <mergeCell ref="F479:G481"/>
    <mergeCell ref="H479:H481"/>
    <mergeCell ref="F542:H545"/>
    <mergeCell ref="F547:H547"/>
    <mergeCell ref="B741:C741"/>
    <mergeCell ref="B742:C742"/>
    <mergeCell ref="B724:C724"/>
    <mergeCell ref="B725:D725"/>
    <mergeCell ref="B727:D729"/>
    <mergeCell ref="B737:E737"/>
    <mergeCell ref="B738:D738"/>
    <mergeCell ref="B739:D739"/>
    <mergeCell ref="B740:C740"/>
    <mergeCell ref="B712:C712"/>
    <mergeCell ref="B713:C713"/>
    <mergeCell ref="B714:C714"/>
    <mergeCell ref="B715:C715"/>
    <mergeCell ref="F697:H697"/>
    <mergeCell ref="F698:H698"/>
    <mergeCell ref="F699:H699"/>
    <mergeCell ref="E708:H718"/>
    <mergeCell ref="B709:D709"/>
    <mergeCell ref="B710:C710"/>
    <mergeCell ref="B711:C711"/>
    <mergeCell ref="B718:C718"/>
    <mergeCell ref="B721:C721"/>
    <mergeCell ref="B722:C722"/>
    <mergeCell ref="F727:H727"/>
    <mergeCell ref="F728:H728"/>
    <mergeCell ref="F729:H729"/>
    <mergeCell ref="E738:H748"/>
    <mergeCell ref="F749:G751"/>
    <mergeCell ref="H749:H751"/>
    <mergeCell ref="F752:H755"/>
    <mergeCell ref="B716:D716"/>
    <mergeCell ref="B717:D717"/>
    <mergeCell ref="B719:C719"/>
    <mergeCell ref="E719:E725"/>
    <mergeCell ref="F719:G721"/>
    <mergeCell ref="H719:H721"/>
    <mergeCell ref="F722:H725"/>
    <mergeCell ref="B720:C720"/>
    <mergeCell ref="B723:C723"/>
    <mergeCell ref="B743:C743"/>
    <mergeCell ref="B744:C744"/>
    <mergeCell ref="B745:C745"/>
    <mergeCell ref="B746:D746"/>
    <mergeCell ref="B747:D747"/>
    <mergeCell ref="B767:E767"/>
    <mergeCell ref="B768:D768"/>
    <mergeCell ref="E768:H778"/>
    <mergeCell ref="B769:D769"/>
    <mergeCell ref="B770:C770"/>
    <mergeCell ref="B771:C771"/>
    <mergeCell ref="B772:C772"/>
    <mergeCell ref="B777:D777"/>
    <mergeCell ref="B778:C778"/>
    <mergeCell ref="B779:C779"/>
    <mergeCell ref="E779:E785"/>
    <mergeCell ref="F779:G781"/>
    <mergeCell ref="H779:H781"/>
    <mergeCell ref="F782:H785"/>
    <mergeCell ref="B754:C754"/>
    <mergeCell ref="B755:D755"/>
    <mergeCell ref="B757:D759"/>
    <mergeCell ref="F757:H757"/>
    <mergeCell ref="F758:H758"/>
    <mergeCell ref="F759:H759"/>
    <mergeCell ref="B748:C748"/>
    <mergeCell ref="B749:C749"/>
    <mergeCell ref="E749:E755"/>
    <mergeCell ref="B750:C750"/>
    <mergeCell ref="B751:C751"/>
    <mergeCell ref="B752:C752"/>
    <mergeCell ref="B753:C753"/>
    <mergeCell ref="B773:C773"/>
    <mergeCell ref="B774:C774"/>
    <mergeCell ref="B775:C775"/>
    <mergeCell ref="B776:D776"/>
    <mergeCell ref="B781:C781"/>
    <mergeCell ref="B782:C782"/>
    <mergeCell ref="B780:C780"/>
    <mergeCell ref="B783:C783"/>
    <mergeCell ref="B784:C784"/>
    <mergeCell ref="B785:D785"/>
    <mergeCell ref="B787:D789"/>
    <mergeCell ref="F787:H787"/>
    <mergeCell ref="F788:H788"/>
    <mergeCell ref="F789:H789"/>
    <mergeCell ref="B797:E797"/>
    <mergeCell ref="B831:C831"/>
    <mergeCell ref="B832:C832"/>
    <mergeCell ref="B833:C833"/>
    <mergeCell ref="B834:C834"/>
    <mergeCell ref="B835:C835"/>
    <mergeCell ref="B836:D836"/>
    <mergeCell ref="B837:D837"/>
    <mergeCell ref="B844:C844"/>
    <mergeCell ref="B845:D845"/>
    <mergeCell ref="B847:D849"/>
    <mergeCell ref="B857:E857"/>
    <mergeCell ref="B858:D858"/>
    <mergeCell ref="B838:C838"/>
    <mergeCell ref="B839:C839"/>
    <mergeCell ref="E839:E845"/>
    <mergeCell ref="B840:C840"/>
    <mergeCell ref="B841:C841"/>
    <mergeCell ref="B842:C842"/>
    <mergeCell ref="B843:C843"/>
    <mergeCell ref="B804:C804"/>
    <mergeCell ref="B805:C805"/>
    <mergeCell ref="B798:D798"/>
    <mergeCell ref="E798:H808"/>
    <mergeCell ref="B799:D799"/>
    <mergeCell ref="B800:C800"/>
    <mergeCell ref="B801:C801"/>
    <mergeCell ref="B802:C802"/>
    <mergeCell ref="B803:C803"/>
    <mergeCell ref="B808:C808"/>
    <mergeCell ref="B811:C811"/>
    <mergeCell ref="B812:C812"/>
    <mergeCell ref="B810:C810"/>
    <mergeCell ref="B813:C813"/>
    <mergeCell ref="B806:D806"/>
    <mergeCell ref="B807:D807"/>
    <mergeCell ref="B809:C809"/>
    <mergeCell ref="E809:E815"/>
    <mergeCell ref="F809:G811"/>
    <mergeCell ref="H809:H811"/>
    <mergeCell ref="F812:H815"/>
    <mergeCell ref="B814:C814"/>
    <mergeCell ref="B815:D815"/>
    <mergeCell ref="B817:D819"/>
    <mergeCell ref="B827:E827"/>
    <mergeCell ref="B828:D828"/>
    <mergeCell ref="B829:D829"/>
    <mergeCell ref="B830:C830"/>
    <mergeCell ref="F817:H817"/>
    <mergeCell ref="F818:H818"/>
    <mergeCell ref="F819:H819"/>
    <mergeCell ref="E828:H838"/>
    <mergeCell ref="F839:G841"/>
    <mergeCell ref="H839:H841"/>
    <mergeCell ref="F842:H845"/>
    <mergeCell ref="B891:C891"/>
    <mergeCell ref="B892:C892"/>
    <mergeCell ref="B874:C874"/>
    <mergeCell ref="B875:D875"/>
    <mergeCell ref="B877:D879"/>
    <mergeCell ref="B887:E887"/>
    <mergeCell ref="B888:D888"/>
    <mergeCell ref="B889:D889"/>
    <mergeCell ref="B890:C890"/>
    <mergeCell ref="B862:C862"/>
    <mergeCell ref="B863:C863"/>
    <mergeCell ref="B864:C864"/>
    <mergeCell ref="B865:C865"/>
    <mergeCell ref="F847:H847"/>
    <mergeCell ref="F848:H848"/>
    <mergeCell ref="F849:H849"/>
    <mergeCell ref="E858:H868"/>
    <mergeCell ref="B859:D859"/>
    <mergeCell ref="B860:C860"/>
    <mergeCell ref="B861:C861"/>
    <mergeCell ref="B868:C868"/>
    <mergeCell ref="B871:C871"/>
    <mergeCell ref="B872:C872"/>
    <mergeCell ref="F877:H877"/>
    <mergeCell ref="F878:H878"/>
    <mergeCell ref="F879:H879"/>
    <mergeCell ref="E888:H898"/>
    <mergeCell ref="F899:G901"/>
    <mergeCell ref="H899:H901"/>
    <mergeCell ref="F902:H905"/>
    <mergeCell ref="B866:D866"/>
    <mergeCell ref="B867:D867"/>
    <mergeCell ref="B869:C869"/>
    <mergeCell ref="E869:E875"/>
    <mergeCell ref="F869:G871"/>
    <mergeCell ref="H869:H871"/>
    <mergeCell ref="F872:H875"/>
    <mergeCell ref="B870:C870"/>
    <mergeCell ref="B873:C873"/>
    <mergeCell ref="B893:C893"/>
    <mergeCell ref="B894:C894"/>
    <mergeCell ref="B895:C895"/>
    <mergeCell ref="B896:D896"/>
    <mergeCell ref="B897:D897"/>
    <mergeCell ref="B917:E917"/>
    <mergeCell ref="B918:D918"/>
    <mergeCell ref="E918:H928"/>
    <mergeCell ref="B919:D919"/>
    <mergeCell ref="B920:C920"/>
    <mergeCell ref="B921:C921"/>
    <mergeCell ref="B922:C922"/>
    <mergeCell ref="B927:D927"/>
    <mergeCell ref="B928:C928"/>
    <mergeCell ref="B929:C929"/>
    <mergeCell ref="E929:E935"/>
    <mergeCell ref="F929:G931"/>
    <mergeCell ref="H929:H931"/>
    <mergeCell ref="F932:H935"/>
    <mergeCell ref="B904:C904"/>
    <mergeCell ref="B905:D905"/>
    <mergeCell ref="B907:D909"/>
    <mergeCell ref="F907:H907"/>
    <mergeCell ref="F908:H908"/>
    <mergeCell ref="F909:H909"/>
    <mergeCell ref="B898:C898"/>
    <mergeCell ref="B899:C899"/>
    <mergeCell ref="E899:E905"/>
    <mergeCell ref="B900:C900"/>
    <mergeCell ref="B901:C901"/>
    <mergeCell ref="B902:C902"/>
    <mergeCell ref="B903:C903"/>
    <mergeCell ref="B923:C923"/>
    <mergeCell ref="B924:C924"/>
    <mergeCell ref="B925:C925"/>
    <mergeCell ref="B926:D926"/>
    <mergeCell ref="B931:C931"/>
    <mergeCell ref="B932:C932"/>
    <mergeCell ref="B930:C930"/>
    <mergeCell ref="B933:C933"/>
    <mergeCell ref="B934:C934"/>
    <mergeCell ref="B935:D935"/>
    <mergeCell ref="B937:D939"/>
    <mergeCell ref="F937:H937"/>
    <mergeCell ref="F938:H938"/>
    <mergeCell ref="F939:H939"/>
    <mergeCell ref="B947:E947"/>
    <mergeCell ref="B981:C981"/>
    <mergeCell ref="B982:C982"/>
    <mergeCell ref="B983:C983"/>
    <mergeCell ref="B984:C984"/>
    <mergeCell ref="B985:C985"/>
    <mergeCell ref="B986:D986"/>
    <mergeCell ref="B987:D987"/>
    <mergeCell ref="B994:C994"/>
    <mergeCell ref="B995:D995"/>
    <mergeCell ref="B997:D999"/>
    <mergeCell ref="B1007:E1007"/>
    <mergeCell ref="B1008:D1008"/>
    <mergeCell ref="B988:C988"/>
    <mergeCell ref="B989:C989"/>
    <mergeCell ref="E989:E995"/>
    <mergeCell ref="B990:C990"/>
    <mergeCell ref="B991:C991"/>
    <mergeCell ref="B992:C992"/>
    <mergeCell ref="B993:C993"/>
    <mergeCell ref="B954:C954"/>
    <mergeCell ref="B955:C955"/>
    <mergeCell ref="B948:D948"/>
    <mergeCell ref="E948:H958"/>
    <mergeCell ref="B949:D949"/>
    <mergeCell ref="B950:C950"/>
    <mergeCell ref="B951:C951"/>
    <mergeCell ref="B952:C952"/>
    <mergeCell ref="B953:C953"/>
    <mergeCell ref="B958:C958"/>
    <mergeCell ref="B961:C961"/>
    <mergeCell ref="B962:C962"/>
    <mergeCell ref="B960:C960"/>
    <mergeCell ref="B963:C963"/>
    <mergeCell ref="B956:D956"/>
    <mergeCell ref="B957:D957"/>
    <mergeCell ref="B959:C959"/>
    <mergeCell ref="E959:E965"/>
    <mergeCell ref="F959:G961"/>
    <mergeCell ref="H959:H961"/>
    <mergeCell ref="F962:H965"/>
    <mergeCell ref="B964:C964"/>
    <mergeCell ref="B965:D965"/>
    <mergeCell ref="B967:D969"/>
    <mergeCell ref="B977:E977"/>
    <mergeCell ref="B978:D978"/>
    <mergeCell ref="B979:D979"/>
    <mergeCell ref="B980:C980"/>
    <mergeCell ref="F967:H967"/>
    <mergeCell ref="F968:H968"/>
    <mergeCell ref="F969:H969"/>
    <mergeCell ref="E978:H988"/>
    <mergeCell ref="F989:G991"/>
    <mergeCell ref="H989:H991"/>
    <mergeCell ref="F992:H995"/>
    <mergeCell ref="F272:H275"/>
    <mergeCell ref="F277:H277"/>
    <mergeCell ref="F278:H278"/>
    <mergeCell ref="F279:H279"/>
    <mergeCell ref="E288:H298"/>
    <mergeCell ref="B289:D289"/>
    <mergeCell ref="B290:C290"/>
    <mergeCell ref="B297:D297"/>
    <mergeCell ref="B298:C298"/>
    <mergeCell ref="B299:C299"/>
    <mergeCell ref="E299:E305"/>
    <mergeCell ref="F299:G301"/>
    <mergeCell ref="H299:H301"/>
    <mergeCell ref="F302:H305"/>
    <mergeCell ref="B291:C291"/>
    <mergeCell ref="B292:C292"/>
    <mergeCell ref="B293:C293"/>
    <mergeCell ref="B294:C294"/>
    <mergeCell ref="B295:C295"/>
    <mergeCell ref="B296:D296"/>
    <mergeCell ref="B301:C301"/>
    <mergeCell ref="B302:C302"/>
    <mergeCell ref="B300:C300"/>
    <mergeCell ref="B303:C303"/>
    <mergeCell ref="B304:C304"/>
    <mergeCell ref="B305:D305"/>
    <mergeCell ref="B307:D309"/>
    <mergeCell ref="B317:E317"/>
    <mergeCell ref="B318:D318"/>
    <mergeCell ref="B319:D319"/>
    <mergeCell ref="B320:C320"/>
    <mergeCell ref="B330:C330"/>
    <mergeCell ref="B331:C331"/>
    <mergeCell ref="B332:C332"/>
    <mergeCell ref="B333:C333"/>
    <mergeCell ref="B334:C334"/>
    <mergeCell ref="B335:D335"/>
    <mergeCell ref="B337:D339"/>
    <mergeCell ref="B388:C388"/>
    <mergeCell ref="B389:C389"/>
    <mergeCell ref="E389:E395"/>
    <mergeCell ref="B390:C390"/>
    <mergeCell ref="B391:C391"/>
    <mergeCell ref="B392:C392"/>
    <mergeCell ref="B393:C393"/>
    <mergeCell ref="B394:C394"/>
    <mergeCell ref="B395:D395"/>
    <mergeCell ref="B397:D399"/>
    <mergeCell ref="B407:E407"/>
    <mergeCell ref="B408:D408"/>
    <mergeCell ref="B409:D409"/>
    <mergeCell ref="B410:C410"/>
    <mergeCell ref="B347:E347"/>
    <mergeCell ref="B348:D348"/>
    <mergeCell ref="B349:D349"/>
    <mergeCell ref="B350:C350"/>
    <mergeCell ref="B351:C351"/>
    <mergeCell ref="B352:C352"/>
    <mergeCell ref="B353:C353"/>
    <mergeCell ref="B360:C360"/>
    <mergeCell ref="B361:C361"/>
    <mergeCell ref="B362:C362"/>
    <mergeCell ref="B363:C363"/>
    <mergeCell ref="B354:C354"/>
    <mergeCell ref="B355:C355"/>
    <mergeCell ref="B356:D356"/>
    <mergeCell ref="B357:D357"/>
    <mergeCell ref="B358:C358"/>
    <mergeCell ref="B359:C359"/>
    <mergeCell ref="E359:E365"/>
    <mergeCell ref="B364:C364"/>
    <mergeCell ref="B365:D365"/>
    <mergeCell ref="B367:D369"/>
    <mergeCell ref="B377:E377"/>
    <mergeCell ref="B378:D378"/>
    <mergeCell ref="B379:D379"/>
    <mergeCell ref="B380:C380"/>
    <mergeCell ref="B381:C381"/>
    <mergeCell ref="B382:C382"/>
    <mergeCell ref="B383:C383"/>
    <mergeCell ref="B384:C384"/>
    <mergeCell ref="B385:C385"/>
    <mergeCell ref="B386:D386"/>
    <mergeCell ref="B387:D387"/>
    <mergeCell ref="B411:C411"/>
    <mergeCell ref="B412:C412"/>
    <mergeCell ref="B413:C413"/>
    <mergeCell ref="B414:C414"/>
    <mergeCell ref="B415:C415"/>
    <mergeCell ref="B416:D416"/>
    <mergeCell ref="B417:D417"/>
    <mergeCell ref="B478:C478"/>
    <mergeCell ref="B479:C479"/>
    <mergeCell ref="E479:E485"/>
    <mergeCell ref="B480:C480"/>
    <mergeCell ref="B481:C481"/>
    <mergeCell ref="B482:C482"/>
    <mergeCell ref="B483:C483"/>
    <mergeCell ref="B484:C484"/>
    <mergeCell ref="B485:D485"/>
    <mergeCell ref="B487:D489"/>
    <mergeCell ref="B497:E497"/>
    <mergeCell ref="B498:D498"/>
    <mergeCell ref="B499:D499"/>
    <mergeCell ref="B500:C500"/>
    <mergeCell ref="B418:C418"/>
    <mergeCell ref="B419:C419"/>
    <mergeCell ref="E419:E425"/>
    <mergeCell ref="B420:C420"/>
    <mergeCell ref="B421:C421"/>
    <mergeCell ref="B422:C422"/>
    <mergeCell ref="B423:C423"/>
    <mergeCell ref="B424:C424"/>
    <mergeCell ref="B425:D425"/>
    <mergeCell ref="B427:D429"/>
    <mergeCell ref="B437:E437"/>
    <mergeCell ref="B438:D438"/>
    <mergeCell ref="B439:D439"/>
    <mergeCell ref="B440:C440"/>
    <mergeCell ref="B441:C441"/>
    <mergeCell ref="B442:C442"/>
    <mergeCell ref="B443:C443"/>
    <mergeCell ref="B444:C444"/>
    <mergeCell ref="B445:C445"/>
    <mergeCell ref="B446:D446"/>
    <mergeCell ref="B447:D447"/>
    <mergeCell ref="B448:C448"/>
    <mergeCell ref="B449:C449"/>
    <mergeCell ref="E449:E455"/>
    <mergeCell ref="B450:C450"/>
    <mergeCell ref="B451:C451"/>
    <mergeCell ref="B452:C452"/>
    <mergeCell ref="B453:C453"/>
    <mergeCell ref="B454:C454"/>
    <mergeCell ref="B455:D455"/>
    <mergeCell ref="B457:D459"/>
    <mergeCell ref="B467:E467"/>
    <mergeCell ref="B468:D468"/>
    <mergeCell ref="B469:D469"/>
    <mergeCell ref="B470:C470"/>
    <mergeCell ref="B471:C471"/>
    <mergeCell ref="B472:C472"/>
    <mergeCell ref="B473:C473"/>
    <mergeCell ref="B474:C474"/>
    <mergeCell ref="B475:C475"/>
    <mergeCell ref="B476:D476"/>
    <mergeCell ref="B477:D477"/>
    <mergeCell ref="B501:C501"/>
    <mergeCell ref="B502:C502"/>
    <mergeCell ref="B503:C503"/>
    <mergeCell ref="B504:C504"/>
    <mergeCell ref="B505:C505"/>
    <mergeCell ref="B506:D506"/>
    <mergeCell ref="B507:D507"/>
    <mergeCell ref="B1012:C1012"/>
    <mergeCell ref="B1013:C1013"/>
    <mergeCell ref="B1014:C1014"/>
    <mergeCell ref="B1015:C1015"/>
    <mergeCell ref="F997:H997"/>
    <mergeCell ref="F998:H998"/>
    <mergeCell ref="F999:H999"/>
    <mergeCell ref="E1008:H1018"/>
    <mergeCell ref="B1009:D1009"/>
    <mergeCell ref="B1010:C1010"/>
    <mergeCell ref="B1011:C1011"/>
    <mergeCell ref="B1018:C1018"/>
    <mergeCell ref="B1021:C1021"/>
    <mergeCell ref="B1022:C1022"/>
    <mergeCell ref="B1020:C1020"/>
    <mergeCell ref="B1023:C1023"/>
    <mergeCell ref="B1024:C1024"/>
    <mergeCell ref="B1025:D1025"/>
    <mergeCell ref="B1016:D1016"/>
    <mergeCell ref="B1017:D1017"/>
    <mergeCell ref="B1019:C1019"/>
    <mergeCell ref="E1019:E1025"/>
    <mergeCell ref="F1019:G1021"/>
    <mergeCell ref="H1019:H1021"/>
    <mergeCell ref="F1022:H1025"/>
    <mergeCell ref="J801:K801"/>
    <mergeCell ref="J802:K802"/>
    <mergeCell ref="J784:K784"/>
    <mergeCell ref="J785:L785"/>
    <mergeCell ref="J787:L789"/>
    <mergeCell ref="J797:M797"/>
    <mergeCell ref="J798:L798"/>
    <mergeCell ref="J799:L799"/>
    <mergeCell ref="J800:K800"/>
    <mergeCell ref="J772:K772"/>
    <mergeCell ref="J773:K773"/>
    <mergeCell ref="J774:K774"/>
    <mergeCell ref="J775:K775"/>
    <mergeCell ref="N757:P757"/>
    <mergeCell ref="N758:P758"/>
    <mergeCell ref="N759:P759"/>
    <mergeCell ref="M768:P778"/>
    <mergeCell ref="J769:L769"/>
    <mergeCell ref="J770:K770"/>
    <mergeCell ref="J771:K771"/>
    <mergeCell ref="J778:K778"/>
    <mergeCell ref="J781:K781"/>
    <mergeCell ref="J782:K782"/>
    <mergeCell ref="N787:P787"/>
    <mergeCell ref="N788:P788"/>
    <mergeCell ref="N789:P789"/>
    <mergeCell ref="M798:P808"/>
    <mergeCell ref="N809:O811"/>
    <mergeCell ref="P809:P811"/>
    <mergeCell ref="N812:P815"/>
    <mergeCell ref="J776:L776"/>
    <mergeCell ref="J777:L777"/>
    <mergeCell ref="J779:K779"/>
    <mergeCell ref="M779:M785"/>
    <mergeCell ref="N779:O781"/>
    <mergeCell ref="P779:P781"/>
    <mergeCell ref="N782:P785"/>
    <mergeCell ref="J780:K780"/>
    <mergeCell ref="J783:K783"/>
    <mergeCell ref="J803:K803"/>
    <mergeCell ref="J804:K804"/>
    <mergeCell ref="J805:K805"/>
    <mergeCell ref="J806:L806"/>
    <mergeCell ref="J807:L807"/>
    <mergeCell ref="J827:M827"/>
    <mergeCell ref="J828:L828"/>
    <mergeCell ref="M828:P838"/>
    <mergeCell ref="J829:L829"/>
    <mergeCell ref="J830:K830"/>
    <mergeCell ref="J831:K831"/>
    <mergeCell ref="J832:K832"/>
    <mergeCell ref="J837:L837"/>
    <mergeCell ref="J838:K838"/>
    <mergeCell ref="J839:K839"/>
    <mergeCell ref="M839:M845"/>
    <mergeCell ref="N839:O841"/>
    <mergeCell ref="P839:P841"/>
    <mergeCell ref="N842:P845"/>
    <mergeCell ref="J814:K814"/>
    <mergeCell ref="J815:L815"/>
    <mergeCell ref="J817:L819"/>
    <mergeCell ref="N817:P817"/>
    <mergeCell ref="N818:P818"/>
    <mergeCell ref="N819:P819"/>
    <mergeCell ref="J808:K808"/>
    <mergeCell ref="J809:K809"/>
    <mergeCell ref="M809:M815"/>
    <mergeCell ref="J810:K810"/>
    <mergeCell ref="J811:K811"/>
    <mergeCell ref="J812:K812"/>
    <mergeCell ref="J813:K813"/>
    <mergeCell ref="J833:K833"/>
    <mergeCell ref="J834:K834"/>
    <mergeCell ref="J835:K835"/>
    <mergeCell ref="J836:L836"/>
    <mergeCell ref="J841:K841"/>
    <mergeCell ref="J842:K842"/>
    <mergeCell ref="J840:K840"/>
    <mergeCell ref="J843:K843"/>
    <mergeCell ref="J844:K844"/>
    <mergeCell ref="J845:L845"/>
    <mergeCell ref="J847:L849"/>
    <mergeCell ref="N847:P847"/>
    <mergeCell ref="N848:P848"/>
    <mergeCell ref="N849:P849"/>
    <mergeCell ref="J857:M857"/>
    <mergeCell ref="J891:K891"/>
    <mergeCell ref="J892:K892"/>
    <mergeCell ref="J893:K893"/>
    <mergeCell ref="J894:K894"/>
    <mergeCell ref="J895:K895"/>
    <mergeCell ref="J896:L896"/>
    <mergeCell ref="J897:L897"/>
    <mergeCell ref="J904:K904"/>
    <mergeCell ref="J905:L905"/>
    <mergeCell ref="J907:L909"/>
    <mergeCell ref="J917:M917"/>
    <mergeCell ref="J918:L918"/>
    <mergeCell ref="J898:K898"/>
    <mergeCell ref="J899:K899"/>
    <mergeCell ref="M899:M905"/>
    <mergeCell ref="J900:K900"/>
    <mergeCell ref="J901:K901"/>
    <mergeCell ref="J902:K902"/>
    <mergeCell ref="J903:K903"/>
    <mergeCell ref="J864:K864"/>
    <mergeCell ref="J865:K865"/>
    <mergeCell ref="J858:L858"/>
    <mergeCell ref="M858:P868"/>
    <mergeCell ref="J859:L859"/>
    <mergeCell ref="J860:K860"/>
    <mergeCell ref="J861:K861"/>
    <mergeCell ref="J862:K862"/>
    <mergeCell ref="J863:K863"/>
    <mergeCell ref="J868:K868"/>
    <mergeCell ref="J871:K871"/>
    <mergeCell ref="J872:K872"/>
    <mergeCell ref="J870:K870"/>
    <mergeCell ref="J873:K873"/>
    <mergeCell ref="J866:L866"/>
    <mergeCell ref="J867:L867"/>
    <mergeCell ref="J869:K869"/>
    <mergeCell ref="M869:M875"/>
    <mergeCell ref="N869:O871"/>
    <mergeCell ref="P869:P871"/>
    <mergeCell ref="N872:P875"/>
    <mergeCell ref="J874:K874"/>
    <mergeCell ref="J875:L875"/>
    <mergeCell ref="J877:L879"/>
    <mergeCell ref="J887:M887"/>
    <mergeCell ref="J888:L888"/>
    <mergeCell ref="J889:L889"/>
    <mergeCell ref="J890:K890"/>
    <mergeCell ref="N877:P877"/>
    <mergeCell ref="N878:P878"/>
    <mergeCell ref="N879:P879"/>
    <mergeCell ref="M888:P898"/>
    <mergeCell ref="N899:O901"/>
    <mergeCell ref="P899:P901"/>
    <mergeCell ref="N902:P905"/>
    <mergeCell ref="J951:K951"/>
    <mergeCell ref="J952:K952"/>
    <mergeCell ref="J934:K934"/>
    <mergeCell ref="J935:L935"/>
    <mergeCell ref="J937:L939"/>
    <mergeCell ref="J947:M947"/>
    <mergeCell ref="J948:L948"/>
    <mergeCell ref="J949:L949"/>
    <mergeCell ref="J950:K950"/>
    <mergeCell ref="J922:K922"/>
    <mergeCell ref="J923:K923"/>
    <mergeCell ref="J924:K924"/>
    <mergeCell ref="J925:K925"/>
    <mergeCell ref="N907:P907"/>
    <mergeCell ref="N908:P908"/>
    <mergeCell ref="N909:P909"/>
    <mergeCell ref="M918:P928"/>
    <mergeCell ref="J919:L919"/>
    <mergeCell ref="J920:K920"/>
    <mergeCell ref="J921:K921"/>
    <mergeCell ref="J928:K928"/>
    <mergeCell ref="J931:K931"/>
    <mergeCell ref="J932:K932"/>
    <mergeCell ref="N937:P937"/>
    <mergeCell ref="N938:P938"/>
    <mergeCell ref="N939:P939"/>
    <mergeCell ref="M948:P958"/>
    <mergeCell ref="N959:O961"/>
    <mergeCell ref="P959:P961"/>
    <mergeCell ref="N962:P965"/>
    <mergeCell ref="J926:L926"/>
    <mergeCell ref="J927:L927"/>
    <mergeCell ref="J929:K929"/>
    <mergeCell ref="M929:M935"/>
    <mergeCell ref="N929:O931"/>
    <mergeCell ref="P929:P931"/>
    <mergeCell ref="N932:P935"/>
    <mergeCell ref="J930:K930"/>
    <mergeCell ref="J933:K933"/>
    <mergeCell ref="J953:K953"/>
    <mergeCell ref="J954:K954"/>
    <mergeCell ref="J955:K955"/>
    <mergeCell ref="J956:L956"/>
    <mergeCell ref="J957:L957"/>
    <mergeCell ref="J977:M977"/>
    <mergeCell ref="J978:L978"/>
    <mergeCell ref="M978:P988"/>
    <mergeCell ref="J979:L979"/>
    <mergeCell ref="J980:K980"/>
    <mergeCell ref="J981:K981"/>
    <mergeCell ref="J982:K982"/>
    <mergeCell ref="J987:L987"/>
    <mergeCell ref="J988:K988"/>
    <mergeCell ref="J989:K989"/>
    <mergeCell ref="M989:M995"/>
    <mergeCell ref="N989:O991"/>
    <mergeCell ref="P989:P991"/>
    <mergeCell ref="N992:P995"/>
    <mergeCell ref="J964:K964"/>
    <mergeCell ref="J965:L965"/>
    <mergeCell ref="J967:L969"/>
    <mergeCell ref="N967:P967"/>
    <mergeCell ref="N968:P968"/>
    <mergeCell ref="N969:P969"/>
    <mergeCell ref="J958:K958"/>
    <mergeCell ref="J959:K959"/>
    <mergeCell ref="M959:M965"/>
    <mergeCell ref="J960:K960"/>
    <mergeCell ref="J961:K961"/>
    <mergeCell ref="J962:K962"/>
    <mergeCell ref="J963:K963"/>
    <mergeCell ref="J983:K983"/>
    <mergeCell ref="J984:K984"/>
    <mergeCell ref="J985:K985"/>
    <mergeCell ref="J986:L986"/>
    <mergeCell ref="J991:K991"/>
    <mergeCell ref="J992:K992"/>
    <mergeCell ref="J990:K990"/>
    <mergeCell ref="J993:K993"/>
    <mergeCell ref="J994:K994"/>
    <mergeCell ref="J995:L995"/>
    <mergeCell ref="J997:L999"/>
    <mergeCell ref="N997:P997"/>
    <mergeCell ref="N998:P998"/>
    <mergeCell ref="N999:P999"/>
    <mergeCell ref="J1007:M1007"/>
    <mergeCell ref="J621:K621"/>
    <mergeCell ref="J622:K622"/>
    <mergeCell ref="J604:K604"/>
    <mergeCell ref="J605:L605"/>
    <mergeCell ref="J607:L609"/>
    <mergeCell ref="J617:M617"/>
    <mergeCell ref="J618:L618"/>
    <mergeCell ref="J619:L619"/>
    <mergeCell ref="J620:K620"/>
    <mergeCell ref="J592:K592"/>
    <mergeCell ref="J593:K593"/>
    <mergeCell ref="J594:K594"/>
    <mergeCell ref="J595:K595"/>
    <mergeCell ref="N577:P577"/>
    <mergeCell ref="N578:P578"/>
    <mergeCell ref="N579:P579"/>
    <mergeCell ref="M588:P598"/>
    <mergeCell ref="J589:L589"/>
    <mergeCell ref="J590:K590"/>
    <mergeCell ref="J591:K591"/>
    <mergeCell ref="J598:K598"/>
    <mergeCell ref="J601:K601"/>
    <mergeCell ref="J602:K602"/>
    <mergeCell ref="J596:L596"/>
    <mergeCell ref="J597:L597"/>
    <mergeCell ref="J599:K599"/>
    <mergeCell ref="M599:M605"/>
    <mergeCell ref="N599:O601"/>
    <mergeCell ref="P599:P601"/>
    <mergeCell ref="N602:P605"/>
    <mergeCell ref="J600:K600"/>
    <mergeCell ref="J603:K603"/>
    <mergeCell ref="J623:K623"/>
    <mergeCell ref="J624:K624"/>
    <mergeCell ref="J625:K625"/>
    <mergeCell ref="J626:L626"/>
    <mergeCell ref="J627:L627"/>
    <mergeCell ref="J637:L639"/>
    <mergeCell ref="N607:P607"/>
    <mergeCell ref="N608:P608"/>
    <mergeCell ref="N609:P609"/>
    <mergeCell ref="M618:P628"/>
    <mergeCell ref="N629:O631"/>
    <mergeCell ref="P629:P631"/>
    <mergeCell ref="N632:P635"/>
    <mergeCell ref="N637:P637"/>
    <mergeCell ref="N638:P638"/>
    <mergeCell ref="N639:P639"/>
    <mergeCell ref="J647:M647"/>
    <mergeCell ref="J648:L648"/>
    <mergeCell ref="M648:P658"/>
    <mergeCell ref="J649:L649"/>
    <mergeCell ref="J658:K658"/>
    <mergeCell ref="J656:L656"/>
    <mergeCell ref="J657:L657"/>
    <mergeCell ref="J659:K659"/>
    <mergeCell ref="M659:M665"/>
    <mergeCell ref="N659:O661"/>
    <mergeCell ref="P659:P661"/>
    <mergeCell ref="N662:P665"/>
    <mergeCell ref="J681:K681"/>
    <mergeCell ref="J682:K682"/>
    <mergeCell ref="J683:K683"/>
    <mergeCell ref="J684:K684"/>
    <mergeCell ref="J685:K685"/>
    <mergeCell ref="J686:L686"/>
    <mergeCell ref="J687:L687"/>
    <mergeCell ref="J694:K694"/>
    <mergeCell ref="J695:L695"/>
    <mergeCell ref="J697:L699"/>
    <mergeCell ref="J707:M707"/>
    <mergeCell ref="J708:L708"/>
    <mergeCell ref="J688:K688"/>
    <mergeCell ref="J689:K689"/>
    <mergeCell ref="M689:M695"/>
    <mergeCell ref="J690:K690"/>
    <mergeCell ref="J691:K691"/>
    <mergeCell ref="J692:K692"/>
    <mergeCell ref="J693:K693"/>
    <mergeCell ref="J650:K650"/>
    <mergeCell ref="J651:K651"/>
    <mergeCell ref="J652:K652"/>
    <mergeCell ref="J653:K653"/>
    <mergeCell ref="J654:K654"/>
    <mergeCell ref="J655:K655"/>
    <mergeCell ref="J661:K661"/>
    <mergeCell ref="J662:K662"/>
    <mergeCell ref="J660:K660"/>
    <mergeCell ref="J663:K663"/>
    <mergeCell ref="J664:K664"/>
    <mergeCell ref="J665:L665"/>
    <mergeCell ref="J667:L669"/>
    <mergeCell ref="J677:M677"/>
    <mergeCell ref="J678:L678"/>
    <mergeCell ref="J679:L679"/>
    <mergeCell ref="J680:K680"/>
    <mergeCell ref="N667:P667"/>
    <mergeCell ref="N668:P668"/>
    <mergeCell ref="N669:P669"/>
    <mergeCell ref="M678:P688"/>
    <mergeCell ref="N689:O691"/>
    <mergeCell ref="P689:P691"/>
    <mergeCell ref="N692:P695"/>
    <mergeCell ref="J754:K754"/>
    <mergeCell ref="J755:L755"/>
    <mergeCell ref="J757:L759"/>
    <mergeCell ref="J767:M767"/>
    <mergeCell ref="J768:L768"/>
    <mergeCell ref="J748:K748"/>
    <mergeCell ref="J749:K749"/>
    <mergeCell ref="M749:M755"/>
    <mergeCell ref="J750:K750"/>
    <mergeCell ref="J751:K751"/>
    <mergeCell ref="J752:K752"/>
    <mergeCell ref="J753:K753"/>
    <mergeCell ref="J1014:K1014"/>
    <mergeCell ref="J1015:K1015"/>
    <mergeCell ref="J1008:L1008"/>
    <mergeCell ref="M1008:P1018"/>
    <mergeCell ref="J1009:L1009"/>
    <mergeCell ref="J1010:K1010"/>
    <mergeCell ref="J1011:K1011"/>
    <mergeCell ref="J1012:K1012"/>
    <mergeCell ref="J1013:K1013"/>
    <mergeCell ref="J1018:K1018"/>
    <mergeCell ref="J1021:K1021"/>
    <mergeCell ref="J1022:K1022"/>
    <mergeCell ref="J1020:K1020"/>
    <mergeCell ref="J1023:K1023"/>
    <mergeCell ref="J1024:K1024"/>
    <mergeCell ref="J1025:L1025"/>
    <mergeCell ref="J1016:L1016"/>
    <mergeCell ref="J1017:L1017"/>
    <mergeCell ref="J1019:K1019"/>
    <mergeCell ref="M1019:M1025"/>
    <mergeCell ref="N1019:O1021"/>
    <mergeCell ref="P1019:P1021"/>
    <mergeCell ref="N1022:P1025"/>
    <mergeCell ref="J201:K201"/>
    <mergeCell ref="J202:K202"/>
    <mergeCell ref="J184:K184"/>
    <mergeCell ref="J185:L185"/>
    <mergeCell ref="J187:L189"/>
    <mergeCell ref="J197:M197"/>
    <mergeCell ref="J198:L198"/>
    <mergeCell ref="J199:L199"/>
    <mergeCell ref="J200:K200"/>
    <mergeCell ref="J172:K172"/>
    <mergeCell ref="J173:K173"/>
    <mergeCell ref="J174:K174"/>
    <mergeCell ref="J175:K175"/>
    <mergeCell ref="J143:K143"/>
    <mergeCell ref="J144:K144"/>
    <mergeCell ref="J157:L159"/>
    <mergeCell ref="J167:M167"/>
    <mergeCell ref="J168:L168"/>
    <mergeCell ref="M168:P178"/>
    <mergeCell ref="J169:L169"/>
    <mergeCell ref="J178:K178"/>
    <mergeCell ref="J181:K181"/>
    <mergeCell ref="J182:K182"/>
    <mergeCell ref="N187:P187"/>
    <mergeCell ref="N188:P188"/>
    <mergeCell ref="N189:P189"/>
    <mergeCell ref="M198:P208"/>
    <mergeCell ref="N209:O211"/>
    <mergeCell ref="P209:P211"/>
    <mergeCell ref="N212:P215"/>
    <mergeCell ref="J176:L176"/>
    <mergeCell ref="J177:L177"/>
    <mergeCell ref="J179:K179"/>
    <mergeCell ref="M179:M185"/>
    <mergeCell ref="N179:O181"/>
    <mergeCell ref="P179:P181"/>
    <mergeCell ref="N182:P185"/>
    <mergeCell ref="J180:K180"/>
    <mergeCell ref="J183:K183"/>
    <mergeCell ref="J203:K203"/>
    <mergeCell ref="J204:K204"/>
    <mergeCell ref="J205:K205"/>
    <mergeCell ref="J206:L206"/>
    <mergeCell ref="J207:L207"/>
    <mergeCell ref="B214:C214"/>
    <mergeCell ref="B215:D215"/>
    <mergeCell ref="B217:D219"/>
    <mergeCell ref="B227:E227"/>
    <mergeCell ref="B228:D228"/>
    <mergeCell ref="B229:D229"/>
    <mergeCell ref="B230:C230"/>
    <mergeCell ref="B231:C231"/>
    <mergeCell ref="B232:C232"/>
    <mergeCell ref="E239:E245"/>
    <mergeCell ref="B240:C240"/>
    <mergeCell ref="B241:C241"/>
    <mergeCell ref="B242:C242"/>
    <mergeCell ref="B243:C243"/>
    <mergeCell ref="B271:C271"/>
    <mergeCell ref="B272:C272"/>
    <mergeCell ref="B273:C273"/>
    <mergeCell ref="B274:C274"/>
    <mergeCell ref="B275:D275"/>
    <mergeCell ref="B277:D279"/>
    <mergeCell ref="B287:E287"/>
    <mergeCell ref="B288:D288"/>
    <mergeCell ref="B244:C244"/>
    <mergeCell ref="B245:D245"/>
    <mergeCell ref="B247:D249"/>
    <mergeCell ref="B257:E257"/>
    <mergeCell ref="B258:D258"/>
    <mergeCell ref="E269:E275"/>
    <mergeCell ref="B270:C270"/>
    <mergeCell ref="B204:C204"/>
    <mergeCell ref="B205:C205"/>
    <mergeCell ref="B198:D198"/>
    <mergeCell ref="E198:H208"/>
    <mergeCell ref="B199:D199"/>
    <mergeCell ref="B200:C200"/>
    <mergeCell ref="B201:C201"/>
    <mergeCell ref="B202:C202"/>
    <mergeCell ref="B203:C203"/>
    <mergeCell ref="B208:C208"/>
    <mergeCell ref="B211:C211"/>
    <mergeCell ref="B212:C212"/>
    <mergeCell ref="B210:C210"/>
    <mergeCell ref="B213:C213"/>
    <mergeCell ref="B206:D206"/>
    <mergeCell ref="B207:D207"/>
    <mergeCell ref="B209:C209"/>
    <mergeCell ref="E209:E215"/>
    <mergeCell ref="F209:G211"/>
    <mergeCell ref="H209:H211"/>
    <mergeCell ref="F212:H215"/>
    <mergeCell ref="J229:L229"/>
    <mergeCell ref="J230:K230"/>
    <mergeCell ref="F217:H217"/>
    <mergeCell ref="F218:H218"/>
    <mergeCell ref="F219:H219"/>
    <mergeCell ref="J227:M227"/>
    <mergeCell ref="E228:H238"/>
    <mergeCell ref="J228:L228"/>
    <mergeCell ref="M228:P238"/>
    <mergeCell ref="J236:L236"/>
    <mergeCell ref="B237:D237"/>
    <mergeCell ref="J237:L237"/>
    <mergeCell ref="B238:C238"/>
    <mergeCell ref="B239:C239"/>
    <mergeCell ref="F239:G241"/>
    <mergeCell ref="H239:H241"/>
    <mergeCell ref="J241:K241"/>
    <mergeCell ref="J242:K242"/>
    <mergeCell ref="J240:K240"/>
    <mergeCell ref="J243:K243"/>
    <mergeCell ref="N242:P245"/>
    <mergeCell ref="N247:P247"/>
    <mergeCell ref="J238:K238"/>
    <mergeCell ref="J239:K239"/>
    <mergeCell ref="M239:M245"/>
    <mergeCell ref="N239:O241"/>
    <mergeCell ref="P239:P241"/>
    <mergeCell ref="F242:H245"/>
    <mergeCell ref="F247:H247"/>
    <mergeCell ref="J258:L258"/>
    <mergeCell ref="J259:L259"/>
    <mergeCell ref="B260:C260"/>
    <mergeCell ref="J260:K260"/>
    <mergeCell ref="B261:C261"/>
    <mergeCell ref="J261:K261"/>
    <mergeCell ref="B262:C262"/>
    <mergeCell ref="J262:K262"/>
    <mergeCell ref="B263:C263"/>
    <mergeCell ref="J263:K263"/>
    <mergeCell ref="B264:C264"/>
    <mergeCell ref="J264:K264"/>
    <mergeCell ref="B265:C265"/>
    <mergeCell ref="J265:K265"/>
    <mergeCell ref="B266:D266"/>
    <mergeCell ref="J266:L266"/>
    <mergeCell ref="B267:D267"/>
    <mergeCell ref="J267:L267"/>
    <mergeCell ref="F248:H248"/>
    <mergeCell ref="N248:P248"/>
    <mergeCell ref="F249:H249"/>
    <mergeCell ref="N249:P249"/>
    <mergeCell ref="J244:K244"/>
    <mergeCell ref="J245:L245"/>
    <mergeCell ref="J247:L249"/>
    <mergeCell ref="J257:M257"/>
    <mergeCell ref="E258:H268"/>
    <mergeCell ref="M258:P268"/>
    <mergeCell ref="B259:D259"/>
    <mergeCell ref="N269:O271"/>
    <mergeCell ref="P269:P271"/>
    <mergeCell ref="N272:P275"/>
    <mergeCell ref="N277:P277"/>
    <mergeCell ref="N278:P278"/>
    <mergeCell ref="N279:P279"/>
    <mergeCell ref="M288:P298"/>
    <mergeCell ref="J270:K270"/>
    <mergeCell ref="J271:K271"/>
    <mergeCell ref="J269:K269"/>
    <mergeCell ref="J272:K272"/>
    <mergeCell ref="B268:C268"/>
    <mergeCell ref="J268:K268"/>
    <mergeCell ref="B269:C269"/>
    <mergeCell ref="F269:G271"/>
    <mergeCell ref="H269:H271"/>
    <mergeCell ref="M269:M275"/>
    <mergeCell ref="J275:L275"/>
    <mergeCell ref="J273:K273"/>
    <mergeCell ref="J274:K274"/>
    <mergeCell ref="J277:L279"/>
    <mergeCell ref="J287:M287"/>
    <mergeCell ref="J288:L288"/>
    <mergeCell ref="J289:L289"/>
    <mergeCell ref="J290:K290"/>
    <mergeCell ref="B328:C328"/>
    <mergeCell ref="B329:C329"/>
    <mergeCell ref="B321:C321"/>
    <mergeCell ref="B322:C322"/>
    <mergeCell ref="B323:C323"/>
    <mergeCell ref="B324:C324"/>
    <mergeCell ref="B325:C325"/>
    <mergeCell ref="B326:D326"/>
    <mergeCell ref="B327:D327"/>
    <mergeCell ref="J328:K328"/>
    <mergeCell ref="J329:K329"/>
    <mergeCell ref="M329:M335"/>
    <mergeCell ref="J330:K330"/>
    <mergeCell ref="J331:K331"/>
    <mergeCell ref="J332:K332"/>
    <mergeCell ref="J333:K333"/>
    <mergeCell ref="J334:K334"/>
    <mergeCell ref="J335:L335"/>
    <mergeCell ref="J337:L339"/>
    <mergeCell ref="J347:M347"/>
    <mergeCell ref="J348:L348"/>
    <mergeCell ref="J349:L349"/>
    <mergeCell ref="J350:K350"/>
    <mergeCell ref="N299:O301"/>
    <mergeCell ref="N302:P305"/>
    <mergeCell ref="N307:P307"/>
    <mergeCell ref="N308:P308"/>
    <mergeCell ref="N309:P309"/>
    <mergeCell ref="M318:P328"/>
    <mergeCell ref="P329:P331"/>
    <mergeCell ref="N329:O331"/>
    <mergeCell ref="N332:P335"/>
    <mergeCell ref="N337:P337"/>
    <mergeCell ref="N338:P338"/>
    <mergeCell ref="N339:P339"/>
    <mergeCell ref="M348:P358"/>
    <mergeCell ref="P359:P361"/>
    <mergeCell ref="J358:K358"/>
    <mergeCell ref="J359:K359"/>
    <mergeCell ref="M359:M365"/>
    <mergeCell ref="J360:K360"/>
    <mergeCell ref="J361:K361"/>
    <mergeCell ref="J362:K362"/>
    <mergeCell ref="J363:K363"/>
    <mergeCell ref="J364:K364"/>
    <mergeCell ref="J365:L365"/>
    <mergeCell ref="J367:L369"/>
    <mergeCell ref="J377:M377"/>
    <mergeCell ref="J378:L378"/>
    <mergeCell ref="J379:L379"/>
    <mergeCell ref="J380:K380"/>
    <mergeCell ref="N389:O391"/>
    <mergeCell ref="N392:P395"/>
    <mergeCell ref="N359:O361"/>
    <mergeCell ref="N362:P365"/>
    <mergeCell ref="N367:P367"/>
    <mergeCell ref="N368:P368"/>
    <mergeCell ref="N369:P369"/>
    <mergeCell ref="M378:P388"/>
    <mergeCell ref="P389:P391"/>
    <mergeCell ref="J381:K381"/>
    <mergeCell ref="J382:K382"/>
    <mergeCell ref="J383:K383"/>
    <mergeCell ref="J384:K384"/>
    <mergeCell ref="J385:K385"/>
    <mergeCell ref="J386:L386"/>
    <mergeCell ref="J387:L387"/>
    <mergeCell ref="J388:K388"/>
    <mergeCell ref="J389:K389"/>
    <mergeCell ref="M389:M395"/>
    <mergeCell ref="J390:K390"/>
    <mergeCell ref="J391:K391"/>
    <mergeCell ref="J392:K392"/>
    <mergeCell ref="J393:K393"/>
    <mergeCell ref="J291:K291"/>
    <mergeCell ref="J292:K292"/>
    <mergeCell ref="J293:K293"/>
    <mergeCell ref="J294:K294"/>
    <mergeCell ref="J295:K295"/>
    <mergeCell ref="J296:L296"/>
    <mergeCell ref="J297:L297"/>
    <mergeCell ref="J298:K298"/>
    <mergeCell ref="J299:K299"/>
    <mergeCell ref="M299:M305"/>
    <mergeCell ref="P299:P301"/>
    <mergeCell ref="J300:K300"/>
    <mergeCell ref="J301:K301"/>
    <mergeCell ref="J302:K302"/>
    <mergeCell ref="J305:L305"/>
    <mergeCell ref="J303:K303"/>
    <mergeCell ref="J304:K304"/>
    <mergeCell ref="J307:L309"/>
    <mergeCell ref="J317:M317"/>
    <mergeCell ref="J318:L318"/>
    <mergeCell ref="J319:L319"/>
    <mergeCell ref="J320:K320"/>
    <mergeCell ref="J321:K321"/>
    <mergeCell ref="J322:K322"/>
    <mergeCell ref="J323:K323"/>
    <mergeCell ref="J324:K324"/>
    <mergeCell ref="J325:K325"/>
    <mergeCell ref="J326:L326"/>
    <mergeCell ref="J327:L327"/>
    <mergeCell ref="J351:K351"/>
    <mergeCell ref="J352:K352"/>
    <mergeCell ref="J353:K353"/>
    <mergeCell ref="J354:K354"/>
    <mergeCell ref="J355:K355"/>
    <mergeCell ref="J356:L356"/>
    <mergeCell ref="J357:L357"/>
    <mergeCell ref="J394:K394"/>
    <mergeCell ref="J395:L395"/>
    <mergeCell ref="J397:L399"/>
    <mergeCell ref="N397:P397"/>
    <mergeCell ref="N398:P398"/>
    <mergeCell ref="N399:P399"/>
    <mergeCell ref="J413:K413"/>
    <mergeCell ref="J414:K414"/>
    <mergeCell ref="J441:K441"/>
    <mergeCell ref="J442:K442"/>
    <mergeCell ref="J443:K443"/>
    <mergeCell ref="J444:K444"/>
    <mergeCell ref="J445:K445"/>
    <mergeCell ref="J446:L446"/>
    <mergeCell ref="J447:L447"/>
    <mergeCell ref="J454:K454"/>
    <mergeCell ref="J455:L455"/>
    <mergeCell ref="J457:L459"/>
    <mergeCell ref="J467:M467"/>
    <mergeCell ref="J468:L468"/>
    <mergeCell ref="J448:K448"/>
    <mergeCell ref="J449:K449"/>
    <mergeCell ref="M449:M455"/>
    <mergeCell ref="J450:K450"/>
    <mergeCell ref="J451:K451"/>
    <mergeCell ref="J452:K452"/>
    <mergeCell ref="J453:K453"/>
    <mergeCell ref="J415:K415"/>
    <mergeCell ref="J416:L416"/>
    <mergeCell ref="J407:M407"/>
    <mergeCell ref="J408:L408"/>
    <mergeCell ref="M408:P418"/>
    <mergeCell ref="J409:L409"/>
    <mergeCell ref="J410:K410"/>
    <mergeCell ref="J411:K411"/>
    <mergeCell ref="J412:K412"/>
    <mergeCell ref="J421:K421"/>
    <mergeCell ref="J422:K422"/>
    <mergeCell ref="J420:K420"/>
    <mergeCell ref="J423:K423"/>
    <mergeCell ref="J417:L417"/>
    <mergeCell ref="J418:K418"/>
    <mergeCell ref="J419:K419"/>
    <mergeCell ref="M419:M425"/>
    <mergeCell ref="N419:O421"/>
    <mergeCell ref="P419:P421"/>
    <mergeCell ref="N422:P425"/>
    <mergeCell ref="J424:K424"/>
    <mergeCell ref="J425:L425"/>
    <mergeCell ref="J427:L429"/>
    <mergeCell ref="J437:M437"/>
    <mergeCell ref="J438:L438"/>
    <mergeCell ref="J439:L439"/>
    <mergeCell ref="J440:K440"/>
    <mergeCell ref="N427:P427"/>
    <mergeCell ref="N428:P428"/>
    <mergeCell ref="N429:P429"/>
    <mergeCell ref="M438:P448"/>
    <mergeCell ref="N449:O451"/>
    <mergeCell ref="P449:P451"/>
    <mergeCell ref="N452:P455"/>
    <mergeCell ref="B508:C508"/>
    <mergeCell ref="B509:C509"/>
    <mergeCell ref="E509:E515"/>
    <mergeCell ref="B510:C510"/>
    <mergeCell ref="B511:C511"/>
    <mergeCell ref="B512:C512"/>
    <mergeCell ref="B513:C513"/>
    <mergeCell ref="B514:C514"/>
    <mergeCell ref="B515:D515"/>
    <mergeCell ref="B517:D519"/>
    <mergeCell ref="B527:E527"/>
    <mergeCell ref="B528:D528"/>
    <mergeCell ref="B529:D529"/>
    <mergeCell ref="B530:C530"/>
    <mergeCell ref="B531:C531"/>
    <mergeCell ref="B532:C532"/>
    <mergeCell ref="B533:C533"/>
    <mergeCell ref="B534:C534"/>
    <mergeCell ref="B535:C535"/>
    <mergeCell ref="B536:D536"/>
    <mergeCell ref="B537:D537"/>
    <mergeCell ref="B544:C544"/>
    <mergeCell ref="B545:D545"/>
    <mergeCell ref="B547:D549"/>
    <mergeCell ref="F548:H548"/>
    <mergeCell ref="F549:H549"/>
    <mergeCell ref="B538:C538"/>
    <mergeCell ref="B539:C539"/>
    <mergeCell ref="E539:E545"/>
    <mergeCell ref="B540:C540"/>
    <mergeCell ref="B541:C541"/>
    <mergeCell ref="B542:C542"/>
    <mergeCell ref="B543:C543"/>
    <mergeCell ref="B563:C563"/>
    <mergeCell ref="B564:C564"/>
    <mergeCell ref="B565:C565"/>
    <mergeCell ref="B566:D566"/>
    <mergeCell ref="B557:E557"/>
    <mergeCell ref="B558:D558"/>
    <mergeCell ref="E558:H568"/>
    <mergeCell ref="B559:D559"/>
    <mergeCell ref="B560:C560"/>
    <mergeCell ref="B561:C561"/>
    <mergeCell ref="B562:C562"/>
    <mergeCell ref="B571:C571"/>
    <mergeCell ref="B572:C572"/>
    <mergeCell ref="B570:C570"/>
    <mergeCell ref="B573:C573"/>
    <mergeCell ref="F577:H577"/>
    <mergeCell ref="F578:H578"/>
    <mergeCell ref="F579:H579"/>
    <mergeCell ref="E588:H598"/>
    <mergeCell ref="F599:G601"/>
    <mergeCell ref="H599:H601"/>
    <mergeCell ref="F602:H605"/>
    <mergeCell ref="B567:D567"/>
    <mergeCell ref="B568:C568"/>
    <mergeCell ref="B569:C569"/>
    <mergeCell ref="E569:E575"/>
    <mergeCell ref="F569:G571"/>
    <mergeCell ref="H569:H571"/>
    <mergeCell ref="F572:H575"/>
    <mergeCell ref="B574:C574"/>
    <mergeCell ref="B575:D575"/>
    <mergeCell ref="B577:D579"/>
    <mergeCell ref="B587:E587"/>
    <mergeCell ref="B588:D588"/>
    <mergeCell ref="B589:D589"/>
    <mergeCell ref="B590:C590"/>
    <mergeCell ref="B591:C591"/>
    <mergeCell ref="B592:C592"/>
    <mergeCell ref="B593:C593"/>
    <mergeCell ref="B594:C594"/>
    <mergeCell ref="B595:C595"/>
    <mergeCell ref="B596:D596"/>
    <mergeCell ref="B597:D597"/>
    <mergeCell ref="B617:E617"/>
    <mergeCell ref="B618:D618"/>
    <mergeCell ref="E618:H628"/>
    <mergeCell ref="B619:D619"/>
    <mergeCell ref="B620:C620"/>
    <mergeCell ref="B621:C621"/>
    <mergeCell ref="B622:C622"/>
    <mergeCell ref="B627:D627"/>
    <mergeCell ref="B628:C628"/>
    <mergeCell ref="B629:C629"/>
    <mergeCell ref="E629:E635"/>
    <mergeCell ref="F629:G631"/>
    <mergeCell ref="H629:H631"/>
    <mergeCell ref="F632:H635"/>
    <mergeCell ref="B604:C604"/>
    <mergeCell ref="B605:D605"/>
    <mergeCell ref="B607:D609"/>
    <mergeCell ref="F607:H607"/>
    <mergeCell ref="F608:H608"/>
    <mergeCell ref="F609:H609"/>
    <mergeCell ref="B598:C598"/>
    <mergeCell ref="B599:C599"/>
    <mergeCell ref="E599:E605"/>
    <mergeCell ref="B600:C600"/>
    <mergeCell ref="B601:C601"/>
    <mergeCell ref="B602:C602"/>
    <mergeCell ref="B603:C603"/>
    <mergeCell ref="B623:C623"/>
    <mergeCell ref="B624:C624"/>
    <mergeCell ref="B625:C625"/>
    <mergeCell ref="B626:D626"/>
    <mergeCell ref="B631:C631"/>
    <mergeCell ref="B632:C632"/>
    <mergeCell ref="B630:C630"/>
    <mergeCell ref="B633:C633"/>
    <mergeCell ref="B634:C634"/>
    <mergeCell ref="B635:D635"/>
    <mergeCell ref="B637:D639"/>
    <mergeCell ref="F637:H637"/>
    <mergeCell ref="F638:H638"/>
    <mergeCell ref="F639:H639"/>
    <mergeCell ref="B647:E647"/>
    <mergeCell ref="B681:C681"/>
    <mergeCell ref="B682:C682"/>
    <mergeCell ref="B683:C683"/>
    <mergeCell ref="B684:C684"/>
    <mergeCell ref="B685:C685"/>
    <mergeCell ref="B686:D686"/>
    <mergeCell ref="B687:D687"/>
    <mergeCell ref="B694:C694"/>
    <mergeCell ref="B695:D695"/>
    <mergeCell ref="B697:D699"/>
    <mergeCell ref="B707:E707"/>
    <mergeCell ref="B708:D708"/>
    <mergeCell ref="B688:C688"/>
    <mergeCell ref="B689:C689"/>
    <mergeCell ref="E689:E695"/>
    <mergeCell ref="B690:C690"/>
    <mergeCell ref="B691:C691"/>
    <mergeCell ref="B692:C692"/>
    <mergeCell ref="B693:C693"/>
    <mergeCell ref="B654:C654"/>
    <mergeCell ref="B655:C655"/>
    <mergeCell ref="B648:D648"/>
    <mergeCell ref="E648:H658"/>
    <mergeCell ref="B649:D649"/>
    <mergeCell ref="B650:C650"/>
    <mergeCell ref="B651:C651"/>
    <mergeCell ref="B652:C652"/>
    <mergeCell ref="B653:C653"/>
    <mergeCell ref="B658:C658"/>
    <mergeCell ref="B661:C661"/>
    <mergeCell ref="B662:C662"/>
    <mergeCell ref="B660:C660"/>
    <mergeCell ref="B663:C663"/>
    <mergeCell ref="B656:D656"/>
    <mergeCell ref="B657:D657"/>
    <mergeCell ref="B659:C659"/>
    <mergeCell ref="E659:E665"/>
    <mergeCell ref="F659:G661"/>
    <mergeCell ref="H659:H661"/>
    <mergeCell ref="F662:H665"/>
    <mergeCell ref="B664:C664"/>
    <mergeCell ref="B665:D665"/>
    <mergeCell ref="B667:D669"/>
    <mergeCell ref="B677:E677"/>
    <mergeCell ref="B678:D678"/>
    <mergeCell ref="B679:D679"/>
    <mergeCell ref="B680:C680"/>
    <mergeCell ref="F667:H667"/>
    <mergeCell ref="F668:H668"/>
    <mergeCell ref="F669:H669"/>
    <mergeCell ref="E678:H688"/>
    <mergeCell ref="F689:G691"/>
    <mergeCell ref="H689:H691"/>
    <mergeCell ref="F692:H695"/>
    <mergeCell ref="J741:K741"/>
    <mergeCell ref="J742:K742"/>
    <mergeCell ref="J724:K724"/>
    <mergeCell ref="J725:L725"/>
    <mergeCell ref="J727:L729"/>
    <mergeCell ref="J737:M737"/>
    <mergeCell ref="J738:L738"/>
    <mergeCell ref="J739:L739"/>
    <mergeCell ref="J740:K740"/>
    <mergeCell ref="J712:K712"/>
    <mergeCell ref="J713:K713"/>
    <mergeCell ref="J714:K714"/>
    <mergeCell ref="J715:K715"/>
    <mergeCell ref="N697:P697"/>
    <mergeCell ref="N698:P698"/>
    <mergeCell ref="N699:P699"/>
    <mergeCell ref="M708:P718"/>
    <mergeCell ref="J709:L709"/>
    <mergeCell ref="J710:K710"/>
    <mergeCell ref="J711:K711"/>
    <mergeCell ref="J718:K718"/>
    <mergeCell ref="J721:K721"/>
    <mergeCell ref="J722:K722"/>
    <mergeCell ref="J716:L716"/>
    <mergeCell ref="J717:L717"/>
    <mergeCell ref="J719:K719"/>
    <mergeCell ref="M719:M725"/>
    <mergeCell ref="N719:O721"/>
    <mergeCell ref="P719:P721"/>
    <mergeCell ref="N722:P725"/>
    <mergeCell ref="J720:K720"/>
    <mergeCell ref="J723:K723"/>
    <mergeCell ref="J743:K743"/>
    <mergeCell ref="J744:K744"/>
    <mergeCell ref="J745:K745"/>
    <mergeCell ref="J746:L746"/>
    <mergeCell ref="J747:L747"/>
    <mergeCell ref="N727:P727"/>
    <mergeCell ref="N728:P728"/>
    <mergeCell ref="N729:P729"/>
    <mergeCell ref="M738:P748"/>
    <mergeCell ref="N749:O751"/>
    <mergeCell ref="P749:P751"/>
    <mergeCell ref="N752:P755"/>
  </mergeCells>
  <drawing r:id="rId1"/>
  <tableParts count="56"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sheetData>
    <row r="1">
      <c r="A1" s="685" t="s">
        <v>959</v>
      </c>
      <c r="B1" s="686"/>
      <c r="C1" s="687"/>
      <c r="D1" s="688" t="s">
        <v>960</v>
      </c>
      <c r="E1" s="686"/>
      <c r="F1" s="686"/>
      <c r="G1" s="686"/>
      <c r="H1" s="686"/>
      <c r="I1" s="686"/>
      <c r="J1" s="686"/>
      <c r="K1" s="686"/>
      <c r="L1" s="689"/>
      <c r="M1" s="690"/>
      <c r="N1" s="690"/>
      <c r="O1" s="690"/>
      <c r="P1" s="690"/>
      <c r="Q1" s="690"/>
      <c r="R1" s="690"/>
      <c r="S1" s="690"/>
      <c r="T1" s="690"/>
      <c r="U1" s="690"/>
      <c r="V1" s="690"/>
      <c r="W1" s="690"/>
      <c r="X1" s="690"/>
      <c r="Y1" s="690"/>
    </row>
    <row r="2">
      <c r="A2" s="695"/>
      <c r="B2" s="696" t="s">
        <v>916</v>
      </c>
      <c r="C2" s="697" t="s">
        <v>711</v>
      </c>
      <c r="D2" s="698" t="s">
        <v>4</v>
      </c>
      <c r="E2" s="699" t="s">
        <v>5</v>
      </c>
      <c r="F2" s="699" t="s">
        <v>6</v>
      </c>
      <c r="G2" s="699" t="s">
        <v>7</v>
      </c>
      <c r="H2" s="700" t="s">
        <v>8</v>
      </c>
      <c r="I2" s="701" t="s">
        <v>9</v>
      </c>
      <c r="J2" s="699" t="s">
        <v>10</v>
      </c>
      <c r="K2" s="699" t="s">
        <v>11</v>
      </c>
      <c r="L2" s="1044" t="s">
        <v>12</v>
      </c>
      <c r="M2" s="690"/>
      <c r="N2" s="690"/>
      <c r="O2" s="690"/>
      <c r="P2" s="690"/>
      <c r="Q2" s="690"/>
      <c r="R2" s="690"/>
      <c r="S2" s="690"/>
      <c r="T2" s="690"/>
      <c r="U2" s="690"/>
      <c r="V2" s="690"/>
      <c r="W2" s="690"/>
      <c r="X2" s="690"/>
      <c r="Y2" s="690"/>
    </row>
    <row r="3">
      <c r="A3" s="706"/>
      <c r="B3" s="707" t="s">
        <v>916</v>
      </c>
      <c r="C3" s="707" t="s">
        <v>964</v>
      </c>
      <c r="D3" s="11">
        <v>45990.0</v>
      </c>
      <c r="E3" s="10" t="s">
        <v>1159</v>
      </c>
      <c r="F3" s="10" t="s">
        <v>1160</v>
      </c>
      <c r="G3" s="10" t="s">
        <v>1161</v>
      </c>
      <c r="H3" s="12">
        <v>2100.0</v>
      </c>
      <c r="I3" s="13">
        <v>1012.0</v>
      </c>
      <c r="J3" s="10" t="s">
        <v>1162</v>
      </c>
      <c r="K3" s="10" t="s">
        <v>153</v>
      </c>
      <c r="L3" s="757">
        <v>3301.0</v>
      </c>
      <c r="M3" s="690"/>
      <c r="N3" s="690"/>
      <c r="O3" s="1000"/>
      <c r="P3" s="938"/>
      <c r="Q3" s="690"/>
      <c r="R3" s="690"/>
      <c r="S3" s="690"/>
      <c r="T3" s="690"/>
      <c r="U3" s="690"/>
      <c r="V3" s="690"/>
      <c r="W3" s="690"/>
      <c r="X3" s="690"/>
      <c r="Y3" s="690"/>
    </row>
    <row r="4">
      <c r="A4" s="706"/>
      <c r="B4" s="712" t="s">
        <v>431</v>
      </c>
      <c r="C4" s="713">
        <v>2135.85</v>
      </c>
      <c r="D4" s="11">
        <v>45990.0</v>
      </c>
      <c r="E4" s="10">
        <v>14256.0</v>
      </c>
      <c r="F4" s="10" t="s">
        <v>1156</v>
      </c>
      <c r="G4" s="10" t="s">
        <v>1157</v>
      </c>
      <c r="H4" s="12">
        <v>700.0</v>
      </c>
      <c r="I4" s="13">
        <v>680.0</v>
      </c>
      <c r="J4" s="10" t="s">
        <v>1158</v>
      </c>
      <c r="K4" s="10" t="s">
        <v>103</v>
      </c>
      <c r="L4" s="757">
        <v>2675.0</v>
      </c>
      <c r="M4" s="690"/>
      <c r="N4" s="690"/>
      <c r="O4" s="1000"/>
      <c r="P4" s="938"/>
      <c r="Q4" s="690"/>
      <c r="R4" s="690"/>
      <c r="S4" s="690"/>
      <c r="T4" s="690"/>
      <c r="U4" s="690"/>
      <c r="V4" s="690"/>
      <c r="W4" s="690"/>
      <c r="X4" s="690"/>
      <c r="Y4" s="690"/>
    </row>
    <row r="5">
      <c r="A5" s="706"/>
      <c r="B5" s="712" t="s">
        <v>973</v>
      </c>
      <c r="C5" s="713">
        <v>2673.12</v>
      </c>
      <c r="D5" s="11">
        <v>45990.0</v>
      </c>
      <c r="E5" s="10">
        <v>12639.0</v>
      </c>
      <c r="F5" s="10" t="s">
        <v>1153</v>
      </c>
      <c r="G5" s="10" t="s">
        <v>1154</v>
      </c>
      <c r="H5" s="12">
        <v>3000.0</v>
      </c>
      <c r="I5" s="13">
        <v>1872.33</v>
      </c>
      <c r="J5" s="10" t="s">
        <v>1155</v>
      </c>
      <c r="K5" s="10" t="s">
        <v>103</v>
      </c>
      <c r="L5" s="757">
        <v>2675.0</v>
      </c>
      <c r="M5" s="690"/>
      <c r="N5" s="690"/>
      <c r="O5" s="1000"/>
      <c r="P5" s="938"/>
      <c r="Q5" s="690"/>
      <c r="R5" s="690"/>
      <c r="S5" s="690"/>
      <c r="T5" s="690"/>
      <c r="U5" s="690"/>
      <c r="V5" s="690"/>
      <c r="W5" s="690"/>
      <c r="X5" s="690"/>
      <c r="Y5" s="690"/>
    </row>
    <row r="6">
      <c r="A6" s="706"/>
      <c r="B6" s="712" t="s">
        <v>513</v>
      </c>
      <c r="C6" s="713">
        <v>1062.81</v>
      </c>
      <c r="D6" s="11">
        <v>45989.0</v>
      </c>
      <c r="E6" s="10">
        <v>396969.0</v>
      </c>
      <c r="F6" s="10" t="s">
        <v>1150</v>
      </c>
      <c r="G6" s="10" t="s">
        <v>1151</v>
      </c>
      <c r="H6" s="12">
        <v>870.0</v>
      </c>
      <c r="I6" s="13">
        <v>397.0</v>
      </c>
      <c r="J6" s="10" t="s">
        <v>1152</v>
      </c>
      <c r="K6" s="10" t="s">
        <v>153</v>
      </c>
      <c r="L6" s="757">
        <v>3301.0</v>
      </c>
      <c r="M6" s="690"/>
      <c r="N6" s="690"/>
      <c r="O6" s="1000"/>
      <c r="P6" s="938"/>
      <c r="Q6" s="690"/>
      <c r="R6" s="690"/>
      <c r="S6" s="690"/>
      <c r="T6" s="690"/>
      <c r="U6" s="690"/>
      <c r="V6" s="690"/>
      <c r="W6" s="690"/>
      <c r="X6" s="690"/>
      <c r="Y6" s="690"/>
    </row>
    <row r="7">
      <c r="A7" s="706"/>
      <c r="B7" s="712" t="s">
        <v>982</v>
      </c>
      <c r="C7" s="713">
        <v>1731.16</v>
      </c>
      <c r="D7" s="11">
        <v>45989.0</v>
      </c>
      <c r="E7" s="10" t="s">
        <v>1147</v>
      </c>
      <c r="F7" s="10" t="s">
        <v>1148</v>
      </c>
      <c r="G7" s="10" t="s">
        <v>200</v>
      </c>
      <c r="H7" s="12">
        <v>6400.0</v>
      </c>
      <c r="I7" s="13">
        <v>2663.0</v>
      </c>
      <c r="J7" s="10" t="s">
        <v>1149</v>
      </c>
      <c r="K7" s="10" t="s">
        <v>37</v>
      </c>
      <c r="L7" s="1045" t="s">
        <v>973</v>
      </c>
      <c r="M7" s="690"/>
      <c r="N7" s="690"/>
      <c r="O7" s="1000"/>
      <c r="P7" s="938"/>
      <c r="Q7" s="690"/>
      <c r="R7" s="690"/>
      <c r="S7" s="690"/>
      <c r="T7" s="690"/>
      <c r="U7" s="690"/>
      <c r="V7" s="690"/>
      <c r="W7" s="690"/>
      <c r="X7" s="690"/>
      <c r="Y7" s="690"/>
    </row>
    <row r="8">
      <c r="A8" s="706"/>
      <c r="B8" s="719">
        <v>2316.0</v>
      </c>
      <c r="C8" s="713">
        <v>2729.63</v>
      </c>
      <c r="D8" s="11">
        <v>45989.0</v>
      </c>
      <c r="E8" s="10">
        <v>2795724.0</v>
      </c>
      <c r="F8" s="10" t="s">
        <v>1145</v>
      </c>
      <c r="G8" s="10" t="s">
        <v>190</v>
      </c>
      <c r="H8" s="12">
        <v>2200.0</v>
      </c>
      <c r="I8" s="13">
        <v>935.0</v>
      </c>
      <c r="J8" s="10" t="s">
        <v>1146</v>
      </c>
      <c r="K8" s="10" t="s">
        <v>185</v>
      </c>
      <c r="L8" s="757">
        <v>3881.0</v>
      </c>
      <c r="M8" s="690"/>
      <c r="N8" s="690"/>
      <c r="O8" s="1000"/>
      <c r="P8" s="938"/>
      <c r="Q8" s="690"/>
      <c r="R8" s="690"/>
      <c r="S8" s="690"/>
      <c r="T8" s="690"/>
      <c r="U8" s="690"/>
      <c r="V8" s="690"/>
      <c r="W8" s="690"/>
      <c r="X8" s="690"/>
      <c r="Y8" s="690"/>
    </row>
    <row r="9">
      <c r="A9" s="706"/>
      <c r="B9" s="719">
        <v>2516.0</v>
      </c>
      <c r="C9" s="713">
        <v>747.17</v>
      </c>
      <c r="D9" s="11">
        <v>45989.0</v>
      </c>
      <c r="E9" s="10">
        <v>5.35457817E8</v>
      </c>
      <c r="F9" s="10" t="s">
        <v>1141</v>
      </c>
      <c r="G9" s="10" t="s">
        <v>1142</v>
      </c>
      <c r="H9" s="12">
        <v>2350.0</v>
      </c>
      <c r="I9" s="13">
        <v>1254.0</v>
      </c>
      <c r="J9" s="10" t="s">
        <v>1143</v>
      </c>
      <c r="K9" s="10" t="s">
        <v>1144</v>
      </c>
      <c r="L9" s="757">
        <v>2774.0</v>
      </c>
      <c r="M9" s="690"/>
      <c r="N9" s="690"/>
      <c r="O9" s="1000"/>
      <c r="P9" s="938"/>
      <c r="Q9" s="690"/>
      <c r="R9" s="690"/>
      <c r="S9" s="690"/>
      <c r="T9" s="690"/>
      <c r="U9" s="690"/>
      <c r="V9" s="690"/>
      <c r="W9" s="690"/>
      <c r="X9" s="690"/>
      <c r="Y9" s="690"/>
    </row>
    <row r="10">
      <c r="A10" s="706"/>
      <c r="B10" s="719">
        <v>2675.0</v>
      </c>
      <c r="C10" s="713">
        <v>2610.76</v>
      </c>
      <c r="D10" s="11">
        <v>45986.0</v>
      </c>
      <c r="E10" s="10" t="s">
        <v>1137</v>
      </c>
      <c r="F10" s="10" t="s">
        <v>1132</v>
      </c>
      <c r="G10" s="10" t="s">
        <v>1138</v>
      </c>
      <c r="H10" s="12">
        <v>1425.0</v>
      </c>
      <c r="I10" s="13">
        <v>0.0</v>
      </c>
      <c r="J10" s="10" t="s">
        <v>1140</v>
      </c>
      <c r="K10" s="10" t="s">
        <v>175</v>
      </c>
      <c r="L10" s="757">
        <v>3819.0</v>
      </c>
      <c r="M10" s="690"/>
      <c r="N10" s="690"/>
      <c r="O10" s="1000"/>
      <c r="P10" s="938"/>
      <c r="Q10" s="690"/>
      <c r="R10" s="690"/>
      <c r="S10" s="690"/>
      <c r="T10" s="690"/>
      <c r="U10" s="690"/>
      <c r="V10" s="690"/>
      <c r="W10" s="690"/>
      <c r="X10" s="690"/>
      <c r="Y10" s="690"/>
    </row>
    <row r="11">
      <c r="A11" s="706"/>
      <c r="B11" s="719">
        <v>2693.0</v>
      </c>
      <c r="C11" s="713">
        <v>3387.6</v>
      </c>
      <c r="D11" s="11">
        <v>45986.0</v>
      </c>
      <c r="E11" s="10" t="s">
        <v>1137</v>
      </c>
      <c r="F11" s="10" t="s">
        <v>1132</v>
      </c>
      <c r="G11" s="10" t="s">
        <v>1138</v>
      </c>
      <c r="H11" s="12">
        <v>0.0</v>
      </c>
      <c r="I11" s="13">
        <v>0.0</v>
      </c>
      <c r="J11" s="10" t="s">
        <v>1139</v>
      </c>
      <c r="K11" s="708"/>
      <c r="L11" s="1046"/>
      <c r="M11" s="690"/>
      <c r="N11" s="690"/>
      <c r="O11" s="1000"/>
      <c r="P11" s="938"/>
      <c r="Q11" s="690"/>
      <c r="R11" s="690"/>
      <c r="S11" s="690"/>
      <c r="T11" s="690"/>
      <c r="U11" s="690"/>
      <c r="V11" s="690"/>
      <c r="W11" s="690"/>
      <c r="X11" s="690"/>
      <c r="Y11" s="690"/>
    </row>
    <row r="12">
      <c r="A12" s="706"/>
      <c r="B12" s="719">
        <v>2774.0</v>
      </c>
      <c r="C12" s="713">
        <v>973.82</v>
      </c>
      <c r="D12" s="11">
        <v>45987.0</v>
      </c>
      <c r="E12" s="10" t="s">
        <v>1135</v>
      </c>
      <c r="F12" s="10" t="s">
        <v>1132</v>
      </c>
      <c r="G12" s="10" t="s">
        <v>331</v>
      </c>
      <c r="H12" s="12">
        <v>1350.0</v>
      </c>
      <c r="I12" s="13">
        <v>0.0</v>
      </c>
      <c r="J12" s="10" t="s">
        <v>1136</v>
      </c>
      <c r="K12" s="10" t="s">
        <v>175</v>
      </c>
      <c r="L12" s="757">
        <v>3819.0</v>
      </c>
      <c r="M12" s="690"/>
      <c r="N12" s="690"/>
      <c r="O12" s="1000"/>
      <c r="P12" s="940"/>
      <c r="Q12" s="690"/>
      <c r="R12" s="690"/>
      <c r="S12" s="690"/>
      <c r="T12" s="690"/>
      <c r="U12" s="690"/>
      <c r="V12" s="690"/>
      <c r="W12" s="690"/>
      <c r="X12" s="690"/>
      <c r="Y12" s="690"/>
    </row>
    <row r="13">
      <c r="A13" s="706"/>
      <c r="B13" s="719">
        <v>2890.0</v>
      </c>
      <c r="C13" s="713">
        <v>1094.4</v>
      </c>
      <c r="D13" s="11">
        <v>45987.0</v>
      </c>
      <c r="E13" s="10" t="s">
        <v>1131</v>
      </c>
      <c r="F13" s="10" t="s">
        <v>1132</v>
      </c>
      <c r="G13" s="10" t="s">
        <v>1133</v>
      </c>
      <c r="H13" s="12">
        <v>1025.0</v>
      </c>
      <c r="I13" s="13">
        <v>2155.0</v>
      </c>
      <c r="J13" s="10" t="s">
        <v>1134</v>
      </c>
      <c r="K13" s="10" t="s">
        <v>175</v>
      </c>
      <c r="L13" s="757">
        <v>3819.0</v>
      </c>
      <c r="M13" s="690"/>
      <c r="N13" s="690"/>
      <c r="O13" s="1000"/>
      <c r="P13" s="940"/>
      <c r="Q13" s="690"/>
      <c r="R13" s="690"/>
      <c r="S13" s="690"/>
      <c r="T13" s="690"/>
      <c r="U13" s="690"/>
      <c r="V13" s="690"/>
      <c r="W13" s="690"/>
      <c r="X13" s="690"/>
      <c r="Y13" s="690"/>
    </row>
    <row r="14">
      <c r="A14" s="706"/>
      <c r="B14" s="719">
        <v>3301.0</v>
      </c>
      <c r="C14" s="713">
        <v>2517.8</v>
      </c>
      <c r="D14" s="11">
        <v>45987.0</v>
      </c>
      <c r="E14" s="10">
        <v>5.36172052E8</v>
      </c>
      <c r="F14" s="10" t="s">
        <v>1128</v>
      </c>
      <c r="G14" s="10" t="s">
        <v>1129</v>
      </c>
      <c r="H14" s="12">
        <v>2400.0</v>
      </c>
      <c r="I14" s="13">
        <v>930.0</v>
      </c>
      <c r="J14" s="10" t="s">
        <v>1130</v>
      </c>
      <c r="K14" s="10" t="s">
        <v>1063</v>
      </c>
      <c r="L14" s="1045" t="s">
        <v>513</v>
      </c>
      <c r="M14" s="690"/>
      <c r="N14" s="690"/>
      <c r="O14" s="1000"/>
      <c r="P14" s="940"/>
      <c r="Q14" s="690"/>
      <c r="R14" s="690"/>
      <c r="S14" s="690"/>
      <c r="T14" s="690"/>
      <c r="U14" s="690"/>
      <c r="V14" s="690"/>
      <c r="W14" s="690"/>
      <c r="X14" s="690"/>
      <c r="Y14" s="690"/>
    </row>
    <row r="15">
      <c r="A15" s="706"/>
      <c r="B15" s="719">
        <v>3403.0</v>
      </c>
      <c r="C15" s="713">
        <v>483.58</v>
      </c>
      <c r="D15" s="11">
        <v>45987.0</v>
      </c>
      <c r="E15" s="10">
        <v>5.36184345E8</v>
      </c>
      <c r="F15" s="10" t="s">
        <v>1124</v>
      </c>
      <c r="G15" s="10" t="s">
        <v>1125</v>
      </c>
      <c r="H15" s="12">
        <v>800.0</v>
      </c>
      <c r="I15" s="13">
        <v>411.0</v>
      </c>
      <c r="J15" s="10" t="s">
        <v>1127</v>
      </c>
      <c r="K15" s="10" t="s">
        <v>215</v>
      </c>
      <c r="L15" s="757">
        <v>6813.0</v>
      </c>
      <c r="M15" s="690"/>
      <c r="N15" s="690"/>
      <c r="O15" s="1000"/>
      <c r="P15" s="940"/>
      <c r="Q15" s="690"/>
      <c r="R15" s="690"/>
      <c r="S15" s="690"/>
      <c r="T15" s="690"/>
      <c r="U15" s="690"/>
      <c r="V15" s="690"/>
      <c r="W15" s="690"/>
      <c r="X15" s="690"/>
      <c r="Y15" s="690"/>
    </row>
    <row r="16">
      <c r="A16" s="706"/>
      <c r="B16" s="719">
        <v>3819.0</v>
      </c>
      <c r="C16" s="713">
        <v>1111.82</v>
      </c>
      <c r="D16" s="11">
        <v>45987.0</v>
      </c>
      <c r="E16" s="10">
        <v>5.36184345E8</v>
      </c>
      <c r="F16" s="10" t="s">
        <v>1124</v>
      </c>
      <c r="G16" s="10" t="s">
        <v>1125</v>
      </c>
      <c r="H16" s="12">
        <v>0.0</v>
      </c>
      <c r="I16" s="13">
        <v>0.0</v>
      </c>
      <c r="J16" s="10" t="s">
        <v>1126</v>
      </c>
      <c r="K16" s="708"/>
      <c r="L16" s="1046"/>
      <c r="M16" s="690"/>
      <c r="N16" s="690"/>
      <c r="O16" s="1000"/>
      <c r="P16" s="940"/>
      <c r="Q16" s="690"/>
      <c r="R16" s="690"/>
      <c r="S16" s="690"/>
      <c r="T16" s="690"/>
      <c r="U16" s="690"/>
      <c r="V16" s="690"/>
      <c r="W16" s="690"/>
      <c r="X16" s="690"/>
      <c r="Y16" s="690"/>
    </row>
    <row r="17">
      <c r="A17" s="706"/>
      <c r="B17" s="719">
        <v>3866.0</v>
      </c>
      <c r="C17" s="713">
        <v>2085.26</v>
      </c>
      <c r="D17" s="11">
        <v>45987.0</v>
      </c>
      <c r="E17" s="10">
        <v>2.0714865E7</v>
      </c>
      <c r="F17" s="10" t="s">
        <v>269</v>
      </c>
      <c r="G17" s="10" t="s">
        <v>1122</v>
      </c>
      <c r="H17" s="12">
        <v>800.0</v>
      </c>
      <c r="I17" s="13">
        <v>424.0</v>
      </c>
      <c r="J17" s="10" t="s">
        <v>1123</v>
      </c>
      <c r="K17" s="10" t="s">
        <v>37</v>
      </c>
      <c r="L17" s="1045" t="s">
        <v>973</v>
      </c>
      <c r="M17" s="690"/>
      <c r="N17" s="690"/>
      <c r="O17" s="1000"/>
      <c r="P17" s="940"/>
      <c r="Q17" s="690"/>
      <c r="R17" s="690"/>
      <c r="S17" s="690"/>
      <c r="T17" s="690"/>
      <c r="U17" s="690"/>
      <c r="V17" s="690"/>
      <c r="W17" s="690"/>
      <c r="X17" s="690"/>
      <c r="Y17" s="690"/>
    </row>
    <row r="18">
      <c r="A18" s="706"/>
      <c r="B18" s="719">
        <v>3881.0</v>
      </c>
      <c r="C18" s="713">
        <v>2110.2</v>
      </c>
      <c r="D18" s="11">
        <v>45987.0</v>
      </c>
      <c r="E18" s="10">
        <v>2177290.0</v>
      </c>
      <c r="F18" s="10" t="s">
        <v>1119</v>
      </c>
      <c r="G18" s="10" t="s">
        <v>1120</v>
      </c>
      <c r="H18" s="12">
        <v>2500.0</v>
      </c>
      <c r="I18" s="13">
        <v>782.0</v>
      </c>
      <c r="J18" s="10" t="s">
        <v>1121</v>
      </c>
      <c r="K18" s="10" t="s">
        <v>197</v>
      </c>
      <c r="L18" s="757">
        <v>6643.0</v>
      </c>
      <c r="M18" s="690"/>
      <c r="N18" s="690"/>
      <c r="O18" s="1000"/>
      <c r="P18" s="940"/>
      <c r="Q18" s="690"/>
      <c r="R18" s="690"/>
      <c r="S18" s="690"/>
      <c r="T18" s="690"/>
      <c r="U18" s="690"/>
      <c r="V18" s="690"/>
      <c r="W18" s="690"/>
      <c r="X18" s="690"/>
      <c r="Y18" s="690"/>
    </row>
    <row r="19">
      <c r="A19" s="706"/>
      <c r="B19" s="719">
        <v>6338.0</v>
      </c>
      <c r="C19" s="713">
        <v>926.26</v>
      </c>
      <c r="D19" s="11">
        <v>45987.0</v>
      </c>
      <c r="E19" s="10">
        <v>1243985.0</v>
      </c>
      <c r="F19" s="10" t="s">
        <v>1117</v>
      </c>
      <c r="G19" s="10" t="s">
        <v>1046</v>
      </c>
      <c r="H19" s="12">
        <v>6100.0</v>
      </c>
      <c r="I19" s="13">
        <v>2823.0</v>
      </c>
      <c r="J19" s="10" t="s">
        <v>1118</v>
      </c>
      <c r="K19" s="10" t="s">
        <v>274</v>
      </c>
      <c r="L19" s="757">
        <v>7352.0</v>
      </c>
      <c r="M19" s="690"/>
      <c r="N19" s="690"/>
      <c r="O19" s="1000"/>
      <c r="P19" s="940"/>
      <c r="Q19" s="690"/>
      <c r="R19" s="690"/>
      <c r="S19" s="690"/>
      <c r="T19" s="690"/>
      <c r="U19" s="690"/>
      <c r="V19" s="690"/>
      <c r="W19" s="690"/>
      <c r="X19" s="690"/>
      <c r="Y19" s="690"/>
    </row>
    <row r="20">
      <c r="A20" s="706"/>
      <c r="B20" s="719">
        <v>6339.0</v>
      </c>
      <c r="C20" s="713">
        <v>1900.22</v>
      </c>
      <c r="D20" s="11">
        <v>45987.0</v>
      </c>
      <c r="E20" s="10" t="s">
        <v>1113</v>
      </c>
      <c r="F20" s="10" t="s">
        <v>1114</v>
      </c>
      <c r="G20" s="10" t="s">
        <v>1115</v>
      </c>
      <c r="H20" s="12">
        <v>1200.0</v>
      </c>
      <c r="I20" s="13">
        <v>429.0</v>
      </c>
      <c r="J20" s="10" t="s">
        <v>1116</v>
      </c>
      <c r="K20" s="10" t="s">
        <v>103</v>
      </c>
      <c r="L20" s="757">
        <v>2675.0</v>
      </c>
      <c r="M20" s="690"/>
      <c r="N20" s="690"/>
      <c r="O20" s="1000"/>
      <c r="P20" s="940"/>
      <c r="Q20" s="690"/>
      <c r="R20" s="690"/>
      <c r="S20" s="690"/>
      <c r="T20" s="690"/>
      <c r="U20" s="690"/>
      <c r="V20" s="690"/>
      <c r="W20" s="690"/>
      <c r="X20" s="690"/>
      <c r="Y20" s="690"/>
    </row>
    <row r="21">
      <c r="A21" s="706"/>
      <c r="B21" s="719">
        <v>6643.0</v>
      </c>
      <c r="C21" s="713">
        <v>1663.22</v>
      </c>
      <c r="D21" s="11">
        <v>45987.0</v>
      </c>
      <c r="E21" s="10">
        <v>1.5486212E7</v>
      </c>
      <c r="F21" s="10" t="s">
        <v>136</v>
      </c>
      <c r="G21" s="10" t="s">
        <v>1111</v>
      </c>
      <c r="H21" s="12">
        <v>5700.0</v>
      </c>
      <c r="I21" s="13">
        <v>3029.0</v>
      </c>
      <c r="J21" s="10" t="s">
        <v>1112</v>
      </c>
      <c r="K21" s="10" t="s">
        <v>320</v>
      </c>
      <c r="L21" s="757">
        <v>9348.0</v>
      </c>
      <c r="M21" s="690"/>
      <c r="N21" s="690"/>
      <c r="O21" s="1000"/>
      <c r="P21" s="940"/>
      <c r="Q21" s="690"/>
      <c r="R21" s="690"/>
      <c r="S21" s="690"/>
      <c r="T21" s="690"/>
      <c r="U21" s="690"/>
      <c r="V21" s="690"/>
      <c r="W21" s="690"/>
      <c r="X21" s="690"/>
      <c r="Y21" s="690"/>
    </row>
    <row r="22">
      <c r="A22" s="706"/>
      <c r="B22" s="719">
        <v>6813.0</v>
      </c>
      <c r="C22" s="713">
        <v>1004.82</v>
      </c>
      <c r="D22" s="11">
        <v>45987.0</v>
      </c>
      <c r="E22" s="10" t="s">
        <v>1107</v>
      </c>
      <c r="F22" s="10" t="s">
        <v>1108</v>
      </c>
      <c r="G22" s="10" t="s">
        <v>1109</v>
      </c>
      <c r="H22" s="12">
        <v>4100.0</v>
      </c>
      <c r="I22" s="13">
        <v>2263.0</v>
      </c>
      <c r="J22" s="10" t="s">
        <v>1110</v>
      </c>
      <c r="K22" s="10" t="s">
        <v>1002</v>
      </c>
      <c r="L22" s="757">
        <v>9334.0</v>
      </c>
      <c r="M22" s="690"/>
      <c r="N22" s="690"/>
      <c r="O22" s="1000"/>
      <c r="P22" s="940"/>
      <c r="Q22" s="690"/>
      <c r="R22" s="690"/>
      <c r="S22" s="690"/>
      <c r="T22" s="690"/>
      <c r="U22" s="690"/>
      <c r="V22" s="690"/>
      <c r="W22" s="690"/>
      <c r="X22" s="690"/>
      <c r="Y22" s="690"/>
    </row>
    <row r="23">
      <c r="A23" s="706"/>
      <c r="B23" s="719">
        <v>6960.0</v>
      </c>
      <c r="C23" s="713">
        <v>625.12</v>
      </c>
      <c r="D23" s="11">
        <v>45987.0</v>
      </c>
      <c r="E23" s="10">
        <v>5.34524106E8</v>
      </c>
      <c r="F23" s="10" t="s">
        <v>1104</v>
      </c>
      <c r="G23" s="22" t="s">
        <v>1105</v>
      </c>
      <c r="H23" s="12">
        <v>1440.0</v>
      </c>
      <c r="I23" s="13">
        <v>733.0</v>
      </c>
      <c r="J23" s="10" t="s">
        <v>1106</v>
      </c>
      <c r="K23" s="10" t="s">
        <v>185</v>
      </c>
      <c r="L23" s="757">
        <v>3881.0</v>
      </c>
      <c r="M23" s="690"/>
      <c r="N23" s="690"/>
      <c r="O23" s="1000"/>
      <c r="P23" s="940"/>
      <c r="Q23" s="690"/>
      <c r="R23" s="690"/>
      <c r="S23" s="690"/>
      <c r="T23" s="690"/>
      <c r="U23" s="690"/>
      <c r="V23" s="690"/>
      <c r="W23" s="690"/>
      <c r="X23" s="690"/>
      <c r="Y23" s="690"/>
    </row>
    <row r="24">
      <c r="A24" s="706"/>
      <c r="B24" s="719">
        <v>7048.0</v>
      </c>
      <c r="C24" s="713">
        <v>1219.53</v>
      </c>
      <c r="D24" s="11">
        <v>45987.0</v>
      </c>
      <c r="E24" s="10">
        <v>5.36270638E8</v>
      </c>
      <c r="F24" s="10" t="s">
        <v>1101</v>
      </c>
      <c r="G24" s="10" t="s">
        <v>1102</v>
      </c>
      <c r="H24" s="12">
        <v>2800.0</v>
      </c>
      <c r="I24" s="13">
        <v>1921.0</v>
      </c>
      <c r="J24" s="10" t="s">
        <v>1103</v>
      </c>
      <c r="K24" s="10" t="s">
        <v>278</v>
      </c>
      <c r="L24" s="757">
        <v>3866.0</v>
      </c>
      <c r="M24" s="690"/>
      <c r="N24" s="690"/>
      <c r="O24" s="1000"/>
      <c r="P24" s="940"/>
      <c r="Q24" s="690"/>
      <c r="R24" s="690"/>
      <c r="S24" s="690"/>
      <c r="T24" s="690"/>
      <c r="U24" s="690"/>
      <c r="V24" s="690"/>
      <c r="W24" s="690"/>
      <c r="X24" s="690"/>
      <c r="Y24" s="690"/>
    </row>
    <row r="25">
      <c r="A25" s="706"/>
      <c r="B25" s="719">
        <v>7265.0</v>
      </c>
      <c r="C25" s="713">
        <v>1450.08</v>
      </c>
      <c r="D25" s="11">
        <v>45987.0</v>
      </c>
      <c r="E25" s="10">
        <v>6.5171572E7</v>
      </c>
      <c r="F25" s="10" t="s">
        <v>1098</v>
      </c>
      <c r="G25" s="10" t="s">
        <v>1099</v>
      </c>
      <c r="H25" s="12">
        <v>4700.0</v>
      </c>
      <c r="I25" s="13">
        <v>2887.0</v>
      </c>
      <c r="J25" s="10" t="s">
        <v>1100</v>
      </c>
      <c r="K25" s="10" t="s">
        <v>79</v>
      </c>
      <c r="L25" s="757">
        <v>2316.0</v>
      </c>
      <c r="M25" s="690"/>
      <c r="N25" s="690"/>
      <c r="O25" s="1000"/>
      <c r="P25" s="940"/>
      <c r="Q25" s="690"/>
      <c r="R25" s="690"/>
      <c r="S25" s="690"/>
      <c r="T25" s="690"/>
      <c r="U25" s="690"/>
      <c r="V25" s="690"/>
      <c r="W25" s="690"/>
      <c r="X25" s="690"/>
      <c r="Y25" s="690"/>
    </row>
    <row r="26">
      <c r="A26" s="706"/>
      <c r="B26" s="719">
        <v>7352.0</v>
      </c>
      <c r="C26" s="713">
        <v>2392.39</v>
      </c>
      <c r="D26" s="11">
        <v>45987.0</v>
      </c>
      <c r="E26" s="10">
        <v>5.34465726E8</v>
      </c>
      <c r="F26" s="10" t="s">
        <v>1095</v>
      </c>
      <c r="G26" s="10" t="s">
        <v>1096</v>
      </c>
      <c r="H26" s="12">
        <v>2960.0</v>
      </c>
      <c r="I26" s="13">
        <v>1565.0</v>
      </c>
      <c r="J26" s="10" t="s">
        <v>1097</v>
      </c>
      <c r="K26" s="10" t="s">
        <v>1028</v>
      </c>
      <c r="L26" s="757">
        <v>6339.0</v>
      </c>
      <c r="M26" s="690"/>
      <c r="N26" s="690"/>
      <c r="O26" s="1000"/>
      <c r="P26" s="940"/>
      <c r="Q26" s="690"/>
      <c r="R26" s="690"/>
      <c r="S26" s="690"/>
      <c r="T26" s="690"/>
      <c r="U26" s="690"/>
      <c r="V26" s="690"/>
      <c r="W26" s="690"/>
      <c r="X26" s="690"/>
      <c r="Y26" s="690"/>
    </row>
    <row r="27">
      <c r="A27" s="706"/>
      <c r="B27" s="719">
        <v>7807.0</v>
      </c>
      <c r="C27" s="713">
        <v>1131.08</v>
      </c>
      <c r="D27" s="11">
        <v>45987.0</v>
      </c>
      <c r="E27" s="10">
        <v>5.35945871E8</v>
      </c>
      <c r="F27" s="10" t="s">
        <v>1448</v>
      </c>
      <c r="G27" s="10" t="s">
        <v>1449</v>
      </c>
      <c r="H27" s="12">
        <v>1650.0</v>
      </c>
      <c r="I27" s="13">
        <v>747.39</v>
      </c>
      <c r="J27" s="10" t="s">
        <v>1450</v>
      </c>
      <c r="K27" s="10" t="s">
        <v>1144</v>
      </c>
      <c r="L27" s="757">
        <v>2774.0</v>
      </c>
      <c r="M27" s="690"/>
      <c r="N27" s="690"/>
      <c r="O27" s="1000"/>
      <c r="P27" s="940"/>
      <c r="Q27" s="690"/>
      <c r="R27" s="690"/>
      <c r="S27" s="690"/>
      <c r="T27" s="690"/>
      <c r="U27" s="690"/>
      <c r="V27" s="690"/>
      <c r="W27" s="690"/>
      <c r="X27" s="690"/>
      <c r="Y27" s="690"/>
    </row>
    <row r="28">
      <c r="A28" s="706"/>
      <c r="B28" s="719">
        <v>9334.0</v>
      </c>
      <c r="C28" s="713">
        <v>1934.41</v>
      </c>
      <c r="D28" s="11">
        <v>45986.0</v>
      </c>
      <c r="E28" s="10">
        <v>5.35758159E8</v>
      </c>
      <c r="F28" s="10" t="s">
        <v>1092</v>
      </c>
      <c r="G28" s="10" t="s">
        <v>1093</v>
      </c>
      <c r="H28" s="12">
        <v>708.8</v>
      </c>
      <c r="I28" s="13">
        <v>352.0</v>
      </c>
      <c r="J28" s="10" t="s">
        <v>1094</v>
      </c>
      <c r="K28" s="10" t="s">
        <v>37</v>
      </c>
      <c r="L28" s="1045" t="s">
        <v>973</v>
      </c>
      <c r="M28" s="690"/>
      <c r="N28" s="690"/>
      <c r="O28" s="1000"/>
      <c r="P28" s="940"/>
      <c r="Q28" s="690"/>
      <c r="R28" s="690"/>
      <c r="S28" s="690"/>
      <c r="T28" s="690"/>
      <c r="U28" s="690"/>
      <c r="V28" s="690"/>
      <c r="W28" s="690"/>
      <c r="X28" s="690"/>
      <c r="Y28" s="690"/>
    </row>
    <row r="29">
      <c r="A29" s="706"/>
      <c r="B29" s="719">
        <v>9348.0</v>
      </c>
      <c r="C29" s="713">
        <v>2770.38</v>
      </c>
      <c r="D29" s="11">
        <v>45986.0</v>
      </c>
      <c r="E29" s="10">
        <v>5.35949541E8</v>
      </c>
      <c r="F29" s="10" t="s">
        <v>130</v>
      </c>
      <c r="G29" s="10" t="s">
        <v>1090</v>
      </c>
      <c r="H29" s="12">
        <v>1700.0</v>
      </c>
      <c r="I29" s="13">
        <v>448.0</v>
      </c>
      <c r="J29" s="10" t="s">
        <v>1091</v>
      </c>
      <c r="K29" s="10" t="s">
        <v>278</v>
      </c>
      <c r="L29" s="757">
        <v>3866.0</v>
      </c>
      <c r="M29" s="690"/>
      <c r="N29" s="690"/>
      <c r="O29" s="1000"/>
      <c r="P29" s="940"/>
      <c r="Q29" s="690"/>
      <c r="R29" s="690"/>
      <c r="S29" s="690"/>
      <c r="T29" s="690"/>
      <c r="U29" s="690"/>
      <c r="V29" s="690"/>
      <c r="W29" s="690"/>
      <c r="X29" s="690"/>
      <c r="Y29" s="690"/>
    </row>
    <row r="30">
      <c r="A30" s="706"/>
      <c r="B30" s="719">
        <v>9617.0</v>
      </c>
      <c r="C30" s="713">
        <v>911.29</v>
      </c>
      <c r="D30" s="11">
        <v>45986.0</v>
      </c>
      <c r="E30" s="10">
        <v>6912758.0</v>
      </c>
      <c r="F30" s="10" t="s">
        <v>1087</v>
      </c>
      <c r="G30" s="10" t="s">
        <v>1088</v>
      </c>
      <c r="H30" s="12">
        <v>3400.0</v>
      </c>
      <c r="I30" s="13">
        <v>1778.0</v>
      </c>
      <c r="J30" s="10" t="s">
        <v>1089</v>
      </c>
      <c r="K30" s="10" t="s">
        <v>19</v>
      </c>
      <c r="L30" s="1045" t="s">
        <v>431</v>
      </c>
      <c r="M30" s="690"/>
      <c r="N30" s="690"/>
      <c r="O30" s="1000"/>
      <c r="P30" s="940"/>
      <c r="Q30" s="690"/>
      <c r="R30" s="690"/>
      <c r="S30" s="690"/>
      <c r="T30" s="690"/>
      <c r="U30" s="690"/>
      <c r="V30" s="690"/>
      <c r="W30" s="690"/>
      <c r="X30" s="690"/>
      <c r="Y30" s="690"/>
    </row>
    <row r="31">
      <c r="A31" s="706"/>
      <c r="B31" s="746"/>
      <c r="C31" s="747"/>
      <c r="D31" s="11">
        <v>45986.0</v>
      </c>
      <c r="E31" s="10">
        <v>2026142.0</v>
      </c>
      <c r="F31" s="10" t="s">
        <v>1085</v>
      </c>
      <c r="G31" s="10" t="s">
        <v>17</v>
      </c>
      <c r="H31" s="12">
        <v>750.0</v>
      </c>
      <c r="I31" s="13">
        <v>531.0</v>
      </c>
      <c r="J31" s="10" t="s">
        <v>1086</v>
      </c>
      <c r="K31" s="10" t="s">
        <v>1002</v>
      </c>
      <c r="L31" s="757">
        <v>9334.0</v>
      </c>
      <c r="M31" s="690"/>
      <c r="N31" s="690"/>
      <c r="O31" s="1000"/>
      <c r="P31" s="940"/>
      <c r="Q31" s="690"/>
      <c r="R31" s="690"/>
      <c r="S31" s="690"/>
      <c r="T31" s="690"/>
      <c r="U31" s="690"/>
      <c r="V31" s="690"/>
      <c r="W31" s="690"/>
      <c r="X31" s="690"/>
      <c r="Y31" s="690"/>
    </row>
    <row r="32">
      <c r="A32" s="706"/>
      <c r="D32" s="11">
        <v>45986.0</v>
      </c>
      <c r="E32" s="10" t="s">
        <v>1081</v>
      </c>
      <c r="F32" s="10" t="s">
        <v>1082</v>
      </c>
      <c r="G32" s="10" t="s">
        <v>1083</v>
      </c>
      <c r="H32" s="12">
        <v>1650.0</v>
      </c>
      <c r="I32" s="13">
        <v>871.0</v>
      </c>
      <c r="J32" s="10" t="s">
        <v>1084</v>
      </c>
      <c r="K32" s="10" t="s">
        <v>320</v>
      </c>
      <c r="L32" s="757">
        <v>9348.0</v>
      </c>
      <c r="M32" s="690"/>
      <c r="N32" s="690"/>
      <c r="O32" s="1000"/>
      <c r="P32" s="940"/>
      <c r="Q32" s="690"/>
      <c r="R32" s="690"/>
      <c r="S32" s="690"/>
      <c r="T32" s="690"/>
      <c r="U32" s="690"/>
      <c r="V32" s="690"/>
      <c r="W32" s="690"/>
      <c r="X32" s="690"/>
      <c r="Y32" s="690"/>
    </row>
    <row r="33">
      <c r="A33" s="706"/>
      <c r="D33" s="11">
        <v>45986.0</v>
      </c>
      <c r="E33" s="10">
        <v>393581.0</v>
      </c>
      <c r="F33" s="10" t="s">
        <v>1078</v>
      </c>
      <c r="G33" s="10" t="s">
        <v>1079</v>
      </c>
      <c r="H33" s="12">
        <v>2350.0</v>
      </c>
      <c r="I33" s="13">
        <v>1025.0</v>
      </c>
      <c r="J33" s="10" t="s">
        <v>1080</v>
      </c>
      <c r="K33" s="10" t="s">
        <v>287</v>
      </c>
      <c r="L33" s="757">
        <v>7807.0</v>
      </c>
      <c r="M33" s="690"/>
      <c r="N33" s="690"/>
      <c r="O33" s="1000"/>
      <c r="P33" s="940"/>
      <c r="Q33" s="690"/>
      <c r="R33" s="690"/>
      <c r="S33" s="690"/>
      <c r="T33" s="690"/>
      <c r="U33" s="690"/>
      <c r="V33" s="690"/>
      <c r="W33" s="690"/>
      <c r="X33" s="690"/>
      <c r="Y33" s="690"/>
    </row>
    <row r="34">
      <c r="A34" s="706"/>
      <c r="D34" s="11">
        <v>45987.0</v>
      </c>
      <c r="E34" s="10" t="s">
        <v>1074</v>
      </c>
      <c r="F34" s="10" t="s">
        <v>1075</v>
      </c>
      <c r="G34" s="10" t="s">
        <v>1076</v>
      </c>
      <c r="H34" s="12">
        <v>1900.0</v>
      </c>
      <c r="I34" s="13">
        <v>1346.0</v>
      </c>
      <c r="J34" s="10" t="s">
        <v>1077</v>
      </c>
      <c r="K34" s="10" t="s">
        <v>153</v>
      </c>
      <c r="L34" s="757">
        <v>3301.0</v>
      </c>
      <c r="M34" s="690"/>
      <c r="N34" s="690"/>
      <c r="O34" s="1000"/>
      <c r="P34" s="940"/>
      <c r="Q34" s="690"/>
      <c r="R34" s="690"/>
      <c r="S34" s="690"/>
      <c r="T34" s="690"/>
      <c r="U34" s="690"/>
      <c r="V34" s="690"/>
      <c r="W34" s="690"/>
      <c r="X34" s="690"/>
      <c r="Y34" s="690"/>
    </row>
    <row r="35">
      <c r="A35" s="706"/>
      <c r="D35" s="11">
        <v>45987.0</v>
      </c>
      <c r="E35" s="10">
        <v>1.26138229E8</v>
      </c>
      <c r="F35" s="10" t="s">
        <v>1071</v>
      </c>
      <c r="G35" s="10" t="s">
        <v>1072</v>
      </c>
      <c r="H35" s="12">
        <v>2500.0</v>
      </c>
      <c r="I35" s="13">
        <v>1361.0</v>
      </c>
      <c r="J35" s="10" t="s">
        <v>1073</v>
      </c>
      <c r="K35" s="10" t="s">
        <v>115</v>
      </c>
      <c r="L35" s="757">
        <v>2693.0</v>
      </c>
      <c r="M35" s="690"/>
      <c r="N35" s="690"/>
      <c r="O35" s="1000"/>
      <c r="P35" s="1001"/>
      <c r="Q35" s="690"/>
      <c r="R35" s="690"/>
      <c r="S35" s="690"/>
      <c r="T35" s="690"/>
      <c r="U35" s="690"/>
      <c r="V35" s="690"/>
      <c r="W35" s="690"/>
      <c r="X35" s="690"/>
      <c r="Y35" s="690"/>
    </row>
    <row r="36">
      <c r="A36" s="706"/>
      <c r="D36" s="11">
        <v>45986.0</v>
      </c>
      <c r="E36" s="10">
        <v>2884255.0</v>
      </c>
      <c r="F36" s="10" t="s">
        <v>1068</v>
      </c>
      <c r="G36" s="10" t="s">
        <v>1069</v>
      </c>
      <c r="H36" s="12">
        <v>2185.0</v>
      </c>
      <c r="I36" s="13">
        <v>847.0</v>
      </c>
      <c r="J36" s="10" t="s">
        <v>1070</v>
      </c>
      <c r="K36" s="10" t="s">
        <v>115</v>
      </c>
      <c r="L36" s="757">
        <v>2693.0</v>
      </c>
      <c r="M36" s="690"/>
      <c r="N36" s="690"/>
      <c r="O36" s="943"/>
      <c r="P36" s="943"/>
      <c r="Q36" s="690"/>
      <c r="R36" s="690"/>
      <c r="S36" s="690"/>
      <c r="T36" s="690"/>
      <c r="U36" s="690"/>
      <c r="V36" s="690"/>
      <c r="W36" s="690"/>
      <c r="X36" s="690"/>
      <c r="Y36" s="690"/>
    </row>
    <row r="37">
      <c r="A37" s="706"/>
      <c r="D37" s="11">
        <v>45986.0</v>
      </c>
      <c r="E37" s="10" t="s">
        <v>1064</v>
      </c>
      <c r="F37" s="10" t="s">
        <v>1065</v>
      </c>
      <c r="G37" s="10" t="s">
        <v>1066</v>
      </c>
      <c r="H37" s="12">
        <v>1600.0</v>
      </c>
      <c r="I37" s="13">
        <v>357.0</v>
      </c>
      <c r="J37" s="10" t="s">
        <v>1067</v>
      </c>
      <c r="K37" s="10" t="s">
        <v>153</v>
      </c>
      <c r="L37" s="757">
        <v>3301.0</v>
      </c>
      <c r="M37" s="690"/>
      <c r="N37" s="690"/>
      <c r="O37" s="690"/>
      <c r="P37" s="690"/>
      <c r="Q37" s="690"/>
      <c r="R37" s="690"/>
      <c r="S37" s="690"/>
      <c r="T37" s="690"/>
      <c r="U37" s="690"/>
      <c r="V37" s="690"/>
      <c r="W37" s="690"/>
      <c r="X37" s="690"/>
      <c r="Y37" s="690"/>
    </row>
    <row r="38">
      <c r="A38" s="706"/>
      <c r="D38" s="11">
        <v>45986.0</v>
      </c>
      <c r="E38" s="10">
        <v>642799.0</v>
      </c>
      <c r="F38" s="10" t="s">
        <v>1060</v>
      </c>
      <c r="G38" s="10" t="s">
        <v>1061</v>
      </c>
      <c r="H38" s="12">
        <v>1300.0</v>
      </c>
      <c r="I38" s="13">
        <v>727.0</v>
      </c>
      <c r="J38" s="10" t="s">
        <v>1062</v>
      </c>
      <c r="K38" s="10" t="s">
        <v>1063</v>
      </c>
      <c r="L38" s="1045" t="s">
        <v>513</v>
      </c>
      <c r="M38" s="690"/>
      <c r="N38" s="690"/>
      <c r="O38" s="690"/>
      <c r="P38" s="690"/>
      <c r="Q38" s="690"/>
      <c r="R38" s="690"/>
      <c r="S38" s="690"/>
      <c r="T38" s="690"/>
      <c r="U38" s="690"/>
      <c r="V38" s="690"/>
      <c r="W38" s="690"/>
      <c r="X38" s="690"/>
      <c r="Y38" s="690"/>
    </row>
    <row r="39">
      <c r="A39" s="706"/>
      <c r="D39" s="11">
        <v>45986.0</v>
      </c>
      <c r="E39" s="10">
        <v>120482.0</v>
      </c>
      <c r="F39" s="10" t="s">
        <v>1057</v>
      </c>
      <c r="G39" s="10" t="s">
        <v>1058</v>
      </c>
      <c r="H39" s="12">
        <v>1800.0</v>
      </c>
      <c r="I39" s="13">
        <v>434.0</v>
      </c>
      <c r="J39" s="10" t="s">
        <v>1059</v>
      </c>
      <c r="K39" s="10" t="s">
        <v>103</v>
      </c>
      <c r="L39" s="757">
        <v>2675.0</v>
      </c>
      <c r="M39" s="690"/>
      <c r="N39" s="690"/>
      <c r="O39" s="690"/>
      <c r="P39" s="690"/>
      <c r="Q39" s="690"/>
      <c r="R39" s="690"/>
      <c r="S39" s="690"/>
      <c r="T39" s="690"/>
      <c r="U39" s="690"/>
      <c r="V39" s="690"/>
      <c r="W39" s="690"/>
      <c r="X39" s="690"/>
      <c r="Y39" s="690"/>
    </row>
    <row r="40">
      <c r="A40" s="706"/>
      <c r="D40" s="11">
        <v>45986.0</v>
      </c>
      <c r="E40" s="10">
        <v>2174307.0</v>
      </c>
      <c r="F40" s="10" t="s">
        <v>1054</v>
      </c>
      <c r="G40" s="10" t="s">
        <v>1055</v>
      </c>
      <c r="H40" s="12">
        <v>1550.0</v>
      </c>
      <c r="I40" s="13">
        <v>411.0</v>
      </c>
      <c r="J40" s="10" t="s">
        <v>1056</v>
      </c>
      <c r="K40" s="10" t="s">
        <v>197</v>
      </c>
      <c r="L40" s="757">
        <v>6643.0</v>
      </c>
      <c r="M40" s="690"/>
      <c r="N40" s="690"/>
      <c r="O40" s="690"/>
      <c r="P40" s="690"/>
      <c r="Q40" s="690"/>
      <c r="R40" s="690"/>
      <c r="S40" s="690"/>
      <c r="T40" s="690"/>
      <c r="U40" s="690"/>
      <c r="V40" s="690"/>
      <c r="W40" s="690"/>
      <c r="X40" s="690"/>
      <c r="Y40" s="690"/>
    </row>
    <row r="41">
      <c r="A41" s="706"/>
      <c r="D41" s="11">
        <v>45986.0</v>
      </c>
      <c r="E41" s="10">
        <v>1257186.0</v>
      </c>
      <c r="F41" s="10" t="s">
        <v>1046</v>
      </c>
      <c r="G41" s="10" t="s">
        <v>1047</v>
      </c>
      <c r="H41" s="12">
        <v>2900.0</v>
      </c>
      <c r="I41" s="13">
        <v>1505.0</v>
      </c>
      <c r="J41" s="10" t="s">
        <v>1048</v>
      </c>
      <c r="K41" s="10" t="s">
        <v>262</v>
      </c>
      <c r="L41" s="757">
        <v>7265.0</v>
      </c>
      <c r="M41" s="690"/>
      <c r="N41" s="690"/>
      <c r="O41" s="690"/>
      <c r="P41" s="690"/>
      <c r="Q41" s="690"/>
      <c r="R41" s="690"/>
      <c r="S41" s="690"/>
      <c r="T41" s="690"/>
      <c r="U41" s="690"/>
      <c r="V41" s="690"/>
      <c r="W41" s="690"/>
      <c r="X41" s="690"/>
      <c r="Y41" s="690"/>
    </row>
    <row r="42">
      <c r="A42" s="706"/>
      <c r="D42" s="11">
        <v>45986.0</v>
      </c>
      <c r="E42" s="10">
        <v>5542555.0</v>
      </c>
      <c r="F42" s="10" t="s">
        <v>1041</v>
      </c>
      <c r="G42" s="10" t="s">
        <v>1042</v>
      </c>
      <c r="H42" s="12">
        <v>1900.0</v>
      </c>
      <c r="I42" s="13">
        <v>1185.0</v>
      </c>
      <c r="J42" s="10" t="s">
        <v>1043</v>
      </c>
      <c r="K42" s="10" t="s">
        <v>58</v>
      </c>
      <c r="L42" s="1045" t="s">
        <v>982</v>
      </c>
      <c r="M42" s="690"/>
      <c r="N42" s="690"/>
      <c r="O42" s="690"/>
      <c r="P42" s="690"/>
      <c r="Q42" s="690"/>
      <c r="R42" s="690"/>
      <c r="S42" s="690"/>
      <c r="T42" s="690"/>
      <c r="U42" s="690"/>
      <c r="V42" s="690"/>
      <c r="W42" s="690"/>
      <c r="X42" s="690"/>
      <c r="Y42" s="690"/>
    </row>
    <row r="43">
      <c r="A43" s="706"/>
      <c r="D43" s="11">
        <v>45986.0</v>
      </c>
      <c r="E43" s="10">
        <v>1540219.0</v>
      </c>
      <c r="F43" s="10" t="s">
        <v>1038</v>
      </c>
      <c r="G43" s="10" t="s">
        <v>1039</v>
      </c>
      <c r="H43" s="12">
        <v>1360.0</v>
      </c>
      <c r="I43" s="13">
        <v>809.0</v>
      </c>
      <c r="J43" s="10" t="s">
        <v>1040</v>
      </c>
      <c r="K43" s="10" t="s">
        <v>980</v>
      </c>
      <c r="L43" s="757">
        <v>6338.0</v>
      </c>
      <c r="M43" s="690"/>
      <c r="N43" s="690"/>
      <c r="O43" s="690"/>
      <c r="P43" s="690"/>
      <c r="Q43" s="690"/>
      <c r="R43" s="690"/>
      <c r="S43" s="690"/>
      <c r="T43" s="690"/>
      <c r="U43" s="690"/>
      <c r="V43" s="690"/>
      <c r="W43" s="690"/>
      <c r="X43" s="690"/>
      <c r="Y43" s="690"/>
    </row>
    <row r="44">
      <c r="A44" s="706"/>
      <c r="D44" s="11">
        <v>45986.0</v>
      </c>
      <c r="E44" s="10">
        <v>1258418.0</v>
      </c>
      <c r="F44" s="10" t="s">
        <v>1034</v>
      </c>
      <c r="G44" s="10" t="s">
        <v>1035</v>
      </c>
      <c r="H44" s="12">
        <v>400.0</v>
      </c>
      <c r="I44" s="13">
        <v>918.06</v>
      </c>
      <c r="J44" s="10" t="s">
        <v>1036</v>
      </c>
      <c r="K44" s="10" t="s">
        <v>980</v>
      </c>
      <c r="L44" s="757">
        <v>6338.0</v>
      </c>
      <c r="M44" s="690"/>
      <c r="N44" s="690"/>
      <c r="O44" s="690"/>
      <c r="P44" s="690"/>
      <c r="Q44" s="690"/>
      <c r="R44" s="690"/>
      <c r="S44" s="690"/>
      <c r="T44" s="690"/>
      <c r="U44" s="690"/>
      <c r="V44" s="690"/>
      <c r="W44" s="690"/>
      <c r="X44" s="690"/>
      <c r="Y44" s="690"/>
    </row>
    <row r="45">
      <c r="A45" s="706"/>
      <c r="D45" s="11">
        <v>45986.0</v>
      </c>
      <c r="E45" s="10">
        <v>170800.0</v>
      </c>
      <c r="F45" s="10" t="s">
        <v>1030</v>
      </c>
      <c r="G45" s="10" t="s">
        <v>1031</v>
      </c>
      <c r="H45" s="12">
        <v>2300.0</v>
      </c>
      <c r="I45" s="13">
        <v>1079.0</v>
      </c>
      <c r="J45" s="10" t="s">
        <v>1032</v>
      </c>
      <c r="K45" s="10" t="s">
        <v>132</v>
      </c>
      <c r="L45" s="757">
        <v>2890.0</v>
      </c>
      <c r="M45" s="690"/>
      <c r="N45" s="690"/>
      <c r="O45" s="690"/>
      <c r="P45" s="690"/>
      <c r="Q45" s="690"/>
      <c r="R45" s="690"/>
      <c r="S45" s="690"/>
      <c r="T45" s="690"/>
      <c r="U45" s="690"/>
      <c r="V45" s="690"/>
      <c r="W45" s="690"/>
      <c r="X45" s="690"/>
      <c r="Y45" s="690"/>
    </row>
    <row r="46">
      <c r="A46" s="706"/>
      <c r="D46" s="11">
        <v>45986.0</v>
      </c>
      <c r="E46" s="10">
        <v>5.36013958E8</v>
      </c>
      <c r="F46" s="10" t="s">
        <v>1025</v>
      </c>
      <c r="G46" s="10" t="s">
        <v>1026</v>
      </c>
      <c r="H46" s="12">
        <v>1500.0</v>
      </c>
      <c r="I46" s="13">
        <v>902.0</v>
      </c>
      <c r="J46" s="10" t="s">
        <v>1027</v>
      </c>
      <c r="K46" s="10" t="s">
        <v>1028</v>
      </c>
      <c r="L46" s="757">
        <v>6339.0</v>
      </c>
      <c r="M46" s="690"/>
      <c r="N46" s="690"/>
      <c r="O46" s="690"/>
      <c r="P46" s="690"/>
      <c r="Q46" s="690"/>
      <c r="R46" s="690"/>
      <c r="S46" s="690"/>
      <c r="T46" s="690"/>
      <c r="U46" s="690"/>
      <c r="V46" s="690"/>
      <c r="W46" s="690"/>
      <c r="X46" s="690"/>
      <c r="Y46" s="690"/>
    </row>
    <row r="47">
      <c r="A47" s="706"/>
      <c r="D47" s="11">
        <v>45985.0</v>
      </c>
      <c r="E47" s="10">
        <v>5.34890703E8</v>
      </c>
      <c r="F47" s="10" t="s">
        <v>1021</v>
      </c>
      <c r="G47" s="10" t="s">
        <v>1022</v>
      </c>
      <c r="H47" s="12">
        <v>1000.0</v>
      </c>
      <c r="I47" s="13">
        <v>391.0</v>
      </c>
      <c r="J47" s="10" t="s">
        <v>1023</v>
      </c>
      <c r="K47" s="10" t="s">
        <v>274</v>
      </c>
      <c r="L47" s="757">
        <v>7352.0</v>
      </c>
      <c r="M47" s="690"/>
      <c r="N47" s="690"/>
      <c r="O47" s="690"/>
      <c r="P47" s="690"/>
      <c r="Q47" s="690"/>
      <c r="R47" s="690"/>
      <c r="S47" s="690"/>
      <c r="T47" s="690"/>
      <c r="U47" s="690"/>
      <c r="V47" s="690"/>
      <c r="W47" s="690"/>
      <c r="X47" s="690"/>
      <c r="Y47" s="690"/>
    </row>
    <row r="48">
      <c r="A48" s="706"/>
      <c r="D48" s="11">
        <v>45985.0</v>
      </c>
      <c r="E48" s="10">
        <v>2.0649044E7</v>
      </c>
      <c r="F48" s="10" t="s">
        <v>1018</v>
      </c>
      <c r="G48" s="10" t="s">
        <v>1460</v>
      </c>
      <c r="H48" s="12">
        <v>2300.0</v>
      </c>
      <c r="I48" s="13">
        <v>900.0</v>
      </c>
      <c r="J48" s="10" t="s">
        <v>1020</v>
      </c>
      <c r="K48" s="10" t="s">
        <v>220</v>
      </c>
      <c r="L48" s="757">
        <v>6960.0</v>
      </c>
      <c r="M48" s="690"/>
      <c r="N48" s="690"/>
      <c r="O48" s="690"/>
      <c r="P48" s="690"/>
      <c r="Q48" s="690"/>
      <c r="R48" s="690"/>
      <c r="S48" s="690"/>
      <c r="T48" s="690"/>
      <c r="U48" s="690"/>
      <c r="V48" s="690"/>
      <c r="W48" s="690"/>
      <c r="X48" s="690"/>
      <c r="Y48" s="690"/>
    </row>
    <row r="49">
      <c r="A49" s="706"/>
      <c r="D49" s="11">
        <v>45985.0</v>
      </c>
      <c r="E49" s="10">
        <v>4.0115064E7</v>
      </c>
      <c r="F49" s="10" t="s">
        <v>1014</v>
      </c>
      <c r="G49" s="10" t="s">
        <v>1015</v>
      </c>
      <c r="H49" s="12">
        <v>1200.0</v>
      </c>
      <c r="I49" s="13">
        <v>598.0</v>
      </c>
      <c r="J49" s="10" t="s">
        <v>1016</v>
      </c>
      <c r="K49" s="10" t="s">
        <v>103</v>
      </c>
      <c r="L49" s="757">
        <v>2675.0</v>
      </c>
      <c r="M49" s="690"/>
      <c r="N49" s="690"/>
      <c r="O49" s="690"/>
      <c r="P49" s="690"/>
      <c r="Q49" s="690"/>
      <c r="R49" s="690"/>
      <c r="S49" s="690"/>
      <c r="T49" s="690"/>
      <c r="U49" s="690"/>
      <c r="V49" s="690"/>
      <c r="W49" s="690"/>
      <c r="X49" s="690"/>
      <c r="Y49" s="690"/>
    </row>
    <row r="50">
      <c r="A50" s="706"/>
      <c r="D50" s="11">
        <v>45985.0</v>
      </c>
      <c r="E50" s="10">
        <v>2.0638176E7</v>
      </c>
      <c r="F50" s="10" t="s">
        <v>1011</v>
      </c>
      <c r="G50" s="10" t="s">
        <v>1012</v>
      </c>
      <c r="H50" s="12">
        <v>1400.0</v>
      </c>
      <c r="I50" s="13">
        <v>598.0</v>
      </c>
      <c r="J50" s="10" t="s">
        <v>1013</v>
      </c>
      <c r="K50" s="10" t="s">
        <v>197</v>
      </c>
      <c r="L50" s="757">
        <v>6643.0</v>
      </c>
      <c r="M50" s="690"/>
      <c r="N50" s="690"/>
      <c r="O50" s="690"/>
      <c r="P50" s="690"/>
      <c r="Q50" s="690"/>
      <c r="R50" s="690"/>
      <c r="S50" s="690"/>
      <c r="T50" s="690"/>
      <c r="U50" s="690"/>
      <c r="V50" s="690"/>
      <c r="W50" s="690"/>
      <c r="X50" s="690"/>
      <c r="Y50" s="690"/>
    </row>
    <row r="51">
      <c r="A51" s="706"/>
      <c r="D51" s="11">
        <v>45985.0</v>
      </c>
      <c r="E51" s="10">
        <v>5.3548805E8</v>
      </c>
      <c r="F51" s="10" t="s">
        <v>1007</v>
      </c>
      <c r="G51" s="10" t="s">
        <v>1008</v>
      </c>
      <c r="H51" s="12">
        <v>820.0</v>
      </c>
      <c r="I51" s="13">
        <v>498.0</v>
      </c>
      <c r="J51" s="10" t="s">
        <v>1009</v>
      </c>
      <c r="K51" s="10" t="s">
        <v>153</v>
      </c>
      <c r="L51" s="757">
        <v>3301.0</v>
      </c>
      <c r="M51" s="690"/>
      <c r="N51" s="690"/>
      <c r="O51" s="690"/>
      <c r="P51" s="690"/>
      <c r="Q51" s="690"/>
      <c r="R51" s="690"/>
      <c r="S51" s="690"/>
      <c r="T51" s="690"/>
      <c r="U51" s="690"/>
      <c r="V51" s="690"/>
      <c r="W51" s="690"/>
      <c r="X51" s="690"/>
      <c r="Y51" s="690"/>
    </row>
    <row r="52">
      <c r="A52" s="706"/>
      <c r="D52" s="11">
        <v>45985.0</v>
      </c>
      <c r="E52" s="10" t="s">
        <v>1003</v>
      </c>
      <c r="F52" s="10" t="s">
        <v>246</v>
      </c>
      <c r="G52" s="10" t="s">
        <v>1004</v>
      </c>
      <c r="H52" s="12">
        <v>849.0</v>
      </c>
      <c r="I52" s="13">
        <v>554.0</v>
      </c>
      <c r="J52" s="10" t="s">
        <v>1005</v>
      </c>
      <c r="K52" s="10" t="s">
        <v>278</v>
      </c>
      <c r="L52" s="757">
        <v>3866.0</v>
      </c>
      <c r="M52" s="690"/>
      <c r="N52" s="690"/>
      <c r="O52" s="690"/>
      <c r="P52" s="690"/>
      <c r="Q52" s="690"/>
      <c r="R52" s="690"/>
      <c r="S52" s="690"/>
      <c r="T52" s="690"/>
      <c r="U52" s="690"/>
      <c r="V52" s="690"/>
      <c r="W52" s="690"/>
      <c r="X52" s="690"/>
      <c r="Y52" s="690"/>
    </row>
    <row r="53">
      <c r="A53" s="706"/>
      <c r="D53" s="11">
        <v>45985.0</v>
      </c>
      <c r="E53" s="10">
        <v>1259248.0</v>
      </c>
      <c r="F53" s="10" t="s">
        <v>999</v>
      </c>
      <c r="G53" s="10" t="s">
        <v>1000</v>
      </c>
      <c r="H53" s="12">
        <v>2000.0</v>
      </c>
      <c r="I53" s="13">
        <v>693.0</v>
      </c>
      <c r="J53" s="10" t="s">
        <v>1001</v>
      </c>
      <c r="K53" s="10" t="s">
        <v>1002</v>
      </c>
      <c r="L53" s="757">
        <v>9334.0</v>
      </c>
      <c r="M53" s="690"/>
      <c r="N53" s="690"/>
      <c r="O53" s="690"/>
      <c r="P53" s="690"/>
      <c r="Q53" s="690"/>
      <c r="R53" s="690"/>
      <c r="S53" s="690"/>
      <c r="T53" s="690"/>
      <c r="U53" s="690"/>
      <c r="V53" s="690"/>
      <c r="W53" s="690"/>
      <c r="X53" s="690"/>
      <c r="Y53" s="690"/>
    </row>
    <row r="54">
      <c r="A54" s="706"/>
      <c r="D54" s="11">
        <v>45985.0</v>
      </c>
      <c r="E54" s="10">
        <v>794771.0</v>
      </c>
      <c r="F54" s="10" t="s">
        <v>995</v>
      </c>
      <c r="G54" s="10" t="s">
        <v>996</v>
      </c>
      <c r="H54" s="12">
        <v>675.0</v>
      </c>
      <c r="I54" s="13">
        <v>571.0</v>
      </c>
      <c r="J54" s="10" t="s">
        <v>997</v>
      </c>
      <c r="K54" s="10" t="s">
        <v>287</v>
      </c>
      <c r="L54" s="757">
        <v>7807.0</v>
      </c>
      <c r="M54" s="690"/>
      <c r="N54" s="690"/>
      <c r="O54" s="690"/>
      <c r="P54" s="690"/>
      <c r="Q54" s="690"/>
      <c r="R54" s="690"/>
      <c r="S54" s="690"/>
      <c r="T54" s="690"/>
      <c r="U54" s="690"/>
      <c r="V54" s="690"/>
      <c r="W54" s="690"/>
      <c r="X54" s="690"/>
      <c r="Y54" s="690"/>
    </row>
    <row r="55">
      <c r="A55" s="706"/>
      <c r="D55" s="11">
        <v>45985.0</v>
      </c>
      <c r="E55" s="10" t="s">
        <v>992</v>
      </c>
      <c r="F55" s="10" t="s">
        <v>246</v>
      </c>
      <c r="G55" s="10" t="s">
        <v>993</v>
      </c>
      <c r="H55" s="12">
        <v>816.0</v>
      </c>
      <c r="I55" s="13">
        <v>562.0</v>
      </c>
      <c r="J55" s="10" t="s">
        <v>994</v>
      </c>
      <c r="K55" s="10" t="s">
        <v>320</v>
      </c>
      <c r="L55" s="757">
        <v>9348.0</v>
      </c>
      <c r="M55" s="690"/>
      <c r="N55" s="690"/>
      <c r="O55" s="690"/>
      <c r="P55" s="690"/>
      <c r="Q55" s="690"/>
      <c r="R55" s="690"/>
      <c r="S55" s="690"/>
      <c r="T55" s="690"/>
      <c r="U55" s="690"/>
      <c r="V55" s="690"/>
      <c r="W55" s="690"/>
      <c r="X55" s="690"/>
      <c r="Y55" s="690"/>
    </row>
    <row r="56">
      <c r="A56" s="706"/>
      <c r="D56" s="11">
        <v>45985.0</v>
      </c>
      <c r="E56" s="10">
        <v>5.35295368E8</v>
      </c>
      <c r="F56" s="10" t="s">
        <v>988</v>
      </c>
      <c r="G56" s="10" t="s">
        <v>989</v>
      </c>
      <c r="H56" s="12">
        <v>2300.0</v>
      </c>
      <c r="I56" s="13">
        <v>1153.95</v>
      </c>
      <c r="J56" s="10" t="s">
        <v>990</v>
      </c>
      <c r="K56" s="10" t="s">
        <v>185</v>
      </c>
      <c r="L56" s="757">
        <v>3881.0</v>
      </c>
      <c r="M56" s="690"/>
      <c r="N56" s="690"/>
      <c r="O56" s="690"/>
      <c r="P56" s="690"/>
      <c r="Q56" s="690"/>
      <c r="R56" s="690"/>
      <c r="S56" s="690"/>
      <c r="T56" s="690"/>
      <c r="U56" s="690"/>
      <c r="V56" s="690"/>
      <c r="W56" s="690"/>
      <c r="X56" s="690"/>
      <c r="Y56" s="690"/>
    </row>
    <row r="57">
      <c r="A57" s="706"/>
      <c r="D57" s="11">
        <v>45985.0</v>
      </c>
      <c r="E57" s="10" t="s">
        <v>983</v>
      </c>
      <c r="F57" s="10" t="s">
        <v>984</v>
      </c>
      <c r="G57" s="10" t="s">
        <v>985</v>
      </c>
      <c r="H57" s="12">
        <v>2800.0</v>
      </c>
      <c r="I57" s="13">
        <v>1318.0</v>
      </c>
      <c r="J57" s="10" t="s">
        <v>986</v>
      </c>
      <c r="K57" s="10" t="s">
        <v>95</v>
      </c>
      <c r="L57" s="757">
        <v>2516.0</v>
      </c>
      <c r="M57" s="690"/>
      <c r="N57" s="690"/>
      <c r="O57" s="690"/>
      <c r="P57" s="690"/>
      <c r="Q57" s="690"/>
      <c r="R57" s="690"/>
      <c r="S57" s="690"/>
      <c r="T57" s="690"/>
      <c r="U57" s="690"/>
      <c r="V57" s="690"/>
      <c r="W57" s="690"/>
      <c r="X57" s="690"/>
      <c r="Y57" s="690"/>
    </row>
    <row r="58">
      <c r="A58" s="706"/>
      <c r="D58" s="11">
        <v>45985.0</v>
      </c>
      <c r="E58" s="10">
        <v>161551.0</v>
      </c>
      <c r="F58" s="10" t="s">
        <v>977</v>
      </c>
      <c r="G58" s="10" t="s">
        <v>978</v>
      </c>
      <c r="H58" s="12">
        <v>1050.0</v>
      </c>
      <c r="I58" s="13">
        <v>659.0</v>
      </c>
      <c r="J58" s="10" t="s">
        <v>979</v>
      </c>
      <c r="K58" s="10" t="s">
        <v>980</v>
      </c>
      <c r="L58" s="757">
        <v>6338.0</v>
      </c>
      <c r="M58" s="690"/>
      <c r="N58" s="690"/>
      <c r="O58" s="690"/>
      <c r="P58" s="690"/>
      <c r="Q58" s="690"/>
      <c r="R58" s="690"/>
      <c r="S58" s="690"/>
      <c r="T58" s="690"/>
      <c r="U58" s="690"/>
      <c r="V58" s="690"/>
      <c r="W58" s="690"/>
      <c r="X58" s="690"/>
      <c r="Y58" s="690"/>
    </row>
    <row r="59">
      <c r="A59" s="706"/>
      <c r="D59" s="11">
        <v>45985.0</v>
      </c>
      <c r="E59" s="10">
        <v>1572898.0</v>
      </c>
      <c r="F59" s="10" t="s">
        <v>974</v>
      </c>
      <c r="G59" s="10" t="s">
        <v>975</v>
      </c>
      <c r="H59" s="12">
        <v>3100.0</v>
      </c>
      <c r="I59" s="13">
        <v>1528.0</v>
      </c>
      <c r="J59" s="10" t="s">
        <v>976</v>
      </c>
      <c r="K59" s="10" t="s">
        <v>249</v>
      </c>
      <c r="L59" s="757">
        <v>7048.0</v>
      </c>
      <c r="M59" s="690"/>
      <c r="N59" s="690"/>
      <c r="O59" s="690"/>
      <c r="P59" s="690"/>
      <c r="Q59" s="690"/>
      <c r="R59" s="690"/>
      <c r="S59" s="690"/>
      <c r="T59" s="690"/>
      <c r="U59" s="690"/>
      <c r="V59" s="690"/>
      <c r="W59" s="690"/>
      <c r="X59" s="690"/>
      <c r="Y59" s="690"/>
    </row>
    <row r="60">
      <c r="A60" s="706"/>
      <c r="D60" s="11">
        <v>45985.0</v>
      </c>
      <c r="E60" s="10">
        <v>5.35801219E8</v>
      </c>
      <c r="F60" s="10" t="s">
        <v>969</v>
      </c>
      <c r="G60" s="22" t="s">
        <v>970</v>
      </c>
      <c r="H60" s="12">
        <v>0.0</v>
      </c>
      <c r="I60" s="13">
        <v>0.0</v>
      </c>
      <c r="J60" s="10" t="s">
        <v>971</v>
      </c>
      <c r="K60" s="708"/>
      <c r="L60" s="1046"/>
      <c r="M60" s="690"/>
      <c r="N60" s="690"/>
      <c r="O60" s="690"/>
      <c r="P60" s="690"/>
      <c r="Q60" s="690"/>
      <c r="R60" s="690"/>
      <c r="S60" s="690"/>
      <c r="T60" s="690"/>
      <c r="U60" s="690"/>
      <c r="V60" s="690"/>
      <c r="W60" s="690"/>
      <c r="X60" s="690"/>
      <c r="Y60" s="690"/>
    </row>
    <row r="61">
      <c r="A61" s="706"/>
      <c r="D61" s="11">
        <v>45986.0</v>
      </c>
      <c r="E61" s="10">
        <v>9.340326E7</v>
      </c>
      <c r="F61" s="10" t="s">
        <v>965</v>
      </c>
      <c r="G61" s="10" t="s">
        <v>966</v>
      </c>
      <c r="H61" s="12">
        <v>1600.0</v>
      </c>
      <c r="I61" s="13">
        <v>2868.44</v>
      </c>
      <c r="J61" s="10" t="s">
        <v>967</v>
      </c>
      <c r="K61" s="708"/>
      <c r="L61" s="1046"/>
      <c r="M61" s="690"/>
      <c r="N61" s="690"/>
      <c r="O61" s="690"/>
      <c r="P61" s="690"/>
      <c r="Q61" s="690"/>
      <c r="R61" s="690"/>
      <c r="S61" s="690"/>
      <c r="T61" s="690"/>
      <c r="U61" s="690"/>
      <c r="V61" s="690"/>
      <c r="W61" s="690"/>
      <c r="X61" s="690"/>
      <c r="Y61" s="690"/>
    </row>
    <row r="62">
      <c r="A62" s="706"/>
      <c r="K62" s="669" t="s">
        <v>392</v>
      </c>
      <c r="L62" s="1047">
        <v>9617.0</v>
      </c>
      <c r="M62" s="690"/>
      <c r="N62" s="690"/>
      <c r="O62" s="690"/>
      <c r="P62" s="690"/>
      <c r="Q62" s="690"/>
      <c r="R62" s="690"/>
      <c r="S62" s="690"/>
      <c r="T62" s="690"/>
      <c r="U62" s="690"/>
      <c r="V62" s="690"/>
      <c r="W62" s="690"/>
      <c r="X62" s="690"/>
      <c r="Y62" s="690"/>
    </row>
    <row r="63">
      <c r="A63" s="706"/>
      <c r="K63" s="669" t="s">
        <v>384</v>
      </c>
      <c r="L63" s="1047">
        <v>3403.0</v>
      </c>
      <c r="M63" s="690"/>
      <c r="N63" s="690"/>
      <c r="O63" s="690"/>
      <c r="P63" s="690"/>
      <c r="Q63" s="690"/>
      <c r="R63" s="690"/>
      <c r="S63" s="690"/>
      <c r="T63" s="690"/>
      <c r="U63" s="690"/>
      <c r="V63" s="690"/>
      <c r="W63" s="690"/>
      <c r="X63" s="690"/>
      <c r="Y63" s="690"/>
    </row>
    <row r="64">
      <c r="A64" s="706"/>
      <c r="K64" s="669" t="s">
        <v>1485</v>
      </c>
      <c r="L64" s="1047">
        <v>1002.0</v>
      </c>
      <c r="M64" s="690"/>
      <c r="N64" s="690"/>
      <c r="O64" s="690"/>
      <c r="P64" s="690"/>
      <c r="Q64" s="690"/>
      <c r="R64" s="690"/>
      <c r="S64" s="690"/>
      <c r="T64" s="690"/>
      <c r="U64" s="690"/>
      <c r="V64" s="690"/>
      <c r="W64" s="690"/>
      <c r="X64" s="690"/>
      <c r="Y64" s="690"/>
    </row>
    <row r="65">
      <c r="A65" s="706"/>
      <c r="K65" s="669" t="s">
        <v>489</v>
      </c>
      <c r="L65" s="1048" t="s">
        <v>1221</v>
      </c>
      <c r="M65" s="690"/>
      <c r="N65" s="690"/>
      <c r="O65" s="690"/>
      <c r="P65" s="690"/>
      <c r="Q65" s="690"/>
      <c r="R65" s="690"/>
      <c r="S65" s="690"/>
      <c r="T65" s="690"/>
      <c r="U65" s="690"/>
      <c r="V65" s="690"/>
      <c r="W65" s="690"/>
      <c r="X65" s="690"/>
      <c r="Y65" s="690"/>
    </row>
    <row r="66">
      <c r="A66" s="706"/>
      <c r="K66" s="669" t="s">
        <v>539</v>
      </c>
      <c r="L66" s="1048" t="s">
        <v>540</v>
      </c>
      <c r="M66" s="690"/>
      <c r="N66" s="690"/>
      <c r="O66" s="690"/>
      <c r="P66" s="690"/>
      <c r="Q66" s="690"/>
      <c r="R66" s="690"/>
      <c r="S66" s="690"/>
      <c r="T66" s="690"/>
      <c r="U66" s="690"/>
      <c r="V66" s="690"/>
      <c r="W66" s="690"/>
      <c r="X66" s="690"/>
      <c r="Y66" s="690"/>
    </row>
    <row r="67">
      <c r="A67" s="706"/>
      <c r="K67" s="669" t="s">
        <v>613</v>
      </c>
      <c r="L67" s="1047">
        <v>2932.0</v>
      </c>
      <c r="M67" s="690"/>
      <c r="N67" s="690"/>
      <c r="O67" s="690"/>
      <c r="P67" s="690"/>
      <c r="Q67" s="690"/>
      <c r="R67" s="690"/>
      <c r="S67" s="690"/>
      <c r="T67" s="690"/>
      <c r="U67" s="690"/>
      <c r="V67" s="690"/>
      <c r="W67" s="690"/>
      <c r="X67" s="690"/>
      <c r="Y67" s="690"/>
    </row>
    <row r="68">
      <c r="A68" s="706"/>
      <c r="K68" s="669" t="s">
        <v>437</v>
      </c>
      <c r="L68" s="1047">
        <v>8479.0</v>
      </c>
      <c r="M68" s="690"/>
      <c r="N68" s="690"/>
      <c r="O68" s="690"/>
      <c r="P68" s="690"/>
      <c r="Q68" s="690"/>
      <c r="R68" s="690"/>
      <c r="S68" s="690"/>
      <c r="T68" s="690"/>
      <c r="U68" s="690"/>
      <c r="V68" s="690"/>
      <c r="W68" s="690"/>
      <c r="X68" s="690"/>
      <c r="Y68" s="690"/>
    </row>
    <row r="69">
      <c r="A69" s="706"/>
      <c r="K69" s="669" t="s">
        <v>1486</v>
      </c>
      <c r="L69" s="1047">
        <v>2319.0</v>
      </c>
      <c r="M69" s="690"/>
      <c r="N69" s="690"/>
      <c r="O69" s="690"/>
      <c r="P69" s="690"/>
      <c r="Q69" s="690"/>
      <c r="R69" s="690"/>
      <c r="S69" s="690"/>
      <c r="T69" s="690"/>
      <c r="U69" s="690"/>
      <c r="V69" s="690"/>
      <c r="W69" s="690"/>
      <c r="X69" s="690"/>
      <c r="Y69" s="690"/>
    </row>
    <row r="70">
      <c r="A70" s="706"/>
      <c r="K70" s="669" t="s">
        <v>1487</v>
      </c>
      <c r="L70" s="1047">
        <v>9308.0</v>
      </c>
      <c r="M70" s="690"/>
      <c r="N70" s="690"/>
      <c r="O70" s="690"/>
      <c r="P70" s="690"/>
      <c r="Q70" s="690"/>
      <c r="R70" s="690"/>
      <c r="S70" s="690"/>
      <c r="T70" s="690"/>
      <c r="U70" s="690"/>
      <c r="V70" s="690"/>
      <c r="W70" s="690"/>
      <c r="X70" s="690"/>
      <c r="Y70" s="690"/>
    </row>
    <row r="71">
      <c r="A71" s="706"/>
      <c r="K71" s="669" t="s">
        <v>443</v>
      </c>
      <c r="L71" s="1047">
        <v>5653.0</v>
      </c>
      <c r="M71" s="690"/>
      <c r="N71" s="690"/>
      <c r="O71" s="690"/>
      <c r="P71" s="690"/>
      <c r="Q71" s="690"/>
      <c r="R71" s="690"/>
      <c r="S71" s="690"/>
      <c r="T71" s="690"/>
      <c r="U71" s="690"/>
      <c r="V71" s="690"/>
      <c r="W71" s="690"/>
      <c r="X71" s="690"/>
      <c r="Y71" s="690"/>
    </row>
    <row r="72">
      <c r="A72" s="706"/>
      <c r="K72" s="669" t="s">
        <v>609</v>
      </c>
      <c r="L72" s="1047">
        <v>9309.0</v>
      </c>
      <c r="M72" s="690"/>
      <c r="N72" s="690"/>
      <c r="O72" s="690"/>
      <c r="P72" s="690"/>
      <c r="Q72" s="690"/>
      <c r="R72" s="690"/>
      <c r="S72" s="690"/>
      <c r="T72" s="690"/>
      <c r="U72" s="690"/>
      <c r="V72" s="690"/>
      <c r="W72" s="690"/>
      <c r="X72" s="690"/>
      <c r="Y72" s="690"/>
    </row>
    <row r="73">
      <c r="A73" s="706"/>
      <c r="K73" s="669" t="s">
        <v>1488</v>
      </c>
      <c r="L73" s="1047">
        <v>8136.0</v>
      </c>
      <c r="M73" s="690"/>
      <c r="N73" s="690"/>
      <c r="O73" s="690"/>
      <c r="P73" s="690"/>
      <c r="Q73" s="690"/>
      <c r="R73" s="690"/>
      <c r="S73" s="690"/>
      <c r="T73" s="690"/>
      <c r="U73" s="690"/>
      <c r="V73" s="690"/>
      <c r="W73" s="690"/>
      <c r="X73" s="690"/>
      <c r="Y73" s="690"/>
    </row>
    <row r="74">
      <c r="A74" s="706"/>
      <c r="K74" s="669" t="s">
        <v>523</v>
      </c>
      <c r="L74" s="1047">
        <v>5490.0</v>
      </c>
      <c r="M74" s="690"/>
      <c r="N74" s="690"/>
      <c r="O74" s="690"/>
      <c r="P74" s="690"/>
      <c r="Q74" s="690"/>
      <c r="R74" s="690"/>
      <c r="S74" s="690"/>
      <c r="T74" s="690"/>
      <c r="U74" s="690"/>
      <c r="V74" s="690"/>
      <c r="W74" s="690"/>
      <c r="X74" s="690"/>
      <c r="Y74" s="690"/>
    </row>
    <row r="75">
      <c r="A75" s="706"/>
      <c r="K75" s="669" t="s">
        <v>560</v>
      </c>
      <c r="L75" s="1047">
        <v>7607.0</v>
      </c>
      <c r="M75" s="690"/>
      <c r="N75" s="690"/>
      <c r="O75" s="690"/>
      <c r="P75" s="690"/>
      <c r="Q75" s="690"/>
      <c r="R75" s="690"/>
      <c r="S75" s="690"/>
      <c r="T75" s="690"/>
      <c r="U75" s="690"/>
      <c r="V75" s="690"/>
      <c r="W75" s="690"/>
      <c r="X75" s="690"/>
      <c r="Y75" s="690"/>
    </row>
    <row r="76">
      <c r="A76" s="706"/>
      <c r="L76" s="759"/>
      <c r="M76" s="690"/>
      <c r="N76" s="690"/>
      <c r="O76" s="690"/>
      <c r="P76" s="690"/>
      <c r="Q76" s="690"/>
      <c r="R76" s="690"/>
      <c r="S76" s="690"/>
      <c r="T76" s="690"/>
      <c r="U76" s="690"/>
      <c r="V76" s="690"/>
      <c r="W76" s="690"/>
      <c r="X76" s="690"/>
      <c r="Y76" s="690"/>
    </row>
    <row r="77">
      <c r="A77" s="706"/>
      <c r="L77" s="759"/>
      <c r="M77" s="690"/>
      <c r="N77" s="690"/>
      <c r="O77" s="690"/>
      <c r="P77" s="690"/>
      <c r="Q77" s="690"/>
      <c r="R77" s="690"/>
      <c r="S77" s="690"/>
      <c r="T77" s="690"/>
      <c r="U77" s="690"/>
      <c r="V77" s="690"/>
      <c r="W77" s="690"/>
      <c r="X77" s="690"/>
      <c r="Y77" s="690"/>
    </row>
    <row r="78">
      <c r="A78" s="706"/>
      <c r="L78" s="759"/>
      <c r="M78" s="690"/>
      <c r="N78" s="690"/>
      <c r="O78" s="690"/>
      <c r="P78" s="690"/>
      <c r="Q78" s="690"/>
      <c r="R78" s="690"/>
      <c r="S78" s="690"/>
      <c r="T78" s="690"/>
      <c r="U78" s="690"/>
      <c r="V78" s="690"/>
      <c r="W78" s="690"/>
      <c r="X78" s="690"/>
      <c r="Y78" s="690"/>
    </row>
    <row r="79">
      <c r="A79" s="706"/>
      <c r="L79" s="759"/>
      <c r="M79" s="690"/>
      <c r="N79" s="690"/>
      <c r="O79" s="690"/>
      <c r="P79" s="690"/>
      <c r="Q79" s="690"/>
      <c r="R79" s="690"/>
      <c r="S79" s="690"/>
      <c r="T79" s="690"/>
      <c r="U79" s="690"/>
      <c r="V79" s="690"/>
      <c r="W79" s="690"/>
      <c r="X79" s="690"/>
      <c r="Y79" s="690"/>
    </row>
    <row r="80">
      <c r="A80" s="706"/>
      <c r="L80" s="759"/>
      <c r="M80" s="690"/>
      <c r="N80" s="690"/>
      <c r="O80" s="690"/>
      <c r="P80" s="690"/>
      <c r="Q80" s="690"/>
      <c r="R80" s="690"/>
      <c r="S80" s="690"/>
      <c r="T80" s="690"/>
      <c r="U80" s="690"/>
      <c r="V80" s="690"/>
      <c r="W80" s="690"/>
      <c r="X80" s="690"/>
      <c r="Y80" s="690"/>
    </row>
    <row r="81">
      <c r="A81" s="706"/>
      <c r="L81" s="759"/>
      <c r="M81" s="690"/>
      <c r="N81" s="690"/>
      <c r="O81" s="690"/>
      <c r="P81" s="690"/>
      <c r="Q81" s="690"/>
      <c r="R81" s="690"/>
      <c r="S81" s="690"/>
      <c r="T81" s="690"/>
      <c r="U81" s="690"/>
      <c r="V81" s="690"/>
      <c r="W81" s="690"/>
      <c r="X81" s="690"/>
      <c r="Y81" s="690"/>
    </row>
    <row r="82">
      <c r="A82" s="706"/>
      <c r="L82" s="759"/>
      <c r="M82" s="690"/>
      <c r="N82" s="690"/>
      <c r="O82" s="690"/>
      <c r="P82" s="690"/>
      <c r="Q82" s="690"/>
      <c r="R82" s="690"/>
      <c r="S82" s="690"/>
      <c r="T82" s="690"/>
      <c r="U82" s="690"/>
      <c r="V82" s="690"/>
      <c r="W82" s="690"/>
      <c r="X82" s="690"/>
      <c r="Y82" s="690"/>
    </row>
    <row r="83">
      <c r="A83" s="706"/>
      <c r="L83" s="759"/>
      <c r="M83" s="690"/>
      <c r="N83" s="690"/>
      <c r="O83" s="690"/>
      <c r="P83" s="690"/>
      <c r="Q83" s="690"/>
      <c r="R83" s="690"/>
      <c r="S83" s="690"/>
      <c r="T83" s="690"/>
      <c r="U83" s="690"/>
      <c r="V83" s="690"/>
      <c r="W83" s="690"/>
      <c r="X83" s="690"/>
      <c r="Y83" s="690"/>
    </row>
    <row r="84">
      <c r="A84" s="706"/>
      <c r="L84" s="759"/>
      <c r="M84" s="690"/>
      <c r="N84" s="690"/>
      <c r="O84" s="690"/>
      <c r="P84" s="690"/>
      <c r="Q84" s="690"/>
      <c r="R84" s="690"/>
      <c r="S84" s="690"/>
      <c r="T84" s="690"/>
      <c r="U84" s="690"/>
      <c r="V84" s="690"/>
      <c r="W84" s="690"/>
      <c r="X84" s="690"/>
      <c r="Y84" s="690"/>
    </row>
    <row r="85">
      <c r="A85" s="706"/>
      <c r="L85" s="759"/>
      <c r="M85" s="690"/>
      <c r="N85" s="690"/>
      <c r="O85" s="690"/>
      <c r="P85" s="690"/>
      <c r="Q85" s="690"/>
      <c r="R85" s="690"/>
      <c r="S85" s="690"/>
      <c r="T85" s="690"/>
      <c r="U85" s="690"/>
      <c r="V85" s="690"/>
      <c r="W85" s="690"/>
      <c r="X85" s="690"/>
      <c r="Y85" s="690"/>
    </row>
    <row r="86">
      <c r="A86" s="706"/>
      <c r="L86" s="759"/>
      <c r="M86" s="690"/>
      <c r="N86" s="690"/>
      <c r="O86" s="690"/>
      <c r="P86" s="690"/>
      <c r="Q86" s="690"/>
      <c r="R86" s="690"/>
      <c r="S86" s="690"/>
      <c r="T86" s="690"/>
      <c r="U86" s="690"/>
      <c r="V86" s="690"/>
      <c r="W86" s="690"/>
      <c r="X86" s="690"/>
      <c r="Y86" s="690"/>
    </row>
    <row r="87">
      <c r="A87" s="706"/>
      <c r="L87" s="759"/>
      <c r="M87" s="690"/>
      <c r="N87" s="690"/>
      <c r="O87" s="690"/>
      <c r="P87" s="690"/>
      <c r="Q87" s="690"/>
      <c r="R87" s="690"/>
      <c r="S87" s="690"/>
      <c r="T87" s="690"/>
      <c r="U87" s="690"/>
      <c r="V87" s="690"/>
      <c r="W87" s="690"/>
      <c r="X87" s="690"/>
      <c r="Y87" s="690"/>
    </row>
    <row r="88">
      <c r="A88" s="706"/>
      <c r="L88" s="759"/>
      <c r="M88" s="690"/>
      <c r="N88" s="690"/>
      <c r="O88" s="690"/>
      <c r="P88" s="690"/>
      <c r="Q88" s="690"/>
      <c r="R88" s="690"/>
      <c r="S88" s="690"/>
      <c r="T88" s="690"/>
      <c r="U88" s="690"/>
      <c r="V88" s="690"/>
      <c r="W88" s="690"/>
      <c r="X88" s="690"/>
      <c r="Y88" s="690"/>
    </row>
    <row r="89">
      <c r="A89" s="706"/>
      <c r="L89" s="759"/>
      <c r="M89" s="690"/>
      <c r="N89" s="690"/>
      <c r="O89" s="690"/>
      <c r="P89" s="690"/>
      <c r="Q89" s="690"/>
      <c r="R89" s="690"/>
      <c r="S89" s="690"/>
      <c r="T89" s="690"/>
      <c r="U89" s="690"/>
      <c r="V89" s="690"/>
      <c r="W89" s="690"/>
      <c r="X89" s="690"/>
      <c r="Y89" s="690"/>
    </row>
    <row r="90">
      <c r="A90" s="706"/>
      <c r="L90" s="759"/>
      <c r="M90" s="690"/>
      <c r="N90" s="690"/>
      <c r="O90" s="690"/>
      <c r="P90" s="690"/>
      <c r="Q90" s="690"/>
      <c r="R90" s="690"/>
      <c r="S90" s="690"/>
      <c r="T90" s="690"/>
      <c r="U90" s="690"/>
      <c r="V90" s="690"/>
      <c r="W90" s="690"/>
      <c r="X90" s="690"/>
      <c r="Y90" s="690"/>
    </row>
    <row r="91">
      <c r="A91" s="706"/>
      <c r="L91" s="759"/>
      <c r="M91" s="690"/>
      <c r="N91" s="690"/>
      <c r="O91" s="690"/>
      <c r="P91" s="690"/>
      <c r="Q91" s="690"/>
      <c r="R91" s="690"/>
      <c r="S91" s="690"/>
      <c r="T91" s="690"/>
      <c r="U91" s="690"/>
      <c r="V91" s="690"/>
      <c r="W91" s="690"/>
      <c r="X91" s="690"/>
      <c r="Y91" s="690"/>
    </row>
    <row r="92">
      <c r="A92" s="706"/>
      <c r="L92" s="759"/>
      <c r="M92" s="690"/>
      <c r="N92" s="690"/>
      <c r="O92" s="690"/>
      <c r="P92" s="690"/>
      <c r="Q92" s="690"/>
      <c r="R92" s="690"/>
      <c r="S92" s="690"/>
      <c r="T92" s="690"/>
      <c r="U92" s="690"/>
      <c r="V92" s="690"/>
      <c r="W92" s="690"/>
      <c r="X92" s="690"/>
      <c r="Y92" s="690"/>
    </row>
    <row r="93">
      <c r="A93" s="706"/>
      <c r="L93" s="759"/>
      <c r="M93" s="690"/>
      <c r="N93" s="690"/>
      <c r="O93" s="690"/>
      <c r="P93" s="690"/>
      <c r="Q93" s="690"/>
      <c r="R93" s="690"/>
      <c r="S93" s="690"/>
      <c r="T93" s="690"/>
      <c r="U93" s="690"/>
      <c r="V93" s="690"/>
      <c r="W93" s="690"/>
      <c r="X93" s="690"/>
      <c r="Y93" s="690"/>
    </row>
    <row r="94">
      <c r="A94" s="706"/>
      <c r="L94" s="759"/>
      <c r="M94" s="690"/>
      <c r="N94" s="690"/>
      <c r="O94" s="690"/>
      <c r="P94" s="690"/>
      <c r="Q94" s="690"/>
      <c r="R94" s="690"/>
      <c r="S94" s="690"/>
      <c r="T94" s="690"/>
      <c r="U94" s="690"/>
      <c r="V94" s="690"/>
      <c r="W94" s="690"/>
      <c r="X94" s="690"/>
      <c r="Y94" s="690"/>
    </row>
    <row r="95">
      <c r="A95" s="706"/>
      <c r="L95" s="759"/>
      <c r="M95" s="690"/>
      <c r="N95" s="690"/>
      <c r="O95" s="690"/>
      <c r="P95" s="690"/>
      <c r="Q95" s="690"/>
      <c r="R95" s="690"/>
      <c r="S95" s="690"/>
      <c r="T95" s="690"/>
      <c r="U95" s="690"/>
      <c r="V95" s="690"/>
      <c r="W95" s="690"/>
      <c r="X95" s="690"/>
      <c r="Y95" s="690"/>
    </row>
    <row r="96">
      <c r="A96" s="706"/>
      <c r="L96" s="759"/>
      <c r="M96" s="690"/>
      <c r="N96" s="690"/>
      <c r="O96" s="690"/>
      <c r="P96" s="690"/>
      <c r="Q96" s="690"/>
      <c r="R96" s="690"/>
      <c r="S96" s="690"/>
      <c r="T96" s="690"/>
      <c r="U96" s="690"/>
      <c r="V96" s="690"/>
      <c r="W96" s="690"/>
      <c r="X96" s="690"/>
      <c r="Y96" s="690"/>
    </row>
    <row r="97">
      <c r="A97" s="706"/>
      <c r="L97" s="759"/>
      <c r="M97" s="690"/>
      <c r="N97" s="690"/>
      <c r="O97" s="690"/>
      <c r="P97" s="690"/>
      <c r="Q97" s="690"/>
      <c r="R97" s="690"/>
      <c r="S97" s="690"/>
      <c r="T97" s="690"/>
      <c r="U97" s="690"/>
      <c r="V97" s="690"/>
      <c r="W97" s="690"/>
      <c r="X97" s="690"/>
      <c r="Y97" s="690"/>
    </row>
    <row r="98">
      <c r="A98" s="706"/>
      <c r="L98" s="759"/>
      <c r="M98" s="690"/>
      <c r="N98" s="690"/>
      <c r="O98" s="690"/>
      <c r="P98" s="690"/>
      <c r="Q98" s="690"/>
      <c r="R98" s="690"/>
      <c r="S98" s="690"/>
      <c r="T98" s="690"/>
      <c r="U98" s="690"/>
      <c r="V98" s="690"/>
      <c r="W98" s="690"/>
      <c r="X98" s="690"/>
      <c r="Y98" s="690"/>
    </row>
    <row r="99">
      <c r="A99" s="706"/>
      <c r="L99" s="759"/>
      <c r="M99" s="690"/>
      <c r="N99" s="690"/>
      <c r="O99" s="690"/>
      <c r="P99" s="690"/>
      <c r="Q99" s="690"/>
      <c r="R99" s="690"/>
      <c r="S99" s="690"/>
      <c r="T99" s="690"/>
      <c r="U99" s="690"/>
      <c r="V99" s="690"/>
      <c r="W99" s="690"/>
      <c r="X99" s="690"/>
      <c r="Y99" s="690"/>
    </row>
    <row r="100">
      <c r="A100" s="706"/>
      <c r="L100" s="759"/>
      <c r="M100" s="690"/>
      <c r="N100" s="690"/>
      <c r="O100" s="690"/>
      <c r="P100" s="690"/>
      <c r="Q100" s="690"/>
      <c r="R100" s="690"/>
      <c r="S100" s="690"/>
      <c r="T100" s="690"/>
      <c r="U100" s="690"/>
      <c r="V100" s="690"/>
      <c r="W100" s="690"/>
      <c r="X100" s="690"/>
      <c r="Y100" s="690"/>
    </row>
    <row r="101">
      <c r="A101" s="706"/>
      <c r="L101" s="759"/>
      <c r="M101" s="690"/>
      <c r="N101" s="690"/>
      <c r="O101" s="690"/>
      <c r="P101" s="690"/>
      <c r="Q101" s="690"/>
      <c r="R101" s="690"/>
      <c r="S101" s="690"/>
      <c r="T101" s="690"/>
      <c r="U101" s="690"/>
      <c r="V101" s="690"/>
      <c r="W101" s="690"/>
      <c r="X101" s="690"/>
      <c r="Y101" s="690"/>
    </row>
    <row r="102">
      <c r="A102" s="706"/>
      <c r="L102" s="759"/>
      <c r="M102" s="690"/>
      <c r="N102" s="690"/>
      <c r="O102" s="690"/>
      <c r="P102" s="690"/>
      <c r="Q102" s="690"/>
      <c r="R102" s="690"/>
      <c r="S102" s="690"/>
      <c r="T102" s="690"/>
      <c r="U102" s="690"/>
      <c r="V102" s="690"/>
      <c r="W102" s="690"/>
      <c r="X102" s="690"/>
      <c r="Y102" s="690"/>
    </row>
    <row r="103">
      <c r="A103" s="706"/>
      <c r="L103" s="759"/>
      <c r="M103" s="690"/>
      <c r="N103" s="690"/>
      <c r="O103" s="690"/>
      <c r="P103" s="690"/>
      <c r="Q103" s="690"/>
      <c r="R103" s="690"/>
      <c r="S103" s="690"/>
      <c r="T103" s="690"/>
      <c r="U103" s="690"/>
      <c r="V103" s="690"/>
      <c r="W103" s="690"/>
      <c r="X103" s="690"/>
      <c r="Y103" s="690"/>
    </row>
    <row r="104">
      <c r="A104" s="706"/>
      <c r="L104" s="759"/>
      <c r="M104" s="690"/>
      <c r="N104" s="690"/>
      <c r="O104" s="690"/>
      <c r="P104" s="690"/>
      <c r="Q104" s="690"/>
      <c r="R104" s="690"/>
      <c r="S104" s="690"/>
      <c r="T104" s="690"/>
      <c r="U104" s="690"/>
      <c r="V104" s="690"/>
      <c r="W104" s="690"/>
      <c r="X104" s="690"/>
      <c r="Y104" s="690"/>
    </row>
    <row r="105">
      <c r="A105" s="706"/>
      <c r="L105" s="759"/>
      <c r="M105" s="690"/>
      <c r="N105" s="690"/>
      <c r="O105" s="690"/>
      <c r="P105" s="690"/>
      <c r="Q105" s="690"/>
      <c r="R105" s="690"/>
      <c r="S105" s="690"/>
      <c r="T105" s="690"/>
      <c r="U105" s="690"/>
      <c r="V105" s="690"/>
      <c r="W105" s="690"/>
      <c r="X105" s="690"/>
      <c r="Y105" s="690"/>
    </row>
    <row r="106">
      <c r="A106" s="706"/>
      <c r="L106" s="759"/>
      <c r="M106" s="690"/>
      <c r="N106" s="690"/>
      <c r="O106" s="690"/>
      <c r="P106" s="690"/>
      <c r="Q106" s="690"/>
      <c r="R106" s="690"/>
      <c r="S106" s="690"/>
      <c r="T106" s="690"/>
      <c r="U106" s="690"/>
      <c r="V106" s="690"/>
      <c r="W106" s="690"/>
      <c r="X106" s="690"/>
      <c r="Y106" s="690"/>
    </row>
    <row r="107">
      <c r="A107" s="706"/>
      <c r="L107" s="759"/>
      <c r="M107" s="690"/>
      <c r="N107" s="690"/>
      <c r="O107" s="690"/>
      <c r="P107" s="690"/>
      <c r="Q107" s="690"/>
      <c r="R107" s="690"/>
      <c r="S107" s="690"/>
      <c r="T107" s="690"/>
      <c r="U107" s="690"/>
      <c r="V107" s="690"/>
      <c r="W107" s="690"/>
      <c r="X107" s="690"/>
      <c r="Y107" s="690"/>
    </row>
    <row r="108">
      <c r="A108" s="706"/>
      <c r="L108" s="759"/>
      <c r="M108" s="690"/>
      <c r="N108" s="690"/>
      <c r="O108" s="690"/>
      <c r="P108" s="690"/>
      <c r="Q108" s="690"/>
      <c r="R108" s="690"/>
      <c r="S108" s="690"/>
      <c r="T108" s="690"/>
      <c r="U108" s="690"/>
      <c r="V108" s="690"/>
      <c r="W108" s="690"/>
      <c r="X108" s="690"/>
      <c r="Y108" s="690"/>
    </row>
    <row r="109">
      <c r="A109" s="706"/>
      <c r="L109" s="759"/>
      <c r="M109" s="690"/>
      <c r="N109" s="690"/>
      <c r="O109" s="690"/>
      <c r="P109" s="690"/>
      <c r="Q109" s="690"/>
      <c r="R109" s="690"/>
      <c r="S109" s="690"/>
      <c r="T109" s="690"/>
      <c r="U109" s="690"/>
      <c r="V109" s="690"/>
      <c r="W109" s="690"/>
      <c r="X109" s="690"/>
      <c r="Y109" s="690"/>
    </row>
    <row r="110">
      <c r="A110" s="706"/>
      <c r="L110" s="759"/>
      <c r="M110" s="690"/>
      <c r="N110" s="690"/>
      <c r="O110" s="690"/>
      <c r="P110" s="690"/>
      <c r="Q110" s="690"/>
      <c r="R110" s="690"/>
      <c r="S110" s="690"/>
      <c r="T110" s="690"/>
      <c r="U110" s="690"/>
      <c r="V110" s="690"/>
      <c r="W110" s="690"/>
      <c r="X110" s="690"/>
      <c r="Y110" s="690"/>
    </row>
    <row r="111">
      <c r="A111" s="706"/>
      <c r="L111" s="759"/>
      <c r="M111" s="690"/>
      <c r="N111" s="690"/>
      <c r="O111" s="690"/>
      <c r="P111" s="690"/>
      <c r="Q111" s="690"/>
      <c r="R111" s="690"/>
      <c r="S111" s="690"/>
      <c r="T111" s="690"/>
      <c r="U111" s="690"/>
      <c r="V111" s="690"/>
      <c r="W111" s="690"/>
      <c r="X111" s="690"/>
      <c r="Y111" s="690"/>
    </row>
    <row r="112">
      <c r="A112" s="706"/>
      <c r="L112" s="759"/>
      <c r="M112" s="690"/>
      <c r="N112" s="690"/>
      <c r="O112" s="690"/>
      <c r="P112" s="690"/>
      <c r="Q112" s="690"/>
      <c r="R112" s="690"/>
      <c r="S112" s="690"/>
      <c r="T112" s="690"/>
      <c r="U112" s="690"/>
      <c r="V112" s="690"/>
      <c r="W112" s="690"/>
      <c r="X112" s="690"/>
      <c r="Y112" s="690"/>
    </row>
    <row r="113">
      <c r="A113" s="706"/>
      <c r="L113" s="759"/>
      <c r="M113" s="690"/>
      <c r="N113" s="690"/>
      <c r="O113" s="690"/>
      <c r="P113" s="690"/>
      <c r="Q113" s="690"/>
      <c r="R113" s="690"/>
      <c r="S113" s="690"/>
      <c r="T113" s="690"/>
      <c r="U113" s="690"/>
      <c r="V113" s="690"/>
      <c r="W113" s="690"/>
      <c r="X113" s="690"/>
      <c r="Y113" s="690"/>
    </row>
    <row r="114">
      <c r="A114" s="706"/>
      <c r="L114" s="759"/>
      <c r="M114" s="690"/>
      <c r="N114" s="690"/>
      <c r="O114" s="690"/>
      <c r="P114" s="690"/>
      <c r="Q114" s="690"/>
      <c r="R114" s="690"/>
      <c r="S114" s="690"/>
      <c r="T114" s="690"/>
      <c r="U114" s="690"/>
      <c r="V114" s="690"/>
      <c r="W114" s="690"/>
      <c r="X114" s="690"/>
      <c r="Y114" s="690"/>
    </row>
    <row r="115">
      <c r="A115" s="706"/>
      <c r="L115" s="759"/>
      <c r="M115" s="690"/>
      <c r="N115" s="690"/>
      <c r="O115" s="690"/>
      <c r="P115" s="690"/>
      <c r="Q115" s="690"/>
      <c r="R115" s="690"/>
      <c r="S115" s="690"/>
      <c r="T115" s="690"/>
      <c r="U115" s="690"/>
      <c r="V115" s="690"/>
      <c r="W115" s="690"/>
      <c r="X115" s="690"/>
      <c r="Y115" s="690"/>
    </row>
    <row r="116">
      <c r="A116" s="706"/>
      <c r="L116" s="759"/>
      <c r="M116" s="690"/>
      <c r="N116" s="690"/>
      <c r="O116" s="690"/>
      <c r="P116" s="690"/>
      <c r="Q116" s="690"/>
      <c r="R116" s="690"/>
      <c r="S116" s="690"/>
      <c r="T116" s="690"/>
      <c r="U116" s="690"/>
      <c r="V116" s="690"/>
      <c r="W116" s="690"/>
      <c r="X116" s="690"/>
      <c r="Y116" s="690"/>
    </row>
    <row r="117">
      <c r="A117" s="706"/>
      <c r="L117" s="759"/>
      <c r="M117" s="690"/>
      <c r="N117" s="690"/>
      <c r="O117" s="690"/>
      <c r="P117" s="690"/>
      <c r="Q117" s="690"/>
      <c r="R117" s="690"/>
      <c r="S117" s="690"/>
      <c r="T117" s="690"/>
      <c r="U117" s="690"/>
      <c r="V117" s="690"/>
      <c r="W117" s="690"/>
      <c r="X117" s="690"/>
      <c r="Y117" s="690"/>
    </row>
    <row r="118">
      <c r="A118" s="706"/>
      <c r="L118" s="759"/>
      <c r="M118" s="690"/>
      <c r="N118" s="690"/>
      <c r="O118" s="690"/>
      <c r="P118" s="690"/>
      <c r="Q118" s="690"/>
      <c r="R118" s="690"/>
      <c r="S118" s="690"/>
      <c r="T118" s="690"/>
      <c r="U118" s="690"/>
      <c r="V118" s="690"/>
      <c r="W118" s="690"/>
      <c r="X118" s="690"/>
      <c r="Y118" s="690"/>
    </row>
    <row r="119">
      <c r="A119" s="706"/>
      <c r="L119" s="759"/>
      <c r="M119" s="690"/>
      <c r="N119" s="690"/>
      <c r="O119" s="690"/>
      <c r="P119" s="690"/>
      <c r="Q119" s="690"/>
      <c r="R119" s="690"/>
      <c r="S119" s="690"/>
      <c r="T119" s="690"/>
      <c r="U119" s="690"/>
      <c r="V119" s="690"/>
      <c r="W119" s="690"/>
      <c r="X119" s="690"/>
      <c r="Y119" s="690"/>
    </row>
    <row r="120">
      <c r="A120" s="706"/>
      <c r="L120" s="759"/>
      <c r="M120" s="690"/>
      <c r="N120" s="690"/>
      <c r="O120" s="690"/>
      <c r="P120" s="690"/>
      <c r="Q120" s="690"/>
      <c r="R120" s="690"/>
      <c r="S120" s="690"/>
      <c r="T120" s="690"/>
      <c r="U120" s="690"/>
      <c r="V120" s="690"/>
      <c r="W120" s="690"/>
      <c r="X120" s="690"/>
      <c r="Y120" s="690"/>
    </row>
    <row r="121">
      <c r="A121" s="706"/>
      <c r="L121" s="759"/>
      <c r="M121" s="690"/>
      <c r="N121" s="690"/>
      <c r="O121" s="690"/>
      <c r="P121" s="690"/>
      <c r="Q121" s="690"/>
      <c r="R121" s="690"/>
      <c r="S121" s="690"/>
      <c r="T121" s="690"/>
      <c r="U121" s="690"/>
      <c r="V121" s="690"/>
      <c r="W121" s="690"/>
      <c r="X121" s="690"/>
      <c r="Y121" s="690"/>
    </row>
    <row r="122">
      <c r="A122" s="766"/>
      <c r="B122" s="767"/>
      <c r="C122" s="767"/>
      <c r="D122" s="767"/>
      <c r="E122" s="767"/>
      <c r="F122" s="767"/>
      <c r="G122" s="767"/>
      <c r="H122" s="767"/>
      <c r="I122" s="767"/>
      <c r="J122" s="767"/>
      <c r="K122" s="767"/>
      <c r="L122" s="768"/>
      <c r="M122" s="690"/>
      <c r="N122" s="690"/>
      <c r="O122" s="690"/>
      <c r="P122" s="690"/>
      <c r="Q122" s="690"/>
      <c r="R122" s="690"/>
      <c r="S122" s="690"/>
      <c r="T122" s="690"/>
      <c r="U122" s="690"/>
      <c r="V122" s="690"/>
      <c r="W122" s="690"/>
      <c r="X122" s="690"/>
      <c r="Y122" s="690"/>
    </row>
    <row r="123">
      <c r="M123" s="690"/>
      <c r="N123" s="690"/>
      <c r="O123" s="690"/>
      <c r="P123" s="690"/>
      <c r="Q123" s="690"/>
      <c r="R123" s="690"/>
      <c r="S123" s="690"/>
      <c r="T123" s="690"/>
      <c r="U123" s="690"/>
      <c r="V123" s="690"/>
      <c r="W123" s="690"/>
      <c r="X123" s="690"/>
      <c r="Y123" s="690"/>
    </row>
    <row r="126">
      <c r="A126" s="769"/>
      <c r="B126" s="770"/>
      <c r="C126" s="770"/>
      <c r="D126" s="771" t="s">
        <v>700</v>
      </c>
      <c r="E126" s="772" t="s">
        <v>1177</v>
      </c>
      <c r="F126" s="773"/>
      <c r="G126" s="774"/>
      <c r="H126" s="305">
        <v>1.0</v>
      </c>
      <c r="I126" s="769"/>
      <c r="J126" s="770"/>
      <c r="K126" s="770"/>
      <c r="L126" s="771" t="s">
        <v>700</v>
      </c>
      <c r="M126" s="772" t="str">
        <f>E126</f>
        <v>11.24.2025-11.30.2025</v>
      </c>
      <c r="N126" s="773"/>
      <c r="O126" s="774"/>
    </row>
    <row r="127">
      <c r="A127" s="775"/>
      <c r="D127" s="771" t="s">
        <v>702</v>
      </c>
      <c r="E127" s="772" t="s">
        <v>660</v>
      </c>
      <c r="F127" s="773"/>
      <c r="G127" s="774"/>
      <c r="H127" s="283"/>
      <c r="I127" s="775"/>
      <c r="L127" s="771" t="s">
        <v>351</v>
      </c>
      <c r="M127" s="772" t="str">
        <f t="array" ref="M127">XLOOKUP(M128,$L$1:$L$122,$K$1:$K$122)</f>
        <v>Ricky L Mathews</v>
      </c>
      <c r="N127" s="773"/>
      <c r="O127" s="774"/>
    </row>
    <row r="128">
      <c r="A128" s="775"/>
      <c r="D128" s="771" t="s">
        <v>703</v>
      </c>
      <c r="E128" s="772">
        <v>2319.0</v>
      </c>
      <c r="F128" s="773"/>
      <c r="G128" s="774"/>
      <c r="H128" s="283"/>
      <c r="I128" s="775"/>
      <c r="L128" s="771" t="s">
        <v>703</v>
      </c>
      <c r="M128" s="772">
        <f>E128</f>
        <v>2319</v>
      </c>
      <c r="N128" s="773"/>
      <c r="O128" s="774"/>
    </row>
    <row r="129">
      <c r="A129" s="779" t="s">
        <v>704</v>
      </c>
      <c r="B129" s="779" t="s">
        <v>5</v>
      </c>
      <c r="C129" s="779" t="s">
        <v>6</v>
      </c>
      <c r="D129" s="779" t="s">
        <v>7</v>
      </c>
      <c r="E129" s="779" t="s">
        <v>8</v>
      </c>
      <c r="F129" s="779" t="s">
        <v>706</v>
      </c>
      <c r="G129" s="779" t="s">
        <v>707</v>
      </c>
      <c r="H129" s="34"/>
      <c r="I129" s="779" t="s">
        <v>704</v>
      </c>
      <c r="J129" s="779" t="s">
        <v>5</v>
      </c>
      <c r="K129" s="779" t="s">
        <v>6</v>
      </c>
      <c r="L129" s="779" t="s">
        <v>7</v>
      </c>
      <c r="M129" s="779" t="s">
        <v>1178</v>
      </c>
      <c r="N129" s="779" t="s">
        <v>839</v>
      </c>
      <c r="O129" s="779" t="s">
        <v>707</v>
      </c>
    </row>
    <row r="130">
      <c r="A130" s="780" t="str">
        <f>IFERROR(__xludf.DUMMYFUNCTION("FILTER($D$3:$H$122,$L$3:$L$122=E128)"),"")</f>
        <v/>
      </c>
      <c r="B130" s="781"/>
      <c r="C130" s="781"/>
      <c r="D130" s="781"/>
      <c r="E130" s="782"/>
      <c r="F130" s="783">
        <v>1.0</v>
      </c>
      <c r="G130" s="782">
        <f>E130*F130</f>
        <v>0</v>
      </c>
      <c r="H130" s="283"/>
      <c r="I130" s="780" t="str">
        <f>IFERROR(__xludf.DUMMYFUNCTION("FILTER($D$3:$G$122,$L$3:$L$122=M128)"),"")</f>
        <v/>
      </c>
      <c r="J130" s="781"/>
      <c r="K130" s="781"/>
      <c r="L130" s="781"/>
      <c r="M130" s="784" t="str">
        <f>IFERROR(__xludf.DUMMYFUNCTION("FILTER($I$3:$I$122,$L$3:$L$122=M128)"),"")</f>
        <v/>
      </c>
      <c r="N130" s="781">
        <v>0.65</v>
      </c>
      <c r="O130" s="782">
        <f>M130*N130</f>
        <v>0</v>
      </c>
    </row>
    <row r="131">
      <c r="A131" s="780"/>
      <c r="B131" s="781"/>
      <c r="C131" s="781"/>
      <c r="D131" s="781"/>
      <c r="E131" s="782"/>
      <c r="F131" s="783"/>
      <c r="G131" s="782"/>
      <c r="H131" s="283"/>
      <c r="I131" s="780"/>
      <c r="J131" s="781"/>
      <c r="K131" s="781"/>
      <c r="L131" s="781"/>
      <c r="M131" s="782"/>
      <c r="N131" s="783"/>
      <c r="O131" s="789"/>
    </row>
    <row r="132">
      <c r="A132" s="785"/>
      <c r="B132" s="786"/>
      <c r="C132" s="786"/>
      <c r="D132" s="786"/>
      <c r="E132" s="785"/>
      <c r="F132" s="787"/>
      <c r="G132" s="788"/>
      <c r="H132" s="283"/>
      <c r="I132" s="785"/>
      <c r="J132" s="786"/>
      <c r="K132" s="786"/>
      <c r="L132" s="786"/>
      <c r="M132" s="785"/>
      <c r="N132" s="787"/>
      <c r="O132" s="789"/>
    </row>
    <row r="133">
      <c r="A133" s="785"/>
      <c r="B133" s="786"/>
      <c r="C133" s="786"/>
      <c r="D133" s="786"/>
      <c r="E133" s="785"/>
      <c r="F133" s="787"/>
      <c r="G133" s="788"/>
      <c r="H133" s="283"/>
      <c r="I133" s="785"/>
      <c r="J133" s="786"/>
      <c r="K133" s="786"/>
      <c r="L133" s="786"/>
      <c r="M133" s="785"/>
      <c r="N133" s="787"/>
      <c r="O133" s="789"/>
    </row>
    <row r="134">
      <c r="A134" s="785"/>
      <c r="B134" s="786"/>
      <c r="C134" s="786"/>
      <c r="D134" s="786"/>
      <c r="E134" s="785"/>
      <c r="F134" s="787"/>
      <c r="G134" s="788"/>
      <c r="H134" s="283"/>
      <c r="I134" s="785"/>
      <c r="J134" s="786"/>
      <c r="K134" s="786"/>
      <c r="L134" s="786"/>
      <c r="M134" s="785"/>
      <c r="N134" s="787"/>
      <c r="O134" s="789"/>
    </row>
    <row r="135">
      <c r="A135" s="785"/>
      <c r="B135" s="786"/>
      <c r="C135" s="786"/>
      <c r="D135" s="786"/>
      <c r="E135" s="785"/>
      <c r="F135" s="787"/>
      <c r="G135" s="788"/>
      <c r="H135" s="283"/>
      <c r="I135" s="785"/>
      <c r="J135" s="786"/>
      <c r="K135" s="786"/>
      <c r="L135" s="786"/>
      <c r="M135" s="785"/>
      <c r="N135" s="787"/>
      <c r="O135" s="789"/>
    </row>
    <row r="136">
      <c r="A136" s="790" t="s">
        <v>711</v>
      </c>
      <c r="B136" s="791"/>
      <c r="C136" s="791"/>
      <c r="D136" s="792"/>
      <c r="E136" s="793">
        <f>SUM(E130:E135)</f>
        <v>0</v>
      </c>
      <c r="F136" s="794"/>
      <c r="G136" s="793">
        <f>SUM(G130:G135)</f>
        <v>0</v>
      </c>
      <c r="H136" s="283"/>
      <c r="I136" s="790" t="s">
        <v>711</v>
      </c>
      <c r="J136" s="791"/>
      <c r="K136" s="791"/>
      <c r="L136" s="792"/>
      <c r="M136" s="795">
        <f>SUM(M130:M135)</f>
        <v>0</v>
      </c>
      <c r="N136" s="794"/>
      <c r="O136" s="793">
        <f>SUM(O130:O135)</f>
        <v>0</v>
      </c>
    </row>
    <row r="137">
      <c r="A137" s="796"/>
      <c r="D137" s="798"/>
      <c r="G137" s="799"/>
      <c r="H137" s="283"/>
      <c r="I137" s="796"/>
      <c r="L137" s="798"/>
      <c r="O137" s="799"/>
    </row>
    <row r="138">
      <c r="A138" s="800" t="s">
        <v>712</v>
      </c>
      <c r="B138" s="801"/>
      <c r="C138" s="802"/>
      <c r="G138" s="799"/>
      <c r="H138" s="283"/>
      <c r="I138" s="800" t="s">
        <v>712</v>
      </c>
      <c r="J138" s="803"/>
      <c r="K138" s="804"/>
      <c r="O138" s="799"/>
    </row>
    <row r="139">
      <c r="A139" s="805" t="s">
        <v>657</v>
      </c>
      <c r="B139" s="806"/>
      <c r="C139" s="807"/>
      <c r="G139" s="799"/>
      <c r="H139" s="283"/>
      <c r="I139" s="867"/>
      <c r="J139" s="808"/>
      <c r="K139" s="809"/>
      <c r="O139" s="799"/>
    </row>
    <row r="140">
      <c r="A140" s="868"/>
      <c r="B140" s="774"/>
      <c r="C140" s="816"/>
      <c r="G140" s="799"/>
      <c r="H140" s="283"/>
      <c r="I140" s="868"/>
      <c r="J140" s="774"/>
      <c r="K140" s="816"/>
      <c r="O140" s="799"/>
    </row>
    <row r="141">
      <c r="A141" s="815"/>
      <c r="B141" s="792"/>
      <c r="C141" s="816"/>
      <c r="G141" s="799"/>
      <c r="H141" s="283"/>
      <c r="I141" s="815"/>
      <c r="J141" s="792"/>
      <c r="K141" s="816"/>
      <c r="O141" s="799"/>
    </row>
    <row r="142">
      <c r="A142" s="817"/>
      <c r="B142" s="774"/>
      <c r="C142" s="818"/>
      <c r="G142" s="799"/>
      <c r="H142" s="283"/>
      <c r="I142" s="817"/>
      <c r="J142" s="774"/>
      <c r="K142" s="818"/>
      <c r="O142" s="799"/>
    </row>
    <row r="143">
      <c r="A143" s="817"/>
      <c r="B143" s="792"/>
      <c r="C143" s="818"/>
      <c r="G143" s="799"/>
      <c r="H143" s="283"/>
      <c r="I143" s="817"/>
      <c r="J143" s="792"/>
      <c r="K143" s="818"/>
      <c r="O143" s="799"/>
    </row>
    <row r="144">
      <c r="A144" s="821" t="s">
        <v>714</v>
      </c>
      <c r="B144" s="822"/>
      <c r="C144" s="823">
        <f>SUM(C139:C143)</f>
        <v>0</v>
      </c>
      <c r="G144" s="799"/>
      <c r="H144" s="283"/>
      <c r="I144" s="821" t="s">
        <v>714</v>
      </c>
      <c r="J144" s="826"/>
      <c r="K144" s="827"/>
      <c r="O144" s="799"/>
    </row>
    <row r="145">
      <c r="A145" s="828"/>
      <c r="C145" s="829"/>
      <c r="G145" s="799"/>
      <c r="H145" s="283"/>
      <c r="I145" s="828"/>
      <c r="K145" s="829"/>
      <c r="O145" s="799"/>
    </row>
    <row r="146">
      <c r="A146" s="830" t="s">
        <v>715</v>
      </c>
      <c r="B146" s="831"/>
      <c r="C146" s="832"/>
      <c r="G146" s="799"/>
      <c r="H146" s="283"/>
      <c r="I146" s="833" t="s">
        <v>715</v>
      </c>
      <c r="J146" s="834"/>
      <c r="K146" s="835"/>
      <c r="O146" s="799"/>
    </row>
    <row r="147">
      <c r="A147" s="836" t="s">
        <v>716</v>
      </c>
      <c r="B147" s="837"/>
      <c r="C147" s="838"/>
      <c r="G147" s="799"/>
      <c r="H147" s="283"/>
      <c r="I147" s="839"/>
      <c r="J147" s="840"/>
      <c r="K147" s="841"/>
      <c r="O147" s="799"/>
    </row>
    <row r="148">
      <c r="A148" s="842" t="s">
        <v>717</v>
      </c>
      <c r="B148" s="843"/>
      <c r="C148" s="844"/>
      <c r="D148" s="248"/>
      <c r="E148" s="845" t="s">
        <v>1182</v>
      </c>
      <c r="G148" s="846" t="str">
        <f>G136+C144-C153</f>
        <v>#N/A</v>
      </c>
      <c r="H148" s="283"/>
      <c r="I148" s="847"/>
      <c r="J148" s="848"/>
      <c r="K148" s="849"/>
      <c r="L148" s="248"/>
      <c r="M148" s="845" t="s">
        <v>1183</v>
      </c>
      <c r="O148" s="846">
        <f>O136+K144-K153</f>
        <v>0</v>
      </c>
    </row>
    <row r="149">
      <c r="A149" s="836" t="s">
        <v>718</v>
      </c>
      <c r="B149" s="837"/>
      <c r="C149" s="838"/>
      <c r="G149" s="799"/>
      <c r="H149" s="283"/>
      <c r="I149" s="847"/>
      <c r="J149" s="848"/>
      <c r="K149" s="849"/>
      <c r="O149" s="799"/>
    </row>
    <row r="150">
      <c r="A150" s="842" t="s">
        <v>656</v>
      </c>
      <c r="B150" s="843"/>
      <c r="C150" s="844" t="str">
        <f>IFERROR(__xludf.DUMMYFUNCTION("FILTER($C$4:$C$30,$B$4:$B$30=E128)"),"#N/A")</f>
        <v>#N/A</v>
      </c>
      <c r="G150" s="799"/>
      <c r="H150" s="283"/>
      <c r="I150" s="847"/>
      <c r="J150" s="848"/>
      <c r="K150" s="849"/>
      <c r="O150" s="799"/>
    </row>
    <row r="151">
      <c r="A151" s="1049"/>
      <c r="B151" s="840"/>
      <c r="C151" s="849"/>
      <c r="E151" s="248"/>
      <c r="G151" s="799"/>
      <c r="H151" s="283"/>
      <c r="I151" s="847"/>
      <c r="J151" s="848"/>
      <c r="K151" s="849"/>
      <c r="M151" s="248"/>
      <c r="O151" s="799"/>
    </row>
    <row r="152">
      <c r="A152" s="847"/>
      <c r="B152" s="848"/>
      <c r="C152" s="849"/>
      <c r="G152" s="799"/>
      <c r="H152" s="283"/>
      <c r="I152" s="847"/>
      <c r="J152" s="848"/>
      <c r="K152" s="849"/>
      <c r="O152" s="799"/>
    </row>
    <row r="153">
      <c r="A153" s="853" t="s">
        <v>721</v>
      </c>
      <c r="B153" s="854"/>
      <c r="C153" s="855" t="str">
        <f>SUM(C147:C152)</f>
        <v>#N/A</v>
      </c>
      <c r="G153" s="799"/>
      <c r="H153" s="283"/>
      <c r="I153" s="853" t="s">
        <v>721</v>
      </c>
      <c r="J153" s="854"/>
      <c r="K153" s="855"/>
      <c r="O153" s="799"/>
    </row>
    <row r="154">
      <c r="A154" s="856"/>
      <c r="B154" s="857"/>
      <c r="C154" s="857"/>
      <c r="D154" s="857"/>
      <c r="E154" s="857"/>
      <c r="F154" s="857"/>
      <c r="G154" s="808"/>
      <c r="H154" s="283"/>
      <c r="I154" s="856"/>
      <c r="J154" s="857"/>
      <c r="K154" s="857"/>
      <c r="L154" s="857"/>
      <c r="M154" s="857"/>
      <c r="N154" s="857"/>
      <c r="O154" s="808"/>
    </row>
    <row r="157">
      <c r="A157" s="769"/>
      <c r="B157" s="770"/>
      <c r="C157" s="770"/>
      <c r="D157" s="771" t="s">
        <v>700</v>
      </c>
      <c r="E157" s="772" t="str">
        <f>E126</f>
        <v>11.24.2025-11.30.2025</v>
      </c>
      <c r="F157" s="773"/>
      <c r="G157" s="774"/>
      <c r="H157" s="305">
        <v>2.0</v>
      </c>
      <c r="I157" s="769"/>
      <c r="J157" s="770"/>
      <c r="K157" s="770"/>
      <c r="L157" s="771" t="s">
        <v>700</v>
      </c>
      <c r="M157" s="772" t="str">
        <f>E126</f>
        <v>11.24.2025-11.30.2025</v>
      </c>
      <c r="N157" s="773"/>
      <c r="O157" s="774"/>
      <c r="Q157" s="195"/>
      <c r="R157" s="195"/>
      <c r="S157" s="195"/>
      <c r="T157" s="195"/>
      <c r="U157" s="195"/>
      <c r="V157" s="195"/>
      <c r="W157" s="195"/>
    </row>
    <row r="158">
      <c r="A158" s="775"/>
      <c r="D158" s="771" t="s">
        <v>702</v>
      </c>
      <c r="E158" s="772" t="s">
        <v>660</v>
      </c>
      <c r="F158" s="773"/>
      <c r="G158" s="774"/>
      <c r="H158" s="283"/>
      <c r="I158" s="775"/>
      <c r="L158" s="771" t="s">
        <v>351</v>
      </c>
      <c r="M158" s="772" t="str">
        <f t="array" ref="M158">XLOOKUP(M159,$L$1:$L$122,$K$1:$K$122)</f>
        <v>Dequarvion Khaleb</v>
      </c>
      <c r="N158" s="773"/>
      <c r="O158" s="774"/>
      <c r="Q158" s="195"/>
      <c r="R158" s="195"/>
      <c r="S158" s="195"/>
      <c r="T158" s="195"/>
      <c r="U158" s="195"/>
      <c r="V158" s="195"/>
      <c r="W158" s="195"/>
    </row>
    <row r="159">
      <c r="A159" s="775"/>
      <c r="D159" s="771" t="s">
        <v>703</v>
      </c>
      <c r="E159" s="772">
        <v>9308.0</v>
      </c>
      <c r="F159" s="773"/>
      <c r="G159" s="774"/>
      <c r="H159" s="283"/>
      <c r="I159" s="775"/>
      <c r="L159" s="771" t="s">
        <v>703</v>
      </c>
      <c r="M159" s="772">
        <f>E159</f>
        <v>9308</v>
      </c>
      <c r="N159" s="773"/>
      <c r="O159" s="774"/>
      <c r="Q159" s="195"/>
      <c r="R159" s="195"/>
      <c r="S159" s="195"/>
      <c r="T159" s="195"/>
      <c r="U159" s="195"/>
      <c r="V159" s="195"/>
      <c r="W159" s="195"/>
    </row>
    <row r="160">
      <c r="A160" s="779" t="s">
        <v>704</v>
      </c>
      <c r="B160" s="779" t="s">
        <v>5</v>
      </c>
      <c r="C160" s="779" t="s">
        <v>6</v>
      </c>
      <c r="D160" s="779" t="s">
        <v>7</v>
      </c>
      <c r="E160" s="779" t="s">
        <v>8</v>
      </c>
      <c r="F160" s="779" t="s">
        <v>706</v>
      </c>
      <c r="G160" s="779" t="s">
        <v>707</v>
      </c>
      <c r="H160" s="34"/>
      <c r="I160" s="779" t="s">
        <v>704</v>
      </c>
      <c r="J160" s="779" t="s">
        <v>5</v>
      </c>
      <c r="K160" s="779" t="s">
        <v>6</v>
      </c>
      <c r="L160" s="779" t="s">
        <v>7</v>
      </c>
      <c r="M160" s="779" t="s">
        <v>1178</v>
      </c>
      <c r="N160" s="779" t="s">
        <v>839</v>
      </c>
      <c r="O160" s="779" t="s">
        <v>707</v>
      </c>
      <c r="Q160" s="1050"/>
      <c r="R160" s="1050"/>
      <c r="S160" s="1050"/>
      <c r="T160" s="1050"/>
      <c r="U160" s="1050"/>
      <c r="V160" s="1050"/>
      <c r="W160" s="1051"/>
    </row>
    <row r="161">
      <c r="A161" s="780" t="str">
        <f>IFERROR(__xludf.DUMMYFUNCTION("FILTER($D$3:$H$122,$L$3:$L$122=E159)"),"")</f>
        <v/>
      </c>
      <c r="B161" s="781"/>
      <c r="C161" s="781"/>
      <c r="D161" s="781"/>
      <c r="E161" s="782"/>
      <c r="F161" s="783">
        <v>1.0</v>
      </c>
      <c r="G161" s="782">
        <f>E161*F161</f>
        <v>0</v>
      </c>
      <c r="H161" s="283"/>
      <c r="I161" s="860" t="str">
        <f>IFERROR(__xludf.DUMMYFUNCTION("FILTER($D$3:$G$122,$L$3:$L$122=M159)"),"")</f>
        <v/>
      </c>
      <c r="J161" s="861"/>
      <c r="K161" s="861"/>
      <c r="L161" s="861"/>
      <c r="M161" s="861" t="str">
        <f>IFERROR(__xludf.DUMMYFUNCTION("FILTER($I$3:$I$122,$L$3:$L$122=M159)"),"")</f>
        <v/>
      </c>
      <c r="N161" s="861">
        <v>0.65</v>
      </c>
      <c r="O161" s="863">
        <f>M161*N161</f>
        <v>0</v>
      </c>
      <c r="Q161" s="1050"/>
      <c r="R161" s="1050"/>
      <c r="S161" s="1050"/>
      <c r="T161" s="1050"/>
      <c r="U161" s="1050"/>
      <c r="V161" s="1050"/>
      <c r="W161" s="1051"/>
    </row>
    <row r="162">
      <c r="A162" s="780"/>
      <c r="B162" s="781"/>
      <c r="C162" s="781"/>
      <c r="D162" s="781"/>
      <c r="E162" s="782"/>
      <c r="F162" s="783"/>
      <c r="G162" s="782"/>
      <c r="H162" s="283"/>
      <c r="I162" s="780"/>
      <c r="J162" s="781"/>
      <c r="K162" s="781"/>
      <c r="L162" s="781"/>
      <c r="M162" s="782"/>
      <c r="N162" s="783"/>
      <c r="O162" s="789"/>
      <c r="Q162" s="1050"/>
      <c r="R162" s="1050"/>
      <c r="S162" s="1050"/>
      <c r="T162" s="1050"/>
      <c r="U162" s="1050"/>
      <c r="V162" s="1050"/>
      <c r="W162" s="1051"/>
    </row>
    <row r="163">
      <c r="A163" s="785"/>
      <c r="B163" s="786"/>
      <c r="C163" s="786"/>
      <c r="D163" s="786"/>
      <c r="E163" s="785"/>
      <c r="F163" s="787"/>
      <c r="G163" s="788"/>
      <c r="H163" s="283"/>
      <c r="I163" s="785"/>
      <c r="J163" s="786"/>
      <c r="K163" s="786"/>
      <c r="L163" s="786"/>
      <c r="M163" s="785"/>
      <c r="N163" s="787"/>
      <c r="O163" s="789"/>
      <c r="Q163" s="1050"/>
      <c r="R163" s="1050"/>
      <c r="S163" s="1050"/>
      <c r="T163" s="1050"/>
      <c r="U163" s="1050"/>
      <c r="V163" s="1050"/>
      <c r="W163" s="1051"/>
    </row>
    <row r="164">
      <c r="A164" s="785"/>
      <c r="B164" s="786"/>
      <c r="C164" s="786"/>
      <c r="D164" s="786"/>
      <c r="E164" s="785"/>
      <c r="F164" s="787"/>
      <c r="G164" s="788"/>
      <c r="H164" s="283"/>
      <c r="I164" s="785"/>
      <c r="J164" s="786"/>
      <c r="K164" s="786"/>
      <c r="L164" s="786"/>
      <c r="M164" s="785"/>
      <c r="N164" s="787"/>
      <c r="O164" s="789"/>
      <c r="Q164" s="1050"/>
      <c r="R164" s="1050"/>
      <c r="S164" s="1050"/>
      <c r="T164" s="1050"/>
      <c r="U164" s="1050"/>
      <c r="V164" s="1050"/>
      <c r="W164" s="1051"/>
    </row>
    <row r="165">
      <c r="A165" s="785"/>
      <c r="B165" s="786"/>
      <c r="C165" s="786"/>
      <c r="D165" s="786"/>
      <c r="E165" s="785"/>
      <c r="F165" s="787"/>
      <c r="G165" s="788"/>
      <c r="H165" s="283"/>
      <c r="I165" s="785"/>
      <c r="J165" s="786"/>
      <c r="K165" s="786"/>
      <c r="L165" s="786"/>
      <c r="M165" s="785"/>
      <c r="N165" s="787"/>
      <c r="O165" s="789"/>
      <c r="Q165" s="1050"/>
      <c r="R165" s="1050"/>
      <c r="S165" s="1050"/>
      <c r="T165" s="1050"/>
      <c r="U165" s="1050"/>
      <c r="V165" s="1050"/>
      <c r="W165" s="1051"/>
    </row>
    <row r="166">
      <c r="A166" s="785"/>
      <c r="B166" s="786"/>
      <c r="C166" s="786"/>
      <c r="D166" s="786"/>
      <c r="E166" s="785"/>
      <c r="F166" s="787"/>
      <c r="G166" s="788"/>
      <c r="H166" s="283"/>
      <c r="I166" s="785"/>
      <c r="J166" s="786"/>
      <c r="K166" s="786"/>
      <c r="L166" s="786"/>
      <c r="M166" s="785"/>
      <c r="N166" s="787"/>
      <c r="O166" s="789"/>
      <c r="Q166" s="1050"/>
      <c r="R166" s="1050"/>
      <c r="S166" s="1050"/>
      <c r="T166" s="1050"/>
      <c r="U166" s="1050"/>
      <c r="V166" s="1050"/>
      <c r="W166" s="1051"/>
    </row>
    <row r="167">
      <c r="A167" s="790" t="s">
        <v>711</v>
      </c>
      <c r="B167" s="791"/>
      <c r="C167" s="791"/>
      <c r="D167" s="792"/>
      <c r="E167" s="793">
        <f>SUM(E161:E166)</f>
        <v>0</v>
      </c>
      <c r="F167" s="794"/>
      <c r="G167" s="793">
        <f>SUM(G161:G166)</f>
        <v>0</v>
      </c>
      <c r="H167" s="283"/>
      <c r="I167" s="790" t="s">
        <v>711</v>
      </c>
      <c r="J167" s="791"/>
      <c r="K167" s="791"/>
      <c r="L167" s="792"/>
      <c r="M167" s="795">
        <f>SUM(M161:M166)</f>
        <v>0</v>
      </c>
      <c r="N167" s="794"/>
      <c r="O167" s="793">
        <f>SUM(O161:O166)</f>
        <v>0</v>
      </c>
      <c r="Q167" s="1050"/>
      <c r="R167" s="1050"/>
      <c r="S167" s="1050"/>
      <c r="T167" s="1050"/>
      <c r="U167" s="1050"/>
      <c r="V167" s="1050"/>
      <c r="W167" s="1051"/>
    </row>
    <row r="168">
      <c r="A168" s="796"/>
      <c r="D168" s="798"/>
      <c r="G168" s="799"/>
      <c r="H168" s="283"/>
      <c r="I168" s="796"/>
      <c r="L168" s="798"/>
      <c r="O168" s="799"/>
      <c r="Q168" s="1050"/>
      <c r="R168" s="1050"/>
      <c r="S168" s="1050"/>
      <c r="T168" s="1050"/>
      <c r="U168" s="1050"/>
      <c r="V168" s="1050"/>
      <c r="W168" s="1051"/>
    </row>
    <row r="169">
      <c r="A169" s="800" t="s">
        <v>712</v>
      </c>
      <c r="B169" s="801"/>
      <c r="C169" s="802"/>
      <c r="G169" s="799"/>
      <c r="H169" s="283"/>
      <c r="I169" s="800" t="s">
        <v>712</v>
      </c>
      <c r="J169" s="803"/>
      <c r="K169" s="804"/>
      <c r="O169" s="799"/>
      <c r="Q169" s="1050"/>
      <c r="R169" s="1050"/>
      <c r="S169" s="1050"/>
      <c r="T169" s="1050"/>
      <c r="U169" s="1050"/>
      <c r="V169" s="1050"/>
      <c r="W169" s="1051"/>
    </row>
    <row r="170">
      <c r="A170" s="867"/>
      <c r="B170" s="808"/>
      <c r="C170" s="809"/>
      <c r="G170" s="799"/>
      <c r="H170" s="283"/>
      <c r="I170" s="867"/>
      <c r="J170" s="808"/>
      <c r="K170" s="809"/>
      <c r="O170" s="799"/>
      <c r="Q170" s="1050"/>
      <c r="R170" s="1050"/>
      <c r="S170" s="1050"/>
      <c r="T170" s="1050"/>
      <c r="U170" s="1050"/>
      <c r="V170" s="1050"/>
      <c r="W170" s="1051"/>
    </row>
    <row r="171">
      <c r="A171" s="868"/>
      <c r="B171" s="774"/>
      <c r="C171" s="816"/>
      <c r="G171" s="799"/>
      <c r="H171" s="283"/>
      <c r="I171" s="868"/>
      <c r="J171" s="774"/>
      <c r="K171" s="816"/>
      <c r="O171" s="799"/>
      <c r="Q171" s="1050"/>
      <c r="R171" s="1050"/>
      <c r="S171" s="1050"/>
      <c r="T171" s="1050"/>
      <c r="U171" s="1050"/>
      <c r="V171" s="1050"/>
      <c r="W171" s="1051"/>
    </row>
    <row r="172">
      <c r="A172" s="815"/>
      <c r="B172" s="792"/>
      <c r="C172" s="816"/>
      <c r="G172" s="799"/>
      <c r="H172" s="283"/>
      <c r="I172" s="815"/>
      <c r="J172" s="792"/>
      <c r="K172" s="816"/>
      <c r="O172" s="799"/>
      <c r="Q172" s="1050"/>
      <c r="R172" s="1050"/>
      <c r="S172" s="1050"/>
      <c r="T172" s="1050"/>
      <c r="U172" s="1050"/>
      <c r="V172" s="1050"/>
      <c r="W172" s="1051"/>
    </row>
    <row r="173">
      <c r="A173" s="817"/>
      <c r="B173" s="774"/>
      <c r="C173" s="818"/>
      <c r="G173" s="799"/>
      <c r="H173" s="283"/>
      <c r="I173" s="817"/>
      <c r="J173" s="774"/>
      <c r="K173" s="818"/>
      <c r="O173" s="799"/>
      <c r="Q173" s="1050"/>
      <c r="R173" s="1050"/>
      <c r="S173" s="1050"/>
      <c r="T173" s="1050"/>
      <c r="U173" s="1050"/>
      <c r="V173" s="1050"/>
      <c r="W173" s="1051"/>
    </row>
    <row r="174">
      <c r="A174" s="817"/>
      <c r="B174" s="792"/>
      <c r="C174" s="818"/>
      <c r="G174" s="799"/>
      <c r="H174" s="283"/>
      <c r="I174" s="817"/>
      <c r="J174" s="792"/>
      <c r="K174" s="818"/>
      <c r="O174" s="799"/>
      <c r="Q174" s="1050"/>
      <c r="R174" s="1050"/>
      <c r="S174" s="1050"/>
      <c r="T174" s="1050"/>
      <c r="U174" s="1050"/>
      <c r="V174" s="1050"/>
      <c r="W174" s="1051"/>
    </row>
    <row r="175">
      <c r="A175" s="821" t="s">
        <v>714</v>
      </c>
      <c r="B175" s="822"/>
      <c r="C175" s="823">
        <f>SUM(C170:C174)</f>
        <v>0</v>
      </c>
      <c r="G175" s="799"/>
      <c r="H175" s="283"/>
      <c r="I175" s="821" t="s">
        <v>714</v>
      </c>
      <c r="J175" s="826"/>
      <c r="K175" s="827"/>
      <c r="O175" s="799"/>
      <c r="Q175" s="1050"/>
      <c r="R175" s="1050"/>
      <c r="S175" s="1050"/>
      <c r="T175" s="1050"/>
      <c r="U175" s="1050"/>
      <c r="V175" s="1050"/>
      <c r="W175" s="1051"/>
    </row>
    <row r="176">
      <c r="A176" s="828"/>
      <c r="C176" s="829"/>
      <c r="G176" s="799"/>
      <c r="H176" s="283"/>
      <c r="I176" s="828"/>
      <c r="K176" s="829"/>
      <c r="O176" s="799"/>
      <c r="Q176" s="1050"/>
      <c r="R176" s="1050"/>
      <c r="S176" s="1050"/>
      <c r="T176" s="1050"/>
      <c r="U176" s="1050"/>
      <c r="V176" s="1050"/>
      <c r="W176" s="1051"/>
    </row>
    <row r="177">
      <c r="A177" s="830" t="s">
        <v>715</v>
      </c>
      <c r="B177" s="831"/>
      <c r="C177" s="832"/>
      <c r="G177" s="799"/>
      <c r="H177" s="283"/>
      <c r="I177" s="833" t="s">
        <v>715</v>
      </c>
      <c r="J177" s="834"/>
      <c r="K177" s="835"/>
      <c r="O177" s="799"/>
      <c r="Q177" s="1050"/>
      <c r="R177" s="1050"/>
      <c r="S177" s="1050"/>
      <c r="T177" s="1050"/>
      <c r="U177" s="1050"/>
      <c r="V177" s="1050"/>
      <c r="W177" s="1051"/>
    </row>
    <row r="178">
      <c r="A178" s="836" t="s">
        <v>716</v>
      </c>
      <c r="B178" s="837"/>
      <c r="C178" s="838"/>
      <c r="G178" s="799"/>
      <c r="H178" s="283"/>
      <c r="I178" s="839"/>
      <c r="J178" s="840"/>
      <c r="K178" s="841"/>
      <c r="O178" s="799"/>
      <c r="W178" s="195"/>
    </row>
    <row r="179">
      <c r="A179" s="842" t="s">
        <v>717</v>
      </c>
      <c r="B179" s="843"/>
      <c r="C179" s="844"/>
      <c r="D179" s="248"/>
      <c r="E179" s="845" t="s">
        <v>1182</v>
      </c>
      <c r="G179" s="846" t="str">
        <f>G167+C175-C184</f>
        <v>#N/A</v>
      </c>
      <c r="H179" s="283"/>
      <c r="I179" s="847"/>
      <c r="J179" s="848"/>
      <c r="K179" s="849"/>
      <c r="L179" s="248"/>
      <c r="M179" s="845" t="s">
        <v>1183</v>
      </c>
      <c r="O179" s="846">
        <f>O167+K175-K184</f>
        <v>0</v>
      </c>
      <c r="W179" s="195"/>
    </row>
    <row r="180">
      <c r="A180" s="836" t="s">
        <v>718</v>
      </c>
      <c r="B180" s="837"/>
      <c r="C180" s="838"/>
      <c r="G180" s="799"/>
      <c r="H180" s="283"/>
      <c r="I180" s="847"/>
      <c r="J180" s="848"/>
      <c r="K180" s="849"/>
      <c r="O180" s="799"/>
      <c r="W180" s="195"/>
    </row>
    <row r="181">
      <c r="A181" s="842" t="s">
        <v>656</v>
      </c>
      <c r="B181" s="843"/>
      <c r="C181" s="844" t="str">
        <f>IFERROR(__xludf.DUMMYFUNCTION("FILTER($C$4:$C$30,$B$4:$B$30=E159)"),"#N/A")</f>
        <v>#N/A</v>
      </c>
      <c r="G181" s="799"/>
      <c r="H181" s="283"/>
      <c r="I181" s="847"/>
      <c r="J181" s="848"/>
      <c r="K181" s="849"/>
      <c r="O181" s="799"/>
      <c r="W181" s="195"/>
    </row>
    <row r="182">
      <c r="A182" s="1049"/>
      <c r="B182" s="840"/>
      <c r="C182" s="849"/>
      <c r="E182" s="248"/>
      <c r="G182" s="799"/>
      <c r="H182" s="283"/>
      <c r="I182" s="847"/>
      <c r="J182" s="848"/>
      <c r="K182" s="849"/>
      <c r="M182" s="248"/>
      <c r="O182" s="799"/>
      <c r="W182" s="195"/>
    </row>
    <row r="183">
      <c r="A183" s="847"/>
      <c r="B183" s="848"/>
      <c r="C183" s="849"/>
      <c r="G183" s="799"/>
      <c r="H183" s="283"/>
      <c r="I183" s="847"/>
      <c r="J183" s="848"/>
      <c r="K183" s="849"/>
      <c r="O183" s="799"/>
      <c r="W183" s="195"/>
    </row>
    <row r="184">
      <c r="A184" s="853" t="s">
        <v>721</v>
      </c>
      <c r="B184" s="854"/>
      <c r="C184" s="855" t="str">
        <f>SUM(C178:C183)</f>
        <v>#N/A</v>
      </c>
      <c r="G184" s="799"/>
      <c r="H184" s="283"/>
      <c r="I184" s="853" t="s">
        <v>721</v>
      </c>
      <c r="J184" s="854"/>
      <c r="K184" s="855"/>
      <c r="O184" s="799"/>
      <c r="Q184" s="1051"/>
      <c r="R184" s="1051"/>
      <c r="S184" s="1051"/>
      <c r="T184" s="1051"/>
      <c r="U184" s="1051"/>
      <c r="V184" s="1051"/>
      <c r="W184" s="1051"/>
    </row>
    <row r="185">
      <c r="A185" s="856"/>
      <c r="B185" s="857"/>
      <c r="C185" s="857"/>
      <c r="D185" s="857"/>
      <c r="E185" s="857"/>
      <c r="F185" s="857"/>
      <c r="G185" s="808"/>
      <c r="H185" s="283"/>
      <c r="I185" s="856"/>
      <c r="J185" s="857"/>
      <c r="K185" s="857"/>
      <c r="L185" s="857"/>
      <c r="M185" s="857"/>
      <c r="N185" s="857"/>
      <c r="O185" s="808"/>
      <c r="Q185" s="195"/>
      <c r="R185" s="195"/>
      <c r="S185" s="195"/>
      <c r="T185" s="195"/>
      <c r="U185" s="195"/>
      <c r="V185" s="195"/>
      <c r="W185" s="195"/>
    </row>
    <row r="188">
      <c r="A188" s="769"/>
      <c r="B188" s="770"/>
      <c r="C188" s="770"/>
      <c r="D188" s="771" t="s">
        <v>700</v>
      </c>
      <c r="E188" s="772" t="str">
        <f>E126</f>
        <v>11.24.2025-11.30.2025</v>
      </c>
      <c r="F188" s="773"/>
      <c r="G188" s="774"/>
      <c r="H188" s="305">
        <v>3.0</v>
      </c>
      <c r="I188" s="769"/>
      <c r="J188" s="770"/>
      <c r="K188" s="770"/>
      <c r="L188" s="771" t="s">
        <v>700</v>
      </c>
      <c r="M188" s="772" t="str">
        <f>E126</f>
        <v>11.24.2025-11.30.2025</v>
      </c>
      <c r="N188" s="773"/>
      <c r="O188" s="774"/>
      <c r="Q188" s="769"/>
      <c r="R188" s="770"/>
      <c r="S188" s="770"/>
      <c r="T188" s="771" t="s">
        <v>700</v>
      </c>
      <c r="U188" s="772" t="str">
        <f>E157</f>
        <v>11.24.2025-11.30.2025</v>
      </c>
      <c r="V188" s="773"/>
      <c r="W188" s="774"/>
    </row>
    <row r="189">
      <c r="A189" s="775"/>
      <c r="D189" s="771" t="s">
        <v>702</v>
      </c>
      <c r="E189" s="772" t="s">
        <v>660</v>
      </c>
      <c r="F189" s="773"/>
      <c r="G189" s="774"/>
      <c r="H189" s="283"/>
      <c r="I189" s="775"/>
      <c r="L189" s="771" t="s">
        <v>351</v>
      </c>
      <c r="M189" s="772" t="str">
        <f t="array" ref="M189">XLOOKUP(M190,$L$1:$L$122,$K$1:$K$122)</f>
        <v>ROUDELINE ZEPHIRIN</v>
      </c>
      <c r="N189" s="773"/>
      <c r="O189" s="774"/>
      <c r="Q189" s="775"/>
      <c r="T189" s="771" t="s">
        <v>351</v>
      </c>
      <c r="U189" s="772" t="s">
        <v>661</v>
      </c>
      <c r="V189" s="773"/>
      <c r="W189" s="774"/>
    </row>
    <row r="190">
      <c r="A190" s="775"/>
      <c r="D190" s="771" t="s">
        <v>703</v>
      </c>
      <c r="E190" s="772">
        <v>6960.0</v>
      </c>
      <c r="F190" s="773"/>
      <c r="G190" s="774"/>
      <c r="H190" s="283"/>
      <c r="I190" s="775"/>
      <c r="L190" s="771" t="s">
        <v>703</v>
      </c>
      <c r="M190" s="772">
        <f>E190</f>
        <v>6960</v>
      </c>
      <c r="N190" s="773"/>
      <c r="O190" s="774"/>
      <c r="Q190" s="775"/>
      <c r="T190" s="771" t="s">
        <v>703</v>
      </c>
      <c r="U190" s="772">
        <f>M190</f>
        <v>6960</v>
      </c>
      <c r="V190" s="773"/>
      <c r="W190" s="774"/>
    </row>
    <row r="191">
      <c r="A191" s="779" t="s">
        <v>704</v>
      </c>
      <c r="B191" s="779" t="s">
        <v>5</v>
      </c>
      <c r="C191" s="779" t="s">
        <v>6</v>
      </c>
      <c r="D191" s="779" t="s">
        <v>7</v>
      </c>
      <c r="E191" s="779" t="s">
        <v>8</v>
      </c>
      <c r="F191" s="779" t="s">
        <v>706</v>
      </c>
      <c r="G191" s="779" t="s">
        <v>707</v>
      </c>
      <c r="H191" s="34"/>
      <c r="I191" s="779" t="s">
        <v>704</v>
      </c>
      <c r="J191" s="779" t="s">
        <v>5</v>
      </c>
      <c r="K191" s="779" t="s">
        <v>6</v>
      </c>
      <c r="L191" s="779" t="s">
        <v>7</v>
      </c>
      <c r="M191" s="779" t="s">
        <v>1178</v>
      </c>
      <c r="N191" s="779" t="s">
        <v>839</v>
      </c>
      <c r="O191" s="779" t="s">
        <v>707</v>
      </c>
      <c r="Q191" s="779" t="s">
        <v>704</v>
      </c>
      <c r="R191" s="779" t="s">
        <v>5</v>
      </c>
      <c r="S191" s="779" t="s">
        <v>6</v>
      </c>
      <c r="T191" s="779" t="s">
        <v>7</v>
      </c>
      <c r="U191" s="779" t="s">
        <v>1178</v>
      </c>
      <c r="V191" s="779" t="s">
        <v>839</v>
      </c>
      <c r="W191" s="779" t="s">
        <v>707</v>
      </c>
    </row>
    <row r="192">
      <c r="A192" s="780">
        <f>IFERROR(__xludf.DUMMYFUNCTION("FILTER($D$3:$H$122,$L$3:$L$122=E190)"),45985.0)</f>
        <v>45985</v>
      </c>
      <c r="B192" s="781">
        <f>IFERROR(__xludf.DUMMYFUNCTION("""COMPUTED_VALUE"""),2.0649044E7)</f>
        <v>20649044</v>
      </c>
      <c r="C192" s="781" t="str">
        <f>IFERROR(__xludf.DUMMYFUNCTION("""COMPUTED_VALUE"""),"New Iberia, LA, 70560")</f>
        <v>New Iberia, LA, 70560</v>
      </c>
      <c r="D192" s="781" t="str">
        <f>IFERROR(__xludf.DUMMYFUNCTION("""COMPUTED_VALUE"""),", SC, 29501")</f>
        <v>, SC, 29501</v>
      </c>
      <c r="E192" s="782">
        <f>IFERROR(__xludf.DUMMYFUNCTION("""COMPUTED_VALUE"""),2300.0)</f>
        <v>2300</v>
      </c>
      <c r="F192" s="783">
        <v>1.0</v>
      </c>
      <c r="G192" s="782">
        <f>E192*F192</f>
        <v>2300</v>
      </c>
      <c r="H192" s="283"/>
      <c r="I192" s="780">
        <f>IFERROR(__xludf.DUMMYFUNCTION("FILTER($D$3:$G$122,$L$3:$L$122=M190)"),45985.0)</f>
        <v>45985</v>
      </c>
      <c r="J192" s="781">
        <f>IFERROR(__xludf.DUMMYFUNCTION("""COMPUTED_VALUE"""),2.0649044E7)</f>
        <v>20649044</v>
      </c>
      <c r="K192" s="781" t="str">
        <f>IFERROR(__xludf.DUMMYFUNCTION("""COMPUTED_VALUE"""),"New Iberia, LA, 70560")</f>
        <v>New Iberia, LA, 70560</v>
      </c>
      <c r="L192" s="781" t="str">
        <f>IFERROR(__xludf.DUMMYFUNCTION("""COMPUTED_VALUE"""),", SC, 29501")</f>
        <v>, SC, 29501</v>
      </c>
      <c r="M192" s="869">
        <f>IFERROR(__xludf.DUMMYFUNCTION("FILTER($I$3:$I$122,$L$3:$L$122=M190)"),900.0)</f>
        <v>900</v>
      </c>
      <c r="N192" s="781">
        <v>0.65</v>
      </c>
      <c r="O192" s="782">
        <f>M192*N192</f>
        <v>585</v>
      </c>
      <c r="Q192" s="860">
        <f>IFERROR(__xludf.DUMMYFUNCTION("FILTER($D$3:$G$122,$L$3:$L$122=U190)"),45985.0)</f>
        <v>45985</v>
      </c>
      <c r="R192" s="861">
        <f>IFERROR(__xludf.DUMMYFUNCTION("""COMPUTED_VALUE"""),2.0649044E7)</f>
        <v>20649044</v>
      </c>
      <c r="S192" s="861" t="str">
        <f>IFERROR(__xludf.DUMMYFUNCTION("""COMPUTED_VALUE"""),"New Iberia, LA, 70560")</f>
        <v>New Iberia, LA, 70560</v>
      </c>
      <c r="T192" s="861" t="str">
        <f>IFERROR(__xludf.DUMMYFUNCTION("""COMPUTED_VALUE"""),", SC, 29501")</f>
        <v>, SC, 29501</v>
      </c>
      <c r="U192" s="784">
        <f>IFERROR(__xludf.DUMMYFUNCTION("FILTER($I$3:$I$122,$L$3:$L$122=U190)"),900.0)</f>
        <v>900</v>
      </c>
      <c r="V192" s="861">
        <v>0.65</v>
      </c>
      <c r="W192" s="863">
        <f>U192*V192</f>
        <v>585</v>
      </c>
    </row>
    <row r="193">
      <c r="A193" s="780"/>
      <c r="B193" s="781"/>
      <c r="C193" s="781"/>
      <c r="D193" s="781"/>
      <c r="E193" s="782"/>
      <c r="F193" s="783"/>
      <c r="G193" s="782"/>
      <c r="H193" s="283"/>
      <c r="I193" s="780"/>
      <c r="J193" s="781"/>
      <c r="K193" s="781"/>
      <c r="L193" s="781"/>
      <c r="M193" s="782"/>
      <c r="N193" s="783"/>
      <c r="O193" s="789"/>
      <c r="Q193" s="780"/>
      <c r="R193" s="781"/>
      <c r="S193" s="781"/>
      <c r="T193" s="781"/>
      <c r="U193" s="782"/>
      <c r="V193" s="783"/>
      <c r="W193" s="789"/>
    </row>
    <row r="194">
      <c r="A194" s="785"/>
      <c r="B194" s="786"/>
      <c r="C194" s="786"/>
      <c r="D194" s="786"/>
      <c r="E194" s="785"/>
      <c r="F194" s="787"/>
      <c r="G194" s="788"/>
      <c r="H194" s="283"/>
      <c r="I194" s="785"/>
      <c r="J194" s="786"/>
      <c r="K194" s="786"/>
      <c r="L194" s="786"/>
      <c r="M194" s="785"/>
      <c r="N194" s="787"/>
      <c r="O194" s="789"/>
      <c r="Q194" s="785"/>
      <c r="R194" s="786"/>
      <c r="S194" s="786"/>
      <c r="T194" s="786"/>
      <c r="U194" s="785"/>
      <c r="V194" s="787"/>
      <c r="W194" s="789"/>
    </row>
    <row r="195">
      <c r="A195" s="785"/>
      <c r="B195" s="786"/>
      <c r="C195" s="786"/>
      <c r="D195" s="786"/>
      <c r="E195" s="785"/>
      <c r="F195" s="787"/>
      <c r="G195" s="788"/>
      <c r="H195" s="283"/>
      <c r="I195" s="785"/>
      <c r="J195" s="786"/>
      <c r="K195" s="786"/>
      <c r="L195" s="786"/>
      <c r="M195" s="785"/>
      <c r="N195" s="787"/>
      <c r="O195" s="789"/>
      <c r="Q195" s="785"/>
      <c r="R195" s="786"/>
      <c r="S195" s="786"/>
      <c r="T195" s="786"/>
      <c r="U195" s="785"/>
      <c r="V195" s="787"/>
      <c r="W195" s="789"/>
    </row>
    <row r="196">
      <c r="A196" s="785"/>
      <c r="B196" s="786"/>
      <c r="C196" s="786"/>
      <c r="D196" s="786"/>
      <c r="E196" s="785"/>
      <c r="F196" s="787"/>
      <c r="G196" s="788"/>
      <c r="H196" s="283"/>
      <c r="I196" s="785"/>
      <c r="J196" s="786"/>
      <c r="K196" s="786"/>
      <c r="L196" s="786"/>
      <c r="M196" s="785"/>
      <c r="N196" s="787"/>
      <c r="O196" s="789"/>
      <c r="Q196" s="785"/>
      <c r="R196" s="786"/>
      <c r="S196" s="786"/>
      <c r="T196" s="786"/>
      <c r="U196" s="785"/>
      <c r="V196" s="787"/>
      <c r="W196" s="789"/>
    </row>
    <row r="197">
      <c r="A197" s="785"/>
      <c r="B197" s="786"/>
      <c r="C197" s="786"/>
      <c r="D197" s="786"/>
      <c r="E197" s="785"/>
      <c r="F197" s="787"/>
      <c r="G197" s="788"/>
      <c r="H197" s="283"/>
      <c r="I197" s="785"/>
      <c r="J197" s="786"/>
      <c r="K197" s="786"/>
      <c r="L197" s="786"/>
      <c r="M197" s="785"/>
      <c r="N197" s="787"/>
      <c r="O197" s="789"/>
      <c r="Q197" s="785"/>
      <c r="R197" s="786"/>
      <c r="S197" s="786"/>
      <c r="T197" s="786"/>
      <c r="U197" s="785"/>
      <c r="V197" s="787"/>
      <c r="W197" s="789"/>
    </row>
    <row r="198">
      <c r="A198" s="790" t="s">
        <v>711</v>
      </c>
      <c r="B198" s="791"/>
      <c r="C198" s="791"/>
      <c r="D198" s="792"/>
      <c r="E198" s="793">
        <f>SUM(E192:E197)</f>
        <v>2300</v>
      </c>
      <c r="F198" s="794"/>
      <c r="G198" s="793">
        <f>SUM(G192:G197)</f>
        <v>2300</v>
      </c>
      <c r="H198" s="283"/>
      <c r="I198" s="790" t="s">
        <v>711</v>
      </c>
      <c r="J198" s="791"/>
      <c r="K198" s="791"/>
      <c r="L198" s="792"/>
      <c r="M198" s="795">
        <f>SUM(M192:M197)</f>
        <v>900</v>
      </c>
      <c r="N198" s="794"/>
      <c r="O198" s="793">
        <f>SUM(O192:O197)</f>
        <v>585</v>
      </c>
      <c r="Q198" s="790" t="s">
        <v>711</v>
      </c>
      <c r="R198" s="791"/>
      <c r="S198" s="791"/>
      <c r="T198" s="792"/>
      <c r="U198" s="793">
        <f>SUM(U192:U197)</f>
        <v>900</v>
      </c>
      <c r="V198" s="794"/>
      <c r="W198" s="793">
        <f>SUM(W192:W197)</f>
        <v>585</v>
      </c>
    </row>
    <row r="199">
      <c r="A199" s="796"/>
      <c r="D199" s="798"/>
      <c r="G199" s="799"/>
      <c r="H199" s="283"/>
      <c r="I199" s="796"/>
      <c r="L199" s="798"/>
      <c r="O199" s="799"/>
      <c r="Q199" s="796"/>
      <c r="T199" s="798"/>
      <c r="W199" s="799"/>
    </row>
    <row r="200">
      <c r="A200" s="800" t="s">
        <v>712</v>
      </c>
      <c r="B200" s="801"/>
      <c r="C200" s="802"/>
      <c r="G200" s="799"/>
      <c r="H200" s="283"/>
      <c r="I200" s="800" t="s">
        <v>712</v>
      </c>
      <c r="J200" s="803"/>
      <c r="K200" s="804"/>
      <c r="O200" s="799"/>
      <c r="Q200" s="800" t="s">
        <v>712</v>
      </c>
      <c r="R200" s="803"/>
      <c r="S200" s="804"/>
      <c r="W200" s="799"/>
    </row>
    <row r="201">
      <c r="A201" s="867"/>
      <c r="B201" s="808"/>
      <c r="C201" s="809"/>
      <c r="G201" s="799"/>
      <c r="H201" s="283"/>
      <c r="I201" s="867"/>
      <c r="J201" s="808"/>
      <c r="K201" s="809"/>
      <c r="O201" s="799"/>
      <c r="Q201" s="867"/>
      <c r="R201" s="808"/>
      <c r="S201" s="809"/>
      <c r="W201" s="799"/>
    </row>
    <row r="202">
      <c r="A202" s="868"/>
      <c r="B202" s="774"/>
      <c r="C202" s="816"/>
      <c r="G202" s="799"/>
      <c r="H202" s="283"/>
      <c r="I202" s="868"/>
      <c r="J202" s="774"/>
      <c r="K202" s="816"/>
      <c r="O202" s="799"/>
      <c r="Q202" s="868"/>
      <c r="R202" s="774"/>
      <c r="S202" s="816"/>
      <c r="W202" s="799"/>
    </row>
    <row r="203">
      <c r="A203" s="815"/>
      <c r="B203" s="792"/>
      <c r="C203" s="816"/>
      <c r="G203" s="799"/>
      <c r="H203" s="283"/>
      <c r="I203" s="815"/>
      <c r="J203" s="792"/>
      <c r="K203" s="816"/>
      <c r="O203" s="799"/>
      <c r="Q203" s="815"/>
      <c r="R203" s="792"/>
      <c r="S203" s="816"/>
      <c r="W203" s="799"/>
    </row>
    <row r="204">
      <c r="A204" s="817"/>
      <c r="B204" s="774"/>
      <c r="C204" s="818"/>
      <c r="G204" s="799"/>
      <c r="H204" s="283"/>
      <c r="I204" s="817"/>
      <c r="J204" s="774"/>
      <c r="K204" s="818"/>
      <c r="O204" s="799"/>
      <c r="Q204" s="817"/>
      <c r="R204" s="774"/>
      <c r="S204" s="818"/>
      <c r="W204" s="799"/>
    </row>
    <row r="205">
      <c r="A205" s="817"/>
      <c r="B205" s="792"/>
      <c r="C205" s="818"/>
      <c r="G205" s="799"/>
      <c r="H205" s="283"/>
      <c r="I205" s="817"/>
      <c r="J205" s="792"/>
      <c r="K205" s="818"/>
      <c r="O205" s="799"/>
      <c r="Q205" s="817"/>
      <c r="R205" s="792"/>
      <c r="S205" s="818"/>
      <c r="W205" s="799"/>
    </row>
    <row r="206">
      <c r="A206" s="821" t="s">
        <v>714</v>
      </c>
      <c r="B206" s="822"/>
      <c r="C206" s="823">
        <f>SUM(C201:C205)</f>
        <v>0</v>
      </c>
      <c r="G206" s="799"/>
      <c r="H206" s="283"/>
      <c r="I206" s="821" t="s">
        <v>714</v>
      </c>
      <c r="J206" s="826"/>
      <c r="K206" s="827"/>
      <c r="O206" s="799"/>
      <c r="Q206" s="821" t="s">
        <v>714</v>
      </c>
      <c r="R206" s="826"/>
      <c r="S206" s="827"/>
      <c r="W206" s="799"/>
    </row>
    <row r="207">
      <c r="A207" s="828"/>
      <c r="C207" s="829"/>
      <c r="G207" s="799"/>
      <c r="H207" s="283"/>
      <c r="I207" s="828"/>
      <c r="K207" s="829"/>
      <c r="O207" s="799"/>
      <c r="Q207" s="828"/>
      <c r="S207" s="829"/>
      <c r="W207" s="799"/>
    </row>
    <row r="208">
      <c r="A208" s="830" t="s">
        <v>715</v>
      </c>
      <c r="B208" s="831"/>
      <c r="C208" s="832"/>
      <c r="G208" s="799"/>
      <c r="H208" s="283"/>
      <c r="I208" s="833" t="s">
        <v>715</v>
      </c>
      <c r="J208" s="834"/>
      <c r="K208" s="835"/>
      <c r="O208" s="799"/>
      <c r="Q208" s="833" t="s">
        <v>715</v>
      </c>
      <c r="R208" s="834"/>
      <c r="S208" s="835"/>
      <c r="W208" s="799"/>
    </row>
    <row r="209">
      <c r="A209" s="836" t="s">
        <v>716</v>
      </c>
      <c r="B209" s="837"/>
      <c r="C209" s="838"/>
      <c r="G209" s="799"/>
      <c r="H209" s="283"/>
      <c r="I209" s="839"/>
      <c r="J209" s="840"/>
      <c r="K209" s="841"/>
      <c r="O209" s="799"/>
      <c r="Q209" s="839"/>
      <c r="R209" s="840"/>
      <c r="S209" s="841"/>
      <c r="W209" s="799"/>
    </row>
    <row r="210">
      <c r="A210" s="842" t="s">
        <v>717</v>
      </c>
      <c r="B210" s="843"/>
      <c r="C210" s="844"/>
      <c r="D210" s="248"/>
      <c r="E210" s="845" t="s">
        <v>1182</v>
      </c>
      <c r="G210" s="846">
        <f>G198+C206-C215</f>
        <v>1674.88</v>
      </c>
      <c r="H210" s="283"/>
      <c r="I210" s="847"/>
      <c r="J210" s="848"/>
      <c r="K210" s="849"/>
      <c r="L210" s="248"/>
      <c r="M210" s="845" t="s">
        <v>1183</v>
      </c>
      <c r="O210" s="846">
        <f>O198+K206-K215</f>
        <v>585</v>
      </c>
      <c r="Q210" s="847"/>
      <c r="R210" s="848"/>
      <c r="S210" s="849"/>
      <c r="T210" s="248"/>
      <c r="U210" s="845" t="s">
        <v>1183</v>
      </c>
      <c r="W210" s="846">
        <f>W198+S206-S215</f>
        <v>585</v>
      </c>
    </row>
    <row r="211">
      <c r="A211" s="836" t="s">
        <v>718</v>
      </c>
      <c r="B211" s="837"/>
      <c r="C211" s="838"/>
      <c r="G211" s="799"/>
      <c r="H211" s="283"/>
      <c r="I211" s="847"/>
      <c r="J211" s="848"/>
      <c r="K211" s="849"/>
      <c r="O211" s="799"/>
      <c r="Q211" s="847"/>
      <c r="R211" s="848"/>
      <c r="S211" s="849"/>
      <c r="W211" s="799"/>
    </row>
    <row r="212">
      <c r="A212" s="842" t="s">
        <v>656</v>
      </c>
      <c r="B212" s="843"/>
      <c r="C212" s="844">
        <f>IFERROR(__xludf.DUMMYFUNCTION("FILTER($C$4:$C$30,$B$4:$B$30=E190)"),625.12)</f>
        <v>625.12</v>
      </c>
      <c r="G212" s="799"/>
      <c r="H212" s="283"/>
      <c r="I212" s="847"/>
      <c r="J212" s="848"/>
      <c r="K212" s="849"/>
      <c r="O212" s="799"/>
      <c r="Q212" s="847"/>
      <c r="R212" s="848"/>
      <c r="S212" s="849"/>
      <c r="W212" s="799"/>
    </row>
    <row r="213">
      <c r="A213" s="1049"/>
      <c r="B213" s="840"/>
      <c r="C213" s="849"/>
      <c r="E213" s="248"/>
      <c r="G213" s="799"/>
      <c r="H213" s="283"/>
      <c r="I213" s="847"/>
      <c r="J213" s="848"/>
      <c r="K213" s="849"/>
      <c r="M213" s="248"/>
      <c r="O213" s="799"/>
      <c r="Q213" s="847"/>
      <c r="R213" s="848"/>
      <c r="S213" s="849"/>
      <c r="U213" s="248"/>
      <c r="W213" s="799"/>
    </row>
    <row r="214">
      <c r="A214" s="847"/>
      <c r="B214" s="848"/>
      <c r="C214" s="849"/>
      <c r="G214" s="799"/>
      <c r="H214" s="283"/>
      <c r="I214" s="847"/>
      <c r="J214" s="848"/>
      <c r="K214" s="849"/>
      <c r="O214" s="799"/>
      <c r="Q214" s="847"/>
      <c r="R214" s="848"/>
      <c r="S214" s="849"/>
      <c r="W214" s="799"/>
    </row>
    <row r="215">
      <c r="A215" s="853" t="s">
        <v>721</v>
      </c>
      <c r="B215" s="854"/>
      <c r="C215" s="855">
        <f>SUM(C209:C214)</f>
        <v>625.12</v>
      </c>
      <c r="G215" s="799"/>
      <c r="H215" s="283"/>
      <c r="I215" s="853" t="s">
        <v>721</v>
      </c>
      <c r="J215" s="854"/>
      <c r="K215" s="855"/>
      <c r="O215" s="799"/>
      <c r="Q215" s="853" t="s">
        <v>721</v>
      </c>
      <c r="R215" s="854"/>
      <c r="S215" s="855"/>
      <c r="W215" s="799"/>
    </row>
    <row r="216">
      <c r="A216" s="856"/>
      <c r="B216" s="857"/>
      <c r="C216" s="857"/>
      <c r="D216" s="857"/>
      <c r="E216" s="857"/>
      <c r="F216" s="857"/>
      <c r="G216" s="808"/>
      <c r="H216" s="283"/>
      <c r="I216" s="856"/>
      <c r="J216" s="857"/>
      <c r="K216" s="857"/>
      <c r="L216" s="857"/>
      <c r="M216" s="857"/>
      <c r="N216" s="857"/>
      <c r="O216" s="808"/>
      <c r="Q216" s="856"/>
      <c r="R216" s="857"/>
      <c r="S216" s="857"/>
      <c r="T216" s="857"/>
      <c r="U216" s="857"/>
      <c r="V216" s="857"/>
      <c r="W216" s="808"/>
    </row>
    <row r="219">
      <c r="A219" s="769"/>
      <c r="B219" s="770"/>
      <c r="C219" s="770"/>
      <c r="D219" s="771" t="s">
        <v>700</v>
      </c>
      <c r="E219" s="772" t="str">
        <f>E126</f>
        <v>11.24.2025-11.30.2025</v>
      </c>
      <c r="F219" s="773"/>
      <c r="G219" s="774"/>
      <c r="H219" s="305">
        <v>4.0</v>
      </c>
      <c r="I219" s="769"/>
      <c r="J219" s="770"/>
      <c r="K219" s="770"/>
      <c r="L219" s="771" t="s">
        <v>700</v>
      </c>
      <c r="M219" s="772" t="str">
        <f>E126</f>
        <v>11.24.2025-11.30.2025</v>
      </c>
      <c r="N219" s="773"/>
      <c r="O219" s="774"/>
    </row>
    <row r="220">
      <c r="A220" s="775"/>
      <c r="D220" s="771" t="s">
        <v>702</v>
      </c>
      <c r="E220" s="772" t="s">
        <v>660</v>
      </c>
      <c r="F220" s="773"/>
      <c r="G220" s="774"/>
      <c r="H220" s="283"/>
      <c r="I220" s="775"/>
      <c r="L220" s="771" t="s">
        <v>351</v>
      </c>
      <c r="M220" s="772" t="str">
        <f t="array" ref="M220">XLOOKUP(M221,$L$1:$L$122,$K$1:$K$122)</f>
        <v>Stender Bellane</v>
      </c>
      <c r="N220" s="773"/>
      <c r="O220" s="774"/>
    </row>
    <row r="221">
      <c r="A221" s="775"/>
      <c r="D221" s="771" t="s">
        <v>703</v>
      </c>
      <c r="E221" s="772">
        <v>5653.0</v>
      </c>
      <c r="F221" s="773"/>
      <c r="G221" s="774"/>
      <c r="H221" s="283"/>
      <c r="I221" s="775"/>
      <c r="L221" s="771" t="s">
        <v>703</v>
      </c>
      <c r="M221" s="772">
        <f>E221</f>
        <v>5653</v>
      </c>
      <c r="N221" s="773"/>
      <c r="O221" s="774"/>
    </row>
    <row r="222">
      <c r="A222" s="779" t="s">
        <v>704</v>
      </c>
      <c r="B222" s="779" t="s">
        <v>5</v>
      </c>
      <c r="C222" s="779" t="s">
        <v>6</v>
      </c>
      <c r="D222" s="779" t="s">
        <v>7</v>
      </c>
      <c r="E222" s="779" t="s">
        <v>8</v>
      </c>
      <c r="F222" s="779" t="s">
        <v>706</v>
      </c>
      <c r="G222" s="779" t="s">
        <v>707</v>
      </c>
      <c r="H222" s="34"/>
      <c r="I222" s="779" t="s">
        <v>704</v>
      </c>
      <c r="J222" s="779" t="s">
        <v>5</v>
      </c>
      <c r="K222" s="779" t="s">
        <v>6</v>
      </c>
      <c r="L222" s="779" t="s">
        <v>7</v>
      </c>
      <c r="M222" s="779" t="s">
        <v>1178</v>
      </c>
      <c r="N222" s="779" t="s">
        <v>839</v>
      </c>
      <c r="O222" s="779" t="s">
        <v>707</v>
      </c>
    </row>
    <row r="223">
      <c r="A223" s="780" t="str">
        <f>IFERROR(__xludf.DUMMYFUNCTION("FILTER($D$3:$H$122,$L$3:$L$122=E221)"),"")</f>
        <v/>
      </c>
      <c r="B223" s="781"/>
      <c r="C223" s="781"/>
      <c r="D223" s="781"/>
      <c r="E223" s="782"/>
      <c r="F223" s="783">
        <v>1.0</v>
      </c>
      <c r="G223" s="782">
        <f>E223*F223</f>
        <v>0</v>
      </c>
      <c r="H223" s="283"/>
      <c r="I223" s="860" t="str">
        <f>IFERROR(__xludf.DUMMYFUNCTION("FILTER($D$3:$G$122,$L$3:$L$122=M221)"),"")</f>
        <v/>
      </c>
      <c r="J223" s="861"/>
      <c r="K223" s="861"/>
      <c r="L223" s="861"/>
      <c r="M223" s="861" t="str">
        <f>IFERROR(__xludf.DUMMYFUNCTION("FILTER($I$3:$I$122,$L$3:$L$122=M221)"),"")</f>
        <v/>
      </c>
      <c r="N223" s="861">
        <v>0.65</v>
      </c>
      <c r="O223" s="863">
        <f>M223*N223</f>
        <v>0</v>
      </c>
    </row>
    <row r="224">
      <c r="A224" s="780"/>
      <c r="B224" s="781"/>
      <c r="C224" s="781"/>
      <c r="D224" s="781"/>
      <c r="E224" s="782"/>
      <c r="F224" s="783"/>
      <c r="G224" s="782"/>
      <c r="H224" s="283"/>
      <c r="I224" s="780"/>
      <c r="J224" s="781"/>
      <c r="K224" s="781"/>
      <c r="L224" s="781"/>
      <c r="M224" s="782"/>
      <c r="N224" s="783"/>
      <c r="O224" s="789"/>
    </row>
    <row r="225">
      <c r="A225" s="785"/>
      <c r="B225" s="786"/>
      <c r="C225" s="786"/>
      <c r="D225" s="786"/>
      <c r="E225" s="785"/>
      <c r="F225" s="787"/>
      <c r="G225" s="788"/>
      <c r="H225" s="283"/>
      <c r="I225" s="785"/>
      <c r="J225" s="786"/>
      <c r="K225" s="786"/>
      <c r="L225" s="786"/>
      <c r="M225" s="785"/>
      <c r="N225" s="787"/>
      <c r="O225" s="789"/>
    </row>
    <row r="226">
      <c r="A226" s="785"/>
      <c r="B226" s="786"/>
      <c r="C226" s="786"/>
      <c r="D226" s="786"/>
      <c r="E226" s="785"/>
      <c r="F226" s="787"/>
      <c r="G226" s="788"/>
      <c r="H226" s="283"/>
      <c r="I226" s="785"/>
      <c r="J226" s="786"/>
      <c r="K226" s="786"/>
      <c r="L226" s="786"/>
      <c r="M226" s="785"/>
      <c r="N226" s="787"/>
      <c r="O226" s="789"/>
    </row>
    <row r="227">
      <c r="A227" s="785"/>
      <c r="B227" s="786"/>
      <c r="C227" s="786"/>
      <c r="D227" s="786"/>
      <c r="E227" s="785"/>
      <c r="F227" s="787"/>
      <c r="G227" s="788"/>
      <c r="H227" s="283"/>
      <c r="I227" s="785"/>
      <c r="J227" s="786"/>
      <c r="K227" s="786"/>
      <c r="L227" s="786"/>
      <c r="M227" s="785"/>
      <c r="N227" s="787"/>
      <c r="O227" s="789"/>
    </row>
    <row r="228">
      <c r="A228" s="785"/>
      <c r="B228" s="786"/>
      <c r="C228" s="786"/>
      <c r="D228" s="786"/>
      <c r="E228" s="785"/>
      <c r="F228" s="787"/>
      <c r="G228" s="788"/>
      <c r="H228" s="283"/>
      <c r="I228" s="785"/>
      <c r="J228" s="786"/>
      <c r="K228" s="786"/>
      <c r="L228" s="786"/>
      <c r="M228" s="785"/>
      <c r="N228" s="787"/>
      <c r="O228" s="789"/>
    </row>
    <row r="229">
      <c r="A229" s="790" t="s">
        <v>711</v>
      </c>
      <c r="B229" s="791"/>
      <c r="C229" s="791"/>
      <c r="D229" s="792"/>
      <c r="E229" s="793">
        <f>SUM(E223:E228)</f>
        <v>0</v>
      </c>
      <c r="F229" s="794"/>
      <c r="G229" s="793">
        <f>SUM(G223:G228)</f>
        <v>0</v>
      </c>
      <c r="H229" s="283"/>
      <c r="I229" s="790" t="s">
        <v>711</v>
      </c>
      <c r="J229" s="791"/>
      <c r="K229" s="791"/>
      <c r="L229" s="792"/>
      <c r="M229" s="933">
        <f>SUM(M223:M228)</f>
        <v>0</v>
      </c>
      <c r="N229" s="794"/>
      <c r="O229" s="793">
        <f>SUM(O223:O228)</f>
        <v>0</v>
      </c>
    </row>
    <row r="230">
      <c r="A230" s="796"/>
      <c r="D230" s="798"/>
      <c r="G230" s="799"/>
      <c r="H230" s="283"/>
      <c r="I230" s="796"/>
      <c r="L230" s="798"/>
      <c r="O230" s="799"/>
    </row>
    <row r="231">
      <c r="A231" s="800" t="s">
        <v>712</v>
      </c>
      <c r="B231" s="801"/>
      <c r="C231" s="802"/>
      <c r="G231" s="799"/>
      <c r="H231" s="283"/>
      <c r="I231" s="800" t="s">
        <v>712</v>
      </c>
      <c r="J231" s="803"/>
      <c r="K231" s="804"/>
      <c r="O231" s="799"/>
    </row>
    <row r="232">
      <c r="A232" s="867"/>
      <c r="B232" s="808"/>
      <c r="C232" s="809"/>
      <c r="G232" s="799"/>
      <c r="H232" s="283"/>
      <c r="I232" s="867"/>
      <c r="J232" s="808"/>
      <c r="K232" s="809"/>
      <c r="O232" s="799"/>
    </row>
    <row r="233">
      <c r="A233" s="868"/>
      <c r="B233" s="774"/>
      <c r="C233" s="816"/>
      <c r="G233" s="799"/>
      <c r="H233" s="283"/>
      <c r="I233" s="868"/>
      <c r="J233" s="774"/>
      <c r="K233" s="816"/>
      <c r="O233" s="799"/>
    </row>
    <row r="234">
      <c r="A234" s="815"/>
      <c r="B234" s="792"/>
      <c r="C234" s="816"/>
      <c r="G234" s="799"/>
      <c r="H234" s="283"/>
      <c r="I234" s="815"/>
      <c r="J234" s="792"/>
      <c r="K234" s="816"/>
      <c r="O234" s="799"/>
    </row>
    <row r="235">
      <c r="A235" s="817"/>
      <c r="B235" s="774"/>
      <c r="C235" s="818"/>
      <c r="G235" s="799"/>
      <c r="H235" s="283"/>
      <c r="I235" s="817"/>
      <c r="J235" s="774"/>
      <c r="K235" s="818"/>
      <c r="O235" s="799"/>
    </row>
    <row r="236">
      <c r="A236" s="817"/>
      <c r="B236" s="792"/>
      <c r="C236" s="818"/>
      <c r="G236" s="799"/>
      <c r="H236" s="283"/>
      <c r="I236" s="817"/>
      <c r="J236" s="792"/>
      <c r="K236" s="818"/>
      <c r="O236" s="799"/>
    </row>
    <row r="237">
      <c r="A237" s="821" t="s">
        <v>714</v>
      </c>
      <c r="B237" s="822"/>
      <c r="C237" s="823">
        <f>SUM(C232:C236)</f>
        <v>0</v>
      </c>
      <c r="G237" s="799"/>
      <c r="H237" s="283"/>
      <c r="I237" s="821" t="s">
        <v>714</v>
      </c>
      <c r="J237" s="826"/>
      <c r="K237" s="827"/>
      <c r="O237" s="799"/>
    </row>
    <row r="238">
      <c r="A238" s="828"/>
      <c r="C238" s="829"/>
      <c r="G238" s="799"/>
      <c r="H238" s="283"/>
      <c r="I238" s="828"/>
      <c r="K238" s="829"/>
      <c r="O238" s="799"/>
    </row>
    <row r="239">
      <c r="A239" s="830" t="s">
        <v>715</v>
      </c>
      <c r="B239" s="831"/>
      <c r="C239" s="832"/>
      <c r="G239" s="799"/>
      <c r="H239" s="283"/>
      <c r="I239" s="833" t="s">
        <v>715</v>
      </c>
      <c r="J239" s="834"/>
      <c r="K239" s="835"/>
      <c r="O239" s="799"/>
    </row>
    <row r="240">
      <c r="A240" s="836" t="s">
        <v>716</v>
      </c>
      <c r="B240" s="837"/>
      <c r="C240" s="838"/>
      <c r="G240" s="799"/>
      <c r="H240" s="283"/>
      <c r="I240" s="839"/>
      <c r="J240" s="840"/>
      <c r="K240" s="841"/>
      <c r="O240" s="799"/>
    </row>
    <row r="241">
      <c r="A241" s="842" t="s">
        <v>717</v>
      </c>
      <c r="B241" s="843"/>
      <c r="C241" s="844"/>
      <c r="D241" s="248"/>
      <c r="E241" s="845" t="s">
        <v>1182</v>
      </c>
      <c r="G241" s="846" t="str">
        <f>G229+C237-C246</f>
        <v>#N/A</v>
      </c>
      <c r="H241" s="283"/>
      <c r="I241" s="847"/>
      <c r="J241" s="848"/>
      <c r="K241" s="849"/>
      <c r="L241" s="248"/>
      <c r="M241" s="845" t="s">
        <v>1183</v>
      </c>
      <c r="O241" s="846">
        <f>O229+K237-K246</f>
        <v>0</v>
      </c>
    </row>
    <row r="242">
      <c r="A242" s="836" t="s">
        <v>718</v>
      </c>
      <c r="B242" s="837"/>
      <c r="C242" s="838"/>
      <c r="G242" s="799"/>
      <c r="H242" s="283"/>
      <c r="I242" s="847"/>
      <c r="J242" s="848"/>
      <c r="K242" s="849"/>
      <c r="O242" s="799"/>
    </row>
    <row r="243">
      <c r="A243" s="842" t="s">
        <v>656</v>
      </c>
      <c r="B243" s="843"/>
      <c r="C243" s="844" t="str">
        <f>IFERROR(__xludf.DUMMYFUNCTION("FILTER($C$4:$C$30,$B$4:$B$30=E221)"),"#N/A")</f>
        <v>#N/A</v>
      </c>
      <c r="G243" s="799"/>
      <c r="H243" s="283"/>
      <c r="I243" s="847"/>
      <c r="J243" s="848"/>
      <c r="K243" s="849"/>
      <c r="O243" s="799"/>
    </row>
    <row r="244">
      <c r="A244" s="1049"/>
      <c r="B244" s="840"/>
      <c r="C244" s="849"/>
      <c r="E244" s="248"/>
      <c r="G244" s="799"/>
      <c r="H244" s="283"/>
      <c r="I244" s="847"/>
      <c r="J244" s="848"/>
      <c r="K244" s="849"/>
      <c r="M244" s="248"/>
      <c r="O244" s="799"/>
    </row>
    <row r="245">
      <c r="A245" s="847"/>
      <c r="B245" s="848"/>
      <c r="C245" s="849"/>
      <c r="G245" s="799"/>
      <c r="H245" s="283"/>
      <c r="I245" s="847"/>
      <c r="J245" s="848"/>
      <c r="K245" s="849"/>
      <c r="O245" s="799"/>
    </row>
    <row r="246">
      <c r="A246" s="853" t="s">
        <v>721</v>
      </c>
      <c r="B246" s="854"/>
      <c r="C246" s="855" t="str">
        <f>SUM(C240:C245)</f>
        <v>#N/A</v>
      </c>
      <c r="G246" s="799"/>
      <c r="H246" s="283"/>
      <c r="I246" s="853" t="s">
        <v>721</v>
      </c>
      <c r="J246" s="854"/>
      <c r="K246" s="855"/>
      <c r="O246" s="799"/>
    </row>
    <row r="247">
      <c r="A247" s="856"/>
      <c r="B247" s="857"/>
      <c r="C247" s="857"/>
      <c r="D247" s="857"/>
      <c r="E247" s="857"/>
      <c r="F247" s="857"/>
      <c r="G247" s="808"/>
      <c r="H247" s="283"/>
      <c r="I247" s="856"/>
      <c r="J247" s="857"/>
      <c r="K247" s="857"/>
      <c r="L247" s="857"/>
      <c r="M247" s="857"/>
      <c r="N247" s="857"/>
      <c r="O247" s="808"/>
    </row>
    <row r="250">
      <c r="A250" s="769"/>
      <c r="B250" s="770"/>
      <c r="C250" s="770"/>
      <c r="D250" s="771" t="s">
        <v>700</v>
      </c>
      <c r="E250" s="772" t="str">
        <f>E126</f>
        <v>11.24.2025-11.30.2025</v>
      </c>
      <c r="F250" s="773"/>
      <c r="G250" s="774"/>
      <c r="H250" s="305">
        <v>5.0</v>
      </c>
      <c r="I250" s="769"/>
      <c r="J250" s="770"/>
      <c r="K250" s="770"/>
      <c r="L250" s="771" t="s">
        <v>700</v>
      </c>
      <c r="M250" s="772" t="str">
        <f>E126</f>
        <v>11.24.2025-11.30.2025</v>
      </c>
      <c r="N250" s="773"/>
      <c r="O250" s="774"/>
    </row>
    <row r="251">
      <c r="A251" s="775"/>
      <c r="D251" s="771" t="s">
        <v>702</v>
      </c>
      <c r="E251" s="772" t="s">
        <v>660</v>
      </c>
      <c r="F251" s="773"/>
      <c r="G251" s="774"/>
      <c r="H251" s="283"/>
      <c r="I251" s="775"/>
      <c r="L251" s="771" t="s">
        <v>351</v>
      </c>
      <c r="M251" s="772" t="str">
        <f t="array" ref="M251">XLOOKUP(M252,$L$1:$L$122,$K$1:$K$122)</f>
        <v>DAGBOLEN ISA</v>
      </c>
      <c r="N251" s="773"/>
      <c r="O251" s="774"/>
    </row>
    <row r="252">
      <c r="A252" s="775"/>
      <c r="D252" s="771" t="s">
        <v>703</v>
      </c>
      <c r="E252" s="772">
        <v>7048.0</v>
      </c>
      <c r="F252" s="773"/>
      <c r="G252" s="774"/>
      <c r="H252" s="283"/>
      <c r="I252" s="775"/>
      <c r="L252" s="771" t="s">
        <v>703</v>
      </c>
      <c r="M252" s="772">
        <f>E252</f>
        <v>7048</v>
      </c>
      <c r="N252" s="773"/>
      <c r="O252" s="774"/>
    </row>
    <row r="253">
      <c r="A253" s="779" t="s">
        <v>704</v>
      </c>
      <c r="B253" s="779" t="s">
        <v>5</v>
      </c>
      <c r="C253" s="779" t="s">
        <v>6</v>
      </c>
      <c r="D253" s="779" t="s">
        <v>7</v>
      </c>
      <c r="E253" s="779" t="s">
        <v>8</v>
      </c>
      <c r="F253" s="779" t="s">
        <v>706</v>
      </c>
      <c r="G253" s="779" t="s">
        <v>707</v>
      </c>
      <c r="H253" s="34"/>
      <c r="I253" s="779" t="s">
        <v>704</v>
      </c>
      <c r="J253" s="779" t="s">
        <v>5</v>
      </c>
      <c r="K253" s="779" t="s">
        <v>6</v>
      </c>
      <c r="L253" s="779" t="s">
        <v>7</v>
      </c>
      <c r="M253" s="779" t="s">
        <v>1178</v>
      </c>
      <c r="N253" s="779" t="s">
        <v>839</v>
      </c>
      <c r="O253" s="779" t="s">
        <v>707</v>
      </c>
    </row>
    <row r="254">
      <c r="A254" s="780">
        <f>IFERROR(__xludf.DUMMYFUNCTION("FILTER($D$3:$H$122,$L$3:$L$122=E252)"),45985.0)</f>
        <v>45985</v>
      </c>
      <c r="B254" s="781">
        <f>IFERROR(__xludf.DUMMYFUNCTION("""COMPUTED_VALUE"""),1572898.0)</f>
        <v>1572898</v>
      </c>
      <c r="C254" s="781" t="str">
        <f>IFERROR(__xludf.DUMMYFUNCTION("""COMPUTED_VALUE"""),"Whitehall, NY, 12887")</f>
        <v>Whitehall, NY, 12887</v>
      </c>
      <c r="D254" s="781" t="str">
        <f>IFERROR(__xludf.DUMMYFUNCTION("""COMPUTED_VALUE"""),"Pompano Beach, FL, 33069")</f>
        <v>Pompano Beach, FL, 33069</v>
      </c>
      <c r="E254" s="782">
        <f>IFERROR(__xludf.DUMMYFUNCTION("""COMPUTED_VALUE"""),3100.0)</f>
        <v>3100</v>
      </c>
      <c r="F254" s="783">
        <v>1.0</v>
      </c>
      <c r="G254" s="782">
        <f>E254*F254</f>
        <v>3100</v>
      </c>
      <c r="H254" s="283"/>
      <c r="I254" s="780">
        <f>IFERROR(__xludf.DUMMYFUNCTION("FILTER($D$3:$G$122,$L$3:$L$122=M252)"),45985.0)</f>
        <v>45985</v>
      </c>
      <c r="J254" s="781">
        <f>IFERROR(__xludf.DUMMYFUNCTION("""COMPUTED_VALUE"""),1572898.0)</f>
        <v>1572898</v>
      </c>
      <c r="K254" s="781" t="str">
        <f>IFERROR(__xludf.DUMMYFUNCTION("""COMPUTED_VALUE"""),"Whitehall, NY, 12887")</f>
        <v>Whitehall, NY, 12887</v>
      </c>
      <c r="L254" s="781" t="str">
        <f>IFERROR(__xludf.DUMMYFUNCTION("""COMPUTED_VALUE"""),"Pompano Beach, FL, 33069")</f>
        <v>Pompano Beach, FL, 33069</v>
      </c>
      <c r="M254" s="880">
        <f>IFERROR(__xludf.DUMMYFUNCTION("FILTER($I$3:$I$122,$L$3:$L$122=M252)"),1528.0)</f>
        <v>1528</v>
      </c>
      <c r="N254" s="781">
        <v>0.65</v>
      </c>
      <c r="O254" s="782">
        <f t="shared" ref="O254:O256" si="1">M254*N254</f>
        <v>993.2</v>
      </c>
    </row>
    <row r="255">
      <c r="A255" s="780"/>
      <c r="B255" s="781"/>
      <c r="C255" s="781"/>
      <c r="D255" s="781"/>
      <c r="E255" s="782"/>
      <c r="F255" s="783"/>
      <c r="G255" s="782"/>
      <c r="H255" s="283"/>
      <c r="I255" s="881"/>
      <c r="J255" s="882"/>
      <c r="K255" s="882"/>
      <c r="L255" s="882"/>
      <c r="M255" s="880"/>
      <c r="N255" s="781">
        <v>0.65</v>
      </c>
      <c r="O255" s="782">
        <f t="shared" si="1"/>
        <v>0</v>
      </c>
    </row>
    <row r="256">
      <c r="A256" s="785"/>
      <c r="B256" s="786"/>
      <c r="C256" s="786"/>
      <c r="D256" s="786"/>
      <c r="E256" s="785"/>
      <c r="F256" s="787"/>
      <c r="G256" s="788"/>
      <c r="H256" s="283"/>
      <c r="I256" s="785"/>
      <c r="J256" s="786"/>
      <c r="K256" s="786"/>
      <c r="L256" s="786"/>
      <c r="M256" s="785"/>
      <c r="N256" s="781">
        <v>0.65</v>
      </c>
      <c r="O256" s="782">
        <f t="shared" si="1"/>
        <v>0</v>
      </c>
    </row>
    <row r="257">
      <c r="A257" s="785"/>
      <c r="B257" s="786"/>
      <c r="C257" s="786"/>
      <c r="D257" s="786"/>
      <c r="E257" s="785"/>
      <c r="F257" s="787"/>
      <c r="G257" s="788"/>
      <c r="H257" s="283"/>
      <c r="I257" s="785"/>
      <c r="J257" s="786"/>
      <c r="K257" s="786"/>
      <c r="L257" s="786"/>
      <c r="M257" s="785"/>
      <c r="N257" s="787"/>
      <c r="O257" s="789"/>
    </row>
    <row r="258">
      <c r="A258" s="785"/>
      <c r="B258" s="786"/>
      <c r="C258" s="786"/>
      <c r="D258" s="786"/>
      <c r="E258" s="785"/>
      <c r="F258" s="787"/>
      <c r="G258" s="788"/>
      <c r="H258" s="283"/>
      <c r="I258" s="785"/>
      <c r="J258" s="786"/>
      <c r="K258" s="786"/>
      <c r="L258" s="786"/>
      <c r="M258" s="785"/>
      <c r="N258" s="787"/>
      <c r="O258" s="789"/>
    </row>
    <row r="259">
      <c r="A259" s="785"/>
      <c r="B259" s="786"/>
      <c r="C259" s="786"/>
      <c r="D259" s="786"/>
      <c r="E259" s="785"/>
      <c r="F259" s="787"/>
      <c r="G259" s="788"/>
      <c r="H259" s="283"/>
      <c r="I259" s="785"/>
      <c r="J259" s="786"/>
      <c r="K259" s="786"/>
      <c r="L259" s="786"/>
      <c r="M259" s="785"/>
      <c r="N259" s="787"/>
      <c r="O259" s="789"/>
    </row>
    <row r="260">
      <c r="A260" s="790" t="s">
        <v>711</v>
      </c>
      <c r="B260" s="791"/>
      <c r="C260" s="791"/>
      <c r="D260" s="792"/>
      <c r="E260" s="793">
        <f>SUM(E254:E259)</f>
        <v>3100</v>
      </c>
      <c r="F260" s="794"/>
      <c r="G260" s="793">
        <f>SUM(G254:G259)</f>
        <v>3100</v>
      </c>
      <c r="H260" s="283"/>
      <c r="I260" s="790" t="s">
        <v>711</v>
      </c>
      <c r="J260" s="791"/>
      <c r="K260" s="791"/>
      <c r="L260" s="792"/>
      <c r="M260" s="877">
        <f>SUM(M254:M259)</f>
        <v>1528</v>
      </c>
      <c r="N260" s="794"/>
      <c r="O260" s="793">
        <f>SUM(O254:O259)</f>
        <v>993.2</v>
      </c>
    </row>
    <row r="261">
      <c r="A261" s="796"/>
      <c r="D261" s="798"/>
      <c r="G261" s="799"/>
      <c r="H261" s="283"/>
      <c r="I261" s="796"/>
      <c r="L261" s="798"/>
      <c r="O261" s="799"/>
    </row>
    <row r="262">
      <c r="A262" s="800" t="s">
        <v>712</v>
      </c>
      <c r="B262" s="801"/>
      <c r="C262" s="802"/>
      <c r="G262" s="799"/>
      <c r="H262" s="283"/>
      <c r="I262" s="800" t="s">
        <v>712</v>
      </c>
      <c r="J262" s="803"/>
      <c r="K262" s="804"/>
      <c r="O262" s="799"/>
    </row>
    <row r="263">
      <c r="A263" s="867"/>
      <c r="B263" s="808"/>
      <c r="C263" s="809"/>
      <c r="G263" s="799"/>
      <c r="H263" s="283"/>
      <c r="I263" s="867"/>
      <c r="J263" s="808"/>
      <c r="K263" s="809"/>
      <c r="O263" s="799"/>
    </row>
    <row r="264">
      <c r="A264" s="868"/>
      <c r="B264" s="774"/>
      <c r="C264" s="816"/>
      <c r="G264" s="799"/>
      <c r="H264" s="283"/>
      <c r="I264" s="868"/>
      <c r="J264" s="774"/>
      <c r="K264" s="816"/>
      <c r="O264" s="799"/>
    </row>
    <row r="265">
      <c r="A265" s="815"/>
      <c r="B265" s="792"/>
      <c r="C265" s="816"/>
      <c r="G265" s="799"/>
      <c r="H265" s="283"/>
      <c r="I265" s="815"/>
      <c r="J265" s="792"/>
      <c r="K265" s="816"/>
      <c r="O265" s="799"/>
    </row>
    <row r="266">
      <c r="A266" s="817"/>
      <c r="B266" s="774"/>
      <c r="C266" s="818"/>
      <c r="G266" s="799"/>
      <c r="H266" s="283"/>
      <c r="I266" s="817"/>
      <c r="J266" s="774"/>
      <c r="K266" s="818"/>
      <c r="O266" s="799"/>
    </row>
    <row r="267">
      <c r="A267" s="817"/>
      <c r="B267" s="792"/>
      <c r="C267" s="818"/>
      <c r="G267" s="799"/>
      <c r="H267" s="283"/>
      <c r="I267" s="817"/>
      <c r="J267" s="792"/>
      <c r="K267" s="818"/>
      <c r="O267" s="799"/>
    </row>
    <row r="268">
      <c r="A268" s="821" t="s">
        <v>714</v>
      </c>
      <c r="B268" s="822"/>
      <c r="C268" s="823">
        <f>SUM(C263:C267)</f>
        <v>0</v>
      </c>
      <c r="G268" s="799"/>
      <c r="H268" s="283"/>
      <c r="I268" s="821" t="s">
        <v>714</v>
      </c>
      <c r="J268" s="826"/>
      <c r="K268" s="827"/>
      <c r="O268" s="799"/>
    </row>
    <row r="269">
      <c r="A269" s="828"/>
      <c r="C269" s="829"/>
      <c r="G269" s="799"/>
      <c r="H269" s="283"/>
      <c r="I269" s="828"/>
      <c r="K269" s="829"/>
      <c r="O269" s="799"/>
    </row>
    <row r="270">
      <c r="A270" s="830" t="s">
        <v>715</v>
      </c>
      <c r="B270" s="831"/>
      <c r="C270" s="832"/>
      <c r="G270" s="799"/>
      <c r="H270" s="283"/>
      <c r="I270" s="833" t="s">
        <v>715</v>
      </c>
      <c r="J270" s="834"/>
      <c r="K270" s="835"/>
      <c r="O270" s="799"/>
    </row>
    <row r="271">
      <c r="A271" s="836" t="s">
        <v>716</v>
      </c>
      <c r="B271" s="837"/>
      <c r="C271" s="838"/>
      <c r="G271" s="799"/>
      <c r="H271" s="283"/>
      <c r="I271" s="839"/>
      <c r="J271" s="840"/>
      <c r="K271" s="841"/>
      <c r="O271" s="799"/>
    </row>
    <row r="272">
      <c r="A272" s="842" t="s">
        <v>717</v>
      </c>
      <c r="B272" s="843"/>
      <c r="C272" s="844"/>
      <c r="D272" s="248"/>
      <c r="E272" s="845" t="s">
        <v>1182</v>
      </c>
      <c r="G272" s="846">
        <f>G260+C268-C277</f>
        <v>1880.47</v>
      </c>
      <c r="H272" s="283"/>
      <c r="I272" s="847"/>
      <c r="J272" s="848"/>
      <c r="K272" s="849"/>
      <c r="L272" s="248"/>
      <c r="M272" s="845" t="s">
        <v>1183</v>
      </c>
      <c r="O272" s="846">
        <f>O260+K268-K277</f>
        <v>993.2</v>
      </c>
    </row>
    <row r="273">
      <c r="A273" s="836" t="s">
        <v>718</v>
      </c>
      <c r="B273" s="837"/>
      <c r="C273" s="838"/>
      <c r="G273" s="799"/>
      <c r="H273" s="283"/>
      <c r="I273" s="847"/>
      <c r="J273" s="848"/>
      <c r="K273" s="849"/>
      <c r="O273" s="799"/>
    </row>
    <row r="274">
      <c r="A274" s="842" t="s">
        <v>656</v>
      </c>
      <c r="B274" s="843"/>
      <c r="C274" s="844">
        <f>IFERROR(__xludf.DUMMYFUNCTION("FILTER($C$4:$C$30,$B$4:$B$30=E252)"),1219.53)</f>
        <v>1219.53</v>
      </c>
      <c r="G274" s="799"/>
      <c r="H274" s="283"/>
      <c r="I274" s="847"/>
      <c r="J274" s="848"/>
      <c r="K274" s="849"/>
      <c r="O274" s="799"/>
    </row>
    <row r="275">
      <c r="A275" s="1049"/>
      <c r="B275" s="840"/>
      <c r="C275" s="849"/>
      <c r="E275" s="248"/>
      <c r="G275" s="799"/>
      <c r="H275" s="283"/>
      <c r="I275" s="847"/>
      <c r="J275" s="848"/>
      <c r="K275" s="849"/>
      <c r="M275" s="248"/>
      <c r="O275" s="799"/>
    </row>
    <row r="276">
      <c r="A276" s="847"/>
      <c r="B276" s="848"/>
      <c r="C276" s="849"/>
      <c r="G276" s="799"/>
      <c r="H276" s="283"/>
      <c r="I276" s="847"/>
      <c r="J276" s="848"/>
      <c r="K276" s="849"/>
      <c r="O276" s="799"/>
    </row>
    <row r="277">
      <c r="A277" s="853" t="s">
        <v>721</v>
      </c>
      <c r="B277" s="854"/>
      <c r="C277" s="855">
        <f>SUM(C271:C276)</f>
        <v>1219.53</v>
      </c>
      <c r="G277" s="799"/>
      <c r="H277" s="283"/>
      <c r="I277" s="853" t="s">
        <v>721</v>
      </c>
      <c r="J277" s="854"/>
      <c r="K277" s="855"/>
      <c r="O277" s="799"/>
    </row>
    <row r="278">
      <c r="A278" s="856"/>
      <c r="B278" s="857"/>
      <c r="C278" s="857"/>
      <c r="D278" s="857"/>
      <c r="E278" s="857"/>
      <c r="F278" s="857"/>
      <c r="G278" s="808"/>
      <c r="H278" s="283"/>
      <c r="I278" s="856"/>
      <c r="J278" s="857"/>
      <c r="K278" s="857"/>
      <c r="L278" s="857"/>
      <c r="M278" s="857"/>
      <c r="N278" s="857"/>
      <c r="O278" s="808"/>
    </row>
    <row r="281">
      <c r="A281" s="769"/>
      <c r="B281" s="770"/>
      <c r="C281" s="770"/>
      <c r="D281" s="771" t="s">
        <v>700</v>
      </c>
      <c r="E281" s="772" t="str">
        <f>E126</f>
        <v>11.24.2025-11.30.2025</v>
      </c>
      <c r="F281" s="773"/>
      <c r="G281" s="774"/>
      <c r="H281" s="305">
        <v>6.0</v>
      </c>
      <c r="I281" s="769"/>
      <c r="J281" s="770"/>
      <c r="K281" s="770"/>
      <c r="L281" s="771" t="s">
        <v>700</v>
      </c>
      <c r="M281" s="772" t="str">
        <f>E126</f>
        <v>11.24.2025-11.30.2025</v>
      </c>
      <c r="N281" s="773"/>
      <c r="O281" s="774"/>
    </row>
    <row r="282">
      <c r="A282" s="775"/>
      <c r="D282" s="771" t="s">
        <v>702</v>
      </c>
      <c r="E282" s="772" t="s">
        <v>660</v>
      </c>
      <c r="F282" s="773"/>
      <c r="G282" s="774"/>
      <c r="H282" s="283"/>
      <c r="I282" s="775"/>
      <c r="L282" s="771" t="s">
        <v>351</v>
      </c>
      <c r="M282" s="772" t="str">
        <f t="array" ref="M282">XLOOKUP(M283,$L$1:$L$122,$K$1:$K$122)</f>
        <v>Louis Kendy</v>
      </c>
      <c r="N282" s="773"/>
      <c r="O282" s="774"/>
    </row>
    <row r="283">
      <c r="A283" s="775"/>
      <c r="D283" s="771" t="s">
        <v>703</v>
      </c>
      <c r="E283" s="772">
        <v>9309.0</v>
      </c>
      <c r="F283" s="773"/>
      <c r="G283" s="774"/>
      <c r="H283" s="283"/>
      <c r="I283" s="775"/>
      <c r="L283" s="771" t="s">
        <v>703</v>
      </c>
      <c r="M283" s="772">
        <f>E283</f>
        <v>9309</v>
      </c>
      <c r="N283" s="773"/>
      <c r="O283" s="774"/>
    </row>
    <row r="284">
      <c r="A284" s="779" t="s">
        <v>704</v>
      </c>
      <c r="B284" s="779" t="s">
        <v>5</v>
      </c>
      <c r="C284" s="779" t="s">
        <v>6</v>
      </c>
      <c r="D284" s="779" t="s">
        <v>7</v>
      </c>
      <c r="E284" s="779" t="s">
        <v>8</v>
      </c>
      <c r="F284" s="779" t="s">
        <v>706</v>
      </c>
      <c r="G284" s="779" t="s">
        <v>707</v>
      </c>
      <c r="H284" s="34"/>
      <c r="I284" s="779" t="s">
        <v>704</v>
      </c>
      <c r="J284" s="779" t="s">
        <v>5</v>
      </c>
      <c r="K284" s="779" t="s">
        <v>6</v>
      </c>
      <c r="L284" s="779" t="s">
        <v>7</v>
      </c>
      <c r="M284" s="779" t="s">
        <v>1178</v>
      </c>
      <c r="N284" s="779" t="s">
        <v>839</v>
      </c>
      <c r="O284" s="779" t="s">
        <v>707</v>
      </c>
    </row>
    <row r="285">
      <c r="A285" s="780" t="str">
        <f>IFERROR(__xludf.DUMMYFUNCTION("FILTER($D$3:$H$122,$L$3:$L$122=E283)"),"")</f>
        <v/>
      </c>
      <c r="B285" s="781"/>
      <c r="C285" s="781"/>
      <c r="D285" s="781"/>
      <c r="E285" s="782"/>
      <c r="F285" s="783">
        <v>1.0</v>
      </c>
      <c r="G285" s="782">
        <f>E285*F285</f>
        <v>0</v>
      </c>
      <c r="H285" s="283"/>
      <c r="I285" s="895" t="str">
        <f>IFERROR(__xludf.DUMMYFUNCTION("FILTER($D$3:$G$122,$L$3:$L$122=M283)"),"")</f>
        <v/>
      </c>
      <c r="J285" s="895"/>
      <c r="K285" s="895"/>
      <c r="L285" s="895"/>
      <c r="M285" s="880" t="str">
        <f>IFERROR(__xludf.DUMMYFUNCTION("FILTER($I$3:$I$122,$L$3:$L$122=M283)"),"")</f>
        <v/>
      </c>
      <c r="N285" s="861">
        <v>0.65</v>
      </c>
      <c r="O285" s="863">
        <f>M285*N285</f>
        <v>0</v>
      </c>
    </row>
    <row r="286">
      <c r="A286" s="780"/>
      <c r="B286" s="781"/>
      <c r="C286" s="781"/>
      <c r="D286" s="781"/>
      <c r="E286" s="782"/>
      <c r="F286" s="783"/>
      <c r="G286" s="782"/>
      <c r="H286" s="283"/>
      <c r="I286" s="895"/>
      <c r="J286" s="895"/>
      <c r="K286" s="895"/>
      <c r="L286" s="895"/>
      <c r="M286" s="880"/>
      <c r="N286" s="1052"/>
      <c r="O286" s="1035"/>
    </row>
    <row r="287">
      <c r="A287" s="785"/>
      <c r="B287" s="786"/>
      <c r="C287" s="786"/>
      <c r="D287" s="786"/>
      <c r="E287" s="785"/>
      <c r="F287" s="787"/>
      <c r="G287" s="788"/>
      <c r="H287" s="283"/>
      <c r="I287" s="895"/>
      <c r="J287" s="895"/>
      <c r="K287" s="895"/>
      <c r="L287" s="895"/>
      <c r="M287" s="925"/>
      <c r="N287" s="1052"/>
      <c r="O287" s="1035"/>
    </row>
    <row r="288">
      <c r="A288" s="785"/>
      <c r="B288" s="786"/>
      <c r="C288" s="786"/>
      <c r="D288" s="786"/>
      <c r="E288" s="785"/>
      <c r="F288" s="787"/>
      <c r="G288" s="788"/>
      <c r="H288" s="283"/>
      <c r="I288" s="785"/>
      <c r="J288" s="786"/>
      <c r="K288" s="786"/>
      <c r="L288" s="786"/>
      <c r="M288" s="785"/>
      <c r="N288" s="787"/>
      <c r="O288" s="789"/>
    </row>
    <row r="289">
      <c r="A289" s="785"/>
      <c r="B289" s="786"/>
      <c r="C289" s="786"/>
      <c r="D289" s="786"/>
      <c r="E289" s="785"/>
      <c r="F289" s="787"/>
      <c r="G289" s="788"/>
      <c r="H289" s="283"/>
      <c r="I289" s="785"/>
      <c r="J289" s="786"/>
      <c r="K289" s="786"/>
      <c r="L289" s="786"/>
      <c r="M289" s="785"/>
      <c r="N289" s="787"/>
      <c r="O289" s="789"/>
    </row>
    <row r="290">
      <c r="A290" s="785"/>
      <c r="B290" s="786"/>
      <c r="C290" s="786"/>
      <c r="D290" s="786"/>
      <c r="E290" s="785"/>
      <c r="F290" s="787"/>
      <c r="G290" s="788"/>
      <c r="H290" s="283"/>
      <c r="I290" s="785"/>
      <c r="J290" s="786"/>
      <c r="K290" s="786"/>
      <c r="L290" s="786"/>
      <c r="M290" s="785"/>
      <c r="N290" s="787"/>
      <c r="O290" s="789"/>
    </row>
    <row r="291">
      <c r="A291" s="790" t="s">
        <v>711</v>
      </c>
      <c r="B291" s="791"/>
      <c r="C291" s="791"/>
      <c r="D291" s="792"/>
      <c r="E291" s="793">
        <f>SUM(E285:E290)</f>
        <v>0</v>
      </c>
      <c r="F291" s="794"/>
      <c r="G291" s="793">
        <f>SUM(G285:G290)</f>
        <v>0</v>
      </c>
      <c r="H291" s="283"/>
      <c r="I291" s="790" t="s">
        <v>711</v>
      </c>
      <c r="J291" s="791"/>
      <c r="K291" s="791"/>
      <c r="L291" s="792"/>
      <c r="M291" s="877">
        <f>SUM(M285:M290)</f>
        <v>0</v>
      </c>
      <c r="N291" s="794"/>
      <c r="O291" s="793">
        <f>SUM(O285:O290)</f>
        <v>0</v>
      </c>
    </row>
    <row r="292">
      <c r="A292" s="796"/>
      <c r="D292" s="798"/>
      <c r="G292" s="799"/>
      <c r="H292" s="283"/>
      <c r="I292" s="796"/>
      <c r="L292" s="798"/>
      <c r="O292" s="799"/>
    </row>
    <row r="293">
      <c r="A293" s="800" t="s">
        <v>712</v>
      </c>
      <c r="B293" s="801"/>
      <c r="C293" s="802"/>
      <c r="G293" s="799"/>
      <c r="H293" s="283"/>
      <c r="I293" s="800" t="s">
        <v>712</v>
      </c>
      <c r="J293" s="803"/>
      <c r="K293" s="804"/>
      <c r="O293" s="799"/>
    </row>
    <row r="294">
      <c r="A294" s="867"/>
      <c r="B294" s="808"/>
      <c r="C294" s="809"/>
      <c r="G294" s="799"/>
      <c r="H294" s="283"/>
      <c r="I294" s="867"/>
      <c r="J294" s="808"/>
      <c r="K294" s="809"/>
      <c r="O294" s="799"/>
    </row>
    <row r="295">
      <c r="A295" s="868"/>
      <c r="B295" s="774"/>
      <c r="C295" s="816"/>
      <c r="G295" s="799"/>
      <c r="H295" s="283"/>
      <c r="I295" s="868"/>
      <c r="J295" s="774"/>
      <c r="K295" s="816"/>
      <c r="O295" s="799"/>
    </row>
    <row r="296">
      <c r="A296" s="815"/>
      <c r="B296" s="792"/>
      <c r="C296" s="816"/>
      <c r="G296" s="799"/>
      <c r="H296" s="283"/>
      <c r="I296" s="815"/>
      <c r="J296" s="792"/>
      <c r="K296" s="816"/>
      <c r="O296" s="799"/>
    </row>
    <row r="297">
      <c r="A297" s="817"/>
      <c r="B297" s="774"/>
      <c r="C297" s="818"/>
      <c r="G297" s="799"/>
      <c r="H297" s="283"/>
      <c r="I297" s="817"/>
      <c r="J297" s="774"/>
      <c r="K297" s="818"/>
      <c r="O297" s="799"/>
    </row>
    <row r="298">
      <c r="A298" s="817"/>
      <c r="B298" s="792"/>
      <c r="C298" s="818"/>
      <c r="G298" s="799"/>
      <c r="H298" s="283"/>
      <c r="I298" s="817"/>
      <c r="J298" s="792"/>
      <c r="K298" s="818"/>
      <c r="O298" s="799"/>
    </row>
    <row r="299">
      <c r="A299" s="821" t="s">
        <v>714</v>
      </c>
      <c r="B299" s="822"/>
      <c r="C299" s="823">
        <f>SUM(C294:C298)</f>
        <v>0</v>
      </c>
      <c r="G299" s="799"/>
      <c r="H299" s="283"/>
      <c r="I299" s="821" t="s">
        <v>714</v>
      </c>
      <c r="J299" s="826"/>
      <c r="K299" s="827"/>
      <c r="O299" s="799"/>
    </row>
    <row r="300">
      <c r="A300" s="828"/>
      <c r="C300" s="829"/>
      <c r="G300" s="799"/>
      <c r="H300" s="283"/>
      <c r="I300" s="828"/>
      <c r="K300" s="829"/>
      <c r="O300" s="799"/>
    </row>
    <row r="301">
      <c r="A301" s="830" t="s">
        <v>715</v>
      </c>
      <c r="B301" s="831"/>
      <c r="C301" s="832"/>
      <c r="G301" s="799"/>
      <c r="H301" s="283"/>
      <c r="I301" s="833" t="s">
        <v>715</v>
      </c>
      <c r="J301" s="834"/>
      <c r="K301" s="835"/>
      <c r="O301" s="799"/>
    </row>
    <row r="302">
      <c r="A302" s="836" t="s">
        <v>716</v>
      </c>
      <c r="B302" s="837"/>
      <c r="C302" s="838"/>
      <c r="G302" s="799"/>
      <c r="H302" s="283"/>
      <c r="I302" s="839"/>
      <c r="J302" s="840"/>
      <c r="K302" s="841"/>
      <c r="O302" s="799"/>
    </row>
    <row r="303">
      <c r="A303" s="842" t="s">
        <v>717</v>
      </c>
      <c r="B303" s="843"/>
      <c r="C303" s="844"/>
      <c r="D303" s="248"/>
      <c r="E303" s="845" t="s">
        <v>1182</v>
      </c>
      <c r="G303" s="846" t="str">
        <f>G291+C299-C308</f>
        <v>#N/A</v>
      </c>
      <c r="H303" s="283"/>
      <c r="I303" s="847"/>
      <c r="J303" s="848"/>
      <c r="K303" s="849"/>
      <c r="L303" s="248"/>
      <c r="M303" s="845" t="s">
        <v>1183</v>
      </c>
      <c r="O303" s="846">
        <f>O291+K299-K308</f>
        <v>0</v>
      </c>
    </row>
    <row r="304">
      <c r="A304" s="836" t="s">
        <v>718</v>
      </c>
      <c r="B304" s="837"/>
      <c r="C304" s="838"/>
      <c r="G304" s="799"/>
      <c r="H304" s="283"/>
      <c r="I304" s="847"/>
      <c r="J304" s="848"/>
      <c r="K304" s="849"/>
      <c r="O304" s="799"/>
    </row>
    <row r="305">
      <c r="A305" s="842" t="s">
        <v>656</v>
      </c>
      <c r="B305" s="843"/>
      <c r="C305" s="844" t="str">
        <f>IFERROR(__xludf.DUMMYFUNCTION("FILTER($C$4:$C$30,$B$4:$B$30=E283)"),"#N/A")</f>
        <v>#N/A</v>
      </c>
      <c r="G305" s="799"/>
      <c r="H305" s="283"/>
      <c r="I305" s="847"/>
      <c r="J305" s="848"/>
      <c r="K305" s="849"/>
      <c r="O305" s="799"/>
    </row>
    <row r="306">
      <c r="A306" s="1049"/>
      <c r="B306" s="840"/>
      <c r="C306" s="849"/>
      <c r="E306" s="248"/>
      <c r="G306" s="799"/>
      <c r="H306" s="283"/>
      <c r="I306" s="847"/>
      <c r="J306" s="848"/>
      <c r="K306" s="849"/>
      <c r="M306" s="248"/>
      <c r="O306" s="799"/>
    </row>
    <row r="307">
      <c r="A307" s="847"/>
      <c r="B307" s="848"/>
      <c r="C307" s="849"/>
      <c r="G307" s="799"/>
      <c r="H307" s="283"/>
      <c r="I307" s="847"/>
      <c r="J307" s="848"/>
      <c r="K307" s="849"/>
      <c r="O307" s="799"/>
    </row>
    <row r="308">
      <c r="A308" s="853" t="s">
        <v>721</v>
      </c>
      <c r="B308" s="854"/>
      <c r="C308" s="855" t="str">
        <f>SUM(C302:C307)</f>
        <v>#N/A</v>
      </c>
      <c r="G308" s="799"/>
      <c r="H308" s="283"/>
      <c r="I308" s="853" t="s">
        <v>721</v>
      </c>
      <c r="J308" s="854"/>
      <c r="K308" s="855"/>
      <c r="O308" s="799"/>
    </row>
    <row r="309">
      <c r="A309" s="856"/>
      <c r="B309" s="857"/>
      <c r="C309" s="857"/>
      <c r="D309" s="857"/>
      <c r="E309" s="857"/>
      <c r="F309" s="857"/>
      <c r="G309" s="808"/>
      <c r="H309" s="283"/>
      <c r="I309" s="856"/>
      <c r="J309" s="857"/>
      <c r="K309" s="857"/>
      <c r="L309" s="857"/>
      <c r="M309" s="857"/>
      <c r="N309" s="857"/>
      <c r="O309" s="808"/>
    </row>
    <row r="312">
      <c r="A312" s="769"/>
      <c r="B312" s="770"/>
      <c r="C312" s="770"/>
      <c r="D312" s="771" t="s">
        <v>700</v>
      </c>
      <c r="E312" s="772" t="str">
        <f>E126</f>
        <v>11.24.2025-11.30.2025</v>
      </c>
      <c r="F312" s="773"/>
      <c r="G312" s="774"/>
      <c r="H312" s="305">
        <v>7.0</v>
      </c>
      <c r="I312" s="769"/>
      <c r="J312" s="770"/>
      <c r="K312" s="770"/>
      <c r="L312" s="771" t="s">
        <v>700</v>
      </c>
      <c r="M312" s="772" t="str">
        <f>E126</f>
        <v>11.24.2025-11.30.2025</v>
      </c>
      <c r="N312" s="773"/>
      <c r="O312" s="774"/>
    </row>
    <row r="313">
      <c r="A313" s="775"/>
      <c r="D313" s="771" t="s">
        <v>702</v>
      </c>
      <c r="E313" s="772" t="s">
        <v>660</v>
      </c>
      <c r="F313" s="773"/>
      <c r="G313" s="774"/>
      <c r="H313" s="283"/>
      <c r="I313" s="775"/>
      <c r="L313" s="771" t="s">
        <v>351</v>
      </c>
      <c r="M313" s="772" t="str">
        <f t="array" ref="M313">XLOOKUP(M314,$L$1:$L$122,$K$1:$K$122)</f>
        <v>Jean Florestal</v>
      </c>
      <c r="N313" s="773"/>
      <c r="O313" s="774"/>
    </row>
    <row r="314">
      <c r="A314" s="775"/>
      <c r="D314" s="771" t="s">
        <v>703</v>
      </c>
      <c r="E314" s="772">
        <v>8136.0</v>
      </c>
      <c r="F314" s="773"/>
      <c r="G314" s="774"/>
      <c r="H314" s="283"/>
      <c r="I314" s="775"/>
      <c r="L314" s="771" t="s">
        <v>703</v>
      </c>
      <c r="M314" s="772">
        <f>E314</f>
        <v>8136</v>
      </c>
      <c r="N314" s="773"/>
      <c r="O314" s="774"/>
    </row>
    <row r="315">
      <c r="A315" s="779" t="s">
        <v>704</v>
      </c>
      <c r="B315" s="779" t="s">
        <v>5</v>
      </c>
      <c r="C315" s="779" t="s">
        <v>6</v>
      </c>
      <c r="D315" s="779" t="s">
        <v>7</v>
      </c>
      <c r="E315" s="779" t="s">
        <v>8</v>
      </c>
      <c r="F315" s="779" t="s">
        <v>706</v>
      </c>
      <c r="G315" s="779" t="s">
        <v>707</v>
      </c>
      <c r="H315" s="34"/>
      <c r="I315" s="779" t="s">
        <v>704</v>
      </c>
      <c r="J315" s="779" t="s">
        <v>5</v>
      </c>
      <c r="K315" s="779" t="s">
        <v>6</v>
      </c>
      <c r="L315" s="779" t="s">
        <v>7</v>
      </c>
      <c r="M315" s="779" t="s">
        <v>1178</v>
      </c>
      <c r="N315" s="779" t="s">
        <v>839</v>
      </c>
      <c r="O315" s="779" t="s">
        <v>707</v>
      </c>
    </row>
    <row r="316">
      <c r="A316" s="780" t="str">
        <f>IFERROR(__xludf.DUMMYFUNCTION("FILTER($D$3:$H$122,$L$3:$L$122=E314)"),"")</f>
        <v/>
      </c>
      <c r="B316" s="781"/>
      <c r="C316" s="781"/>
      <c r="D316" s="781"/>
      <c r="E316" s="782"/>
      <c r="F316" s="783">
        <v>1.0</v>
      </c>
      <c r="G316" s="782">
        <f>E316*F316</f>
        <v>0</v>
      </c>
      <c r="H316" s="283"/>
      <c r="I316" s="780" t="str">
        <f>IFERROR(__xludf.DUMMYFUNCTION("FILTER($D$3:$G$122,$L$3:$L$122=M314)"),"")</f>
        <v/>
      </c>
      <c r="J316" s="781"/>
      <c r="K316" s="781"/>
      <c r="L316" s="781"/>
      <c r="M316" s="880" t="str">
        <f>IFERROR(__xludf.DUMMYFUNCTION("FILTER($I$3:$I$122,$L$3:$L$122=M314)"),"")</f>
        <v/>
      </c>
      <c r="N316" s="781">
        <v>0.65</v>
      </c>
      <c r="O316" s="782">
        <f>M316*N316</f>
        <v>0</v>
      </c>
    </row>
    <row r="317">
      <c r="A317" s="780"/>
      <c r="B317" s="781"/>
      <c r="C317" s="781"/>
      <c r="D317" s="781"/>
      <c r="E317" s="782"/>
      <c r="F317" s="783"/>
      <c r="G317" s="782"/>
      <c r="H317" s="283"/>
      <c r="I317" s="881"/>
      <c r="J317" s="882"/>
      <c r="K317" s="882"/>
      <c r="L317" s="882"/>
      <c r="M317" s="880"/>
      <c r="N317" s="1053"/>
      <c r="O317" s="1054"/>
    </row>
    <row r="318">
      <c r="A318" s="785"/>
      <c r="B318" s="786"/>
      <c r="C318" s="786"/>
      <c r="D318" s="786"/>
      <c r="E318" s="785"/>
      <c r="F318" s="787"/>
      <c r="G318" s="788"/>
      <c r="H318" s="283"/>
      <c r="I318" s="785"/>
      <c r="J318" s="786"/>
      <c r="K318" s="786"/>
      <c r="L318" s="786"/>
      <c r="M318" s="785"/>
      <c r="N318" s="787"/>
      <c r="O318" s="789"/>
    </row>
    <row r="319">
      <c r="A319" s="785"/>
      <c r="B319" s="786"/>
      <c r="C319" s="786"/>
      <c r="D319" s="786"/>
      <c r="E319" s="785"/>
      <c r="F319" s="787"/>
      <c r="G319" s="788"/>
      <c r="H319" s="283"/>
      <c r="I319" s="785"/>
      <c r="J319" s="786"/>
      <c r="K319" s="786"/>
      <c r="L319" s="786"/>
      <c r="M319" s="785"/>
      <c r="N319" s="787"/>
      <c r="O319" s="789"/>
    </row>
    <row r="320">
      <c r="A320" s="785"/>
      <c r="B320" s="786"/>
      <c r="C320" s="786"/>
      <c r="D320" s="786"/>
      <c r="E320" s="785"/>
      <c r="F320" s="787"/>
      <c r="G320" s="788"/>
      <c r="H320" s="283"/>
      <c r="I320" s="785"/>
      <c r="J320" s="786"/>
      <c r="K320" s="786"/>
      <c r="L320" s="786"/>
      <c r="M320" s="785"/>
      <c r="N320" s="787"/>
      <c r="O320" s="789"/>
    </row>
    <row r="321">
      <c r="A321" s="785"/>
      <c r="B321" s="786"/>
      <c r="C321" s="786"/>
      <c r="D321" s="786"/>
      <c r="E321" s="785"/>
      <c r="F321" s="787"/>
      <c r="G321" s="788"/>
      <c r="H321" s="283"/>
      <c r="I321" s="785"/>
      <c r="J321" s="786"/>
      <c r="K321" s="786"/>
      <c r="L321" s="786"/>
      <c r="M321" s="785"/>
      <c r="N321" s="787"/>
      <c r="O321" s="789"/>
    </row>
    <row r="322">
      <c r="A322" s="790" t="s">
        <v>711</v>
      </c>
      <c r="B322" s="791"/>
      <c r="C322" s="791"/>
      <c r="D322" s="792"/>
      <c r="E322" s="793">
        <f>SUM(E316:E321)</f>
        <v>0</v>
      </c>
      <c r="F322" s="794"/>
      <c r="G322" s="793">
        <f>SUM(G316:G321)</f>
        <v>0</v>
      </c>
      <c r="H322" s="283"/>
      <c r="I322" s="790" t="s">
        <v>711</v>
      </c>
      <c r="J322" s="791"/>
      <c r="K322" s="791"/>
      <c r="L322" s="792"/>
      <c r="M322" s="877">
        <f>SUM(M316:M321)</f>
        <v>0</v>
      </c>
      <c r="N322" s="794"/>
      <c r="O322" s="793">
        <f>SUM(O316:O321)</f>
        <v>0</v>
      </c>
    </row>
    <row r="323">
      <c r="A323" s="796"/>
      <c r="D323" s="798"/>
      <c r="G323" s="799"/>
      <c r="H323" s="283"/>
      <c r="I323" s="796"/>
      <c r="L323" s="798"/>
      <c r="O323" s="799"/>
    </row>
    <row r="324">
      <c r="A324" s="800" t="s">
        <v>712</v>
      </c>
      <c r="B324" s="801"/>
      <c r="C324" s="802"/>
      <c r="G324" s="799"/>
      <c r="H324" s="283"/>
      <c r="I324" s="800" t="s">
        <v>712</v>
      </c>
      <c r="J324" s="803"/>
      <c r="K324" s="804"/>
      <c r="O324" s="799"/>
    </row>
    <row r="325">
      <c r="A325" s="867"/>
      <c r="B325" s="808"/>
      <c r="C325" s="809"/>
      <c r="G325" s="799"/>
      <c r="H325" s="283"/>
      <c r="I325" s="867"/>
      <c r="J325" s="808"/>
      <c r="K325" s="809"/>
      <c r="O325" s="799"/>
    </row>
    <row r="326">
      <c r="A326" s="868"/>
      <c r="B326" s="774"/>
      <c r="C326" s="816"/>
      <c r="G326" s="799"/>
      <c r="H326" s="283"/>
      <c r="I326" s="868"/>
      <c r="J326" s="774"/>
      <c r="K326" s="816"/>
      <c r="O326" s="799"/>
    </row>
    <row r="327">
      <c r="A327" s="815"/>
      <c r="B327" s="792"/>
      <c r="C327" s="816"/>
      <c r="G327" s="799"/>
      <c r="H327" s="283"/>
      <c r="I327" s="815"/>
      <c r="J327" s="792"/>
      <c r="K327" s="816"/>
      <c r="O327" s="799"/>
    </row>
    <row r="328">
      <c r="A328" s="817"/>
      <c r="B328" s="774"/>
      <c r="C328" s="818"/>
      <c r="G328" s="799"/>
      <c r="H328" s="283"/>
      <c r="I328" s="817"/>
      <c r="J328" s="774"/>
      <c r="K328" s="818"/>
      <c r="O328" s="799"/>
    </row>
    <row r="329">
      <c r="A329" s="817"/>
      <c r="B329" s="792"/>
      <c r="C329" s="818"/>
      <c r="G329" s="799"/>
      <c r="H329" s="283"/>
      <c r="I329" s="817"/>
      <c r="J329" s="792"/>
      <c r="K329" s="818"/>
      <c r="O329" s="799"/>
    </row>
    <row r="330">
      <c r="A330" s="821" t="s">
        <v>714</v>
      </c>
      <c r="B330" s="822"/>
      <c r="C330" s="823">
        <f>SUM(C325:C329)</f>
        <v>0</v>
      </c>
      <c r="G330" s="799"/>
      <c r="H330" s="283"/>
      <c r="I330" s="821" t="s">
        <v>714</v>
      </c>
      <c r="J330" s="826"/>
      <c r="K330" s="827"/>
      <c r="O330" s="799"/>
    </row>
    <row r="331">
      <c r="A331" s="828"/>
      <c r="C331" s="829"/>
      <c r="G331" s="799"/>
      <c r="H331" s="283"/>
      <c r="I331" s="828"/>
      <c r="K331" s="829"/>
      <c r="O331" s="799"/>
    </row>
    <row r="332">
      <c r="A332" s="830" t="s">
        <v>715</v>
      </c>
      <c r="B332" s="831"/>
      <c r="C332" s="832"/>
      <c r="G332" s="799"/>
      <c r="H332" s="283"/>
      <c r="I332" s="833" t="s">
        <v>715</v>
      </c>
      <c r="J332" s="834"/>
      <c r="K332" s="835"/>
      <c r="O332" s="799"/>
    </row>
    <row r="333">
      <c r="A333" s="836" t="s">
        <v>716</v>
      </c>
      <c r="B333" s="837"/>
      <c r="C333" s="838"/>
      <c r="G333" s="799"/>
      <c r="H333" s="283"/>
      <c r="I333" s="839"/>
      <c r="J333" s="840"/>
      <c r="K333" s="841"/>
      <c r="O333" s="799"/>
    </row>
    <row r="334">
      <c r="A334" s="842" t="s">
        <v>717</v>
      </c>
      <c r="B334" s="843"/>
      <c r="C334" s="844"/>
      <c r="D334" s="248"/>
      <c r="E334" s="845" t="s">
        <v>1182</v>
      </c>
      <c r="G334" s="846" t="str">
        <f>G322+C330-C339</f>
        <v>#N/A</v>
      </c>
      <c r="H334" s="283"/>
      <c r="I334" s="847"/>
      <c r="J334" s="848"/>
      <c r="K334" s="849"/>
      <c r="L334" s="248"/>
      <c r="M334" s="845" t="s">
        <v>1183</v>
      </c>
      <c r="O334" s="846">
        <f>O322+K330-K339</f>
        <v>0</v>
      </c>
    </row>
    <row r="335">
      <c r="A335" s="836" t="s">
        <v>718</v>
      </c>
      <c r="B335" s="837"/>
      <c r="C335" s="838"/>
      <c r="G335" s="799"/>
      <c r="H335" s="283"/>
      <c r="I335" s="847"/>
      <c r="J335" s="848"/>
      <c r="K335" s="849"/>
      <c r="O335" s="799"/>
    </row>
    <row r="336">
      <c r="A336" s="842" t="s">
        <v>656</v>
      </c>
      <c r="B336" s="843"/>
      <c r="C336" s="844" t="str">
        <f>IFERROR(__xludf.DUMMYFUNCTION("FILTER($C$4:$C$30,$B$4:$B$30=E314)"),"#N/A")</f>
        <v>#N/A</v>
      </c>
      <c r="G336" s="799"/>
      <c r="H336" s="283"/>
      <c r="I336" s="847"/>
      <c r="J336" s="848"/>
      <c r="K336" s="849"/>
      <c r="O336" s="799"/>
    </row>
    <row r="337">
      <c r="A337" s="1049"/>
      <c r="B337" s="840"/>
      <c r="C337" s="849"/>
      <c r="E337" s="248"/>
      <c r="G337" s="799"/>
      <c r="H337" s="283"/>
      <c r="I337" s="847"/>
      <c r="J337" s="848"/>
      <c r="K337" s="849"/>
      <c r="M337" s="248"/>
      <c r="O337" s="799"/>
    </row>
    <row r="338">
      <c r="A338" s="847"/>
      <c r="B338" s="848"/>
      <c r="C338" s="849"/>
      <c r="G338" s="799"/>
      <c r="H338" s="283"/>
      <c r="I338" s="847"/>
      <c r="J338" s="848"/>
      <c r="K338" s="849"/>
      <c r="O338" s="799"/>
    </row>
    <row r="339">
      <c r="A339" s="853" t="s">
        <v>721</v>
      </c>
      <c r="B339" s="854"/>
      <c r="C339" s="855" t="str">
        <f>SUM(C333:C338)</f>
        <v>#N/A</v>
      </c>
      <c r="G339" s="799"/>
      <c r="H339" s="283"/>
      <c r="I339" s="853" t="s">
        <v>721</v>
      </c>
      <c r="J339" s="854"/>
      <c r="K339" s="855"/>
      <c r="O339" s="799"/>
    </row>
    <row r="340">
      <c r="A340" s="856"/>
      <c r="B340" s="857"/>
      <c r="C340" s="857"/>
      <c r="D340" s="857"/>
      <c r="E340" s="857"/>
      <c r="F340" s="857"/>
      <c r="G340" s="808"/>
      <c r="H340" s="283"/>
      <c r="I340" s="856"/>
      <c r="J340" s="857"/>
      <c r="K340" s="857"/>
      <c r="L340" s="857"/>
      <c r="M340" s="857"/>
      <c r="N340" s="857"/>
      <c r="O340" s="808"/>
    </row>
    <row r="343">
      <c r="A343" s="769"/>
      <c r="B343" s="770"/>
      <c r="C343" s="770"/>
      <c r="D343" s="771" t="s">
        <v>700</v>
      </c>
      <c r="E343" s="772" t="str">
        <f>E126</f>
        <v>11.24.2025-11.30.2025</v>
      </c>
      <c r="F343" s="773"/>
      <c r="G343" s="774"/>
      <c r="H343" s="305">
        <v>8.0</v>
      </c>
      <c r="I343" s="769"/>
      <c r="J343" s="770"/>
      <c r="K343" s="770"/>
      <c r="L343" s="771" t="s">
        <v>700</v>
      </c>
      <c r="M343" s="772" t="str">
        <f>E126</f>
        <v>11.24.2025-11.30.2025</v>
      </c>
      <c r="N343" s="773"/>
      <c r="O343" s="774"/>
    </row>
    <row r="344">
      <c r="A344" s="775"/>
      <c r="D344" s="771" t="s">
        <v>702</v>
      </c>
      <c r="E344" s="772" t="s">
        <v>660</v>
      </c>
      <c r="F344" s="773"/>
      <c r="G344" s="774"/>
      <c r="H344" s="283"/>
      <c r="I344" s="775"/>
      <c r="L344" s="771" t="s">
        <v>351</v>
      </c>
      <c r="M344" s="772" t="str">
        <f t="array" ref="M344">XLOOKUP(M345,$L$1:$L$122,$K$1:$K$122)</f>
        <v>Fenel Edme</v>
      </c>
      <c r="N344" s="773"/>
      <c r="O344" s="774"/>
    </row>
    <row r="345">
      <c r="A345" s="775"/>
      <c r="D345" s="771" t="s">
        <v>703</v>
      </c>
      <c r="E345" s="772">
        <v>5490.0</v>
      </c>
      <c r="F345" s="773"/>
      <c r="G345" s="774"/>
      <c r="H345" s="283"/>
      <c r="I345" s="775"/>
      <c r="L345" s="771" t="s">
        <v>703</v>
      </c>
      <c r="M345" s="772">
        <f>E345</f>
        <v>5490</v>
      </c>
      <c r="N345" s="773"/>
      <c r="O345" s="774"/>
    </row>
    <row r="346">
      <c r="A346" s="779" t="s">
        <v>704</v>
      </c>
      <c r="B346" s="779" t="s">
        <v>5</v>
      </c>
      <c r="C346" s="779" t="s">
        <v>6</v>
      </c>
      <c r="D346" s="779" t="s">
        <v>7</v>
      </c>
      <c r="E346" s="779" t="s">
        <v>8</v>
      </c>
      <c r="F346" s="779" t="s">
        <v>706</v>
      </c>
      <c r="G346" s="779" t="s">
        <v>707</v>
      </c>
      <c r="H346" s="34"/>
      <c r="I346" s="779" t="s">
        <v>704</v>
      </c>
      <c r="J346" s="779" t="s">
        <v>5</v>
      </c>
      <c r="K346" s="779" t="s">
        <v>6</v>
      </c>
      <c r="L346" s="779" t="s">
        <v>7</v>
      </c>
      <c r="M346" s="779" t="s">
        <v>1178</v>
      </c>
      <c r="N346" s="779" t="s">
        <v>839</v>
      </c>
      <c r="O346" s="779" t="s">
        <v>707</v>
      </c>
    </row>
    <row r="347">
      <c r="A347" s="780" t="str">
        <f>IFERROR(__xludf.DUMMYFUNCTION("FILTER($D$3:$H$122,$L$3:$L$122=E345)"),"")</f>
        <v/>
      </c>
      <c r="B347" s="781"/>
      <c r="C347" s="781"/>
      <c r="D347" s="781"/>
      <c r="E347" s="782"/>
      <c r="F347" s="783">
        <v>1.0</v>
      </c>
      <c r="G347" s="782">
        <f>E347*F347</f>
        <v>0</v>
      </c>
      <c r="H347" s="283"/>
      <c r="I347" s="880" t="str">
        <f>IFERROR(__xludf.DUMMYFUNCTION("FILTER($D$3:$G$122,$L$3:$L$122=M345)"),"")</f>
        <v/>
      </c>
      <c r="J347" s="880"/>
      <c r="K347" s="880"/>
      <c r="L347" s="880"/>
      <c r="M347" s="880" t="str">
        <f>IFERROR(__xludf.DUMMYFUNCTION("FILTER($I$3:$I$122,$L$3:$L$122=M345)"),"")</f>
        <v/>
      </c>
      <c r="N347" s="861">
        <v>0.65</v>
      </c>
      <c r="O347" s="863">
        <f>M347*N347</f>
        <v>0</v>
      </c>
    </row>
    <row r="348">
      <c r="A348" s="780"/>
      <c r="B348" s="781"/>
      <c r="C348" s="781"/>
      <c r="D348" s="781"/>
      <c r="E348" s="782"/>
      <c r="F348" s="783"/>
      <c r="G348" s="782"/>
      <c r="H348" s="283"/>
      <c r="I348" s="880"/>
      <c r="J348" s="880"/>
      <c r="K348" s="880"/>
      <c r="L348" s="880"/>
      <c r="M348" s="880"/>
      <c r="N348" s="1052"/>
      <c r="O348" s="1035"/>
    </row>
    <row r="349">
      <c r="A349" s="785"/>
      <c r="B349" s="786"/>
      <c r="C349" s="786"/>
      <c r="D349" s="786"/>
      <c r="E349" s="785"/>
      <c r="F349" s="787"/>
      <c r="G349" s="788"/>
      <c r="H349" s="283"/>
      <c r="I349" s="785"/>
      <c r="J349" s="786"/>
      <c r="K349" s="786"/>
      <c r="L349" s="786"/>
      <c r="M349" s="785"/>
      <c r="N349" s="787"/>
      <c r="O349" s="789"/>
    </row>
    <row r="350">
      <c r="A350" s="785"/>
      <c r="B350" s="786"/>
      <c r="C350" s="786"/>
      <c r="D350" s="786"/>
      <c r="E350" s="785"/>
      <c r="F350" s="787"/>
      <c r="G350" s="788"/>
      <c r="H350" s="283"/>
      <c r="I350" s="785"/>
      <c r="J350" s="786"/>
      <c r="K350" s="786"/>
      <c r="L350" s="786"/>
      <c r="M350" s="785"/>
      <c r="N350" s="787"/>
      <c r="O350" s="789"/>
    </row>
    <row r="351">
      <c r="A351" s="785"/>
      <c r="B351" s="786"/>
      <c r="C351" s="786"/>
      <c r="D351" s="786"/>
      <c r="E351" s="785"/>
      <c r="F351" s="787"/>
      <c r="G351" s="788"/>
      <c r="H351" s="283"/>
      <c r="I351" s="785"/>
      <c r="J351" s="786"/>
      <c r="K351" s="786"/>
      <c r="L351" s="786"/>
      <c r="M351" s="785"/>
      <c r="N351" s="787"/>
      <c r="O351" s="789"/>
    </row>
    <row r="352">
      <c r="A352" s="785"/>
      <c r="B352" s="786"/>
      <c r="C352" s="786"/>
      <c r="D352" s="786"/>
      <c r="E352" s="785"/>
      <c r="F352" s="787"/>
      <c r="G352" s="788"/>
      <c r="H352" s="283"/>
      <c r="I352" s="785"/>
      <c r="J352" s="786"/>
      <c r="K352" s="786"/>
      <c r="L352" s="786"/>
      <c r="M352" s="785"/>
      <c r="N352" s="787"/>
      <c r="O352" s="789"/>
    </row>
    <row r="353">
      <c r="A353" s="790" t="s">
        <v>711</v>
      </c>
      <c r="B353" s="791"/>
      <c r="C353" s="791"/>
      <c r="D353" s="792"/>
      <c r="E353" s="793">
        <f>SUM(E347:E352)</f>
        <v>0</v>
      </c>
      <c r="F353" s="794"/>
      <c r="G353" s="793">
        <f>SUM(G347:G352)</f>
        <v>0</v>
      </c>
      <c r="H353" s="283"/>
      <c r="I353" s="790" t="s">
        <v>711</v>
      </c>
      <c r="J353" s="791"/>
      <c r="K353" s="791"/>
      <c r="L353" s="792"/>
      <c r="M353" s="877">
        <f>SUM(M347:M352)</f>
        <v>0</v>
      </c>
      <c r="N353" s="794"/>
      <c r="O353" s="793">
        <f>SUM(O347:O352)</f>
        <v>0</v>
      </c>
    </row>
    <row r="354">
      <c r="A354" s="796"/>
      <c r="D354" s="798"/>
      <c r="G354" s="799"/>
      <c r="H354" s="283"/>
      <c r="I354" s="796"/>
      <c r="L354" s="798"/>
      <c r="O354" s="799"/>
    </row>
    <row r="355">
      <c r="A355" s="800" t="s">
        <v>712</v>
      </c>
      <c r="B355" s="801"/>
      <c r="C355" s="802"/>
      <c r="G355" s="799"/>
      <c r="H355" s="283"/>
      <c r="I355" s="800" t="s">
        <v>712</v>
      </c>
      <c r="J355" s="803"/>
      <c r="K355" s="804"/>
      <c r="O355" s="799"/>
    </row>
    <row r="356">
      <c r="A356" s="867"/>
      <c r="B356" s="808"/>
      <c r="C356" s="809"/>
      <c r="G356" s="799"/>
      <c r="H356" s="283"/>
      <c r="I356" s="867"/>
      <c r="J356" s="808"/>
      <c r="K356" s="809"/>
      <c r="O356" s="799"/>
    </row>
    <row r="357">
      <c r="A357" s="868"/>
      <c r="B357" s="774"/>
      <c r="C357" s="816"/>
      <c r="G357" s="799"/>
      <c r="H357" s="283"/>
      <c r="I357" s="868"/>
      <c r="J357" s="774"/>
      <c r="K357" s="816"/>
      <c r="O357" s="799"/>
    </row>
    <row r="358">
      <c r="A358" s="815"/>
      <c r="B358" s="792"/>
      <c r="C358" s="816"/>
      <c r="G358" s="799"/>
      <c r="H358" s="283"/>
      <c r="I358" s="815"/>
      <c r="J358" s="792"/>
      <c r="K358" s="816"/>
      <c r="O358" s="799"/>
    </row>
    <row r="359">
      <c r="A359" s="817"/>
      <c r="B359" s="774"/>
      <c r="C359" s="818"/>
      <c r="G359" s="799"/>
      <c r="H359" s="283"/>
      <c r="I359" s="817"/>
      <c r="J359" s="774"/>
      <c r="K359" s="818"/>
      <c r="O359" s="799"/>
    </row>
    <row r="360">
      <c r="A360" s="817"/>
      <c r="B360" s="792"/>
      <c r="C360" s="818"/>
      <c r="G360" s="799"/>
      <c r="H360" s="283"/>
      <c r="I360" s="817"/>
      <c r="J360" s="792"/>
      <c r="K360" s="818"/>
      <c r="O360" s="799"/>
    </row>
    <row r="361">
      <c r="A361" s="821" t="s">
        <v>714</v>
      </c>
      <c r="B361" s="822"/>
      <c r="C361" s="823">
        <f>SUM(C356:C360)</f>
        <v>0</v>
      </c>
      <c r="G361" s="799"/>
      <c r="H361" s="283"/>
      <c r="I361" s="821" t="s">
        <v>714</v>
      </c>
      <c r="J361" s="826"/>
      <c r="K361" s="827"/>
      <c r="O361" s="799"/>
    </row>
    <row r="362">
      <c r="A362" s="828"/>
      <c r="C362" s="829"/>
      <c r="G362" s="799"/>
      <c r="H362" s="283"/>
      <c r="I362" s="828"/>
      <c r="K362" s="829"/>
      <c r="O362" s="799"/>
    </row>
    <row r="363">
      <c r="A363" s="830" t="s">
        <v>715</v>
      </c>
      <c r="B363" s="831"/>
      <c r="C363" s="832"/>
      <c r="G363" s="799"/>
      <c r="H363" s="283"/>
      <c r="I363" s="833" t="s">
        <v>715</v>
      </c>
      <c r="J363" s="834"/>
      <c r="K363" s="835"/>
      <c r="O363" s="799"/>
    </row>
    <row r="364">
      <c r="A364" s="836" t="s">
        <v>716</v>
      </c>
      <c r="B364" s="837"/>
      <c r="C364" s="838"/>
      <c r="G364" s="799"/>
      <c r="H364" s="283"/>
      <c r="I364" s="839"/>
      <c r="J364" s="840"/>
      <c r="K364" s="841"/>
      <c r="O364" s="799"/>
    </row>
    <row r="365">
      <c r="A365" s="842" t="s">
        <v>717</v>
      </c>
      <c r="B365" s="843"/>
      <c r="C365" s="844"/>
      <c r="D365" s="248"/>
      <c r="E365" s="845" t="s">
        <v>1182</v>
      </c>
      <c r="G365" s="846" t="str">
        <f>G353+C361-C370</f>
        <v>#N/A</v>
      </c>
      <c r="H365" s="283"/>
      <c r="I365" s="847"/>
      <c r="J365" s="848"/>
      <c r="K365" s="849"/>
      <c r="L365" s="248"/>
      <c r="M365" s="845" t="s">
        <v>1183</v>
      </c>
      <c r="O365" s="846">
        <f>O353+K361-K370</f>
        <v>0</v>
      </c>
    </row>
    <row r="366">
      <c r="A366" s="836" t="s">
        <v>718</v>
      </c>
      <c r="B366" s="837"/>
      <c r="C366" s="838"/>
      <c r="G366" s="799"/>
      <c r="H366" s="283"/>
      <c r="I366" s="847"/>
      <c r="J366" s="848"/>
      <c r="K366" s="849"/>
      <c r="O366" s="799"/>
    </row>
    <row r="367">
      <c r="A367" s="842" t="s">
        <v>656</v>
      </c>
      <c r="B367" s="843"/>
      <c r="C367" s="844" t="str">
        <f>IFERROR(__xludf.DUMMYFUNCTION("FILTER($C$4:$C$30,$B$4:$B$30=E345)"),"#N/A")</f>
        <v>#N/A</v>
      </c>
      <c r="G367" s="799"/>
      <c r="H367" s="283"/>
      <c r="I367" s="847"/>
      <c r="J367" s="848"/>
      <c r="K367" s="849"/>
      <c r="O367" s="799"/>
    </row>
    <row r="368">
      <c r="A368" s="1049"/>
      <c r="B368" s="840"/>
      <c r="C368" s="849"/>
      <c r="E368" s="248"/>
      <c r="G368" s="799"/>
      <c r="H368" s="283"/>
      <c r="I368" s="847"/>
      <c r="J368" s="848"/>
      <c r="K368" s="849"/>
      <c r="M368" s="248"/>
      <c r="O368" s="799"/>
    </row>
    <row r="369">
      <c r="A369" s="847"/>
      <c r="B369" s="848"/>
      <c r="C369" s="849"/>
      <c r="G369" s="799"/>
      <c r="H369" s="283"/>
      <c r="I369" s="847"/>
      <c r="J369" s="848"/>
      <c r="K369" s="849"/>
      <c r="O369" s="799"/>
    </row>
    <row r="370">
      <c r="A370" s="853" t="s">
        <v>721</v>
      </c>
      <c r="B370" s="854"/>
      <c r="C370" s="855" t="str">
        <f>SUM(C364:C369)</f>
        <v>#N/A</v>
      </c>
      <c r="G370" s="799"/>
      <c r="H370" s="283"/>
      <c r="I370" s="853" t="s">
        <v>721</v>
      </c>
      <c r="J370" s="854"/>
      <c r="K370" s="855"/>
      <c r="O370" s="799"/>
    </row>
    <row r="371">
      <c r="A371" s="856"/>
      <c r="B371" s="857"/>
      <c r="C371" s="857"/>
      <c r="D371" s="857"/>
      <c r="E371" s="857"/>
      <c r="F371" s="857"/>
      <c r="G371" s="808"/>
      <c r="H371" s="283"/>
      <c r="I371" s="856"/>
      <c r="J371" s="857"/>
      <c r="K371" s="857"/>
      <c r="L371" s="857"/>
      <c r="M371" s="857"/>
      <c r="N371" s="857"/>
      <c r="O371" s="808"/>
    </row>
    <row r="374">
      <c r="A374" s="769"/>
      <c r="B374" s="770"/>
      <c r="C374" s="770"/>
      <c r="D374" s="771" t="s">
        <v>700</v>
      </c>
      <c r="E374" s="772" t="str">
        <f>E126</f>
        <v>11.24.2025-11.30.2025</v>
      </c>
      <c r="F374" s="773"/>
      <c r="G374" s="774"/>
      <c r="H374" s="305">
        <v>9.0</v>
      </c>
      <c r="I374" s="769"/>
      <c r="J374" s="770"/>
      <c r="K374" s="770"/>
      <c r="L374" s="771" t="s">
        <v>700</v>
      </c>
      <c r="M374" s="772" t="str">
        <f>E126</f>
        <v>11.24.2025-11.30.2025</v>
      </c>
      <c r="N374" s="773"/>
      <c r="O374" s="774"/>
    </row>
    <row r="375">
      <c r="A375" s="775"/>
      <c r="D375" s="771" t="s">
        <v>702</v>
      </c>
      <c r="E375" s="772" t="s">
        <v>660</v>
      </c>
      <c r="F375" s="773"/>
      <c r="G375" s="774"/>
      <c r="H375" s="283"/>
      <c r="I375" s="775"/>
      <c r="L375" s="771" t="s">
        <v>351</v>
      </c>
      <c r="M375" s="772" t="str">
        <f t="array" ref="M375">XLOOKUP(M376,$L$1:$L$122,$K$1:$K$122)</f>
        <v>Marvin Creary</v>
      </c>
      <c r="N375" s="773"/>
      <c r="O375" s="774"/>
    </row>
    <row r="376">
      <c r="A376" s="775"/>
      <c r="D376" s="771" t="s">
        <v>703</v>
      </c>
      <c r="E376" s="772">
        <v>7607.0</v>
      </c>
      <c r="F376" s="773"/>
      <c r="G376" s="774"/>
      <c r="H376" s="283"/>
      <c r="I376" s="775"/>
      <c r="L376" s="771" t="s">
        <v>703</v>
      </c>
      <c r="M376" s="772">
        <f>E376</f>
        <v>7607</v>
      </c>
      <c r="N376" s="773"/>
      <c r="O376" s="774"/>
    </row>
    <row r="377">
      <c r="A377" s="779" t="s">
        <v>704</v>
      </c>
      <c r="B377" s="779" t="s">
        <v>5</v>
      </c>
      <c r="C377" s="779" t="s">
        <v>6</v>
      </c>
      <c r="D377" s="779" t="s">
        <v>7</v>
      </c>
      <c r="E377" s="779" t="s">
        <v>8</v>
      </c>
      <c r="F377" s="779" t="s">
        <v>706</v>
      </c>
      <c r="G377" s="779" t="s">
        <v>707</v>
      </c>
      <c r="H377" s="34"/>
      <c r="I377" s="779" t="s">
        <v>704</v>
      </c>
      <c r="J377" s="779" t="s">
        <v>5</v>
      </c>
      <c r="K377" s="779" t="s">
        <v>6</v>
      </c>
      <c r="L377" s="779" t="s">
        <v>7</v>
      </c>
      <c r="M377" s="779" t="s">
        <v>1178</v>
      </c>
      <c r="N377" s="779" t="s">
        <v>839</v>
      </c>
      <c r="O377" s="779" t="s">
        <v>707</v>
      </c>
    </row>
    <row r="378">
      <c r="A378" s="780" t="str">
        <f>IFERROR(__xludf.DUMMYFUNCTION("FILTER($D$3:$H$122,$L$3:$L$122=E376)"),"")</f>
        <v/>
      </c>
      <c r="B378" s="781"/>
      <c r="C378" s="781"/>
      <c r="D378" s="781"/>
      <c r="E378" s="782"/>
      <c r="F378" s="783">
        <v>1.0</v>
      </c>
      <c r="G378" s="782">
        <f>E378*F378</f>
        <v>0</v>
      </c>
      <c r="H378" s="283"/>
      <c r="I378" s="780" t="str">
        <f>IFERROR(__xludf.DUMMYFUNCTION("FILTER($D$3:$G$122,$L$3:$L$122=M376)"),"")</f>
        <v/>
      </c>
      <c r="J378" s="781"/>
      <c r="K378" s="781"/>
      <c r="L378" s="781"/>
      <c r="M378" s="880" t="str">
        <f>IFERROR(__xludf.DUMMYFUNCTION("FILTER($I$3:$I$122,$L$3:$L$122=M376)"),"")</f>
        <v/>
      </c>
      <c r="N378" s="781">
        <v>0.65</v>
      </c>
      <c r="O378" s="782">
        <f>M378*N378</f>
        <v>0</v>
      </c>
    </row>
    <row r="379">
      <c r="A379" s="780"/>
      <c r="B379" s="781"/>
      <c r="C379" s="781"/>
      <c r="D379" s="781"/>
      <c r="E379" s="782"/>
      <c r="F379" s="783"/>
      <c r="G379" s="782"/>
      <c r="H379" s="283"/>
      <c r="I379" s="881"/>
      <c r="J379" s="882"/>
      <c r="K379" s="882"/>
      <c r="L379" s="882"/>
      <c r="M379" s="880"/>
      <c r="N379" s="1053"/>
      <c r="O379" s="1054"/>
    </row>
    <row r="380">
      <c r="A380" s="785"/>
      <c r="B380" s="786"/>
      <c r="C380" s="786"/>
      <c r="D380" s="786"/>
      <c r="E380" s="785"/>
      <c r="F380" s="787"/>
      <c r="G380" s="788"/>
      <c r="H380" s="283"/>
      <c r="I380" s="785"/>
      <c r="J380" s="786"/>
      <c r="K380" s="786"/>
      <c r="L380" s="786"/>
      <c r="M380" s="785"/>
      <c r="N380" s="787"/>
      <c r="O380" s="789"/>
    </row>
    <row r="381">
      <c r="A381" s="785"/>
      <c r="B381" s="786"/>
      <c r="C381" s="786"/>
      <c r="D381" s="786"/>
      <c r="E381" s="785"/>
      <c r="F381" s="787"/>
      <c r="G381" s="788"/>
      <c r="H381" s="283"/>
      <c r="I381" s="785"/>
      <c r="J381" s="786"/>
      <c r="K381" s="786"/>
      <c r="L381" s="786"/>
      <c r="M381" s="785"/>
      <c r="N381" s="787"/>
      <c r="O381" s="789"/>
    </row>
    <row r="382">
      <c r="A382" s="785"/>
      <c r="B382" s="786"/>
      <c r="C382" s="786"/>
      <c r="D382" s="786"/>
      <c r="E382" s="785"/>
      <c r="F382" s="787"/>
      <c r="G382" s="788"/>
      <c r="H382" s="283"/>
      <c r="I382" s="785"/>
      <c r="J382" s="786"/>
      <c r="K382" s="786"/>
      <c r="L382" s="786"/>
      <c r="M382" s="785"/>
      <c r="N382" s="787"/>
      <c r="O382" s="789"/>
    </row>
    <row r="383">
      <c r="A383" s="785"/>
      <c r="B383" s="786"/>
      <c r="C383" s="786"/>
      <c r="D383" s="786"/>
      <c r="E383" s="785"/>
      <c r="F383" s="787"/>
      <c r="G383" s="788"/>
      <c r="H383" s="283"/>
      <c r="I383" s="785"/>
      <c r="J383" s="786"/>
      <c r="K383" s="786"/>
      <c r="L383" s="786"/>
      <c r="M383" s="785"/>
      <c r="N383" s="787"/>
      <c r="O383" s="789"/>
    </row>
    <row r="384">
      <c r="A384" s="790" t="s">
        <v>711</v>
      </c>
      <c r="B384" s="791"/>
      <c r="C384" s="791"/>
      <c r="D384" s="792"/>
      <c r="E384" s="793">
        <f>SUM(E378:E383)</f>
        <v>0</v>
      </c>
      <c r="F384" s="794"/>
      <c r="G384" s="793">
        <f>SUM(G378:G383)</f>
        <v>0</v>
      </c>
      <c r="H384" s="283"/>
      <c r="I384" s="790" t="s">
        <v>711</v>
      </c>
      <c r="J384" s="791"/>
      <c r="K384" s="791"/>
      <c r="L384" s="792"/>
      <c r="M384" s="877">
        <f>SUM(M378:M383)</f>
        <v>0</v>
      </c>
      <c r="N384" s="794"/>
      <c r="O384" s="793">
        <f>SUM(O378:O383)</f>
        <v>0</v>
      </c>
    </row>
    <row r="385">
      <c r="A385" s="796"/>
      <c r="D385" s="798"/>
      <c r="G385" s="799"/>
      <c r="H385" s="283"/>
      <c r="I385" s="796"/>
      <c r="L385" s="798"/>
      <c r="O385" s="799"/>
    </row>
    <row r="386">
      <c r="A386" s="800" t="s">
        <v>712</v>
      </c>
      <c r="B386" s="801"/>
      <c r="C386" s="802"/>
      <c r="G386" s="799"/>
      <c r="H386" s="283"/>
      <c r="I386" s="800" t="s">
        <v>712</v>
      </c>
      <c r="J386" s="803"/>
      <c r="K386" s="804"/>
      <c r="O386" s="799"/>
    </row>
    <row r="387">
      <c r="A387" s="867"/>
      <c r="B387" s="808"/>
      <c r="C387" s="809"/>
      <c r="G387" s="799"/>
      <c r="H387" s="283"/>
      <c r="I387" s="867"/>
      <c r="J387" s="808"/>
      <c r="K387" s="809"/>
      <c r="O387" s="799"/>
    </row>
    <row r="388">
      <c r="A388" s="868"/>
      <c r="B388" s="774"/>
      <c r="C388" s="816"/>
      <c r="G388" s="799"/>
      <c r="H388" s="283"/>
      <c r="I388" s="868"/>
      <c r="J388" s="774"/>
      <c r="K388" s="816"/>
      <c r="O388" s="799"/>
    </row>
    <row r="389">
      <c r="A389" s="815"/>
      <c r="B389" s="792"/>
      <c r="C389" s="816"/>
      <c r="G389" s="799"/>
      <c r="H389" s="283"/>
      <c r="I389" s="815"/>
      <c r="J389" s="792"/>
      <c r="K389" s="816"/>
      <c r="O389" s="799"/>
    </row>
    <row r="390">
      <c r="A390" s="817"/>
      <c r="B390" s="774"/>
      <c r="C390" s="818"/>
      <c r="G390" s="799"/>
      <c r="H390" s="283"/>
      <c r="I390" s="817"/>
      <c r="J390" s="774"/>
      <c r="K390" s="818"/>
      <c r="O390" s="799"/>
    </row>
    <row r="391">
      <c r="A391" s="817"/>
      <c r="B391" s="792"/>
      <c r="C391" s="818"/>
      <c r="G391" s="799"/>
      <c r="H391" s="283"/>
      <c r="I391" s="817"/>
      <c r="J391" s="792"/>
      <c r="K391" s="818"/>
      <c r="O391" s="799"/>
    </row>
    <row r="392">
      <c r="A392" s="821" t="s">
        <v>714</v>
      </c>
      <c r="B392" s="822"/>
      <c r="C392" s="823">
        <f>SUM(C387:C391)</f>
        <v>0</v>
      </c>
      <c r="G392" s="799"/>
      <c r="H392" s="283"/>
      <c r="I392" s="821" t="s">
        <v>714</v>
      </c>
      <c r="J392" s="826"/>
      <c r="K392" s="827"/>
      <c r="O392" s="799"/>
    </row>
    <row r="393">
      <c r="A393" s="828"/>
      <c r="C393" s="829"/>
      <c r="G393" s="799"/>
      <c r="H393" s="283"/>
      <c r="I393" s="828"/>
      <c r="K393" s="829"/>
      <c r="O393" s="799"/>
    </row>
    <row r="394">
      <c r="A394" s="830" t="s">
        <v>715</v>
      </c>
      <c r="B394" s="831"/>
      <c r="C394" s="832"/>
      <c r="G394" s="799"/>
      <c r="H394" s="283"/>
      <c r="I394" s="833" t="s">
        <v>715</v>
      </c>
      <c r="J394" s="834"/>
      <c r="K394" s="835"/>
      <c r="O394" s="799"/>
    </row>
    <row r="395">
      <c r="A395" s="836" t="s">
        <v>716</v>
      </c>
      <c r="B395" s="837"/>
      <c r="C395" s="838"/>
      <c r="G395" s="799"/>
      <c r="H395" s="283"/>
      <c r="I395" s="839"/>
      <c r="J395" s="840"/>
      <c r="K395" s="841"/>
      <c r="O395" s="799"/>
    </row>
    <row r="396">
      <c r="A396" s="842" t="s">
        <v>717</v>
      </c>
      <c r="B396" s="843"/>
      <c r="C396" s="844"/>
      <c r="D396" s="248"/>
      <c r="E396" s="845" t="s">
        <v>1182</v>
      </c>
      <c r="G396" s="846" t="str">
        <f>G384+C392-C401</f>
        <v>#N/A</v>
      </c>
      <c r="H396" s="283"/>
      <c r="I396" s="847"/>
      <c r="J396" s="848"/>
      <c r="K396" s="849"/>
      <c r="L396" s="248"/>
      <c r="M396" s="845" t="s">
        <v>1183</v>
      </c>
      <c r="O396" s="846">
        <f>O384+K392-K401</f>
        <v>0</v>
      </c>
    </row>
    <row r="397">
      <c r="A397" s="836" t="s">
        <v>718</v>
      </c>
      <c r="B397" s="837"/>
      <c r="C397" s="838"/>
      <c r="G397" s="799"/>
      <c r="H397" s="283"/>
      <c r="I397" s="847"/>
      <c r="J397" s="848"/>
      <c r="K397" s="849"/>
      <c r="O397" s="799"/>
    </row>
    <row r="398">
      <c r="A398" s="842" t="s">
        <v>656</v>
      </c>
      <c r="B398" s="843"/>
      <c r="C398" s="844" t="str">
        <f>IFERROR(__xludf.DUMMYFUNCTION("FILTER($C$4:$C$30,$B$4:$B$30=E376)"),"#N/A")</f>
        <v>#N/A</v>
      </c>
      <c r="G398" s="799"/>
      <c r="H398" s="283"/>
      <c r="I398" s="847"/>
      <c r="J398" s="848"/>
      <c r="K398" s="849"/>
      <c r="O398" s="799"/>
    </row>
    <row r="399">
      <c r="A399" s="1049"/>
      <c r="B399" s="840"/>
      <c r="C399" s="849"/>
      <c r="E399" s="248"/>
      <c r="G399" s="799"/>
      <c r="H399" s="283"/>
      <c r="I399" s="847"/>
      <c r="J399" s="848"/>
      <c r="K399" s="849"/>
      <c r="M399" s="248"/>
      <c r="O399" s="799"/>
    </row>
    <row r="400">
      <c r="A400" s="847"/>
      <c r="B400" s="848"/>
      <c r="C400" s="849"/>
      <c r="G400" s="799"/>
      <c r="H400" s="283"/>
      <c r="I400" s="847"/>
      <c r="J400" s="848"/>
      <c r="K400" s="849"/>
      <c r="O400" s="799"/>
    </row>
    <row r="401">
      <c r="A401" s="853" t="s">
        <v>721</v>
      </c>
      <c r="B401" s="854"/>
      <c r="C401" s="855" t="str">
        <f>SUM(C395:C400)</f>
        <v>#N/A</v>
      </c>
      <c r="G401" s="799"/>
      <c r="H401" s="283"/>
      <c r="I401" s="853" t="s">
        <v>721</v>
      </c>
      <c r="J401" s="854"/>
      <c r="K401" s="855"/>
      <c r="O401" s="799"/>
    </row>
    <row r="402">
      <c r="A402" s="856"/>
      <c r="B402" s="857"/>
      <c r="C402" s="857"/>
      <c r="D402" s="857"/>
      <c r="E402" s="857"/>
      <c r="F402" s="857"/>
      <c r="G402" s="808"/>
      <c r="H402" s="283"/>
      <c r="I402" s="856"/>
      <c r="J402" s="857"/>
      <c r="K402" s="857"/>
      <c r="L402" s="857"/>
      <c r="M402" s="857"/>
      <c r="N402" s="857"/>
      <c r="O402" s="808"/>
    </row>
    <row r="405">
      <c r="A405" s="769"/>
      <c r="B405" s="770"/>
      <c r="C405" s="770"/>
      <c r="D405" s="771" t="s">
        <v>700</v>
      </c>
      <c r="E405" s="772" t="str">
        <f>E126</f>
        <v>11.24.2025-11.30.2025</v>
      </c>
      <c r="F405" s="773"/>
      <c r="G405" s="774"/>
      <c r="H405" s="305">
        <v>10.0</v>
      </c>
      <c r="I405" s="769"/>
      <c r="J405" s="770"/>
      <c r="K405" s="770"/>
      <c r="L405" s="771" t="s">
        <v>700</v>
      </c>
      <c r="M405" s="772" t="str">
        <f>E126</f>
        <v>11.24.2025-11.30.2025</v>
      </c>
      <c r="N405" s="773"/>
      <c r="O405" s="774"/>
    </row>
    <row r="406">
      <c r="A406" s="775"/>
      <c r="D406" s="771" t="s">
        <v>702</v>
      </c>
      <c r="E406" s="772" t="s">
        <v>664</v>
      </c>
      <c r="F406" s="773"/>
      <c r="G406" s="774"/>
      <c r="H406" s="283"/>
      <c r="I406" s="775"/>
      <c r="L406" s="771" t="s">
        <v>351</v>
      </c>
      <c r="M406" s="772" t="str">
        <f t="array" ref="M406">XLOOKUP(M407,$L$1:$L$122,$K$1:$K$122)</f>
        <v>VICTOR DEMCHENKO</v>
      </c>
      <c r="N406" s="773"/>
      <c r="O406" s="774"/>
    </row>
    <row r="407">
      <c r="A407" s="775"/>
      <c r="D407" s="771" t="s">
        <v>703</v>
      </c>
      <c r="E407" s="778" t="s">
        <v>431</v>
      </c>
      <c r="F407" s="773"/>
      <c r="G407" s="774"/>
      <c r="H407" s="283"/>
      <c r="I407" s="775"/>
      <c r="L407" s="771" t="s">
        <v>703</v>
      </c>
      <c r="M407" s="772" t="str">
        <f>E407</f>
        <v>0427</v>
      </c>
      <c r="N407" s="773"/>
      <c r="O407" s="774"/>
    </row>
    <row r="408">
      <c r="A408" s="779" t="s">
        <v>704</v>
      </c>
      <c r="B408" s="779" t="s">
        <v>5</v>
      </c>
      <c r="C408" s="779" t="s">
        <v>6</v>
      </c>
      <c r="D408" s="779" t="s">
        <v>7</v>
      </c>
      <c r="E408" s="779" t="s">
        <v>8</v>
      </c>
      <c r="F408" s="779" t="s">
        <v>706</v>
      </c>
      <c r="G408" s="779" t="s">
        <v>707</v>
      </c>
      <c r="H408" s="34"/>
      <c r="I408" s="779" t="s">
        <v>704</v>
      </c>
      <c r="J408" s="779" t="s">
        <v>5</v>
      </c>
      <c r="K408" s="779" t="s">
        <v>6</v>
      </c>
      <c r="L408" s="779" t="s">
        <v>7</v>
      </c>
      <c r="M408" s="779" t="s">
        <v>1178</v>
      </c>
      <c r="N408" s="779" t="s">
        <v>839</v>
      </c>
      <c r="O408" s="779" t="s">
        <v>707</v>
      </c>
    </row>
    <row r="409">
      <c r="A409" s="780">
        <f>IFERROR(__xludf.DUMMYFUNCTION("FILTER($D$3:$H$122,$L$3:$L$122=E407)"),45986.0)</f>
        <v>45986</v>
      </c>
      <c r="B409" s="781">
        <f>IFERROR(__xludf.DUMMYFUNCTION("""COMPUTED_VALUE"""),6912758.0)</f>
        <v>6912758</v>
      </c>
      <c r="C409" s="781" t="str">
        <f>IFERROR(__xludf.DUMMYFUNCTION("""COMPUTED_VALUE"""),"Bridgewater, NJ,")</f>
        <v>Bridgewater, NJ,</v>
      </c>
      <c r="D409" s="781" t="str">
        <f>IFERROR(__xludf.DUMMYFUNCTION("""COMPUTED_VALUE"""),"Belle Fourche, WY, 82710")</f>
        <v>Belle Fourche, WY, 82710</v>
      </c>
      <c r="E409" s="782">
        <f>IFERROR(__xludf.DUMMYFUNCTION("""COMPUTED_VALUE"""),3400.0)</f>
        <v>3400</v>
      </c>
      <c r="F409" s="783">
        <v>1.0</v>
      </c>
      <c r="G409" s="782">
        <f>E409*F409</f>
        <v>3400</v>
      </c>
      <c r="H409" s="283"/>
      <c r="I409" s="860">
        <f>IFERROR(__xludf.DUMMYFUNCTION("FILTER($D$3:$G$122,$L$3:$L$122=M407)"),45986.0)</f>
        <v>45986</v>
      </c>
      <c r="J409" s="861">
        <f>IFERROR(__xludf.DUMMYFUNCTION("""COMPUTED_VALUE"""),6912758.0)</f>
        <v>6912758</v>
      </c>
      <c r="K409" s="861" t="str">
        <f>IFERROR(__xludf.DUMMYFUNCTION("""COMPUTED_VALUE"""),"Bridgewater, NJ,")</f>
        <v>Bridgewater, NJ,</v>
      </c>
      <c r="L409" s="861" t="str">
        <f>IFERROR(__xludf.DUMMYFUNCTION("""COMPUTED_VALUE"""),"Belle Fourche, WY, 82710")</f>
        <v>Belle Fourche, WY, 82710</v>
      </c>
      <c r="M409" s="784">
        <f>IFERROR(__xludf.DUMMYFUNCTION("FILTER($I$3:$I$122,$L$3:$L$122=M407)"),1778.0)</f>
        <v>1778</v>
      </c>
      <c r="N409" s="861">
        <v>0.65</v>
      </c>
      <c r="O409" s="863">
        <f>M409*N409</f>
        <v>1155.7</v>
      </c>
    </row>
    <row r="410">
      <c r="A410" s="780"/>
      <c r="B410" s="781"/>
      <c r="C410" s="781"/>
      <c r="D410" s="781"/>
      <c r="E410" s="782"/>
      <c r="F410" s="783"/>
      <c r="G410" s="782"/>
      <c r="H410" s="283"/>
      <c r="I410" s="780"/>
      <c r="J410" s="781"/>
      <c r="K410" s="781"/>
      <c r="L410" s="781"/>
      <c r="M410" s="782"/>
      <c r="N410" s="783"/>
      <c r="O410" s="789"/>
    </row>
    <row r="411">
      <c r="A411" s="785"/>
      <c r="B411" s="786"/>
      <c r="C411" s="786"/>
      <c r="D411" s="786"/>
      <c r="E411" s="785"/>
      <c r="F411" s="787"/>
      <c r="G411" s="788"/>
      <c r="H411" s="283"/>
      <c r="I411" s="785"/>
      <c r="J411" s="786"/>
      <c r="K411" s="786"/>
      <c r="L411" s="786"/>
      <c r="M411" s="785"/>
      <c r="N411" s="787"/>
      <c r="O411" s="789"/>
    </row>
    <row r="412">
      <c r="A412" s="785"/>
      <c r="B412" s="786"/>
      <c r="C412" s="786"/>
      <c r="D412" s="786"/>
      <c r="E412" s="785"/>
      <c r="F412" s="787"/>
      <c r="G412" s="788"/>
      <c r="H412" s="283"/>
      <c r="I412" s="785"/>
      <c r="J412" s="786"/>
      <c r="K412" s="786"/>
      <c r="L412" s="786"/>
      <c r="M412" s="785"/>
      <c r="N412" s="787"/>
      <c r="O412" s="789"/>
    </row>
    <row r="413">
      <c r="A413" s="785"/>
      <c r="B413" s="786"/>
      <c r="C413" s="786"/>
      <c r="D413" s="786"/>
      <c r="E413" s="785"/>
      <c r="F413" s="787"/>
      <c r="G413" s="788"/>
      <c r="H413" s="283"/>
      <c r="I413" s="785"/>
      <c r="J413" s="786"/>
      <c r="K413" s="786"/>
      <c r="L413" s="786"/>
      <c r="M413" s="785"/>
      <c r="N413" s="787"/>
      <c r="O413" s="789"/>
    </row>
    <row r="414">
      <c r="A414" s="785"/>
      <c r="B414" s="786"/>
      <c r="C414" s="786"/>
      <c r="D414" s="786"/>
      <c r="E414" s="785"/>
      <c r="F414" s="787"/>
      <c r="G414" s="788"/>
      <c r="H414" s="283"/>
      <c r="I414" s="785"/>
      <c r="J414" s="786"/>
      <c r="K414" s="786"/>
      <c r="L414" s="786"/>
      <c r="M414" s="785"/>
      <c r="N414" s="787"/>
      <c r="O414" s="789"/>
    </row>
    <row r="415">
      <c r="A415" s="790" t="s">
        <v>711</v>
      </c>
      <c r="B415" s="791"/>
      <c r="C415" s="791"/>
      <c r="D415" s="792"/>
      <c r="E415" s="793">
        <f>SUM(E409:E414)</f>
        <v>3400</v>
      </c>
      <c r="F415" s="794"/>
      <c r="G415" s="793">
        <f>SUM(G409:G414)</f>
        <v>3400</v>
      </c>
      <c r="H415" s="283"/>
      <c r="I415" s="790" t="s">
        <v>711</v>
      </c>
      <c r="J415" s="791"/>
      <c r="K415" s="791"/>
      <c r="L415" s="792"/>
      <c r="M415" s="877">
        <f>SUM(M409:M414)</f>
        <v>1778</v>
      </c>
      <c r="N415" s="794"/>
      <c r="O415" s="793">
        <f>SUM(O409:O414)</f>
        <v>1155.7</v>
      </c>
    </row>
    <row r="416">
      <c r="A416" s="796"/>
      <c r="D416" s="798"/>
      <c r="G416" s="799"/>
      <c r="H416" s="283"/>
      <c r="I416" s="796"/>
      <c r="L416" s="798"/>
      <c r="O416" s="799"/>
    </row>
    <row r="417">
      <c r="A417" s="800" t="s">
        <v>712</v>
      </c>
      <c r="B417" s="801"/>
      <c r="C417" s="802"/>
      <c r="G417" s="799"/>
      <c r="H417" s="283"/>
      <c r="I417" s="800" t="s">
        <v>712</v>
      </c>
      <c r="J417" s="803"/>
      <c r="K417" s="804"/>
      <c r="O417" s="799"/>
    </row>
    <row r="418">
      <c r="A418" s="867"/>
      <c r="B418" s="808"/>
      <c r="C418" s="809"/>
      <c r="G418" s="799"/>
      <c r="H418" s="283"/>
      <c r="I418" s="867"/>
      <c r="J418" s="808"/>
      <c r="K418" s="809"/>
      <c r="O418" s="799"/>
    </row>
    <row r="419">
      <c r="A419" s="868"/>
      <c r="B419" s="774"/>
      <c r="C419" s="816"/>
      <c r="G419" s="799"/>
      <c r="H419" s="283"/>
      <c r="I419" s="868"/>
      <c r="J419" s="774"/>
      <c r="K419" s="816"/>
      <c r="O419" s="799"/>
    </row>
    <row r="420">
      <c r="A420" s="815"/>
      <c r="B420" s="792"/>
      <c r="C420" s="816"/>
      <c r="G420" s="799"/>
      <c r="H420" s="283"/>
      <c r="I420" s="815"/>
      <c r="J420" s="792"/>
      <c r="K420" s="816"/>
      <c r="O420" s="799"/>
    </row>
    <row r="421">
      <c r="A421" s="817"/>
      <c r="B421" s="774"/>
      <c r="C421" s="818"/>
      <c r="G421" s="799"/>
      <c r="H421" s="283"/>
      <c r="I421" s="817"/>
      <c r="J421" s="774"/>
      <c r="K421" s="818"/>
      <c r="O421" s="799"/>
    </row>
    <row r="422">
      <c r="A422" s="817"/>
      <c r="B422" s="792"/>
      <c r="C422" s="818"/>
      <c r="G422" s="799"/>
      <c r="H422" s="283"/>
      <c r="I422" s="817"/>
      <c r="J422" s="792"/>
      <c r="K422" s="818"/>
      <c r="O422" s="799"/>
    </row>
    <row r="423">
      <c r="A423" s="821" t="s">
        <v>714</v>
      </c>
      <c r="B423" s="822"/>
      <c r="C423" s="823">
        <f>SUM(C418:C422)</f>
        <v>0</v>
      </c>
      <c r="G423" s="799"/>
      <c r="H423" s="283"/>
      <c r="I423" s="821" t="s">
        <v>714</v>
      </c>
      <c r="J423" s="826"/>
      <c r="K423" s="827"/>
      <c r="O423" s="799"/>
    </row>
    <row r="424">
      <c r="A424" s="828"/>
      <c r="C424" s="829"/>
      <c r="G424" s="799"/>
      <c r="H424" s="283"/>
      <c r="I424" s="828"/>
      <c r="K424" s="829"/>
      <c r="O424" s="799"/>
    </row>
    <row r="425">
      <c r="A425" s="830" t="s">
        <v>715</v>
      </c>
      <c r="B425" s="831"/>
      <c r="C425" s="832"/>
      <c r="G425" s="799"/>
      <c r="H425" s="283"/>
      <c r="I425" s="833" t="s">
        <v>715</v>
      </c>
      <c r="J425" s="834"/>
      <c r="K425" s="835"/>
      <c r="O425" s="799"/>
    </row>
    <row r="426">
      <c r="A426" s="836" t="s">
        <v>716</v>
      </c>
      <c r="B426" s="837"/>
      <c r="C426" s="838"/>
      <c r="G426" s="799"/>
      <c r="H426" s="283"/>
      <c r="I426" s="839"/>
      <c r="J426" s="840"/>
      <c r="K426" s="841"/>
      <c r="O426" s="799"/>
    </row>
    <row r="427">
      <c r="A427" s="842" t="s">
        <v>717</v>
      </c>
      <c r="B427" s="843"/>
      <c r="C427" s="844"/>
      <c r="D427" s="248"/>
      <c r="E427" s="845" t="s">
        <v>1182</v>
      </c>
      <c r="G427" s="846">
        <f>G415+C423-C432</f>
        <v>1264.15</v>
      </c>
      <c r="H427" s="283"/>
      <c r="I427" s="847"/>
      <c r="J427" s="848"/>
      <c r="K427" s="849"/>
      <c r="L427" s="248"/>
      <c r="M427" s="845" t="s">
        <v>1183</v>
      </c>
      <c r="O427" s="846">
        <f>O415+K423-K432</f>
        <v>1155.7</v>
      </c>
    </row>
    <row r="428">
      <c r="A428" s="836" t="s">
        <v>718</v>
      </c>
      <c r="B428" s="837"/>
      <c r="C428" s="838"/>
      <c r="G428" s="799"/>
      <c r="H428" s="283"/>
      <c r="I428" s="847"/>
      <c r="J428" s="848"/>
      <c r="K428" s="849"/>
      <c r="O428" s="799"/>
    </row>
    <row r="429">
      <c r="A429" s="842" t="s">
        <v>656</v>
      </c>
      <c r="B429" s="843"/>
      <c r="C429" s="844">
        <f>IFERROR(__xludf.DUMMYFUNCTION("FILTER($C$4:$C$30,$B$4:$B$30=E407)"),2135.85)</f>
        <v>2135.85</v>
      </c>
      <c r="G429" s="799"/>
      <c r="H429" s="283"/>
      <c r="I429" s="847"/>
      <c r="J429" s="848"/>
      <c r="K429" s="849"/>
      <c r="O429" s="799"/>
    </row>
    <row r="430">
      <c r="A430" s="1049"/>
      <c r="B430" s="840"/>
      <c r="C430" s="849"/>
      <c r="E430" s="248"/>
      <c r="G430" s="799"/>
      <c r="H430" s="283"/>
      <c r="I430" s="847"/>
      <c r="J430" s="848"/>
      <c r="K430" s="849"/>
      <c r="M430" s="248"/>
      <c r="O430" s="799"/>
    </row>
    <row r="431">
      <c r="A431" s="847"/>
      <c r="B431" s="848"/>
      <c r="C431" s="849"/>
      <c r="G431" s="799"/>
      <c r="H431" s="283"/>
      <c r="I431" s="847"/>
      <c r="J431" s="848"/>
      <c r="K431" s="849"/>
      <c r="O431" s="799"/>
    </row>
    <row r="432">
      <c r="A432" s="853" t="s">
        <v>721</v>
      </c>
      <c r="B432" s="854"/>
      <c r="C432" s="855">
        <f>SUM(C426:C431)</f>
        <v>2135.85</v>
      </c>
      <c r="G432" s="799"/>
      <c r="H432" s="283"/>
      <c r="I432" s="853" t="s">
        <v>721</v>
      </c>
      <c r="J432" s="854"/>
      <c r="K432" s="855"/>
      <c r="O432" s="799"/>
    </row>
    <row r="433">
      <c r="A433" s="856"/>
      <c r="B433" s="857"/>
      <c r="C433" s="857"/>
      <c r="D433" s="857"/>
      <c r="E433" s="857"/>
      <c r="F433" s="857"/>
      <c r="G433" s="808"/>
      <c r="H433" s="283"/>
      <c r="I433" s="856"/>
      <c r="J433" s="857"/>
      <c r="K433" s="857"/>
      <c r="L433" s="857"/>
      <c r="M433" s="857"/>
      <c r="N433" s="857"/>
      <c r="O433" s="808"/>
    </row>
    <row r="436">
      <c r="A436" s="769"/>
      <c r="B436" s="770"/>
      <c r="C436" s="770"/>
      <c r="D436" s="771" t="s">
        <v>700</v>
      </c>
      <c r="E436" s="772" t="str">
        <f>E126</f>
        <v>11.24.2025-11.30.2025</v>
      </c>
      <c r="F436" s="773"/>
      <c r="G436" s="774"/>
      <c r="H436" s="305">
        <v>11.0</v>
      </c>
      <c r="I436" s="769"/>
      <c r="J436" s="770"/>
      <c r="K436" s="770"/>
      <c r="L436" s="771" t="s">
        <v>700</v>
      </c>
      <c r="M436" s="772" t="str">
        <f>E126</f>
        <v>11.24.2025-11.30.2025</v>
      </c>
      <c r="N436" s="773"/>
      <c r="O436" s="774"/>
    </row>
    <row r="437">
      <c r="A437" s="775"/>
      <c r="D437" s="771" t="s">
        <v>702</v>
      </c>
      <c r="E437" s="772" t="s">
        <v>664</v>
      </c>
      <c r="F437" s="773"/>
      <c r="G437" s="774"/>
      <c r="H437" s="283"/>
      <c r="I437" s="775"/>
      <c r="L437" s="771" t="s">
        <v>351</v>
      </c>
      <c r="M437" s="772" t="str">
        <f t="array" ref="M437">XLOOKUP(M438,$L$1:$L$122,$K$1:$K$122)</f>
        <v>BENCHIKA DOLL</v>
      </c>
      <c r="N437" s="773"/>
      <c r="O437" s="774"/>
    </row>
    <row r="438">
      <c r="A438" s="775"/>
      <c r="D438" s="771" t="s">
        <v>703</v>
      </c>
      <c r="E438" s="772">
        <v>7265.0</v>
      </c>
      <c r="F438" s="773"/>
      <c r="G438" s="774"/>
      <c r="H438" s="283"/>
      <c r="I438" s="775"/>
      <c r="L438" s="771" t="s">
        <v>703</v>
      </c>
      <c r="M438" s="772">
        <f>E438</f>
        <v>7265</v>
      </c>
      <c r="N438" s="773"/>
      <c r="O438" s="774"/>
    </row>
    <row r="439">
      <c r="A439" s="779" t="s">
        <v>704</v>
      </c>
      <c r="B439" s="779" t="s">
        <v>5</v>
      </c>
      <c r="C439" s="779" t="s">
        <v>6</v>
      </c>
      <c r="D439" s="779" t="s">
        <v>7</v>
      </c>
      <c r="E439" s="779" t="s">
        <v>8</v>
      </c>
      <c r="F439" s="779" t="s">
        <v>706</v>
      </c>
      <c r="G439" s="779" t="s">
        <v>707</v>
      </c>
      <c r="H439" s="34"/>
      <c r="I439" s="779" t="s">
        <v>704</v>
      </c>
      <c r="J439" s="779" t="s">
        <v>5</v>
      </c>
      <c r="K439" s="779" t="s">
        <v>6</v>
      </c>
      <c r="L439" s="779" t="s">
        <v>7</v>
      </c>
      <c r="M439" s="779" t="s">
        <v>1178</v>
      </c>
      <c r="N439" s="779" t="s">
        <v>839</v>
      </c>
      <c r="O439" s="779" t="s">
        <v>707</v>
      </c>
    </row>
    <row r="440">
      <c r="A440" s="780">
        <f>IFERROR(__xludf.DUMMYFUNCTION("FILTER($D$3:$H$122,$L$3:$L$122=E438)"),45986.0)</f>
        <v>45986</v>
      </c>
      <c r="B440" s="781">
        <f>IFERROR(__xludf.DUMMYFUNCTION("""COMPUTED_VALUE"""),1257186.0)</f>
        <v>1257186</v>
      </c>
      <c r="C440" s="781" t="str">
        <f>IFERROR(__xludf.DUMMYFUNCTION("""COMPUTED_VALUE"""),"Mechanicsburg, PA, 17055")</f>
        <v>Mechanicsburg, PA, 17055</v>
      </c>
      <c r="D440" s="781" t="str">
        <f>IFERROR(__xludf.DUMMYFUNCTION("""COMPUTED_VALUE"""),"Royal Palm Beach, FL, 33411")</f>
        <v>Royal Palm Beach, FL, 33411</v>
      </c>
      <c r="E440" s="782">
        <f>IFERROR(__xludf.DUMMYFUNCTION("""COMPUTED_VALUE"""),2900.0)</f>
        <v>2900</v>
      </c>
      <c r="F440" s="783">
        <v>0.88</v>
      </c>
      <c r="G440" s="782">
        <f>E440*F440</f>
        <v>2552</v>
      </c>
      <c r="H440" s="283"/>
      <c r="I440" s="780">
        <f>IFERROR(__xludf.DUMMYFUNCTION("FILTER($D$3:$G$122,$L$3:$L$122=M438)"),45986.0)</f>
        <v>45986</v>
      </c>
      <c r="J440" s="781">
        <f>IFERROR(__xludf.DUMMYFUNCTION("""COMPUTED_VALUE"""),1257186.0)</f>
        <v>1257186</v>
      </c>
      <c r="K440" s="781" t="str">
        <f>IFERROR(__xludf.DUMMYFUNCTION("""COMPUTED_VALUE"""),"Mechanicsburg, PA, 17055")</f>
        <v>Mechanicsburg, PA, 17055</v>
      </c>
      <c r="L440" s="781" t="str">
        <f>IFERROR(__xludf.DUMMYFUNCTION("""COMPUTED_VALUE"""),"Royal Palm Beach, FL, 33411")</f>
        <v>Royal Palm Beach, FL, 33411</v>
      </c>
      <c r="M440" s="784">
        <f>IFERROR(__xludf.DUMMYFUNCTION("FILTER($I$3:$I$122,$L$3:$L$122=M438)"),1505.0)</f>
        <v>1505</v>
      </c>
      <c r="N440" s="781">
        <v>0.65</v>
      </c>
      <c r="O440" s="782">
        <f>M440*N440</f>
        <v>978.25</v>
      </c>
    </row>
    <row r="441">
      <c r="A441" s="780"/>
      <c r="B441" s="781"/>
      <c r="C441" s="781"/>
      <c r="D441" s="781"/>
      <c r="E441" s="782"/>
      <c r="F441" s="783"/>
      <c r="G441" s="782"/>
      <c r="H441" s="283"/>
      <c r="I441" s="780"/>
      <c r="J441" s="781"/>
      <c r="K441" s="781"/>
      <c r="L441" s="781"/>
      <c r="M441" s="782"/>
      <c r="N441" s="783"/>
      <c r="O441" s="789"/>
    </row>
    <row r="442">
      <c r="A442" s="785"/>
      <c r="B442" s="786"/>
      <c r="C442" s="786"/>
      <c r="D442" s="786"/>
      <c r="E442" s="785"/>
      <c r="F442" s="787"/>
      <c r="G442" s="788"/>
      <c r="H442" s="283"/>
      <c r="I442" s="785"/>
      <c r="J442" s="786"/>
      <c r="K442" s="786"/>
      <c r="L442" s="786"/>
      <c r="M442" s="785"/>
      <c r="N442" s="787"/>
      <c r="O442" s="789"/>
    </row>
    <row r="443">
      <c r="A443" s="785"/>
      <c r="B443" s="786"/>
      <c r="C443" s="786"/>
      <c r="D443" s="786"/>
      <c r="E443" s="785"/>
      <c r="F443" s="787"/>
      <c r="G443" s="788"/>
      <c r="H443" s="283"/>
      <c r="I443" s="785"/>
      <c r="J443" s="786"/>
      <c r="K443" s="786"/>
      <c r="L443" s="786"/>
      <c r="M443" s="785"/>
      <c r="N443" s="787"/>
      <c r="O443" s="789"/>
    </row>
    <row r="444">
      <c r="A444" s="785"/>
      <c r="B444" s="786"/>
      <c r="C444" s="786"/>
      <c r="D444" s="786"/>
      <c r="E444" s="785"/>
      <c r="F444" s="787"/>
      <c r="G444" s="788"/>
      <c r="H444" s="283"/>
      <c r="I444" s="785"/>
      <c r="J444" s="786"/>
      <c r="K444" s="786"/>
      <c r="L444" s="786"/>
      <c r="M444" s="785"/>
      <c r="N444" s="787"/>
      <c r="O444" s="789"/>
    </row>
    <row r="445">
      <c r="A445" s="785"/>
      <c r="B445" s="786"/>
      <c r="C445" s="786"/>
      <c r="D445" s="786"/>
      <c r="E445" s="785"/>
      <c r="F445" s="787"/>
      <c r="G445" s="788"/>
      <c r="H445" s="283"/>
      <c r="I445" s="785"/>
      <c r="J445" s="786"/>
      <c r="K445" s="786"/>
      <c r="L445" s="786"/>
      <c r="M445" s="785"/>
      <c r="N445" s="787"/>
      <c r="O445" s="789"/>
    </row>
    <row r="446">
      <c r="A446" s="790" t="s">
        <v>711</v>
      </c>
      <c r="B446" s="791"/>
      <c r="C446" s="791"/>
      <c r="D446" s="792"/>
      <c r="E446" s="793">
        <f>SUM(E440:E445)</f>
        <v>2900</v>
      </c>
      <c r="F446" s="794"/>
      <c r="G446" s="793">
        <f>SUM(G440:G445)</f>
        <v>2552</v>
      </c>
      <c r="H446" s="283"/>
      <c r="I446" s="790" t="s">
        <v>711</v>
      </c>
      <c r="J446" s="791"/>
      <c r="K446" s="791"/>
      <c r="L446" s="792"/>
      <c r="M446" s="877">
        <f>SUM(M440:M445)</f>
        <v>1505</v>
      </c>
      <c r="N446" s="794"/>
      <c r="O446" s="793">
        <f>SUM(O440:O445)</f>
        <v>978.25</v>
      </c>
    </row>
    <row r="447">
      <c r="A447" s="796"/>
      <c r="D447" s="798"/>
      <c r="G447" s="799"/>
      <c r="H447" s="283"/>
      <c r="I447" s="796"/>
      <c r="L447" s="798"/>
      <c r="O447" s="799"/>
    </row>
    <row r="448">
      <c r="A448" s="800" t="s">
        <v>712</v>
      </c>
      <c r="B448" s="801"/>
      <c r="C448" s="802"/>
      <c r="G448" s="799"/>
      <c r="H448" s="283"/>
      <c r="I448" s="800" t="s">
        <v>712</v>
      </c>
      <c r="J448" s="803"/>
      <c r="K448" s="804"/>
      <c r="O448" s="799"/>
    </row>
    <row r="449">
      <c r="A449" s="867"/>
      <c r="B449" s="808"/>
      <c r="C449" s="809"/>
      <c r="G449" s="799"/>
      <c r="H449" s="283"/>
      <c r="I449" s="867"/>
      <c r="J449" s="808"/>
      <c r="K449" s="809"/>
      <c r="O449" s="799"/>
    </row>
    <row r="450">
      <c r="A450" s="868"/>
      <c r="B450" s="774"/>
      <c r="C450" s="816"/>
      <c r="G450" s="799"/>
      <c r="H450" s="283"/>
      <c r="I450" s="868"/>
      <c r="J450" s="774"/>
      <c r="K450" s="816"/>
      <c r="O450" s="799"/>
    </row>
    <row r="451">
      <c r="A451" s="815"/>
      <c r="B451" s="792"/>
      <c r="C451" s="816"/>
      <c r="G451" s="799"/>
      <c r="H451" s="283"/>
      <c r="I451" s="815"/>
      <c r="J451" s="792"/>
      <c r="K451" s="816"/>
      <c r="O451" s="799"/>
    </row>
    <row r="452">
      <c r="A452" s="817"/>
      <c r="B452" s="774"/>
      <c r="C452" s="818"/>
      <c r="G452" s="799"/>
      <c r="H452" s="283"/>
      <c r="I452" s="817"/>
      <c r="J452" s="774"/>
      <c r="K452" s="818"/>
      <c r="O452" s="799"/>
    </row>
    <row r="453">
      <c r="A453" s="817"/>
      <c r="B453" s="792"/>
      <c r="C453" s="818"/>
      <c r="G453" s="799"/>
      <c r="H453" s="283"/>
      <c r="I453" s="817"/>
      <c r="J453" s="792"/>
      <c r="K453" s="818"/>
      <c r="O453" s="799"/>
    </row>
    <row r="454">
      <c r="A454" s="821" t="s">
        <v>714</v>
      </c>
      <c r="B454" s="822"/>
      <c r="C454" s="823">
        <f>SUM(C449:C453)</f>
        <v>0</v>
      </c>
      <c r="G454" s="799"/>
      <c r="H454" s="283"/>
      <c r="I454" s="821" t="s">
        <v>714</v>
      </c>
      <c r="J454" s="826"/>
      <c r="K454" s="827"/>
      <c r="O454" s="799"/>
    </row>
    <row r="455">
      <c r="A455" s="828"/>
      <c r="C455" s="829"/>
      <c r="G455" s="799"/>
      <c r="H455" s="283"/>
      <c r="I455" s="828"/>
      <c r="K455" s="829"/>
      <c r="O455" s="799"/>
    </row>
    <row r="456">
      <c r="A456" s="830" t="s">
        <v>715</v>
      </c>
      <c r="B456" s="831"/>
      <c r="C456" s="832"/>
      <c r="G456" s="799"/>
      <c r="H456" s="283"/>
      <c r="I456" s="833" t="s">
        <v>715</v>
      </c>
      <c r="J456" s="834"/>
      <c r="K456" s="835"/>
      <c r="O456" s="799"/>
    </row>
    <row r="457">
      <c r="A457" s="836" t="s">
        <v>716</v>
      </c>
      <c r="B457" s="837"/>
      <c r="C457" s="838">
        <v>150.0</v>
      </c>
      <c r="G457" s="799"/>
      <c r="H457" s="283"/>
      <c r="I457" s="839"/>
      <c r="J457" s="840"/>
      <c r="K457" s="841"/>
      <c r="O457" s="799"/>
    </row>
    <row r="458">
      <c r="A458" s="842" t="s">
        <v>717</v>
      </c>
      <c r="B458" s="843"/>
      <c r="C458" s="844">
        <v>400.0</v>
      </c>
      <c r="D458" s="248"/>
      <c r="E458" s="845" t="s">
        <v>1182</v>
      </c>
      <c r="G458" s="846">
        <f>G446+C454-C463</f>
        <v>351.92</v>
      </c>
      <c r="H458" s="283"/>
      <c r="I458" s="847"/>
      <c r="J458" s="848"/>
      <c r="K458" s="849"/>
      <c r="L458" s="248"/>
      <c r="M458" s="845" t="s">
        <v>1183</v>
      </c>
      <c r="O458" s="846">
        <f>O446+K454-K463</f>
        <v>978.25</v>
      </c>
    </row>
    <row r="459">
      <c r="A459" s="836" t="s">
        <v>718</v>
      </c>
      <c r="B459" s="837"/>
      <c r="C459" s="838">
        <v>200.0</v>
      </c>
      <c r="G459" s="799"/>
      <c r="H459" s="283"/>
      <c r="I459" s="847"/>
      <c r="J459" s="848"/>
      <c r="K459" s="849"/>
      <c r="O459" s="799"/>
    </row>
    <row r="460">
      <c r="A460" s="842" t="s">
        <v>656</v>
      </c>
      <c r="B460" s="843"/>
      <c r="C460" s="844">
        <f>IFERROR(__xludf.DUMMYFUNCTION("FILTER($C$4:$C$30,$B$4:$B$30=E438)"),1450.08)</f>
        <v>1450.08</v>
      </c>
      <c r="G460" s="799"/>
      <c r="H460" s="283"/>
      <c r="I460" s="847"/>
      <c r="J460" s="848"/>
      <c r="K460" s="849"/>
      <c r="O460" s="799"/>
    </row>
    <row r="461">
      <c r="A461" s="1049"/>
      <c r="B461" s="840"/>
      <c r="C461" s="849"/>
      <c r="E461" s="248"/>
      <c r="G461" s="799"/>
      <c r="H461" s="283"/>
      <c r="I461" s="847"/>
      <c r="J461" s="848"/>
      <c r="K461" s="849"/>
      <c r="M461" s="248"/>
      <c r="O461" s="799"/>
    </row>
    <row r="462">
      <c r="A462" s="847"/>
      <c r="B462" s="848"/>
      <c r="C462" s="849"/>
      <c r="G462" s="799"/>
      <c r="H462" s="283"/>
      <c r="I462" s="847"/>
      <c r="J462" s="848"/>
      <c r="K462" s="849"/>
      <c r="O462" s="799"/>
    </row>
    <row r="463">
      <c r="A463" s="853" t="s">
        <v>721</v>
      </c>
      <c r="B463" s="854"/>
      <c r="C463" s="855">
        <f>SUM(C457:C462)</f>
        <v>2200.08</v>
      </c>
      <c r="G463" s="799"/>
      <c r="H463" s="283"/>
      <c r="I463" s="853" t="s">
        <v>721</v>
      </c>
      <c r="J463" s="854"/>
      <c r="K463" s="855"/>
      <c r="O463" s="799"/>
    </row>
    <row r="464">
      <c r="A464" s="856"/>
      <c r="B464" s="857"/>
      <c r="C464" s="857"/>
      <c r="D464" s="857"/>
      <c r="E464" s="857"/>
      <c r="F464" s="857"/>
      <c r="G464" s="808"/>
      <c r="H464" s="283"/>
      <c r="I464" s="856"/>
      <c r="J464" s="857"/>
      <c r="K464" s="857"/>
      <c r="L464" s="857"/>
      <c r="M464" s="857"/>
      <c r="N464" s="857"/>
      <c r="O464" s="808"/>
    </row>
    <row r="467">
      <c r="A467" s="769"/>
      <c r="B467" s="770"/>
      <c r="C467" s="770"/>
      <c r="D467" s="771" t="s">
        <v>700</v>
      </c>
      <c r="E467" s="772" t="str">
        <f>E126</f>
        <v>11.24.2025-11.30.2025</v>
      </c>
      <c r="F467" s="773"/>
      <c r="G467" s="774"/>
      <c r="H467" s="305">
        <v>12.0</v>
      </c>
      <c r="I467" s="769"/>
      <c r="J467" s="770"/>
      <c r="K467" s="770"/>
      <c r="L467" s="771" t="s">
        <v>700</v>
      </c>
      <c r="M467" s="772" t="str">
        <f>E126</f>
        <v>11.24.2025-11.30.2025</v>
      </c>
      <c r="N467" s="773"/>
      <c r="O467" s="774"/>
    </row>
    <row r="468">
      <c r="A468" s="775"/>
      <c r="D468" s="771" t="s">
        <v>702</v>
      </c>
      <c r="E468" s="772" t="s">
        <v>664</v>
      </c>
      <c r="F468" s="773"/>
      <c r="G468" s="774"/>
      <c r="H468" s="283"/>
      <c r="I468" s="775"/>
      <c r="L468" s="771" t="s">
        <v>351</v>
      </c>
      <c r="M468" s="772" t="str">
        <f t="array" ref="M468">XLOOKUP(M469,$L$1:$L$122,$K$1:$K$122)</f>
        <v>MICHEL PATRICK</v>
      </c>
      <c r="N468" s="773"/>
      <c r="O468" s="774"/>
    </row>
    <row r="469">
      <c r="A469" s="775"/>
      <c r="D469" s="771" t="s">
        <v>703</v>
      </c>
      <c r="E469" s="772">
        <v>3819.0</v>
      </c>
      <c r="F469" s="773"/>
      <c r="G469" s="774"/>
      <c r="H469" s="283"/>
      <c r="I469" s="775"/>
      <c r="L469" s="771" t="s">
        <v>703</v>
      </c>
      <c r="M469" s="772">
        <f>E469</f>
        <v>3819</v>
      </c>
      <c r="N469" s="773"/>
      <c r="O469" s="774"/>
    </row>
    <row r="470">
      <c r="A470" s="779" t="s">
        <v>704</v>
      </c>
      <c r="B470" s="779" t="s">
        <v>5</v>
      </c>
      <c r="C470" s="779" t="s">
        <v>6</v>
      </c>
      <c r="D470" s="779" t="s">
        <v>7</v>
      </c>
      <c r="E470" s="779" t="s">
        <v>8</v>
      </c>
      <c r="F470" s="779" t="s">
        <v>706</v>
      </c>
      <c r="G470" s="779" t="s">
        <v>707</v>
      </c>
      <c r="H470" s="34"/>
      <c r="I470" s="779" t="s">
        <v>704</v>
      </c>
      <c r="J470" s="779" t="s">
        <v>5</v>
      </c>
      <c r="K470" s="779" t="s">
        <v>6</v>
      </c>
      <c r="L470" s="779" t="s">
        <v>7</v>
      </c>
      <c r="M470" s="779" t="s">
        <v>1178</v>
      </c>
      <c r="N470" s="779" t="s">
        <v>839</v>
      </c>
      <c r="O470" s="779" t="s">
        <v>707</v>
      </c>
    </row>
    <row r="471">
      <c r="A471" s="780">
        <f>IFERROR(__xludf.DUMMYFUNCTION("FILTER($D$3:$H$122,$L$3:$L$122=E469)"),45986.0)</f>
        <v>45986</v>
      </c>
      <c r="B471" s="781" t="str">
        <f>IFERROR(__xludf.DUMMYFUNCTION("""COMPUTED_VALUE"""),"7291665266-1")</f>
        <v>7291665266-1</v>
      </c>
      <c r="C471" s="781" t="str">
        <f>IFERROR(__xludf.DUMMYFUNCTION("""COMPUTED_VALUE"""),"Langhorne, PA, 19047")</f>
        <v>Langhorne, PA, 19047</v>
      </c>
      <c r="D471" s="781" t="str">
        <f>IFERROR(__xludf.DUMMYFUNCTION("""COMPUTED_VALUE"""),"Centennial, CO, 80112")</f>
        <v>Centennial, CO, 80112</v>
      </c>
      <c r="E471" s="782">
        <f>IFERROR(__xludf.DUMMYFUNCTION("""COMPUTED_VALUE"""),1425.0)</f>
        <v>1425</v>
      </c>
      <c r="F471" s="783">
        <v>1.0</v>
      </c>
      <c r="G471" s="782">
        <f>E471*F471</f>
        <v>1425</v>
      </c>
      <c r="H471" s="283"/>
      <c r="I471" s="860">
        <f>IFERROR(__xludf.DUMMYFUNCTION("FILTER($D$3:$G$122,$L$3:$L$122=M469)"),45986.0)</f>
        <v>45986</v>
      </c>
      <c r="J471" s="861" t="str">
        <f>IFERROR(__xludf.DUMMYFUNCTION("""COMPUTED_VALUE"""),"7291665266-1")</f>
        <v>7291665266-1</v>
      </c>
      <c r="K471" s="861" t="str">
        <f>IFERROR(__xludf.DUMMYFUNCTION("""COMPUTED_VALUE"""),"Langhorne, PA, 19047")</f>
        <v>Langhorne, PA, 19047</v>
      </c>
      <c r="L471" s="861" t="str">
        <f>IFERROR(__xludf.DUMMYFUNCTION("""COMPUTED_VALUE"""),"Centennial, CO, 80112")</f>
        <v>Centennial, CO, 80112</v>
      </c>
      <c r="M471" s="784">
        <f>IFERROR(__xludf.DUMMYFUNCTION("FILTER($I$3:$I$122,$L$3:$L$122=M469)"),0.0)</f>
        <v>0</v>
      </c>
      <c r="N471" s="861">
        <v>0.65</v>
      </c>
      <c r="O471" s="863">
        <f>M471*N471</f>
        <v>0</v>
      </c>
    </row>
    <row r="472">
      <c r="A472" s="780">
        <f>IFERROR(__xludf.DUMMYFUNCTION("""COMPUTED_VALUE"""),45987.0)</f>
        <v>45987</v>
      </c>
      <c r="B472" s="781" t="str">
        <f>IFERROR(__xludf.DUMMYFUNCTION("""COMPUTED_VALUE"""),"7291665166-1")</f>
        <v>7291665166-1</v>
      </c>
      <c r="C472" s="781" t="str">
        <f>IFERROR(__xludf.DUMMYFUNCTION("""COMPUTED_VALUE"""),"Langhorne, PA, 19047")</f>
        <v>Langhorne, PA, 19047</v>
      </c>
      <c r="D472" s="781" t="str">
        <f>IFERROR(__xludf.DUMMYFUNCTION("""COMPUTED_VALUE"""),"Aurora, CO, 80011")</f>
        <v>Aurora, CO, 80011</v>
      </c>
      <c r="E472" s="782">
        <f>IFERROR(__xludf.DUMMYFUNCTION("""COMPUTED_VALUE"""),1350.0)</f>
        <v>1350</v>
      </c>
      <c r="F472" s="783"/>
      <c r="G472" s="782"/>
      <c r="H472" s="283"/>
      <c r="I472" s="860">
        <f>IFERROR(__xludf.DUMMYFUNCTION("""COMPUTED_VALUE"""),45987.0)</f>
        <v>45987</v>
      </c>
      <c r="J472" s="861" t="str">
        <f>IFERROR(__xludf.DUMMYFUNCTION("""COMPUTED_VALUE"""),"7291665166-1")</f>
        <v>7291665166-1</v>
      </c>
      <c r="K472" s="861" t="str">
        <f>IFERROR(__xludf.DUMMYFUNCTION("""COMPUTED_VALUE"""),"Langhorne, PA, 19047")</f>
        <v>Langhorne, PA, 19047</v>
      </c>
      <c r="L472" s="861" t="str">
        <f>IFERROR(__xludf.DUMMYFUNCTION("""COMPUTED_VALUE"""),"Aurora, CO, 80011")</f>
        <v>Aurora, CO, 80011</v>
      </c>
      <c r="M472" s="784">
        <f>IFERROR(__xludf.DUMMYFUNCTION("""COMPUTED_VALUE"""),0.0)</f>
        <v>0</v>
      </c>
      <c r="N472" s="1052"/>
      <c r="O472" s="1035"/>
    </row>
    <row r="473">
      <c r="A473" s="883">
        <f>IFERROR(__xludf.DUMMYFUNCTION("""COMPUTED_VALUE"""),45987.0)</f>
        <v>45987</v>
      </c>
      <c r="B473" s="786" t="str">
        <f>IFERROR(__xludf.DUMMYFUNCTION("""COMPUTED_VALUE"""),"7291664773-1")</f>
        <v>7291664773-1</v>
      </c>
      <c r="C473" s="786" t="str">
        <f>IFERROR(__xludf.DUMMYFUNCTION("""COMPUTED_VALUE"""),"Langhorne, PA, 19047")</f>
        <v>Langhorne, PA, 19047</v>
      </c>
      <c r="D473" s="786" t="str">
        <f>IFERROR(__xludf.DUMMYFUNCTION("""COMPUTED_VALUE"""),"Sioux Falls, SD, 57104")</f>
        <v>Sioux Falls, SD, 57104</v>
      </c>
      <c r="E473" s="884">
        <f>IFERROR(__xludf.DUMMYFUNCTION("""COMPUTED_VALUE"""),1025.0)</f>
        <v>1025</v>
      </c>
      <c r="F473" s="787"/>
      <c r="G473" s="788"/>
      <c r="H473" s="283"/>
      <c r="I473" s="883">
        <f>IFERROR(__xludf.DUMMYFUNCTION("""COMPUTED_VALUE"""),45987.0)</f>
        <v>45987</v>
      </c>
      <c r="J473" s="786" t="str">
        <f>IFERROR(__xludf.DUMMYFUNCTION("""COMPUTED_VALUE"""),"7291664773-1")</f>
        <v>7291664773-1</v>
      </c>
      <c r="K473" s="786" t="str">
        <f>IFERROR(__xludf.DUMMYFUNCTION("""COMPUTED_VALUE"""),"Langhorne, PA, 19047")</f>
        <v>Langhorne, PA, 19047</v>
      </c>
      <c r="L473" s="786" t="str">
        <f>IFERROR(__xludf.DUMMYFUNCTION("""COMPUTED_VALUE"""),"Sioux Falls, SD, 57104")</f>
        <v>Sioux Falls, SD, 57104</v>
      </c>
      <c r="M473" s="880">
        <f>IFERROR(__xludf.DUMMYFUNCTION("""COMPUTED_VALUE"""),2155.0)</f>
        <v>2155</v>
      </c>
      <c r="N473" s="787"/>
      <c r="O473" s="789"/>
    </row>
    <row r="474">
      <c r="A474" s="785"/>
      <c r="B474" s="786"/>
      <c r="C474" s="786"/>
      <c r="D474" s="786"/>
      <c r="E474" s="785"/>
      <c r="F474" s="787"/>
      <c r="G474" s="788"/>
      <c r="H474" s="283"/>
      <c r="I474" s="785"/>
      <c r="J474" s="786"/>
      <c r="K474" s="786"/>
      <c r="L474" s="786"/>
      <c r="M474" s="785"/>
      <c r="N474" s="787"/>
      <c r="O474" s="789"/>
    </row>
    <row r="475">
      <c r="A475" s="785"/>
      <c r="B475" s="786"/>
      <c r="C475" s="786"/>
      <c r="D475" s="786"/>
      <c r="E475" s="785"/>
      <c r="F475" s="787"/>
      <c r="G475" s="788"/>
      <c r="H475" s="283"/>
      <c r="I475" s="785"/>
      <c r="J475" s="786"/>
      <c r="K475" s="786"/>
      <c r="L475" s="786"/>
      <c r="M475" s="785"/>
      <c r="N475" s="787"/>
      <c r="O475" s="789"/>
    </row>
    <row r="476">
      <c r="A476" s="785"/>
      <c r="B476" s="786"/>
      <c r="C476" s="786"/>
      <c r="D476" s="786"/>
      <c r="E476" s="785"/>
      <c r="F476" s="787"/>
      <c r="G476" s="788"/>
      <c r="H476" s="283"/>
      <c r="I476" s="785"/>
      <c r="J476" s="786"/>
      <c r="K476" s="786"/>
      <c r="L476" s="786"/>
      <c r="M476" s="785"/>
      <c r="N476" s="787"/>
      <c r="O476" s="789"/>
    </row>
    <row r="477">
      <c r="A477" s="790" t="s">
        <v>711</v>
      </c>
      <c r="B477" s="791"/>
      <c r="C477" s="791"/>
      <c r="D477" s="792"/>
      <c r="E477" s="793">
        <f>SUM(E471:E476)</f>
        <v>3800</v>
      </c>
      <c r="F477" s="794"/>
      <c r="G477" s="793">
        <f>SUM(G471:G476)</f>
        <v>1425</v>
      </c>
      <c r="H477" s="283"/>
      <c r="I477" s="790" t="s">
        <v>711</v>
      </c>
      <c r="J477" s="791"/>
      <c r="K477" s="791"/>
      <c r="L477" s="792"/>
      <c r="M477" s="793">
        <f>SUM(M471:M476)</f>
        <v>2155</v>
      </c>
      <c r="N477" s="794"/>
      <c r="O477" s="793">
        <f>SUM(O471:O476)</f>
        <v>0</v>
      </c>
    </row>
    <row r="478">
      <c r="A478" s="796"/>
      <c r="D478" s="798"/>
      <c r="G478" s="799"/>
      <c r="H478" s="283"/>
      <c r="I478" s="796"/>
      <c r="L478" s="798"/>
      <c r="O478" s="799"/>
    </row>
    <row r="479">
      <c r="A479" s="800" t="s">
        <v>712</v>
      </c>
      <c r="B479" s="801"/>
      <c r="C479" s="802"/>
      <c r="G479" s="799"/>
      <c r="H479" s="283"/>
      <c r="I479" s="800" t="s">
        <v>712</v>
      </c>
      <c r="J479" s="803"/>
      <c r="K479" s="804"/>
      <c r="O479" s="799"/>
    </row>
    <row r="480">
      <c r="A480" s="867"/>
      <c r="B480" s="808"/>
      <c r="C480" s="809"/>
      <c r="G480" s="799"/>
      <c r="H480" s="283"/>
      <c r="I480" s="867"/>
      <c r="J480" s="808"/>
      <c r="K480" s="809"/>
      <c r="O480" s="799"/>
    </row>
    <row r="481">
      <c r="A481" s="868"/>
      <c r="B481" s="774"/>
      <c r="C481" s="816"/>
      <c r="G481" s="799"/>
      <c r="H481" s="283"/>
      <c r="I481" s="868"/>
      <c r="J481" s="774"/>
      <c r="K481" s="816"/>
      <c r="O481" s="799"/>
    </row>
    <row r="482">
      <c r="A482" s="815"/>
      <c r="B482" s="792"/>
      <c r="C482" s="816"/>
      <c r="G482" s="799"/>
      <c r="H482" s="283"/>
      <c r="I482" s="815"/>
      <c r="J482" s="792"/>
      <c r="K482" s="816"/>
      <c r="O482" s="799"/>
    </row>
    <row r="483">
      <c r="A483" s="817"/>
      <c r="B483" s="774"/>
      <c r="C483" s="818"/>
      <c r="G483" s="799"/>
      <c r="H483" s="283"/>
      <c r="I483" s="817"/>
      <c r="J483" s="774"/>
      <c r="K483" s="818"/>
      <c r="O483" s="799"/>
    </row>
    <row r="484">
      <c r="A484" s="817"/>
      <c r="B484" s="792"/>
      <c r="C484" s="818"/>
      <c r="G484" s="799"/>
      <c r="H484" s="283"/>
      <c r="I484" s="817"/>
      <c r="J484" s="792"/>
      <c r="K484" s="818"/>
      <c r="O484" s="799"/>
    </row>
    <row r="485">
      <c r="A485" s="821" t="s">
        <v>714</v>
      </c>
      <c r="B485" s="822"/>
      <c r="C485" s="823">
        <f>SUM(C480:C484)</f>
        <v>0</v>
      </c>
      <c r="G485" s="799"/>
      <c r="H485" s="283"/>
      <c r="I485" s="821" t="s">
        <v>714</v>
      </c>
      <c r="J485" s="826"/>
      <c r="K485" s="827"/>
      <c r="O485" s="799"/>
    </row>
    <row r="486">
      <c r="A486" s="828"/>
      <c r="C486" s="829"/>
      <c r="G486" s="799"/>
      <c r="H486" s="283"/>
      <c r="I486" s="828"/>
      <c r="K486" s="829"/>
      <c r="O486" s="799"/>
    </row>
    <row r="487">
      <c r="A487" s="830" t="s">
        <v>715</v>
      </c>
      <c r="B487" s="831"/>
      <c r="C487" s="832"/>
      <c r="G487" s="799"/>
      <c r="H487" s="283"/>
      <c r="I487" s="833" t="s">
        <v>715</v>
      </c>
      <c r="J487" s="834"/>
      <c r="K487" s="835"/>
      <c r="O487" s="799"/>
    </row>
    <row r="488">
      <c r="A488" s="836" t="s">
        <v>716</v>
      </c>
      <c r="B488" s="837"/>
      <c r="C488" s="838"/>
      <c r="G488" s="799"/>
      <c r="H488" s="283"/>
      <c r="I488" s="839"/>
      <c r="J488" s="840"/>
      <c r="K488" s="841"/>
      <c r="O488" s="799"/>
    </row>
    <row r="489">
      <c r="A489" s="842" t="s">
        <v>717</v>
      </c>
      <c r="B489" s="843"/>
      <c r="C489" s="844"/>
      <c r="D489" s="248"/>
      <c r="E489" s="845" t="s">
        <v>1182</v>
      </c>
      <c r="G489" s="846">
        <f>G477+C485-C494</f>
        <v>313.18</v>
      </c>
      <c r="H489" s="283"/>
      <c r="I489" s="847"/>
      <c r="J489" s="848"/>
      <c r="K489" s="849"/>
      <c r="L489" s="248"/>
      <c r="M489" s="845" t="s">
        <v>1183</v>
      </c>
      <c r="O489" s="846">
        <f>O477+K485-K494</f>
        <v>0</v>
      </c>
    </row>
    <row r="490">
      <c r="A490" s="836" t="s">
        <v>718</v>
      </c>
      <c r="B490" s="837"/>
      <c r="C490" s="838"/>
      <c r="G490" s="799"/>
      <c r="H490" s="283"/>
      <c r="I490" s="847"/>
      <c r="J490" s="848"/>
      <c r="K490" s="849"/>
      <c r="O490" s="799"/>
    </row>
    <row r="491">
      <c r="A491" s="842" t="s">
        <v>656</v>
      </c>
      <c r="B491" s="843"/>
      <c r="C491" s="844">
        <f>IFERROR(__xludf.DUMMYFUNCTION("FILTER($C$4:$C$30,$B$4:$B$30=E469)"),1111.82)</f>
        <v>1111.82</v>
      </c>
      <c r="G491" s="799"/>
      <c r="H491" s="283"/>
      <c r="I491" s="847"/>
      <c r="J491" s="848"/>
      <c r="K491" s="849"/>
      <c r="O491" s="799"/>
    </row>
    <row r="492">
      <c r="A492" s="1049"/>
      <c r="B492" s="840"/>
      <c r="C492" s="849"/>
      <c r="E492" s="248"/>
      <c r="G492" s="799"/>
      <c r="H492" s="283"/>
      <c r="I492" s="847"/>
      <c r="J492" s="848"/>
      <c r="K492" s="849"/>
      <c r="M492" s="248"/>
      <c r="O492" s="799"/>
    </row>
    <row r="493">
      <c r="A493" s="847"/>
      <c r="B493" s="848"/>
      <c r="C493" s="849"/>
      <c r="G493" s="799"/>
      <c r="H493" s="283"/>
      <c r="I493" s="847"/>
      <c r="J493" s="848"/>
      <c r="K493" s="849"/>
      <c r="O493" s="799"/>
    </row>
    <row r="494">
      <c r="A494" s="853" t="s">
        <v>721</v>
      </c>
      <c r="B494" s="854"/>
      <c r="C494" s="855">
        <f>SUM(C488:C493)</f>
        <v>1111.82</v>
      </c>
      <c r="G494" s="799"/>
      <c r="H494" s="283"/>
      <c r="I494" s="853" t="s">
        <v>721</v>
      </c>
      <c r="J494" s="854"/>
      <c r="K494" s="855"/>
      <c r="O494" s="799"/>
    </row>
    <row r="495">
      <c r="A495" s="856"/>
      <c r="B495" s="857"/>
      <c r="C495" s="857"/>
      <c r="D495" s="857"/>
      <c r="E495" s="857"/>
      <c r="F495" s="857"/>
      <c r="G495" s="808"/>
      <c r="H495" s="283"/>
      <c r="I495" s="856"/>
      <c r="J495" s="857"/>
      <c r="K495" s="857"/>
      <c r="L495" s="857"/>
      <c r="M495" s="857"/>
      <c r="N495" s="857"/>
      <c r="O495" s="808"/>
    </row>
    <row r="498">
      <c r="A498" s="769"/>
      <c r="B498" s="770"/>
      <c r="C498" s="770"/>
      <c r="D498" s="771" t="s">
        <v>700</v>
      </c>
      <c r="E498" s="772" t="str">
        <f>E126</f>
        <v>11.24.2025-11.30.2025</v>
      </c>
      <c r="F498" s="773"/>
      <c r="G498" s="774"/>
      <c r="H498" s="305">
        <v>13.0</v>
      </c>
      <c r="I498" s="769"/>
      <c r="J498" s="770"/>
      <c r="K498" s="770"/>
      <c r="L498" s="771" t="s">
        <v>700</v>
      </c>
      <c r="M498" s="772" t="str">
        <f>E126</f>
        <v>11.24.2025-11.30.2025</v>
      </c>
      <c r="N498" s="773"/>
      <c r="O498" s="774"/>
    </row>
    <row r="499">
      <c r="A499" s="775"/>
      <c r="D499" s="771" t="s">
        <v>702</v>
      </c>
      <c r="E499" s="772" t="s">
        <v>664</v>
      </c>
      <c r="F499" s="773"/>
      <c r="G499" s="774"/>
      <c r="H499" s="283"/>
      <c r="I499" s="775"/>
      <c r="L499" s="771" t="s">
        <v>351</v>
      </c>
      <c r="M499" s="772" t="str">
        <f t="array" ref="M499">XLOOKUP(M500,$L$1:$L$122,$K$1:$K$122)</f>
        <v>WOODBENS JOSIL</v>
      </c>
      <c r="N499" s="773"/>
      <c r="O499" s="774"/>
    </row>
    <row r="500">
      <c r="A500" s="775"/>
      <c r="D500" s="771" t="s">
        <v>703</v>
      </c>
      <c r="E500" s="772">
        <v>9348.0</v>
      </c>
      <c r="F500" s="773"/>
      <c r="G500" s="774"/>
      <c r="H500" s="283"/>
      <c r="I500" s="775"/>
      <c r="L500" s="771" t="s">
        <v>703</v>
      </c>
      <c r="M500" s="772">
        <f>E500</f>
        <v>9348</v>
      </c>
      <c r="N500" s="773"/>
      <c r="O500" s="774"/>
    </row>
    <row r="501">
      <c r="A501" s="779" t="s">
        <v>704</v>
      </c>
      <c r="B501" s="779" t="s">
        <v>5</v>
      </c>
      <c r="C501" s="779" t="s">
        <v>6</v>
      </c>
      <c r="D501" s="779" t="s">
        <v>7</v>
      </c>
      <c r="E501" s="779" t="s">
        <v>8</v>
      </c>
      <c r="F501" s="779" t="s">
        <v>706</v>
      </c>
      <c r="G501" s="779" t="s">
        <v>707</v>
      </c>
      <c r="H501" s="34"/>
      <c r="I501" s="779" t="s">
        <v>704</v>
      </c>
      <c r="J501" s="779" t="s">
        <v>5</v>
      </c>
      <c r="K501" s="779" t="s">
        <v>6</v>
      </c>
      <c r="L501" s="779" t="s">
        <v>7</v>
      </c>
      <c r="M501" s="779" t="s">
        <v>1178</v>
      </c>
      <c r="N501" s="779" t="s">
        <v>839</v>
      </c>
      <c r="O501" s="779" t="s">
        <v>707</v>
      </c>
    </row>
    <row r="502">
      <c r="A502" s="780">
        <f>IFERROR(__xludf.DUMMYFUNCTION("FILTER($D$3:$H$122,$L$3:$L$122=E500)"),45987.0)</f>
        <v>45987</v>
      </c>
      <c r="B502" s="781">
        <f>IFERROR(__xludf.DUMMYFUNCTION("""COMPUTED_VALUE"""),1.5486212E7)</f>
        <v>15486212</v>
      </c>
      <c r="C502" s="781" t="str">
        <f>IFERROR(__xludf.DUMMYFUNCTION("""COMPUTED_VALUE"""),"Yakima, WA, 98902")</f>
        <v>Yakima, WA, 98902</v>
      </c>
      <c r="D502" s="781" t="str">
        <f>IFERROR(__xludf.DUMMYFUNCTION("""COMPUTED_VALUE"""),"Plainville, MA, 02762")</f>
        <v>Plainville, MA, 02762</v>
      </c>
      <c r="E502" s="782">
        <f>IFERROR(__xludf.DUMMYFUNCTION("""COMPUTED_VALUE"""),5700.0)</f>
        <v>5700</v>
      </c>
      <c r="F502" s="783">
        <v>0.88</v>
      </c>
      <c r="G502" s="782">
        <f t="shared" ref="G502:G504" si="2">E502*F502</f>
        <v>5016</v>
      </c>
      <c r="H502" s="283"/>
      <c r="I502" s="780">
        <f>IFERROR(__xludf.DUMMYFUNCTION("FILTER($D$3:$G$122,$L$3:$L$122=M500)"),45987.0)</f>
        <v>45987</v>
      </c>
      <c r="J502" s="781">
        <f>IFERROR(__xludf.DUMMYFUNCTION("""COMPUTED_VALUE"""),1.5486212E7)</f>
        <v>15486212</v>
      </c>
      <c r="K502" s="781" t="str">
        <f>IFERROR(__xludf.DUMMYFUNCTION("""COMPUTED_VALUE"""),"Yakima, WA, 98902")</f>
        <v>Yakima, WA, 98902</v>
      </c>
      <c r="L502" s="781" t="str">
        <f>IFERROR(__xludf.DUMMYFUNCTION("""COMPUTED_VALUE"""),"Plainville, MA, 02762")</f>
        <v>Plainville, MA, 02762</v>
      </c>
      <c r="M502" s="880">
        <f>IFERROR(__xludf.DUMMYFUNCTION("FILTER($I$3:$I$122,$L$3:$L$122=M500)"),3029.0)</f>
        <v>3029</v>
      </c>
      <c r="N502" s="781">
        <v>0.65</v>
      </c>
      <c r="O502" s="782">
        <f t="shared" ref="O502:O504" si="3">M502*N502</f>
        <v>1968.85</v>
      </c>
    </row>
    <row r="503">
      <c r="A503" s="780">
        <f>IFERROR(__xludf.DUMMYFUNCTION("""COMPUTED_VALUE"""),45986.0)</f>
        <v>45986</v>
      </c>
      <c r="B503" s="781" t="str">
        <f>IFERROR(__xludf.DUMMYFUNCTION("""COMPUTED_VALUE"""),"3945526-1")</f>
        <v>3945526-1</v>
      </c>
      <c r="C503" s="781" t="str">
        <f>IFERROR(__xludf.DUMMYFUNCTION("""COMPUTED_VALUE"""),"Sugar City, ID, 83448")</f>
        <v>Sugar City, ID, 83448</v>
      </c>
      <c r="D503" s="781" t="str">
        <f>IFERROR(__xludf.DUMMYFUNCTION("""COMPUTED_VALUE"""),"Moro, OR, 97039")</f>
        <v>Moro, OR, 97039</v>
      </c>
      <c r="E503" s="782">
        <f>IFERROR(__xludf.DUMMYFUNCTION("""COMPUTED_VALUE"""),1650.0)</f>
        <v>1650</v>
      </c>
      <c r="F503" s="783">
        <v>0.88</v>
      </c>
      <c r="G503" s="782">
        <f t="shared" si="2"/>
        <v>1452</v>
      </c>
      <c r="H503" s="283"/>
      <c r="I503" s="881">
        <f>IFERROR(__xludf.DUMMYFUNCTION("""COMPUTED_VALUE"""),45986.0)</f>
        <v>45986</v>
      </c>
      <c r="J503" s="882" t="str">
        <f>IFERROR(__xludf.DUMMYFUNCTION("""COMPUTED_VALUE"""),"3945526-1")</f>
        <v>3945526-1</v>
      </c>
      <c r="K503" s="882" t="str">
        <f>IFERROR(__xludf.DUMMYFUNCTION("""COMPUTED_VALUE"""),"Sugar City, ID, 83448")</f>
        <v>Sugar City, ID, 83448</v>
      </c>
      <c r="L503" s="882" t="str">
        <f>IFERROR(__xludf.DUMMYFUNCTION("""COMPUTED_VALUE"""),"Moro, OR, 97039")</f>
        <v>Moro, OR, 97039</v>
      </c>
      <c r="M503" s="880">
        <f>IFERROR(__xludf.DUMMYFUNCTION("""COMPUTED_VALUE"""),871.0)</f>
        <v>871</v>
      </c>
      <c r="N503" s="781">
        <v>0.65</v>
      </c>
      <c r="O503" s="782">
        <f t="shared" si="3"/>
        <v>566.15</v>
      </c>
    </row>
    <row r="504">
      <c r="A504" s="883">
        <f>IFERROR(__xludf.DUMMYFUNCTION("""COMPUTED_VALUE"""),45985.0)</f>
        <v>45985</v>
      </c>
      <c r="B504" s="786" t="str">
        <f>IFERROR(__xludf.DUMMYFUNCTION("""COMPUTED_VALUE"""),"6MT0940")</f>
        <v>6MT0940</v>
      </c>
      <c r="C504" s="786" t="str">
        <f>IFERROR(__xludf.DUMMYFUNCTION("""COMPUTED_VALUE"""),"Commerce City, CO, 80022")</f>
        <v>Commerce City, CO, 80022</v>
      </c>
      <c r="D504" s="786" t="str">
        <f>IFERROR(__xludf.DUMMYFUNCTION("""COMPUTED_VALUE"""),"Clinton, UT, 84015")</f>
        <v>Clinton, UT, 84015</v>
      </c>
      <c r="E504" s="884">
        <f>IFERROR(__xludf.DUMMYFUNCTION("""COMPUTED_VALUE"""),816.0)</f>
        <v>816</v>
      </c>
      <c r="F504" s="783">
        <v>0.88</v>
      </c>
      <c r="G504" s="782">
        <f t="shared" si="2"/>
        <v>718.08</v>
      </c>
      <c r="H504" s="283"/>
      <c r="I504" s="883">
        <f>IFERROR(__xludf.DUMMYFUNCTION("""COMPUTED_VALUE"""),45985.0)</f>
        <v>45985</v>
      </c>
      <c r="J504" s="786" t="str">
        <f>IFERROR(__xludf.DUMMYFUNCTION("""COMPUTED_VALUE"""),"6MT0940")</f>
        <v>6MT0940</v>
      </c>
      <c r="K504" s="786" t="str">
        <f>IFERROR(__xludf.DUMMYFUNCTION("""COMPUTED_VALUE"""),"Commerce City, CO, 80022")</f>
        <v>Commerce City, CO, 80022</v>
      </c>
      <c r="L504" s="786" t="str">
        <f>IFERROR(__xludf.DUMMYFUNCTION("""COMPUTED_VALUE"""),"Clinton, UT, 84015")</f>
        <v>Clinton, UT, 84015</v>
      </c>
      <c r="M504" s="880">
        <f>IFERROR(__xludf.DUMMYFUNCTION("""COMPUTED_VALUE"""),562.0)</f>
        <v>562</v>
      </c>
      <c r="N504" s="781">
        <v>0.65</v>
      </c>
      <c r="O504" s="782">
        <f t="shared" si="3"/>
        <v>365.3</v>
      </c>
    </row>
    <row r="505">
      <c r="A505" s="785"/>
      <c r="B505" s="786"/>
      <c r="C505" s="786"/>
      <c r="D505" s="786"/>
      <c r="E505" s="785"/>
      <c r="F505" s="787"/>
      <c r="G505" s="782"/>
      <c r="H505" s="283"/>
      <c r="I505" s="785"/>
      <c r="J505" s="786"/>
      <c r="K505" s="786"/>
      <c r="L505" s="786"/>
      <c r="M505" s="785"/>
      <c r="N505" s="787"/>
      <c r="O505" s="789"/>
    </row>
    <row r="506">
      <c r="A506" s="785"/>
      <c r="B506" s="786"/>
      <c r="C506" s="786"/>
      <c r="D506" s="786"/>
      <c r="E506" s="785"/>
      <c r="F506" s="787"/>
      <c r="G506" s="788"/>
      <c r="H506" s="283"/>
      <c r="I506" s="785"/>
      <c r="J506" s="786"/>
      <c r="K506" s="786"/>
      <c r="L506" s="786"/>
      <c r="M506" s="785"/>
      <c r="N506" s="787"/>
      <c r="O506" s="789"/>
    </row>
    <row r="507">
      <c r="A507" s="785"/>
      <c r="B507" s="786"/>
      <c r="C507" s="786"/>
      <c r="D507" s="786"/>
      <c r="E507" s="785"/>
      <c r="F507" s="787"/>
      <c r="G507" s="788"/>
      <c r="H507" s="283"/>
      <c r="I507" s="785"/>
      <c r="J507" s="786"/>
      <c r="K507" s="786"/>
      <c r="L507" s="786"/>
      <c r="M507" s="785"/>
      <c r="N507" s="787"/>
      <c r="O507" s="789"/>
    </row>
    <row r="508">
      <c r="A508" s="790" t="s">
        <v>711</v>
      </c>
      <c r="B508" s="791"/>
      <c r="C508" s="791"/>
      <c r="D508" s="792"/>
      <c r="E508" s="793">
        <f>SUM(E502:E507)</f>
        <v>8166</v>
      </c>
      <c r="F508" s="794"/>
      <c r="G508" s="793">
        <f>SUM(G502:G507)</f>
        <v>7186.08</v>
      </c>
      <c r="H508" s="283"/>
      <c r="I508" s="790" t="s">
        <v>711</v>
      </c>
      <c r="J508" s="791"/>
      <c r="K508" s="791"/>
      <c r="L508" s="792"/>
      <c r="M508" s="877">
        <f>SUM(M502:M507)</f>
        <v>4462</v>
      </c>
      <c r="N508" s="794"/>
      <c r="O508" s="793">
        <f>SUM(O502:O507)</f>
        <v>2900.3</v>
      </c>
    </row>
    <row r="509">
      <c r="A509" s="796"/>
      <c r="D509" s="798"/>
      <c r="G509" s="799"/>
      <c r="H509" s="283"/>
      <c r="I509" s="796"/>
      <c r="L509" s="798"/>
      <c r="O509" s="799"/>
    </row>
    <row r="510">
      <c r="A510" s="800" t="s">
        <v>712</v>
      </c>
      <c r="B510" s="801"/>
      <c r="C510" s="802"/>
      <c r="G510" s="799"/>
      <c r="H510" s="283"/>
      <c r="I510" s="800" t="s">
        <v>712</v>
      </c>
      <c r="J510" s="803"/>
      <c r="K510" s="804"/>
      <c r="O510" s="799"/>
    </row>
    <row r="511">
      <c r="A511" s="867"/>
      <c r="B511" s="808"/>
      <c r="C511" s="809"/>
      <c r="G511" s="799"/>
      <c r="H511" s="283"/>
      <c r="I511" s="867"/>
      <c r="J511" s="808"/>
      <c r="K511" s="809"/>
      <c r="O511" s="799"/>
    </row>
    <row r="512">
      <c r="A512" s="868"/>
      <c r="B512" s="774"/>
      <c r="C512" s="816"/>
      <c r="G512" s="799"/>
      <c r="H512" s="283"/>
      <c r="I512" s="868"/>
      <c r="J512" s="774"/>
      <c r="K512" s="816"/>
      <c r="O512" s="799"/>
    </row>
    <row r="513">
      <c r="A513" s="815"/>
      <c r="B513" s="792"/>
      <c r="C513" s="816"/>
      <c r="G513" s="799"/>
      <c r="H513" s="283"/>
      <c r="I513" s="815"/>
      <c r="J513" s="792"/>
      <c r="K513" s="816"/>
      <c r="O513" s="799"/>
    </row>
    <row r="514">
      <c r="A514" s="817"/>
      <c r="B514" s="774"/>
      <c r="C514" s="818"/>
      <c r="G514" s="799"/>
      <c r="H514" s="283"/>
      <c r="I514" s="817"/>
      <c r="J514" s="774"/>
      <c r="K514" s="818"/>
      <c r="O514" s="799"/>
    </row>
    <row r="515">
      <c r="A515" s="817"/>
      <c r="B515" s="792"/>
      <c r="C515" s="818"/>
      <c r="G515" s="799"/>
      <c r="H515" s="283"/>
      <c r="I515" s="817"/>
      <c r="J515" s="792"/>
      <c r="K515" s="818"/>
      <c r="O515" s="799"/>
    </row>
    <row r="516">
      <c r="A516" s="821" t="s">
        <v>714</v>
      </c>
      <c r="B516" s="822"/>
      <c r="C516" s="823">
        <f>SUM(C511:C515)</f>
        <v>0</v>
      </c>
      <c r="G516" s="799"/>
      <c r="H516" s="283"/>
      <c r="I516" s="821" t="s">
        <v>714</v>
      </c>
      <c r="J516" s="826"/>
      <c r="K516" s="827"/>
      <c r="O516" s="799"/>
    </row>
    <row r="517">
      <c r="A517" s="828"/>
      <c r="C517" s="829"/>
      <c r="G517" s="799"/>
      <c r="H517" s="283"/>
      <c r="I517" s="828"/>
      <c r="K517" s="829"/>
      <c r="O517" s="799"/>
    </row>
    <row r="518">
      <c r="A518" s="830" t="s">
        <v>715</v>
      </c>
      <c r="B518" s="831"/>
      <c r="C518" s="832"/>
      <c r="G518" s="799"/>
      <c r="H518" s="283"/>
      <c r="I518" s="833" t="s">
        <v>715</v>
      </c>
      <c r="J518" s="834"/>
      <c r="K518" s="835"/>
      <c r="O518" s="799"/>
    </row>
    <row r="519">
      <c r="A519" s="836" t="s">
        <v>716</v>
      </c>
      <c r="B519" s="837"/>
      <c r="C519" s="838">
        <v>150.0</v>
      </c>
      <c r="G519" s="799"/>
      <c r="H519" s="283"/>
      <c r="I519" s="839"/>
      <c r="J519" s="840"/>
      <c r="K519" s="841"/>
      <c r="O519" s="799"/>
    </row>
    <row r="520">
      <c r="A520" s="842" t="s">
        <v>717</v>
      </c>
      <c r="B520" s="843"/>
      <c r="C520" s="844">
        <v>400.0</v>
      </c>
      <c r="D520" s="248"/>
      <c r="E520" s="845" t="s">
        <v>1182</v>
      </c>
      <c r="G520" s="846">
        <f>G508+C516-C525</f>
        <v>3665.7</v>
      </c>
      <c r="H520" s="283"/>
      <c r="I520" s="847"/>
      <c r="J520" s="848"/>
      <c r="K520" s="849"/>
      <c r="L520" s="248"/>
      <c r="M520" s="845" t="s">
        <v>1183</v>
      </c>
      <c r="O520" s="846">
        <f>O508+K516-K525</f>
        <v>2900.3</v>
      </c>
    </row>
    <row r="521">
      <c r="A521" s="836" t="s">
        <v>718</v>
      </c>
      <c r="B521" s="837"/>
      <c r="C521" s="838">
        <v>200.0</v>
      </c>
      <c r="G521" s="799"/>
      <c r="H521" s="283"/>
      <c r="I521" s="847"/>
      <c r="J521" s="848"/>
      <c r="K521" s="849"/>
      <c r="O521" s="799"/>
    </row>
    <row r="522">
      <c r="A522" s="842" t="s">
        <v>656</v>
      </c>
      <c r="B522" s="843"/>
      <c r="C522" s="844">
        <f>IFERROR(__xludf.DUMMYFUNCTION("FILTER($C$4:$C$30,$B$4:$B$30=E500)"),2770.38)</f>
        <v>2770.38</v>
      </c>
      <c r="G522" s="799"/>
      <c r="H522" s="283"/>
      <c r="I522" s="847"/>
      <c r="J522" s="848"/>
      <c r="K522" s="849"/>
      <c r="O522" s="799"/>
    </row>
    <row r="523">
      <c r="A523" s="1049"/>
      <c r="B523" s="840"/>
      <c r="C523" s="849"/>
      <c r="E523" s="248"/>
      <c r="G523" s="799"/>
      <c r="H523" s="283"/>
      <c r="I523" s="847"/>
      <c r="J523" s="848"/>
      <c r="K523" s="849"/>
      <c r="M523" s="248"/>
      <c r="O523" s="799"/>
    </row>
    <row r="524">
      <c r="A524" s="847"/>
      <c r="B524" s="848"/>
      <c r="C524" s="849"/>
      <c r="G524" s="799"/>
      <c r="H524" s="283"/>
      <c r="I524" s="847"/>
      <c r="J524" s="848"/>
      <c r="K524" s="849"/>
      <c r="O524" s="799"/>
    </row>
    <row r="525">
      <c r="A525" s="853" t="s">
        <v>721</v>
      </c>
      <c r="B525" s="854"/>
      <c r="C525" s="855">
        <f>SUM(C519:C524)</f>
        <v>3520.38</v>
      </c>
      <c r="G525" s="799"/>
      <c r="H525" s="283"/>
      <c r="I525" s="853" t="s">
        <v>721</v>
      </c>
      <c r="J525" s="854"/>
      <c r="K525" s="855"/>
      <c r="O525" s="799"/>
    </row>
    <row r="526">
      <c r="A526" s="856"/>
      <c r="B526" s="857"/>
      <c r="C526" s="857"/>
      <c r="D526" s="857"/>
      <c r="E526" s="857"/>
      <c r="F526" s="857"/>
      <c r="G526" s="808"/>
      <c r="H526" s="283"/>
      <c r="I526" s="856"/>
      <c r="J526" s="857"/>
      <c r="K526" s="857"/>
      <c r="L526" s="857"/>
      <c r="M526" s="857"/>
      <c r="N526" s="857"/>
      <c r="O526" s="808"/>
    </row>
    <row r="529">
      <c r="A529" s="769"/>
      <c r="B529" s="770"/>
      <c r="C529" s="770"/>
      <c r="D529" s="771" t="s">
        <v>700</v>
      </c>
      <c r="E529" s="772" t="str">
        <f>E126</f>
        <v>11.24.2025-11.30.2025</v>
      </c>
      <c r="F529" s="773"/>
      <c r="G529" s="774"/>
      <c r="H529" s="305">
        <v>14.0</v>
      </c>
      <c r="I529" s="769"/>
      <c r="J529" s="770"/>
      <c r="K529" s="770"/>
      <c r="L529" s="771" t="s">
        <v>700</v>
      </c>
      <c r="M529" s="772" t="str">
        <f>E126</f>
        <v>11.24.2025-11.30.2025</v>
      </c>
      <c r="N529" s="773"/>
      <c r="O529" s="774"/>
    </row>
    <row r="530">
      <c r="A530" s="775"/>
      <c r="D530" s="771" t="s">
        <v>702</v>
      </c>
      <c r="E530" s="772" t="s">
        <v>679</v>
      </c>
      <c r="F530" s="773"/>
      <c r="G530" s="774"/>
      <c r="H530" s="283"/>
      <c r="I530" s="775"/>
      <c r="L530" s="771" t="s">
        <v>351</v>
      </c>
      <c r="M530" s="772" t="str">
        <f t="array" ref="M530">XLOOKUP(M531,$L$1:$L$122,$K$1:$K$122)</f>
        <v>Ahmed Mehdi</v>
      </c>
      <c r="N530" s="773"/>
      <c r="O530" s="774"/>
    </row>
    <row r="531">
      <c r="A531" s="775"/>
      <c r="D531" s="771" t="s">
        <v>703</v>
      </c>
      <c r="E531" s="778" t="s">
        <v>540</v>
      </c>
      <c r="F531" s="773"/>
      <c r="G531" s="774"/>
      <c r="H531" s="283"/>
      <c r="I531" s="775"/>
      <c r="L531" s="771" t="s">
        <v>703</v>
      </c>
      <c r="M531" s="772" t="str">
        <f>E531</f>
        <v>0514</v>
      </c>
      <c r="N531" s="773"/>
      <c r="O531" s="774"/>
    </row>
    <row r="532">
      <c r="A532" s="779" t="s">
        <v>704</v>
      </c>
      <c r="B532" s="779" t="s">
        <v>5</v>
      </c>
      <c r="C532" s="779" t="s">
        <v>6</v>
      </c>
      <c r="D532" s="779" t="s">
        <v>7</v>
      </c>
      <c r="E532" s="779" t="s">
        <v>8</v>
      </c>
      <c r="F532" s="779" t="s">
        <v>706</v>
      </c>
      <c r="G532" s="779" t="s">
        <v>707</v>
      </c>
      <c r="H532" s="34"/>
      <c r="I532" s="779" t="s">
        <v>704</v>
      </c>
      <c r="J532" s="779" t="s">
        <v>5</v>
      </c>
      <c r="K532" s="779" t="s">
        <v>6</v>
      </c>
      <c r="L532" s="779" t="s">
        <v>7</v>
      </c>
      <c r="M532" s="779" t="s">
        <v>1178</v>
      </c>
      <c r="N532" s="779" t="s">
        <v>839</v>
      </c>
      <c r="O532" s="779" t="s">
        <v>707</v>
      </c>
    </row>
    <row r="533">
      <c r="A533" s="780" t="str">
        <f>IFERROR(__xludf.DUMMYFUNCTION("FILTER($D$3:$H$122,$L$3:$L$122=E531)"),"")</f>
        <v/>
      </c>
      <c r="B533" s="781"/>
      <c r="C533" s="781"/>
      <c r="D533" s="781"/>
      <c r="E533" s="782"/>
      <c r="F533" s="783">
        <v>1.0</v>
      </c>
      <c r="G533" s="782">
        <f>E533*F533</f>
        <v>0</v>
      </c>
      <c r="H533" s="283"/>
      <c r="I533" s="883" t="str">
        <f>IFERROR(__xludf.DUMMYFUNCTION("FILTER($D$3:$G$122,$L$3:$L$122=M531)"),"")</f>
        <v/>
      </c>
      <c r="J533" s="786"/>
      <c r="K533" s="786"/>
      <c r="L533" s="786"/>
      <c r="M533" s="880" t="str">
        <f>IFERROR(__xludf.DUMMYFUNCTION("FILTER($I$3:$I$122,$L$3:$L$122=M531)"),"")</f>
        <v/>
      </c>
      <c r="N533" s="861">
        <v>0.65</v>
      </c>
      <c r="O533" s="863">
        <f>M533*N533</f>
        <v>0</v>
      </c>
    </row>
    <row r="534">
      <c r="A534" s="780"/>
      <c r="B534" s="781"/>
      <c r="C534" s="781"/>
      <c r="D534" s="781"/>
      <c r="E534" s="782"/>
      <c r="F534" s="783"/>
      <c r="G534" s="782"/>
      <c r="H534" s="283"/>
      <c r="I534" s="883"/>
      <c r="J534" s="786"/>
      <c r="K534" s="786"/>
      <c r="L534" s="786"/>
      <c r="M534" s="880"/>
      <c r="N534" s="1052"/>
      <c r="O534" s="1035"/>
    </row>
    <row r="535">
      <c r="A535" s="785"/>
      <c r="B535" s="786"/>
      <c r="C535" s="786"/>
      <c r="D535" s="786"/>
      <c r="E535" s="785"/>
      <c r="F535" s="787"/>
      <c r="G535" s="788"/>
      <c r="H535" s="283"/>
      <c r="I535" s="883"/>
      <c r="J535" s="786"/>
      <c r="K535" s="786"/>
      <c r="L535" s="786"/>
      <c r="M535" s="880"/>
      <c r="N535" s="1052"/>
      <c r="O535" s="1035"/>
    </row>
    <row r="536">
      <c r="A536" s="785"/>
      <c r="B536" s="786"/>
      <c r="C536" s="786"/>
      <c r="D536" s="786"/>
      <c r="E536" s="785"/>
      <c r="F536" s="787"/>
      <c r="G536" s="788"/>
      <c r="H536" s="283"/>
      <c r="I536" s="883"/>
      <c r="J536" s="786"/>
      <c r="K536" s="786"/>
      <c r="L536" s="786"/>
      <c r="M536" s="880"/>
      <c r="N536" s="1052"/>
      <c r="O536" s="1035"/>
    </row>
    <row r="537">
      <c r="A537" s="785"/>
      <c r="B537" s="786"/>
      <c r="C537" s="786"/>
      <c r="D537" s="786"/>
      <c r="E537" s="785"/>
      <c r="F537" s="787"/>
      <c r="G537" s="788"/>
      <c r="H537" s="283"/>
      <c r="I537" s="785"/>
      <c r="J537" s="786"/>
      <c r="K537" s="786"/>
      <c r="L537" s="786"/>
      <c r="M537" s="785"/>
      <c r="N537" s="787"/>
      <c r="O537" s="789"/>
    </row>
    <row r="538">
      <c r="A538" s="785"/>
      <c r="B538" s="786"/>
      <c r="C538" s="786"/>
      <c r="D538" s="786"/>
      <c r="E538" s="785"/>
      <c r="F538" s="787"/>
      <c r="G538" s="788"/>
      <c r="H538" s="283"/>
      <c r="I538" s="785"/>
      <c r="J538" s="786"/>
      <c r="K538" s="786"/>
      <c r="L538" s="786"/>
      <c r="M538" s="785"/>
      <c r="N538" s="787"/>
      <c r="O538" s="789"/>
    </row>
    <row r="539">
      <c r="A539" s="790" t="s">
        <v>711</v>
      </c>
      <c r="B539" s="791"/>
      <c r="C539" s="791"/>
      <c r="D539" s="792"/>
      <c r="E539" s="793">
        <f>SUM(E533:E538)</f>
        <v>0</v>
      </c>
      <c r="F539" s="794"/>
      <c r="G539" s="793">
        <f>SUM(G533:G538)</f>
        <v>0</v>
      </c>
      <c r="H539" s="283"/>
      <c r="I539" s="790" t="s">
        <v>711</v>
      </c>
      <c r="J539" s="791"/>
      <c r="K539" s="791"/>
      <c r="L539" s="792"/>
      <c r="M539" s="877">
        <f>SUM(M533:M538)</f>
        <v>0</v>
      </c>
      <c r="N539" s="794"/>
      <c r="O539" s="793">
        <f>SUM(O533:O538)</f>
        <v>0</v>
      </c>
    </row>
    <row r="540">
      <c r="A540" s="796"/>
      <c r="D540" s="798"/>
      <c r="G540" s="799"/>
      <c r="H540" s="283"/>
      <c r="I540" s="796"/>
      <c r="L540" s="798"/>
      <c r="O540" s="799"/>
    </row>
    <row r="541">
      <c r="A541" s="800" t="s">
        <v>712</v>
      </c>
      <c r="B541" s="801"/>
      <c r="C541" s="802"/>
      <c r="G541" s="799"/>
      <c r="H541" s="283"/>
      <c r="I541" s="800" t="s">
        <v>712</v>
      </c>
      <c r="J541" s="803"/>
      <c r="K541" s="804"/>
      <c r="O541" s="799"/>
    </row>
    <row r="542">
      <c r="A542" s="867"/>
      <c r="B542" s="808"/>
      <c r="C542" s="809"/>
      <c r="G542" s="799"/>
      <c r="H542" s="283"/>
      <c r="I542" s="867"/>
      <c r="J542" s="808"/>
      <c r="K542" s="809"/>
      <c r="O542" s="799"/>
    </row>
    <row r="543">
      <c r="A543" s="868"/>
      <c r="B543" s="774"/>
      <c r="C543" s="816"/>
      <c r="G543" s="799"/>
      <c r="H543" s="283"/>
      <c r="I543" s="868"/>
      <c r="J543" s="774"/>
      <c r="K543" s="816"/>
      <c r="O543" s="799"/>
    </row>
    <row r="544">
      <c r="A544" s="815"/>
      <c r="B544" s="792"/>
      <c r="C544" s="816"/>
      <c r="G544" s="799"/>
      <c r="H544" s="283"/>
      <c r="I544" s="815"/>
      <c r="J544" s="792"/>
      <c r="K544" s="816"/>
      <c r="O544" s="799"/>
    </row>
    <row r="545">
      <c r="A545" s="817"/>
      <c r="B545" s="774"/>
      <c r="C545" s="818"/>
      <c r="G545" s="799"/>
      <c r="H545" s="283"/>
      <c r="I545" s="817"/>
      <c r="J545" s="774"/>
      <c r="K545" s="818"/>
      <c r="O545" s="799"/>
    </row>
    <row r="546">
      <c r="A546" s="817"/>
      <c r="B546" s="792"/>
      <c r="C546" s="818"/>
      <c r="G546" s="799"/>
      <c r="H546" s="283"/>
      <c r="I546" s="817"/>
      <c r="J546" s="792"/>
      <c r="K546" s="818"/>
      <c r="O546" s="799"/>
    </row>
    <row r="547">
      <c r="A547" s="821" t="s">
        <v>714</v>
      </c>
      <c r="B547" s="822"/>
      <c r="C547" s="823">
        <f>SUM(C542:C546)</f>
        <v>0</v>
      </c>
      <c r="G547" s="799"/>
      <c r="H547" s="283"/>
      <c r="I547" s="821" t="s">
        <v>714</v>
      </c>
      <c r="J547" s="826"/>
      <c r="K547" s="827"/>
      <c r="O547" s="799"/>
    </row>
    <row r="548">
      <c r="A548" s="828"/>
      <c r="C548" s="829"/>
      <c r="G548" s="799"/>
      <c r="H548" s="283"/>
      <c r="I548" s="828"/>
      <c r="K548" s="829"/>
      <c r="O548" s="799"/>
    </row>
    <row r="549">
      <c r="A549" s="830" t="s">
        <v>715</v>
      </c>
      <c r="B549" s="831"/>
      <c r="C549" s="832"/>
      <c r="G549" s="799"/>
      <c r="H549" s="283"/>
      <c r="I549" s="833" t="s">
        <v>715</v>
      </c>
      <c r="J549" s="834"/>
      <c r="K549" s="835"/>
      <c r="O549" s="799"/>
    </row>
    <row r="550">
      <c r="A550" s="836" t="s">
        <v>716</v>
      </c>
      <c r="B550" s="837"/>
      <c r="C550" s="838"/>
      <c r="G550" s="799"/>
      <c r="H550" s="283"/>
      <c r="I550" s="839"/>
      <c r="J550" s="840"/>
      <c r="K550" s="841"/>
      <c r="O550" s="799"/>
    </row>
    <row r="551">
      <c r="A551" s="842" t="s">
        <v>717</v>
      </c>
      <c r="B551" s="843"/>
      <c r="C551" s="844"/>
      <c r="D551" s="248"/>
      <c r="E551" s="845" t="s">
        <v>1182</v>
      </c>
      <c r="G551" s="846" t="str">
        <f>G539+C547-C556</f>
        <v>#N/A</v>
      </c>
      <c r="H551" s="283"/>
      <c r="I551" s="847"/>
      <c r="J551" s="848"/>
      <c r="K551" s="849"/>
      <c r="L551" s="248"/>
      <c r="M551" s="845" t="s">
        <v>1183</v>
      </c>
      <c r="O551" s="846">
        <f>O539+K547-K556</f>
        <v>0</v>
      </c>
    </row>
    <row r="552">
      <c r="A552" s="836" t="s">
        <v>718</v>
      </c>
      <c r="B552" s="837"/>
      <c r="C552" s="838"/>
      <c r="G552" s="799"/>
      <c r="H552" s="283"/>
      <c r="I552" s="847"/>
      <c r="J552" s="848"/>
      <c r="K552" s="849"/>
      <c r="O552" s="799"/>
    </row>
    <row r="553">
      <c r="A553" s="842" t="s">
        <v>656</v>
      </c>
      <c r="B553" s="843"/>
      <c r="C553" s="844" t="str">
        <f>IFERROR(__xludf.DUMMYFUNCTION("FILTER($C$4:$C$30,$B$4:$B$30=E531)"),"#N/A")</f>
        <v>#N/A</v>
      </c>
      <c r="G553" s="799"/>
      <c r="H553" s="283"/>
      <c r="I553" s="847"/>
      <c r="J553" s="848"/>
      <c r="K553" s="849"/>
      <c r="O553" s="799"/>
    </row>
    <row r="554">
      <c r="A554" s="1049"/>
      <c r="B554" s="840"/>
      <c r="C554" s="849"/>
      <c r="E554" s="248"/>
      <c r="G554" s="799"/>
      <c r="H554" s="283"/>
      <c r="I554" s="847"/>
      <c r="J554" s="848"/>
      <c r="K554" s="849"/>
      <c r="M554" s="248"/>
      <c r="O554" s="799"/>
    </row>
    <row r="555">
      <c r="A555" s="847"/>
      <c r="B555" s="848"/>
      <c r="C555" s="849"/>
      <c r="G555" s="799"/>
      <c r="H555" s="283"/>
      <c r="I555" s="847"/>
      <c r="J555" s="848"/>
      <c r="K555" s="849"/>
      <c r="O555" s="799"/>
    </row>
    <row r="556">
      <c r="A556" s="853" t="s">
        <v>721</v>
      </c>
      <c r="B556" s="854"/>
      <c r="C556" s="855" t="str">
        <f>SUM(C550:C555)</f>
        <v>#N/A</v>
      </c>
      <c r="G556" s="799"/>
      <c r="H556" s="283"/>
      <c r="I556" s="853" t="s">
        <v>721</v>
      </c>
      <c r="J556" s="854"/>
      <c r="K556" s="855"/>
      <c r="O556" s="799"/>
    </row>
    <row r="557">
      <c r="A557" s="856"/>
      <c r="B557" s="857"/>
      <c r="C557" s="857"/>
      <c r="D557" s="857"/>
      <c r="E557" s="857"/>
      <c r="F557" s="857"/>
      <c r="G557" s="808"/>
      <c r="H557" s="283"/>
      <c r="I557" s="856"/>
      <c r="J557" s="857"/>
      <c r="K557" s="857"/>
      <c r="L557" s="857"/>
      <c r="M557" s="857"/>
      <c r="N557" s="857"/>
      <c r="O557" s="808"/>
    </row>
    <row r="560">
      <c r="A560" s="769"/>
      <c r="B560" s="770"/>
      <c r="C560" s="770"/>
      <c r="D560" s="771" t="s">
        <v>700</v>
      </c>
      <c r="E560" s="772" t="str">
        <f>E126</f>
        <v>11.24.2025-11.30.2025</v>
      </c>
      <c r="F560" s="773"/>
      <c r="G560" s="774"/>
      <c r="H560" s="305">
        <v>15.0</v>
      </c>
      <c r="I560" s="769"/>
      <c r="J560" s="770"/>
      <c r="K560" s="770"/>
      <c r="L560" s="771" t="s">
        <v>700</v>
      </c>
      <c r="M560" s="772" t="str">
        <f>E126</f>
        <v>11.24.2025-11.30.2025</v>
      </c>
      <c r="N560" s="773"/>
      <c r="O560" s="774"/>
    </row>
    <row r="561">
      <c r="A561" s="775"/>
      <c r="D561" s="771" t="s">
        <v>702</v>
      </c>
      <c r="E561" s="772" t="s">
        <v>679</v>
      </c>
      <c r="F561" s="773"/>
      <c r="G561" s="774"/>
      <c r="H561" s="283"/>
      <c r="I561" s="775"/>
      <c r="L561" s="771" t="s">
        <v>351</v>
      </c>
      <c r="M561" s="772" t="str">
        <f t="array" ref="M561">XLOOKUP(M562,$L$1:$L$122,$K$1:$K$122)</f>
        <v>Ahmed Mehdi</v>
      </c>
      <c r="N561" s="773"/>
      <c r="O561" s="774"/>
    </row>
    <row r="562">
      <c r="A562" s="775"/>
      <c r="D562" s="771" t="s">
        <v>703</v>
      </c>
      <c r="E562" s="778" t="s">
        <v>540</v>
      </c>
      <c r="F562" s="773"/>
      <c r="G562" s="774"/>
      <c r="H562" s="283"/>
      <c r="I562" s="775"/>
      <c r="L562" s="771" t="s">
        <v>703</v>
      </c>
      <c r="M562" s="772" t="str">
        <f>E562</f>
        <v>0514</v>
      </c>
      <c r="N562" s="773"/>
      <c r="O562" s="774"/>
    </row>
    <row r="563">
      <c r="A563" s="779" t="s">
        <v>704</v>
      </c>
      <c r="B563" s="779" t="s">
        <v>5</v>
      </c>
      <c r="C563" s="779" t="s">
        <v>6</v>
      </c>
      <c r="D563" s="779" t="s">
        <v>7</v>
      </c>
      <c r="E563" s="779" t="s">
        <v>8</v>
      </c>
      <c r="F563" s="779" t="s">
        <v>706</v>
      </c>
      <c r="G563" s="779" t="s">
        <v>707</v>
      </c>
      <c r="H563" s="34"/>
      <c r="I563" s="779" t="s">
        <v>704</v>
      </c>
      <c r="J563" s="779" t="s">
        <v>5</v>
      </c>
      <c r="K563" s="779" t="s">
        <v>6</v>
      </c>
      <c r="L563" s="779" t="s">
        <v>7</v>
      </c>
      <c r="M563" s="779" t="s">
        <v>1178</v>
      </c>
      <c r="N563" s="779" t="s">
        <v>839</v>
      </c>
      <c r="O563" s="779" t="s">
        <v>707</v>
      </c>
    </row>
    <row r="564">
      <c r="A564" s="780" t="str">
        <f>IFERROR(__xludf.DUMMYFUNCTION("FILTER($D$3:$H$122,$L$3:$L$122=E562)"),"")</f>
        <v/>
      </c>
      <c r="B564" s="781"/>
      <c r="C564" s="781"/>
      <c r="D564" s="781"/>
      <c r="E564" s="782"/>
      <c r="F564" s="783">
        <v>1.0</v>
      </c>
      <c r="G564" s="782">
        <f>E564*F564</f>
        <v>0</v>
      </c>
      <c r="H564" s="283"/>
      <c r="I564" s="780" t="str">
        <f>IFERROR(__xludf.DUMMYFUNCTION("FILTER($D$3:$G$122,$L$3:$L$122=M562)"),"")</f>
        <v/>
      </c>
      <c r="J564" s="781"/>
      <c r="K564" s="781"/>
      <c r="L564" s="781"/>
      <c r="M564" s="880" t="str">
        <f>IFERROR(__xludf.DUMMYFUNCTION("FILTER($I$3:$I$122,$L$3:$L$122=M562)"),"")</f>
        <v/>
      </c>
      <c r="N564" s="781">
        <v>0.65</v>
      </c>
      <c r="O564" s="782">
        <f>M564*N564</f>
        <v>0</v>
      </c>
    </row>
    <row r="565">
      <c r="A565" s="780"/>
      <c r="B565" s="781"/>
      <c r="C565" s="781"/>
      <c r="D565" s="781"/>
      <c r="E565" s="782"/>
      <c r="F565" s="783"/>
      <c r="G565" s="782"/>
      <c r="H565" s="283"/>
      <c r="I565" s="881"/>
      <c r="J565" s="882"/>
      <c r="K565" s="882"/>
      <c r="L565" s="882"/>
      <c r="M565" s="880"/>
      <c r="N565" s="1053"/>
      <c r="O565" s="1054"/>
    </row>
    <row r="566">
      <c r="A566" s="785"/>
      <c r="B566" s="786"/>
      <c r="C566" s="786"/>
      <c r="D566" s="786"/>
      <c r="E566" s="785"/>
      <c r="F566" s="787"/>
      <c r="G566" s="788"/>
      <c r="H566" s="283"/>
      <c r="I566" s="785"/>
      <c r="J566" s="786"/>
      <c r="K566" s="786"/>
      <c r="L566" s="786"/>
      <c r="M566" s="785"/>
      <c r="N566" s="787"/>
      <c r="O566" s="789"/>
    </row>
    <row r="567">
      <c r="A567" s="785"/>
      <c r="B567" s="786"/>
      <c r="C567" s="786"/>
      <c r="D567" s="786"/>
      <c r="E567" s="785"/>
      <c r="F567" s="787"/>
      <c r="G567" s="788"/>
      <c r="H567" s="283"/>
      <c r="I567" s="785"/>
      <c r="J567" s="786"/>
      <c r="K567" s="786"/>
      <c r="L567" s="786"/>
      <c r="M567" s="785"/>
      <c r="N567" s="787"/>
      <c r="O567" s="789"/>
    </row>
    <row r="568">
      <c r="A568" s="785"/>
      <c r="B568" s="786"/>
      <c r="C568" s="786"/>
      <c r="D568" s="786"/>
      <c r="E568" s="785"/>
      <c r="F568" s="787"/>
      <c r="G568" s="788"/>
      <c r="H568" s="283"/>
      <c r="I568" s="785"/>
      <c r="J568" s="786"/>
      <c r="K568" s="786"/>
      <c r="L568" s="786"/>
      <c r="M568" s="785"/>
      <c r="N568" s="787"/>
      <c r="O568" s="789"/>
    </row>
    <row r="569">
      <c r="A569" s="785"/>
      <c r="B569" s="786"/>
      <c r="C569" s="786"/>
      <c r="D569" s="786"/>
      <c r="E569" s="785"/>
      <c r="F569" s="787"/>
      <c r="G569" s="788"/>
      <c r="H569" s="283"/>
      <c r="I569" s="785"/>
      <c r="J569" s="786"/>
      <c r="K569" s="786"/>
      <c r="L569" s="786"/>
      <c r="M569" s="785"/>
      <c r="N569" s="787"/>
      <c r="O569" s="789"/>
    </row>
    <row r="570">
      <c r="A570" s="790" t="s">
        <v>711</v>
      </c>
      <c r="B570" s="791"/>
      <c r="C570" s="791"/>
      <c r="D570" s="792"/>
      <c r="E570" s="793">
        <f>SUM(E564:E569)</f>
        <v>0</v>
      </c>
      <c r="F570" s="794"/>
      <c r="G570" s="793">
        <f>SUM(G564:G569)</f>
        <v>0</v>
      </c>
      <c r="H570" s="283"/>
      <c r="I570" s="790" t="s">
        <v>711</v>
      </c>
      <c r="J570" s="791"/>
      <c r="K570" s="791"/>
      <c r="L570" s="792"/>
      <c r="M570" s="877">
        <f>SUM(M564:M569)</f>
        <v>0</v>
      </c>
      <c r="N570" s="794"/>
      <c r="O570" s="793">
        <f>SUM(O564:O569)</f>
        <v>0</v>
      </c>
    </row>
    <row r="571">
      <c r="A571" s="796"/>
      <c r="D571" s="798"/>
      <c r="G571" s="799"/>
      <c r="H571" s="283"/>
      <c r="I571" s="796"/>
      <c r="L571" s="798"/>
      <c r="O571" s="799"/>
    </row>
    <row r="572">
      <c r="A572" s="800" t="s">
        <v>712</v>
      </c>
      <c r="B572" s="801"/>
      <c r="C572" s="802"/>
      <c r="G572" s="799"/>
      <c r="H572" s="283"/>
      <c r="I572" s="800" t="s">
        <v>712</v>
      </c>
      <c r="J572" s="803"/>
      <c r="K572" s="804"/>
      <c r="O572" s="799"/>
    </row>
    <row r="573">
      <c r="A573" s="867"/>
      <c r="B573" s="808"/>
      <c r="C573" s="809"/>
      <c r="G573" s="799"/>
      <c r="H573" s="283"/>
      <c r="I573" s="867"/>
      <c r="J573" s="808"/>
      <c r="K573" s="809"/>
      <c r="O573" s="799"/>
    </row>
    <row r="574">
      <c r="A574" s="868"/>
      <c r="B574" s="774"/>
      <c r="C574" s="816"/>
      <c r="G574" s="799"/>
      <c r="H574" s="283"/>
      <c r="I574" s="868"/>
      <c r="J574" s="774"/>
      <c r="K574" s="816"/>
      <c r="O574" s="799"/>
    </row>
    <row r="575">
      <c r="A575" s="815"/>
      <c r="B575" s="792"/>
      <c r="C575" s="816"/>
      <c r="G575" s="799"/>
      <c r="H575" s="283"/>
      <c r="I575" s="815"/>
      <c r="J575" s="792"/>
      <c r="K575" s="816"/>
      <c r="O575" s="799"/>
    </row>
    <row r="576">
      <c r="A576" s="817"/>
      <c r="B576" s="774"/>
      <c r="C576" s="818"/>
      <c r="G576" s="799"/>
      <c r="H576" s="283"/>
      <c r="I576" s="817"/>
      <c r="J576" s="774"/>
      <c r="K576" s="818"/>
      <c r="O576" s="799"/>
    </row>
    <row r="577">
      <c r="A577" s="817"/>
      <c r="B577" s="792"/>
      <c r="C577" s="818"/>
      <c r="G577" s="799"/>
      <c r="H577" s="283"/>
      <c r="I577" s="817"/>
      <c r="J577" s="792"/>
      <c r="K577" s="818"/>
      <c r="O577" s="799"/>
    </row>
    <row r="578">
      <c r="A578" s="821" t="s">
        <v>714</v>
      </c>
      <c r="B578" s="822"/>
      <c r="C578" s="823">
        <f>SUM(C573:C577)</f>
        <v>0</v>
      </c>
      <c r="G578" s="799"/>
      <c r="H578" s="283"/>
      <c r="I578" s="821" t="s">
        <v>714</v>
      </c>
      <c r="J578" s="826"/>
      <c r="K578" s="827"/>
      <c r="O578" s="799"/>
    </row>
    <row r="579">
      <c r="A579" s="828"/>
      <c r="C579" s="829"/>
      <c r="G579" s="799"/>
      <c r="H579" s="283"/>
      <c r="I579" s="828"/>
      <c r="K579" s="829"/>
      <c r="O579" s="799"/>
    </row>
    <row r="580">
      <c r="A580" s="830" t="s">
        <v>715</v>
      </c>
      <c r="B580" s="831"/>
      <c r="C580" s="832"/>
      <c r="G580" s="799"/>
      <c r="H580" s="283"/>
      <c r="I580" s="833" t="s">
        <v>715</v>
      </c>
      <c r="J580" s="834"/>
      <c r="K580" s="835"/>
      <c r="O580" s="799"/>
    </row>
    <row r="581">
      <c r="A581" s="836" t="s">
        <v>716</v>
      </c>
      <c r="B581" s="837"/>
      <c r="C581" s="838"/>
      <c r="G581" s="799"/>
      <c r="H581" s="283"/>
      <c r="I581" s="839"/>
      <c r="J581" s="840"/>
      <c r="K581" s="841"/>
      <c r="O581" s="799"/>
    </row>
    <row r="582">
      <c r="A582" s="842" t="s">
        <v>717</v>
      </c>
      <c r="B582" s="843"/>
      <c r="C582" s="844"/>
      <c r="D582" s="248"/>
      <c r="E582" s="845" t="s">
        <v>1182</v>
      </c>
      <c r="G582" s="846" t="str">
        <f>G570+C578-C587</f>
        <v>#N/A</v>
      </c>
      <c r="H582" s="283"/>
      <c r="I582" s="847"/>
      <c r="J582" s="848"/>
      <c r="K582" s="849"/>
      <c r="L582" s="248"/>
      <c r="M582" s="845" t="s">
        <v>1183</v>
      </c>
      <c r="O582" s="846">
        <f>O570+K578-K587</f>
        <v>0</v>
      </c>
    </row>
    <row r="583">
      <c r="A583" s="836" t="s">
        <v>718</v>
      </c>
      <c r="B583" s="837"/>
      <c r="C583" s="838"/>
      <c r="G583" s="799"/>
      <c r="H583" s="283"/>
      <c r="I583" s="847"/>
      <c r="J583" s="848"/>
      <c r="K583" s="849"/>
      <c r="O583" s="799"/>
    </row>
    <row r="584">
      <c r="A584" s="842" t="s">
        <v>656</v>
      </c>
      <c r="B584" s="843"/>
      <c r="C584" s="844" t="str">
        <f>IFERROR(__xludf.DUMMYFUNCTION("FILTER($C$4:$C$30,$B$4:$B$30=E562)"),"#N/A")</f>
        <v>#N/A</v>
      </c>
      <c r="G584" s="799"/>
      <c r="H584" s="283"/>
      <c r="I584" s="847"/>
      <c r="J584" s="848"/>
      <c r="K584" s="849"/>
      <c r="O584" s="799"/>
    </row>
    <row r="585">
      <c r="A585" s="1049"/>
      <c r="B585" s="840"/>
      <c r="C585" s="849"/>
      <c r="E585" s="248"/>
      <c r="G585" s="799"/>
      <c r="H585" s="283"/>
      <c r="I585" s="847"/>
      <c r="J585" s="848"/>
      <c r="K585" s="849"/>
      <c r="M585" s="248"/>
      <c r="O585" s="799"/>
    </row>
    <row r="586">
      <c r="A586" s="847"/>
      <c r="B586" s="848"/>
      <c r="C586" s="849"/>
      <c r="G586" s="799"/>
      <c r="H586" s="283"/>
      <c r="I586" s="847"/>
      <c r="J586" s="848"/>
      <c r="K586" s="849"/>
      <c r="O586" s="799"/>
    </row>
    <row r="587">
      <c r="A587" s="853" t="s">
        <v>721</v>
      </c>
      <c r="B587" s="854"/>
      <c r="C587" s="855" t="str">
        <f>SUM(C581:C586)</f>
        <v>#N/A</v>
      </c>
      <c r="G587" s="799"/>
      <c r="H587" s="283"/>
      <c r="I587" s="853" t="s">
        <v>721</v>
      </c>
      <c r="J587" s="854"/>
      <c r="K587" s="855"/>
      <c r="O587" s="799"/>
    </row>
    <row r="588">
      <c r="A588" s="856"/>
      <c r="B588" s="857"/>
      <c r="C588" s="857"/>
      <c r="D588" s="857"/>
      <c r="E588" s="857"/>
      <c r="F588" s="857"/>
      <c r="G588" s="808"/>
      <c r="H588" s="283"/>
      <c r="I588" s="856"/>
      <c r="J588" s="857"/>
      <c r="K588" s="857"/>
      <c r="L588" s="857"/>
      <c r="M588" s="857"/>
      <c r="N588" s="857"/>
      <c r="O588" s="808"/>
    </row>
    <row r="591">
      <c r="A591" s="769"/>
      <c r="B591" s="770"/>
      <c r="C591" s="770"/>
      <c r="D591" s="771" t="s">
        <v>700</v>
      </c>
      <c r="E591" s="772" t="str">
        <f>E126</f>
        <v>11.24.2025-11.30.2025</v>
      </c>
      <c r="F591" s="773"/>
      <c r="G591" s="774"/>
      <c r="H591" s="305">
        <v>16.0</v>
      </c>
      <c r="I591" s="769"/>
      <c r="J591" s="770"/>
      <c r="K591" s="770"/>
      <c r="L591" s="771" t="s">
        <v>700</v>
      </c>
      <c r="M591" s="772" t="str">
        <f>E126</f>
        <v>11.24.2025-11.30.2025</v>
      </c>
      <c r="N591" s="773"/>
      <c r="O591" s="774"/>
    </row>
    <row r="592">
      <c r="A592" s="775"/>
      <c r="D592" s="771" t="s">
        <v>702</v>
      </c>
      <c r="E592" s="772" t="s">
        <v>1489</v>
      </c>
      <c r="F592" s="773"/>
      <c r="G592" s="774"/>
      <c r="H592" s="283"/>
      <c r="I592" s="775"/>
      <c r="L592" s="771" t="s">
        <v>351</v>
      </c>
      <c r="M592" s="772" t="str">
        <f t="array" ref="M592">XLOOKUP(M593,$L$1:$L$122,$K$1:$K$122)</f>
        <v>WILLIE HAMPTON ANDERSON</v>
      </c>
      <c r="N592" s="773"/>
      <c r="O592" s="774"/>
    </row>
    <row r="593">
      <c r="A593" s="775"/>
      <c r="D593" s="771" t="s">
        <v>703</v>
      </c>
      <c r="E593" s="772">
        <v>2675.0</v>
      </c>
      <c r="F593" s="773"/>
      <c r="G593" s="774"/>
      <c r="H593" s="283"/>
      <c r="I593" s="775"/>
      <c r="L593" s="771" t="s">
        <v>703</v>
      </c>
      <c r="M593" s="772">
        <f>E593</f>
        <v>2675</v>
      </c>
      <c r="N593" s="773"/>
      <c r="O593" s="774"/>
    </row>
    <row r="594">
      <c r="A594" s="779" t="s">
        <v>704</v>
      </c>
      <c r="B594" s="779" t="s">
        <v>5</v>
      </c>
      <c r="C594" s="779" t="s">
        <v>6</v>
      </c>
      <c r="D594" s="779" t="s">
        <v>7</v>
      </c>
      <c r="E594" s="779" t="s">
        <v>8</v>
      </c>
      <c r="F594" s="779" t="s">
        <v>706</v>
      </c>
      <c r="G594" s="779" t="s">
        <v>707</v>
      </c>
      <c r="H594" s="34"/>
      <c r="I594" s="779" t="s">
        <v>704</v>
      </c>
      <c r="J594" s="779" t="s">
        <v>5</v>
      </c>
      <c r="K594" s="779" t="s">
        <v>6</v>
      </c>
      <c r="L594" s="779" t="s">
        <v>7</v>
      </c>
      <c r="M594" s="779" t="s">
        <v>1178</v>
      </c>
      <c r="N594" s="779" t="s">
        <v>839</v>
      </c>
      <c r="O594" s="779" t="s">
        <v>707</v>
      </c>
    </row>
    <row r="595">
      <c r="A595" s="780">
        <f>IFERROR(__xludf.DUMMYFUNCTION("FILTER($D$3:$H$122,$L$3:$L$122=E593)"),45990.0)</f>
        <v>45990</v>
      </c>
      <c r="B595" s="781">
        <f>IFERROR(__xludf.DUMMYFUNCTION("""COMPUTED_VALUE"""),14256.0)</f>
        <v>14256</v>
      </c>
      <c r="C595" s="781" t="str">
        <f>IFERROR(__xludf.DUMMYFUNCTION("""COMPUTED_VALUE"""),"New Windsor, NY, 12553")</f>
        <v>New Windsor, NY, 12553</v>
      </c>
      <c r="D595" s="781" t="str">
        <f>IFERROR(__xludf.DUMMYFUNCTION("""COMPUTED_VALUE"""),"Columbus, OH, 43215")</f>
        <v>Columbus, OH, 43215</v>
      </c>
      <c r="E595" s="782">
        <f>IFERROR(__xludf.DUMMYFUNCTION("""COMPUTED_VALUE"""),700.0)</f>
        <v>700</v>
      </c>
      <c r="F595" s="783">
        <v>0.88</v>
      </c>
      <c r="G595" s="782">
        <f>E595*F595</f>
        <v>616</v>
      </c>
      <c r="H595" s="283"/>
      <c r="I595" s="780">
        <f>IFERROR(__xludf.DUMMYFUNCTION("FILTER($D$3:$G$122,$L$3:$L$122=M593)"),45990.0)</f>
        <v>45990</v>
      </c>
      <c r="J595" s="781">
        <f>IFERROR(__xludf.DUMMYFUNCTION("""COMPUTED_VALUE"""),14256.0)</f>
        <v>14256</v>
      </c>
      <c r="K595" s="781" t="str">
        <f>IFERROR(__xludf.DUMMYFUNCTION("""COMPUTED_VALUE"""),"New Windsor, NY, 12553")</f>
        <v>New Windsor, NY, 12553</v>
      </c>
      <c r="L595" s="781" t="str">
        <f>IFERROR(__xludf.DUMMYFUNCTION("""COMPUTED_VALUE"""),"Columbus, OH, 43215")</f>
        <v>Columbus, OH, 43215</v>
      </c>
      <c r="M595" s="880">
        <f>IFERROR(__xludf.DUMMYFUNCTION("FILTER($I$3:$I$122,$L$3:$L$122=M593)"),680.0)</f>
        <v>680</v>
      </c>
      <c r="N595" s="781">
        <v>0.65</v>
      </c>
      <c r="O595" s="782">
        <f>M595*N595</f>
        <v>442</v>
      </c>
    </row>
    <row r="596">
      <c r="A596" s="780">
        <f>IFERROR(__xludf.DUMMYFUNCTION("""COMPUTED_VALUE"""),45990.0)</f>
        <v>45990</v>
      </c>
      <c r="B596" s="781">
        <f>IFERROR(__xludf.DUMMYFUNCTION("""COMPUTED_VALUE"""),12639.0)</f>
        <v>12639</v>
      </c>
      <c r="C596" s="781" t="str">
        <f>IFERROR(__xludf.DUMMYFUNCTION("""COMPUTED_VALUE"""),"West Jefferson, OH, 43162")</f>
        <v>West Jefferson, OH, 43162</v>
      </c>
      <c r="D596" s="781" t="str">
        <f>IFERROR(__xludf.DUMMYFUNCTION("""COMPUTED_VALUE"""),"Naples, FL, 34104")</f>
        <v>Naples, FL, 34104</v>
      </c>
      <c r="E596" s="782">
        <f>IFERROR(__xludf.DUMMYFUNCTION("""COMPUTED_VALUE"""),3000.0)</f>
        <v>3000</v>
      </c>
      <c r="F596" s="783"/>
      <c r="G596" s="782"/>
      <c r="H596" s="283"/>
      <c r="I596" s="780">
        <f>IFERROR(__xludf.DUMMYFUNCTION("""COMPUTED_VALUE"""),45990.0)</f>
        <v>45990</v>
      </c>
      <c r="J596" s="781">
        <f>IFERROR(__xludf.DUMMYFUNCTION("""COMPUTED_VALUE"""),12639.0)</f>
        <v>12639</v>
      </c>
      <c r="K596" s="781" t="str">
        <f>IFERROR(__xludf.DUMMYFUNCTION("""COMPUTED_VALUE"""),"West Jefferson, OH, 43162")</f>
        <v>West Jefferson, OH, 43162</v>
      </c>
      <c r="L596" s="781" t="str">
        <f>IFERROR(__xludf.DUMMYFUNCTION("""COMPUTED_VALUE"""),"Naples, FL, 34104")</f>
        <v>Naples, FL, 34104</v>
      </c>
      <c r="M596" s="782">
        <f>IFERROR(__xludf.DUMMYFUNCTION("""COMPUTED_VALUE"""),1872.33)</f>
        <v>1872.33</v>
      </c>
      <c r="N596" s="783"/>
      <c r="O596" s="789"/>
    </row>
    <row r="597">
      <c r="A597" s="883">
        <f>IFERROR(__xludf.DUMMYFUNCTION("""COMPUTED_VALUE"""),45987.0)</f>
        <v>45987</v>
      </c>
      <c r="B597" s="786" t="str">
        <f>IFERROR(__xludf.DUMMYFUNCTION("""COMPUTED_VALUE"""),"6MN4999")</f>
        <v>6MN4999</v>
      </c>
      <c r="C597" s="786" t="str">
        <f>IFERROR(__xludf.DUMMYFUNCTION("""COMPUTED_VALUE"""),"Shippensburg, PA, 17257")</f>
        <v>Shippensburg, PA, 17257</v>
      </c>
      <c r="D597" s="786" t="str">
        <f>IFERROR(__xludf.DUMMYFUNCTION("""COMPUTED_VALUE"""),"Windsor Locks, CT, 06096")</f>
        <v>Windsor Locks, CT, 06096</v>
      </c>
      <c r="E597" s="884">
        <f>IFERROR(__xludf.DUMMYFUNCTION("""COMPUTED_VALUE"""),1200.0)</f>
        <v>1200</v>
      </c>
      <c r="F597" s="787"/>
      <c r="G597" s="788"/>
      <c r="H597" s="283"/>
      <c r="I597" s="883">
        <f>IFERROR(__xludf.DUMMYFUNCTION("""COMPUTED_VALUE"""),45987.0)</f>
        <v>45987</v>
      </c>
      <c r="J597" s="786" t="str">
        <f>IFERROR(__xludf.DUMMYFUNCTION("""COMPUTED_VALUE"""),"6MN4999")</f>
        <v>6MN4999</v>
      </c>
      <c r="K597" s="786" t="str">
        <f>IFERROR(__xludf.DUMMYFUNCTION("""COMPUTED_VALUE"""),"Shippensburg, PA, 17257")</f>
        <v>Shippensburg, PA, 17257</v>
      </c>
      <c r="L597" s="786" t="str">
        <f>IFERROR(__xludf.DUMMYFUNCTION("""COMPUTED_VALUE"""),"Windsor Locks, CT, 06096")</f>
        <v>Windsor Locks, CT, 06096</v>
      </c>
      <c r="M597" s="880">
        <f>IFERROR(__xludf.DUMMYFUNCTION("""COMPUTED_VALUE"""),429.0)</f>
        <v>429</v>
      </c>
      <c r="N597" s="787"/>
      <c r="O597" s="789"/>
    </row>
    <row r="598">
      <c r="A598" s="883">
        <f>IFERROR(__xludf.DUMMYFUNCTION("""COMPUTED_VALUE"""),45986.0)</f>
        <v>45986</v>
      </c>
      <c r="B598" s="786">
        <f>IFERROR(__xludf.DUMMYFUNCTION("""COMPUTED_VALUE"""),120482.0)</f>
        <v>120482</v>
      </c>
      <c r="C598" s="786" t="str">
        <f>IFERROR(__xludf.DUMMYFUNCTION("""COMPUTED_VALUE"""),"Ironton, OH, 45638")</f>
        <v>Ironton, OH, 45638</v>
      </c>
      <c r="D598" s="786" t="str">
        <f>IFERROR(__xludf.DUMMYFUNCTION("""COMPUTED_VALUE"""),"Sterling, VA, 20166")</f>
        <v>Sterling, VA, 20166</v>
      </c>
      <c r="E598" s="884">
        <f>IFERROR(__xludf.DUMMYFUNCTION("""COMPUTED_VALUE"""),1800.0)</f>
        <v>1800</v>
      </c>
      <c r="F598" s="787"/>
      <c r="G598" s="788"/>
      <c r="H598" s="283"/>
      <c r="I598" s="883">
        <f>IFERROR(__xludf.DUMMYFUNCTION("""COMPUTED_VALUE"""),45986.0)</f>
        <v>45986</v>
      </c>
      <c r="J598" s="786">
        <f>IFERROR(__xludf.DUMMYFUNCTION("""COMPUTED_VALUE"""),120482.0)</f>
        <v>120482</v>
      </c>
      <c r="K598" s="786" t="str">
        <f>IFERROR(__xludf.DUMMYFUNCTION("""COMPUTED_VALUE"""),"Ironton, OH, 45638")</f>
        <v>Ironton, OH, 45638</v>
      </c>
      <c r="L598" s="786" t="str">
        <f>IFERROR(__xludf.DUMMYFUNCTION("""COMPUTED_VALUE"""),"Sterling, VA, 20166")</f>
        <v>Sterling, VA, 20166</v>
      </c>
      <c r="M598" s="880">
        <f>IFERROR(__xludf.DUMMYFUNCTION("""COMPUTED_VALUE"""),434.0)</f>
        <v>434</v>
      </c>
      <c r="N598" s="787"/>
      <c r="O598" s="789"/>
    </row>
    <row r="599">
      <c r="A599" s="883">
        <f>IFERROR(__xludf.DUMMYFUNCTION("""COMPUTED_VALUE"""),45985.0)</f>
        <v>45985</v>
      </c>
      <c r="B599" s="786">
        <f>IFERROR(__xludf.DUMMYFUNCTION("""COMPUTED_VALUE"""),4.0115064E7)</f>
        <v>40115064</v>
      </c>
      <c r="C599" s="786" t="str">
        <f>IFERROR(__xludf.DUMMYFUNCTION("""COMPUTED_VALUE"""),"Easton, PA, 18064")</f>
        <v>Easton, PA, 18064</v>
      </c>
      <c r="D599" s="786" t="str">
        <f>IFERROR(__xludf.DUMMYFUNCTION("""COMPUTED_VALUE"""),"Huntington, WV, 25701")</f>
        <v>Huntington, WV, 25701</v>
      </c>
      <c r="E599" s="884">
        <f>IFERROR(__xludf.DUMMYFUNCTION("""COMPUTED_VALUE"""),1200.0)</f>
        <v>1200</v>
      </c>
      <c r="F599" s="787"/>
      <c r="G599" s="788"/>
      <c r="H599" s="283"/>
      <c r="I599" s="883">
        <f>IFERROR(__xludf.DUMMYFUNCTION("""COMPUTED_VALUE"""),45985.0)</f>
        <v>45985</v>
      </c>
      <c r="J599" s="786">
        <f>IFERROR(__xludf.DUMMYFUNCTION("""COMPUTED_VALUE"""),4.0115064E7)</f>
        <v>40115064</v>
      </c>
      <c r="K599" s="786" t="str">
        <f>IFERROR(__xludf.DUMMYFUNCTION("""COMPUTED_VALUE"""),"Easton, PA, 18064")</f>
        <v>Easton, PA, 18064</v>
      </c>
      <c r="L599" s="786" t="str">
        <f>IFERROR(__xludf.DUMMYFUNCTION("""COMPUTED_VALUE"""),"Huntington, WV, 25701")</f>
        <v>Huntington, WV, 25701</v>
      </c>
      <c r="M599" s="880">
        <f>IFERROR(__xludf.DUMMYFUNCTION("""COMPUTED_VALUE"""),598.0)</f>
        <v>598</v>
      </c>
      <c r="N599" s="787"/>
      <c r="O599" s="789"/>
    </row>
    <row r="600">
      <c r="A600" s="785"/>
      <c r="B600" s="786"/>
      <c r="C600" s="786"/>
      <c r="D600" s="786"/>
      <c r="E600" s="785"/>
      <c r="F600" s="787"/>
      <c r="G600" s="788"/>
      <c r="H600" s="283"/>
      <c r="I600" s="785"/>
      <c r="J600" s="786"/>
      <c r="K600" s="786"/>
      <c r="L600" s="786"/>
      <c r="M600" s="785"/>
      <c r="N600" s="787"/>
      <c r="O600" s="789"/>
    </row>
    <row r="601">
      <c r="A601" s="790" t="s">
        <v>711</v>
      </c>
      <c r="B601" s="791"/>
      <c r="C601" s="791"/>
      <c r="D601" s="792"/>
      <c r="E601" s="793">
        <f>SUM(E595:E600)</f>
        <v>7900</v>
      </c>
      <c r="F601" s="794"/>
      <c r="G601" s="793">
        <f>SUM(G595:G600)</f>
        <v>616</v>
      </c>
      <c r="H601" s="283"/>
      <c r="I601" s="790" t="s">
        <v>711</v>
      </c>
      <c r="J601" s="791"/>
      <c r="K601" s="791"/>
      <c r="L601" s="792"/>
      <c r="M601" s="877">
        <f>SUM(M595:M600)</f>
        <v>4013.33</v>
      </c>
      <c r="N601" s="794"/>
      <c r="O601" s="793">
        <f>SUM(O595:O600)</f>
        <v>442</v>
      </c>
    </row>
    <row r="602">
      <c r="A602" s="796"/>
      <c r="D602" s="798"/>
      <c r="G602" s="799"/>
      <c r="H602" s="283"/>
      <c r="I602" s="796"/>
      <c r="L602" s="798"/>
      <c r="O602" s="799"/>
    </row>
    <row r="603">
      <c r="A603" s="800" t="s">
        <v>712</v>
      </c>
      <c r="B603" s="801"/>
      <c r="C603" s="802"/>
      <c r="G603" s="799"/>
      <c r="H603" s="283"/>
      <c r="I603" s="800" t="s">
        <v>712</v>
      </c>
      <c r="J603" s="803"/>
      <c r="K603" s="804"/>
      <c r="O603" s="799"/>
    </row>
    <row r="604">
      <c r="A604" s="867"/>
      <c r="B604" s="808"/>
      <c r="C604" s="809"/>
      <c r="G604" s="799"/>
      <c r="H604" s="283"/>
      <c r="I604" s="867"/>
      <c r="J604" s="808"/>
      <c r="K604" s="809"/>
      <c r="O604" s="799"/>
    </row>
    <row r="605">
      <c r="A605" s="868"/>
      <c r="B605" s="774"/>
      <c r="C605" s="816"/>
      <c r="G605" s="799"/>
      <c r="H605" s="283"/>
      <c r="I605" s="868"/>
      <c r="J605" s="774"/>
      <c r="K605" s="816"/>
      <c r="O605" s="799"/>
    </row>
    <row r="606">
      <c r="A606" s="815"/>
      <c r="B606" s="792"/>
      <c r="C606" s="816"/>
      <c r="G606" s="799"/>
      <c r="H606" s="283"/>
      <c r="I606" s="815"/>
      <c r="J606" s="792"/>
      <c r="K606" s="816"/>
      <c r="O606" s="799"/>
    </row>
    <row r="607">
      <c r="A607" s="817"/>
      <c r="B607" s="774"/>
      <c r="C607" s="818"/>
      <c r="G607" s="799"/>
      <c r="H607" s="283"/>
      <c r="I607" s="817"/>
      <c r="J607" s="774"/>
      <c r="K607" s="818"/>
      <c r="O607" s="799"/>
    </row>
    <row r="608">
      <c r="A608" s="817"/>
      <c r="B608" s="792"/>
      <c r="C608" s="818"/>
      <c r="G608" s="799"/>
      <c r="H608" s="283"/>
      <c r="I608" s="817"/>
      <c r="J608" s="792"/>
      <c r="K608" s="818"/>
      <c r="O608" s="799"/>
    </row>
    <row r="609">
      <c r="A609" s="821" t="s">
        <v>714</v>
      </c>
      <c r="B609" s="822"/>
      <c r="C609" s="823">
        <f>SUM(C604:C608)</f>
        <v>0</v>
      </c>
      <c r="G609" s="799"/>
      <c r="H609" s="283"/>
      <c r="I609" s="821" t="s">
        <v>714</v>
      </c>
      <c r="J609" s="826"/>
      <c r="K609" s="827"/>
      <c r="O609" s="799"/>
    </row>
    <row r="610">
      <c r="A610" s="828"/>
      <c r="C610" s="829"/>
      <c r="G610" s="799"/>
      <c r="H610" s="283"/>
      <c r="I610" s="828"/>
      <c r="K610" s="829"/>
      <c r="O610" s="799"/>
    </row>
    <row r="611">
      <c r="A611" s="830" t="s">
        <v>715</v>
      </c>
      <c r="B611" s="831"/>
      <c r="C611" s="832"/>
      <c r="G611" s="799"/>
      <c r="H611" s="283"/>
      <c r="I611" s="833" t="s">
        <v>715</v>
      </c>
      <c r="J611" s="834"/>
      <c r="K611" s="835"/>
      <c r="O611" s="799"/>
    </row>
    <row r="612">
      <c r="A612" s="836" t="s">
        <v>716</v>
      </c>
      <c r="B612" s="837"/>
      <c r="C612" s="838">
        <v>150.0</v>
      </c>
      <c r="G612" s="799"/>
      <c r="H612" s="283"/>
      <c r="I612" s="839"/>
      <c r="J612" s="840"/>
      <c r="K612" s="841"/>
      <c r="O612" s="799"/>
    </row>
    <row r="613">
      <c r="A613" s="842" t="s">
        <v>717</v>
      </c>
      <c r="B613" s="843"/>
      <c r="C613" s="844">
        <v>400.0</v>
      </c>
      <c r="D613" s="248"/>
      <c r="E613" s="845" t="s">
        <v>1182</v>
      </c>
      <c r="G613" s="846">
        <f>G601+C609-C618</f>
        <v>-2744.76</v>
      </c>
      <c r="H613" s="283"/>
      <c r="I613" s="847"/>
      <c r="J613" s="848"/>
      <c r="K613" s="849"/>
      <c r="L613" s="248"/>
      <c r="M613" s="845" t="s">
        <v>1183</v>
      </c>
      <c r="O613" s="846">
        <f>O601+K609-K618</f>
        <v>442</v>
      </c>
    </row>
    <row r="614">
      <c r="A614" s="836" t="s">
        <v>718</v>
      </c>
      <c r="B614" s="837"/>
      <c r="C614" s="838">
        <v>200.0</v>
      </c>
      <c r="G614" s="799"/>
      <c r="H614" s="283"/>
      <c r="I614" s="847"/>
      <c r="J614" s="848"/>
      <c r="K614" s="849"/>
      <c r="O614" s="799"/>
    </row>
    <row r="615">
      <c r="A615" s="842" t="s">
        <v>656</v>
      </c>
      <c r="B615" s="843"/>
      <c r="C615" s="844">
        <f>IFERROR(__xludf.DUMMYFUNCTION("FILTER($C$4:$C$30,$B$4:$B$30=E593)"),2610.76)</f>
        <v>2610.76</v>
      </c>
      <c r="G615" s="799"/>
      <c r="H615" s="283"/>
      <c r="I615" s="847"/>
      <c r="J615" s="848"/>
      <c r="K615" s="849"/>
      <c r="O615" s="799"/>
    </row>
    <row r="616">
      <c r="A616" s="1049"/>
      <c r="B616" s="840"/>
      <c r="C616" s="849"/>
      <c r="E616" s="248"/>
      <c r="G616" s="799"/>
      <c r="H616" s="283"/>
      <c r="I616" s="847"/>
      <c r="J616" s="848"/>
      <c r="K616" s="849"/>
      <c r="M616" s="248"/>
      <c r="O616" s="799"/>
    </row>
    <row r="617">
      <c r="A617" s="847"/>
      <c r="B617" s="848"/>
      <c r="C617" s="849"/>
      <c r="G617" s="799"/>
      <c r="H617" s="283"/>
      <c r="I617" s="847"/>
      <c r="J617" s="848"/>
      <c r="K617" s="849"/>
      <c r="O617" s="799"/>
    </row>
    <row r="618">
      <c r="A618" s="853" t="s">
        <v>721</v>
      </c>
      <c r="B618" s="854"/>
      <c r="C618" s="855">
        <f>SUM(C612:C617)</f>
        <v>3360.76</v>
      </c>
      <c r="G618" s="799"/>
      <c r="H618" s="283"/>
      <c r="I618" s="853" t="s">
        <v>721</v>
      </c>
      <c r="J618" s="854"/>
      <c r="K618" s="855"/>
      <c r="O618" s="799"/>
    </row>
    <row r="619">
      <c r="A619" s="856"/>
      <c r="B619" s="857"/>
      <c r="C619" s="857"/>
      <c r="D619" s="857"/>
      <c r="E619" s="857"/>
      <c r="F619" s="857"/>
      <c r="G619" s="808"/>
      <c r="H619" s="283"/>
      <c r="I619" s="856"/>
      <c r="J619" s="857"/>
      <c r="K619" s="857"/>
      <c r="L619" s="857"/>
      <c r="M619" s="857"/>
      <c r="N619" s="857"/>
      <c r="O619" s="808"/>
    </row>
    <row r="622">
      <c r="A622" s="769"/>
      <c r="B622" s="770"/>
      <c r="C622" s="770"/>
      <c r="D622" s="771" t="s">
        <v>700</v>
      </c>
      <c r="E622" s="772" t="str">
        <f>E126</f>
        <v>11.24.2025-11.30.2025</v>
      </c>
      <c r="F622" s="773"/>
      <c r="G622" s="774"/>
      <c r="H622" s="305">
        <v>17.0</v>
      </c>
      <c r="I622" s="769"/>
      <c r="J622" s="770"/>
      <c r="K622" s="770"/>
      <c r="L622" s="771" t="s">
        <v>700</v>
      </c>
      <c r="M622" s="772" t="str">
        <f>E126</f>
        <v>11.24.2025-11.30.2025</v>
      </c>
      <c r="N622" s="773"/>
      <c r="O622" s="774"/>
    </row>
    <row r="623">
      <c r="A623" s="775"/>
      <c r="D623" s="771" t="s">
        <v>702</v>
      </c>
      <c r="E623" s="772" t="s">
        <v>682</v>
      </c>
      <c r="F623" s="773"/>
      <c r="G623" s="774"/>
      <c r="H623" s="283"/>
      <c r="I623" s="775"/>
      <c r="L623" s="771" t="s">
        <v>351</v>
      </c>
      <c r="M623" s="772" t="str">
        <f t="array" ref="M623">XLOOKUP(M624,$L$1:$L$122,$K$1:$K$122)</f>
        <v>YVENSO BOSQUET</v>
      </c>
      <c r="N623" s="773"/>
      <c r="O623" s="774"/>
    </row>
    <row r="624">
      <c r="A624" s="775"/>
      <c r="D624" s="771" t="s">
        <v>703</v>
      </c>
      <c r="E624" s="772">
        <v>3301.0</v>
      </c>
      <c r="F624" s="773"/>
      <c r="G624" s="774"/>
      <c r="H624" s="283"/>
      <c r="I624" s="775"/>
      <c r="L624" s="771" t="s">
        <v>703</v>
      </c>
      <c r="M624" s="772">
        <f>E624</f>
        <v>3301</v>
      </c>
      <c r="N624" s="773"/>
      <c r="O624" s="774"/>
    </row>
    <row r="625">
      <c r="A625" s="779" t="s">
        <v>704</v>
      </c>
      <c r="B625" s="779" t="s">
        <v>5</v>
      </c>
      <c r="C625" s="779" t="s">
        <v>6</v>
      </c>
      <c r="D625" s="779" t="s">
        <v>7</v>
      </c>
      <c r="E625" s="779" t="s">
        <v>8</v>
      </c>
      <c r="F625" s="779" t="s">
        <v>706</v>
      </c>
      <c r="G625" s="779" t="s">
        <v>707</v>
      </c>
      <c r="H625" s="34"/>
      <c r="I625" s="779" t="s">
        <v>704</v>
      </c>
      <c r="J625" s="779" t="s">
        <v>5</v>
      </c>
      <c r="K625" s="779" t="s">
        <v>6</v>
      </c>
      <c r="L625" s="779" t="s">
        <v>7</v>
      </c>
      <c r="M625" s="779" t="s">
        <v>1178</v>
      </c>
      <c r="N625" s="779" t="s">
        <v>839</v>
      </c>
      <c r="O625" s="779" t="s">
        <v>707</v>
      </c>
    </row>
    <row r="626">
      <c r="A626" s="780">
        <f>IFERROR(__xludf.DUMMYFUNCTION("FILTER($D$3:$H$122,$L$3:$L$122=E624)"),45990.0)</f>
        <v>45990</v>
      </c>
      <c r="B626" s="781" t="str">
        <f>IFERROR(__xludf.DUMMYFUNCTION("""COMPUTED_VALUE"""),"TR-0000465566-01")</f>
        <v>TR-0000465566-01</v>
      </c>
      <c r="C626" s="781" t="str">
        <f>IFERROR(__xludf.DUMMYFUNCTION("""COMPUTED_VALUE"""),"Piney, AR, 71913")</f>
        <v>Piney, AR, 71913</v>
      </c>
      <c r="D626" s="781" t="str">
        <f>IFERROR(__xludf.DUMMYFUNCTION("""COMPUTED_VALUE"""),"Vermont Heights, FL, 32033")</f>
        <v>Vermont Heights, FL, 32033</v>
      </c>
      <c r="E626" s="782">
        <f>IFERROR(__xludf.DUMMYFUNCTION("""COMPUTED_VALUE"""),2100.0)</f>
        <v>2100</v>
      </c>
      <c r="F626" s="783">
        <v>0.88</v>
      </c>
      <c r="G626" s="782">
        <f>E626*F626</f>
        <v>1848</v>
      </c>
      <c r="H626" s="283"/>
      <c r="I626" s="780">
        <f>IFERROR(__xludf.DUMMYFUNCTION("FILTER($D$3:$G$122,$L$3:$L$122=M624)"),45990.0)</f>
        <v>45990</v>
      </c>
      <c r="J626" s="781" t="str">
        <f>IFERROR(__xludf.DUMMYFUNCTION("""COMPUTED_VALUE"""),"TR-0000465566-01")</f>
        <v>TR-0000465566-01</v>
      </c>
      <c r="K626" s="781" t="str">
        <f>IFERROR(__xludf.DUMMYFUNCTION("""COMPUTED_VALUE"""),"Piney, AR, 71913")</f>
        <v>Piney, AR, 71913</v>
      </c>
      <c r="L626" s="781" t="str">
        <f>IFERROR(__xludf.DUMMYFUNCTION("""COMPUTED_VALUE"""),"Vermont Heights, FL, 32033")</f>
        <v>Vermont Heights, FL, 32033</v>
      </c>
      <c r="M626" s="880">
        <f>IFERROR(__xludf.DUMMYFUNCTION("FILTER($I$3:$I$122,$L$3:$L$122=M624)"),1012.0)</f>
        <v>1012</v>
      </c>
      <c r="N626" s="781">
        <v>0.65</v>
      </c>
      <c r="O626" s="782">
        <f>M626*N626</f>
        <v>657.8</v>
      </c>
    </row>
    <row r="627">
      <c r="A627" s="780">
        <f>IFERROR(__xludf.DUMMYFUNCTION("""COMPUTED_VALUE"""),45989.0)</f>
        <v>45989</v>
      </c>
      <c r="B627" s="781">
        <f>IFERROR(__xludf.DUMMYFUNCTION("""COMPUTED_VALUE"""),396969.0)</f>
        <v>396969</v>
      </c>
      <c r="C627" s="781" t="str">
        <f>IFERROR(__xludf.DUMMYFUNCTION("""COMPUTED_VALUE"""),"Fort Worth, TX, 76140")</f>
        <v>Fort Worth, TX, 76140</v>
      </c>
      <c r="D627" s="781" t="str">
        <f>IFERROR(__xludf.DUMMYFUNCTION("""COMPUTED_VALUE"""),"Clarksville, AR, 72830")</f>
        <v>Clarksville, AR, 72830</v>
      </c>
      <c r="E627" s="782">
        <f>IFERROR(__xludf.DUMMYFUNCTION("""COMPUTED_VALUE"""),870.0)</f>
        <v>870</v>
      </c>
      <c r="F627" s="783"/>
      <c r="G627" s="782"/>
      <c r="H627" s="283"/>
      <c r="I627" s="780">
        <f>IFERROR(__xludf.DUMMYFUNCTION("""COMPUTED_VALUE"""),45989.0)</f>
        <v>45989</v>
      </c>
      <c r="J627" s="781">
        <f>IFERROR(__xludf.DUMMYFUNCTION("""COMPUTED_VALUE"""),396969.0)</f>
        <v>396969</v>
      </c>
      <c r="K627" s="781" t="str">
        <f>IFERROR(__xludf.DUMMYFUNCTION("""COMPUTED_VALUE"""),"Fort Worth, TX, 76140")</f>
        <v>Fort Worth, TX, 76140</v>
      </c>
      <c r="L627" s="781" t="str">
        <f>IFERROR(__xludf.DUMMYFUNCTION("""COMPUTED_VALUE"""),"Clarksville, AR, 72830")</f>
        <v>Clarksville, AR, 72830</v>
      </c>
      <c r="M627" s="782">
        <f>IFERROR(__xludf.DUMMYFUNCTION("""COMPUTED_VALUE"""),397.0)</f>
        <v>397</v>
      </c>
      <c r="N627" s="783"/>
      <c r="O627" s="789"/>
    </row>
    <row r="628">
      <c r="A628" s="883">
        <f>IFERROR(__xludf.DUMMYFUNCTION("""COMPUTED_VALUE"""),45987.0)</f>
        <v>45987</v>
      </c>
      <c r="B628" s="786" t="str">
        <f>IFERROR(__xludf.DUMMYFUNCTION("""COMPUTED_VALUE"""),"TR-0000464915-01")</f>
        <v>TR-0000464915-01</v>
      </c>
      <c r="C628" s="786" t="str">
        <f>IFERROR(__xludf.DUMMYFUNCTION("""COMPUTED_VALUE"""),"Inwood, WV, 25405")</f>
        <v>Inwood, WV, 25405</v>
      </c>
      <c r="D628" s="786" t="str">
        <f>IFERROR(__xludf.DUMMYFUNCTION("""COMPUTED_VALUE"""),"Wilmer, TX, 75172")</f>
        <v>Wilmer, TX, 75172</v>
      </c>
      <c r="E628" s="884">
        <f>IFERROR(__xludf.DUMMYFUNCTION("""COMPUTED_VALUE"""),1900.0)</f>
        <v>1900</v>
      </c>
      <c r="F628" s="787"/>
      <c r="G628" s="788"/>
      <c r="H628" s="283"/>
      <c r="I628" s="883">
        <f>IFERROR(__xludf.DUMMYFUNCTION("""COMPUTED_VALUE"""),45987.0)</f>
        <v>45987</v>
      </c>
      <c r="J628" s="786" t="str">
        <f>IFERROR(__xludf.DUMMYFUNCTION("""COMPUTED_VALUE"""),"TR-0000464915-01")</f>
        <v>TR-0000464915-01</v>
      </c>
      <c r="K628" s="786" t="str">
        <f>IFERROR(__xludf.DUMMYFUNCTION("""COMPUTED_VALUE"""),"Inwood, WV, 25405")</f>
        <v>Inwood, WV, 25405</v>
      </c>
      <c r="L628" s="786" t="str">
        <f>IFERROR(__xludf.DUMMYFUNCTION("""COMPUTED_VALUE"""),"Wilmer, TX, 75172")</f>
        <v>Wilmer, TX, 75172</v>
      </c>
      <c r="M628" s="880">
        <f>IFERROR(__xludf.DUMMYFUNCTION("""COMPUTED_VALUE"""),1346.0)</f>
        <v>1346</v>
      </c>
      <c r="N628" s="787"/>
      <c r="O628" s="789"/>
    </row>
    <row r="629">
      <c r="A629" s="883">
        <f>IFERROR(__xludf.DUMMYFUNCTION("""COMPUTED_VALUE"""),45986.0)</f>
        <v>45986</v>
      </c>
      <c r="B629" s="786" t="str">
        <f>IFERROR(__xludf.DUMMYFUNCTION("""COMPUTED_VALUE"""),"TR-0000464066-01")</f>
        <v>TR-0000464066-01</v>
      </c>
      <c r="C629" s="786" t="str">
        <f>IFERROR(__xludf.DUMMYFUNCTION("""COMPUTED_VALUE"""),"New Concord, OH, 43762")</f>
        <v>New Concord, OH, 43762</v>
      </c>
      <c r="D629" s="786" t="str">
        <f>IFERROR(__xludf.DUMMYFUNCTION("""COMPUTED_VALUE"""),"Front Royal, VA, 22630")</f>
        <v>Front Royal, VA, 22630</v>
      </c>
      <c r="E629" s="884">
        <f>IFERROR(__xludf.DUMMYFUNCTION("""COMPUTED_VALUE"""),1600.0)</f>
        <v>1600</v>
      </c>
      <c r="F629" s="787"/>
      <c r="G629" s="788"/>
      <c r="H629" s="283"/>
      <c r="I629" s="883">
        <f>IFERROR(__xludf.DUMMYFUNCTION("""COMPUTED_VALUE"""),45986.0)</f>
        <v>45986</v>
      </c>
      <c r="J629" s="786" t="str">
        <f>IFERROR(__xludf.DUMMYFUNCTION("""COMPUTED_VALUE"""),"TR-0000464066-01")</f>
        <v>TR-0000464066-01</v>
      </c>
      <c r="K629" s="786" t="str">
        <f>IFERROR(__xludf.DUMMYFUNCTION("""COMPUTED_VALUE"""),"New Concord, OH, 43762")</f>
        <v>New Concord, OH, 43762</v>
      </c>
      <c r="L629" s="786" t="str">
        <f>IFERROR(__xludf.DUMMYFUNCTION("""COMPUTED_VALUE"""),"Front Royal, VA, 22630")</f>
        <v>Front Royal, VA, 22630</v>
      </c>
      <c r="M629" s="880">
        <f>IFERROR(__xludf.DUMMYFUNCTION("""COMPUTED_VALUE"""),357.0)</f>
        <v>357</v>
      </c>
      <c r="N629" s="787"/>
      <c r="O629" s="789"/>
    </row>
    <row r="630">
      <c r="A630" s="883">
        <f>IFERROR(__xludf.DUMMYFUNCTION("""COMPUTED_VALUE"""),45985.0)</f>
        <v>45985</v>
      </c>
      <c r="B630" s="786">
        <f>IFERROR(__xludf.DUMMYFUNCTION("""COMPUTED_VALUE"""),5.3548805E8)</f>
        <v>535488050</v>
      </c>
      <c r="C630" s="786" t="str">
        <f>IFERROR(__xludf.DUMMYFUNCTION("""COMPUTED_VALUE"""),"Philadelphia, PA, 19134")</f>
        <v>Philadelphia, PA, 19134</v>
      </c>
      <c r="D630" s="786" t="str">
        <f>IFERROR(__xludf.DUMMYFUNCTION("""COMPUTED_VALUE"""),"Circleville, OH, 43113")</f>
        <v>Circleville, OH, 43113</v>
      </c>
      <c r="E630" s="884">
        <f>IFERROR(__xludf.DUMMYFUNCTION("""COMPUTED_VALUE"""),820.0)</f>
        <v>820</v>
      </c>
      <c r="F630" s="787"/>
      <c r="G630" s="788"/>
      <c r="H630" s="283"/>
      <c r="I630" s="883">
        <f>IFERROR(__xludf.DUMMYFUNCTION("""COMPUTED_VALUE"""),45985.0)</f>
        <v>45985</v>
      </c>
      <c r="J630" s="786">
        <f>IFERROR(__xludf.DUMMYFUNCTION("""COMPUTED_VALUE"""),5.3548805E8)</f>
        <v>535488050</v>
      </c>
      <c r="K630" s="786" t="str">
        <f>IFERROR(__xludf.DUMMYFUNCTION("""COMPUTED_VALUE"""),"Philadelphia, PA, 19134")</f>
        <v>Philadelphia, PA, 19134</v>
      </c>
      <c r="L630" s="786" t="str">
        <f>IFERROR(__xludf.DUMMYFUNCTION("""COMPUTED_VALUE"""),"Circleville, OH, 43113")</f>
        <v>Circleville, OH, 43113</v>
      </c>
      <c r="M630" s="880">
        <f>IFERROR(__xludf.DUMMYFUNCTION("""COMPUTED_VALUE"""),498.0)</f>
        <v>498</v>
      </c>
      <c r="N630" s="787"/>
      <c r="O630" s="789"/>
    </row>
    <row r="631">
      <c r="A631" s="785"/>
      <c r="B631" s="786"/>
      <c r="C631" s="786"/>
      <c r="D631" s="786"/>
      <c r="E631" s="785"/>
      <c r="F631" s="787"/>
      <c r="G631" s="788"/>
      <c r="H631" s="283"/>
      <c r="I631" s="785"/>
      <c r="J631" s="786"/>
      <c r="K631" s="786"/>
      <c r="L631" s="786"/>
      <c r="M631" s="785"/>
      <c r="N631" s="787"/>
      <c r="O631" s="789"/>
    </row>
    <row r="632">
      <c r="A632" s="790" t="s">
        <v>711</v>
      </c>
      <c r="B632" s="791"/>
      <c r="C632" s="791"/>
      <c r="D632" s="792"/>
      <c r="E632" s="793">
        <f>SUM(E626:E631)</f>
        <v>7290</v>
      </c>
      <c r="F632" s="794"/>
      <c r="G632" s="793">
        <f>SUM(G626:G631)</f>
        <v>1848</v>
      </c>
      <c r="H632" s="283"/>
      <c r="I632" s="790" t="s">
        <v>711</v>
      </c>
      <c r="J632" s="791"/>
      <c r="K632" s="791"/>
      <c r="L632" s="792"/>
      <c r="M632" s="793">
        <f>SUM(M626:M631)</f>
        <v>3610</v>
      </c>
      <c r="N632" s="794"/>
      <c r="O632" s="793">
        <f>SUM(O626:O631)</f>
        <v>657.8</v>
      </c>
    </row>
    <row r="633">
      <c r="A633" s="796"/>
      <c r="D633" s="798"/>
      <c r="G633" s="799"/>
      <c r="H633" s="283"/>
      <c r="I633" s="796"/>
      <c r="L633" s="798"/>
      <c r="O633" s="799"/>
    </row>
    <row r="634">
      <c r="A634" s="800" t="s">
        <v>712</v>
      </c>
      <c r="B634" s="801"/>
      <c r="C634" s="802"/>
      <c r="G634" s="799"/>
      <c r="H634" s="283"/>
      <c r="I634" s="800" t="s">
        <v>712</v>
      </c>
      <c r="J634" s="803"/>
      <c r="K634" s="804"/>
      <c r="O634" s="799"/>
    </row>
    <row r="635">
      <c r="A635" s="867"/>
      <c r="B635" s="808"/>
      <c r="C635" s="809"/>
      <c r="G635" s="799"/>
      <c r="H635" s="283"/>
      <c r="I635" s="867"/>
      <c r="J635" s="808"/>
      <c r="K635" s="809"/>
      <c r="O635" s="799"/>
    </row>
    <row r="636">
      <c r="A636" s="868"/>
      <c r="B636" s="774"/>
      <c r="C636" s="816"/>
      <c r="G636" s="799"/>
      <c r="H636" s="283"/>
      <c r="I636" s="868"/>
      <c r="J636" s="774"/>
      <c r="K636" s="816"/>
      <c r="O636" s="799"/>
    </row>
    <row r="637">
      <c r="A637" s="815"/>
      <c r="B637" s="792"/>
      <c r="C637" s="816"/>
      <c r="G637" s="799"/>
      <c r="H637" s="283"/>
      <c r="I637" s="815"/>
      <c r="J637" s="792"/>
      <c r="K637" s="816"/>
      <c r="O637" s="799"/>
    </row>
    <row r="638">
      <c r="A638" s="817"/>
      <c r="B638" s="774"/>
      <c r="C638" s="818"/>
      <c r="G638" s="799"/>
      <c r="H638" s="283"/>
      <c r="I638" s="817"/>
      <c r="J638" s="774"/>
      <c r="K638" s="818"/>
      <c r="O638" s="799"/>
    </row>
    <row r="639">
      <c r="A639" s="817"/>
      <c r="B639" s="792"/>
      <c r="C639" s="818"/>
      <c r="G639" s="799"/>
      <c r="H639" s="283"/>
      <c r="I639" s="817"/>
      <c r="J639" s="792"/>
      <c r="K639" s="818"/>
      <c r="O639" s="799"/>
    </row>
    <row r="640">
      <c r="A640" s="821" t="s">
        <v>714</v>
      </c>
      <c r="B640" s="822"/>
      <c r="C640" s="823">
        <f>SUM(C635:C639)</f>
        <v>0</v>
      </c>
      <c r="G640" s="799"/>
      <c r="H640" s="283"/>
      <c r="I640" s="821" t="s">
        <v>714</v>
      </c>
      <c r="J640" s="826"/>
      <c r="K640" s="827"/>
      <c r="O640" s="799"/>
    </row>
    <row r="641">
      <c r="A641" s="828"/>
      <c r="C641" s="829"/>
      <c r="G641" s="799"/>
      <c r="H641" s="283"/>
      <c r="I641" s="828"/>
      <c r="K641" s="829"/>
      <c r="O641" s="799"/>
    </row>
    <row r="642">
      <c r="A642" s="830" t="s">
        <v>715</v>
      </c>
      <c r="B642" s="831"/>
      <c r="C642" s="832"/>
      <c r="G642" s="799"/>
      <c r="H642" s="283"/>
      <c r="I642" s="833" t="s">
        <v>715</v>
      </c>
      <c r="J642" s="834"/>
      <c r="K642" s="835"/>
      <c r="O642" s="799"/>
    </row>
    <row r="643">
      <c r="A643" s="836" t="s">
        <v>716</v>
      </c>
      <c r="B643" s="837"/>
      <c r="C643" s="838">
        <v>150.0</v>
      </c>
      <c r="G643" s="799"/>
      <c r="H643" s="283"/>
      <c r="I643" s="839"/>
      <c r="J643" s="840"/>
      <c r="K643" s="841"/>
      <c r="O643" s="799"/>
    </row>
    <row r="644">
      <c r="A644" s="842" t="s">
        <v>717</v>
      </c>
      <c r="B644" s="843"/>
      <c r="C644" s="844">
        <v>400.0</v>
      </c>
      <c r="D644" s="248"/>
      <c r="E644" s="845" t="s">
        <v>1182</v>
      </c>
      <c r="G644" s="846">
        <f>G632+C640-C649</f>
        <v>-1419.8</v>
      </c>
      <c r="H644" s="283"/>
      <c r="I644" s="847"/>
      <c r="J644" s="848"/>
      <c r="K644" s="849"/>
      <c r="L644" s="248"/>
      <c r="M644" s="845" t="s">
        <v>1183</v>
      </c>
      <c r="O644" s="846">
        <f>O632+K640-K649</f>
        <v>657.8</v>
      </c>
    </row>
    <row r="645">
      <c r="A645" s="836" t="s">
        <v>718</v>
      </c>
      <c r="B645" s="837"/>
      <c r="C645" s="838">
        <v>200.0</v>
      </c>
      <c r="G645" s="799"/>
      <c r="H645" s="283"/>
      <c r="I645" s="847"/>
      <c r="J645" s="848"/>
      <c r="K645" s="849"/>
      <c r="O645" s="799"/>
    </row>
    <row r="646">
      <c r="A646" s="842" t="s">
        <v>656</v>
      </c>
      <c r="B646" s="843"/>
      <c r="C646" s="844">
        <f>IFERROR(__xludf.DUMMYFUNCTION("FILTER($C$4:$C$30,$B$4:$B$30=E624)"),2517.8)</f>
        <v>2517.8</v>
      </c>
      <c r="G646" s="799"/>
      <c r="H646" s="283"/>
      <c r="I646" s="847"/>
      <c r="J646" s="848"/>
      <c r="K646" s="849"/>
      <c r="O646" s="799"/>
    </row>
    <row r="647">
      <c r="A647" s="1049"/>
      <c r="B647" s="840"/>
      <c r="C647" s="849"/>
      <c r="E647" s="248"/>
      <c r="G647" s="799"/>
      <c r="H647" s="283"/>
      <c r="I647" s="847"/>
      <c r="J647" s="848"/>
      <c r="K647" s="849"/>
      <c r="M647" s="248"/>
      <c r="O647" s="799"/>
    </row>
    <row r="648">
      <c r="A648" s="847"/>
      <c r="B648" s="848"/>
      <c r="C648" s="849"/>
      <c r="G648" s="799"/>
      <c r="H648" s="283"/>
      <c r="I648" s="847"/>
      <c r="J648" s="848"/>
      <c r="K648" s="849"/>
      <c r="O648" s="799"/>
    </row>
    <row r="649">
      <c r="A649" s="853" t="s">
        <v>721</v>
      </c>
      <c r="B649" s="854"/>
      <c r="C649" s="855">
        <f>SUM(C643:C648)</f>
        <v>3267.8</v>
      </c>
      <c r="G649" s="799"/>
      <c r="H649" s="283"/>
      <c r="I649" s="853" t="s">
        <v>721</v>
      </c>
      <c r="J649" s="854"/>
      <c r="K649" s="855"/>
      <c r="O649" s="799"/>
    </row>
    <row r="650">
      <c r="A650" s="856"/>
      <c r="B650" s="857"/>
      <c r="C650" s="857"/>
      <c r="D650" s="857"/>
      <c r="E650" s="857"/>
      <c r="F650" s="857"/>
      <c r="G650" s="808"/>
      <c r="H650" s="283"/>
      <c r="I650" s="856"/>
      <c r="J650" s="857"/>
      <c r="K650" s="857"/>
      <c r="L650" s="857"/>
      <c r="M650" s="857"/>
      <c r="N650" s="857"/>
      <c r="O650" s="808"/>
    </row>
    <row r="653">
      <c r="A653" s="769"/>
      <c r="B653" s="770"/>
      <c r="C653" s="770"/>
      <c r="D653" s="771" t="s">
        <v>700</v>
      </c>
      <c r="E653" s="772" t="str">
        <f>E126</f>
        <v>11.24.2025-11.30.2025</v>
      </c>
      <c r="F653" s="773"/>
      <c r="G653" s="774"/>
      <c r="H653" s="305">
        <v>18.0</v>
      </c>
      <c r="I653" s="769"/>
      <c r="J653" s="770"/>
      <c r="K653" s="770"/>
      <c r="L653" s="771" t="s">
        <v>700</v>
      </c>
      <c r="M653" s="772" t="str">
        <f>E157</f>
        <v>11.24.2025-11.30.2025</v>
      </c>
      <c r="N653" s="773"/>
      <c r="O653" s="774"/>
    </row>
    <row r="654">
      <c r="A654" s="775"/>
      <c r="D654" s="771" t="s">
        <v>702</v>
      </c>
      <c r="E654" s="772" t="s">
        <v>861</v>
      </c>
      <c r="F654" s="773"/>
      <c r="G654" s="774"/>
      <c r="H654" s="283"/>
      <c r="I654" s="775"/>
      <c r="L654" s="771" t="s">
        <v>351</v>
      </c>
      <c r="M654" s="772" t="str">
        <f t="array" ref="M654">XLOOKUP(M655,$L$1:$L$122,$K$1:$K$122)</f>
        <v>RICHARD FLORESTAL</v>
      </c>
      <c r="N654" s="773"/>
      <c r="O654" s="774"/>
    </row>
    <row r="655">
      <c r="A655" s="775"/>
      <c r="D655" s="771" t="s">
        <v>703</v>
      </c>
      <c r="E655" s="772">
        <v>2516.0</v>
      </c>
      <c r="F655" s="773"/>
      <c r="G655" s="774"/>
      <c r="H655" s="283"/>
      <c r="I655" s="775"/>
      <c r="L655" s="771" t="s">
        <v>703</v>
      </c>
      <c r="M655" s="772">
        <f>E655</f>
        <v>2516</v>
      </c>
      <c r="N655" s="773"/>
      <c r="O655" s="774"/>
    </row>
    <row r="656">
      <c r="A656" s="779" t="s">
        <v>704</v>
      </c>
      <c r="B656" s="779" t="s">
        <v>5</v>
      </c>
      <c r="C656" s="779" t="s">
        <v>6</v>
      </c>
      <c r="D656" s="779" t="s">
        <v>7</v>
      </c>
      <c r="E656" s="779" t="s">
        <v>8</v>
      </c>
      <c r="F656" s="779" t="s">
        <v>706</v>
      </c>
      <c r="G656" s="779" t="s">
        <v>707</v>
      </c>
      <c r="H656" s="34"/>
      <c r="I656" s="779" t="s">
        <v>704</v>
      </c>
      <c r="J656" s="779" t="s">
        <v>5</v>
      </c>
      <c r="K656" s="779" t="s">
        <v>6</v>
      </c>
      <c r="L656" s="779" t="s">
        <v>7</v>
      </c>
      <c r="M656" s="779" t="s">
        <v>1178</v>
      </c>
      <c r="N656" s="779" t="s">
        <v>839</v>
      </c>
      <c r="O656" s="779" t="s">
        <v>707</v>
      </c>
    </row>
    <row r="657">
      <c r="A657" s="780">
        <f>IFERROR(__xludf.DUMMYFUNCTION("FILTER($D$3:$H$122,$L$3:$L$122=E655)"),45985.0)</f>
        <v>45985</v>
      </c>
      <c r="B657" s="781" t="str">
        <f>IFERROR(__xludf.DUMMYFUNCTION("""COMPUTED_VALUE"""),"Trip-14626")</f>
        <v>Trip-14626</v>
      </c>
      <c r="C657" s="781" t="str">
        <f>IFERROR(__xludf.DUMMYFUNCTION("""COMPUTED_VALUE"""),"Waterford, PA, 16441")</f>
        <v>Waterford, PA, 16441</v>
      </c>
      <c r="D657" s="781" t="str">
        <f>IFERROR(__xludf.DUMMYFUNCTION("""COMPUTED_VALUE"""),"Daytona Beach, FL, 32117")</f>
        <v>Daytona Beach, FL, 32117</v>
      </c>
      <c r="E657" s="782">
        <f>IFERROR(__xludf.DUMMYFUNCTION("""COMPUTED_VALUE"""),2800.0)</f>
        <v>2800</v>
      </c>
      <c r="F657" s="783">
        <v>0.88</v>
      </c>
      <c r="G657" s="782">
        <f t="shared" ref="G657:G659" si="4">E657*F657</f>
        <v>2464</v>
      </c>
      <c r="H657" s="283"/>
      <c r="I657" s="780">
        <f>IFERROR(__xludf.DUMMYFUNCTION("FILTER($D$3:$G$122,$L$3:$L$122=M655)"),45985.0)</f>
        <v>45985</v>
      </c>
      <c r="J657" s="781" t="str">
        <f>IFERROR(__xludf.DUMMYFUNCTION("""COMPUTED_VALUE"""),"Trip-14626")</f>
        <v>Trip-14626</v>
      </c>
      <c r="K657" s="781" t="str">
        <f>IFERROR(__xludf.DUMMYFUNCTION("""COMPUTED_VALUE"""),"Waterford, PA, 16441")</f>
        <v>Waterford, PA, 16441</v>
      </c>
      <c r="L657" s="781" t="str">
        <f>IFERROR(__xludf.DUMMYFUNCTION("""COMPUTED_VALUE"""),"Daytona Beach, FL, 32117")</f>
        <v>Daytona Beach, FL, 32117</v>
      </c>
      <c r="M657" s="880">
        <f>IFERROR(__xludf.DUMMYFUNCTION("FILTER($I$3:$I$122,$L$3:$L$122=M655)"),1318.0)</f>
        <v>1318</v>
      </c>
      <c r="N657" s="781">
        <v>0.65</v>
      </c>
      <c r="O657" s="782">
        <f>M657*N657</f>
        <v>856.7</v>
      </c>
    </row>
    <row r="658">
      <c r="A658" s="780"/>
      <c r="B658" s="781"/>
      <c r="C658" s="781"/>
      <c r="D658" s="781"/>
      <c r="E658" s="782"/>
      <c r="F658" s="783">
        <v>0.88</v>
      </c>
      <c r="G658" s="782">
        <f t="shared" si="4"/>
        <v>0</v>
      </c>
      <c r="H658" s="283"/>
      <c r="I658" s="780"/>
      <c r="J658" s="781"/>
      <c r="K658" s="781"/>
      <c r="L658" s="781"/>
      <c r="M658" s="782"/>
      <c r="N658" s="783"/>
      <c r="O658" s="789"/>
    </row>
    <row r="659">
      <c r="A659" s="785"/>
      <c r="B659" s="786"/>
      <c r="C659" s="786"/>
      <c r="D659" s="786"/>
      <c r="E659" s="785"/>
      <c r="F659" s="783">
        <v>0.88</v>
      </c>
      <c r="G659" s="782">
        <f t="shared" si="4"/>
        <v>0</v>
      </c>
      <c r="H659" s="283"/>
      <c r="I659" s="785"/>
      <c r="J659" s="786"/>
      <c r="K659" s="786"/>
      <c r="L659" s="786"/>
      <c r="M659" s="785"/>
      <c r="N659" s="787"/>
      <c r="O659" s="789"/>
    </row>
    <row r="660">
      <c r="A660" s="785"/>
      <c r="B660" s="786"/>
      <c r="C660" s="786"/>
      <c r="D660" s="786"/>
      <c r="E660" s="785"/>
      <c r="F660" s="787"/>
      <c r="G660" s="788"/>
      <c r="H660" s="283"/>
      <c r="I660" s="785"/>
      <c r="J660" s="786"/>
      <c r="K660" s="786"/>
      <c r="L660" s="786"/>
      <c r="M660" s="785"/>
      <c r="N660" s="787"/>
      <c r="O660" s="789"/>
    </row>
    <row r="661">
      <c r="A661" s="785"/>
      <c r="B661" s="786"/>
      <c r="C661" s="786"/>
      <c r="D661" s="786"/>
      <c r="E661" s="785"/>
      <c r="F661" s="787"/>
      <c r="G661" s="788"/>
      <c r="H661" s="283"/>
      <c r="I661" s="785"/>
      <c r="J661" s="786"/>
      <c r="K661" s="786"/>
      <c r="L661" s="786"/>
      <c r="M661" s="785"/>
      <c r="N661" s="787"/>
      <c r="O661" s="789"/>
    </row>
    <row r="662">
      <c r="A662" s="785"/>
      <c r="B662" s="786"/>
      <c r="C662" s="786"/>
      <c r="D662" s="786"/>
      <c r="E662" s="785"/>
      <c r="F662" s="787"/>
      <c r="G662" s="788"/>
      <c r="H662" s="283"/>
      <c r="I662" s="785"/>
      <c r="J662" s="786"/>
      <c r="K662" s="786"/>
      <c r="L662" s="786"/>
      <c r="M662" s="785"/>
      <c r="N662" s="787"/>
      <c r="O662" s="789"/>
    </row>
    <row r="663">
      <c r="A663" s="790" t="s">
        <v>711</v>
      </c>
      <c r="B663" s="791"/>
      <c r="C663" s="791"/>
      <c r="D663" s="792"/>
      <c r="E663" s="793">
        <f>SUM(E657:E662)</f>
        <v>2800</v>
      </c>
      <c r="F663" s="794"/>
      <c r="G663" s="793">
        <f>SUM(G657:G662)</f>
        <v>2464</v>
      </c>
      <c r="H663" s="283"/>
      <c r="I663" s="790" t="s">
        <v>711</v>
      </c>
      <c r="J663" s="791"/>
      <c r="K663" s="791"/>
      <c r="L663" s="792"/>
      <c r="M663" s="793">
        <f>SUM(M657:M662)</f>
        <v>1318</v>
      </c>
      <c r="N663" s="794"/>
      <c r="O663" s="793">
        <f>SUM(O657:O662)</f>
        <v>856.7</v>
      </c>
    </row>
    <row r="664">
      <c r="A664" s="796"/>
      <c r="D664" s="798"/>
      <c r="G664" s="799"/>
      <c r="H664" s="283"/>
      <c r="I664" s="796"/>
      <c r="L664" s="798"/>
      <c r="O664" s="799"/>
    </row>
    <row r="665">
      <c r="A665" s="800" t="s">
        <v>712</v>
      </c>
      <c r="B665" s="801"/>
      <c r="C665" s="802"/>
      <c r="G665" s="799"/>
      <c r="H665" s="283"/>
      <c r="I665" s="800" t="s">
        <v>712</v>
      </c>
      <c r="J665" s="801"/>
      <c r="K665" s="802"/>
      <c r="O665" s="829"/>
    </row>
    <row r="666">
      <c r="A666" s="867"/>
      <c r="B666" s="808"/>
      <c r="C666" s="809"/>
      <c r="G666" s="799"/>
      <c r="H666" s="283"/>
      <c r="I666" s="867"/>
      <c r="J666" s="808"/>
      <c r="K666" s="809"/>
      <c r="O666" s="799"/>
    </row>
    <row r="667">
      <c r="A667" s="868"/>
      <c r="B667" s="774"/>
      <c r="C667" s="816"/>
      <c r="G667" s="799"/>
      <c r="H667" s="283"/>
      <c r="I667" s="868"/>
      <c r="J667" s="774"/>
      <c r="K667" s="816"/>
      <c r="O667" s="799"/>
    </row>
    <row r="668">
      <c r="A668" s="815"/>
      <c r="B668" s="792"/>
      <c r="C668" s="816"/>
      <c r="G668" s="799"/>
      <c r="H668" s="283"/>
      <c r="I668" s="815"/>
      <c r="J668" s="792"/>
      <c r="K668" s="816"/>
      <c r="O668" s="829"/>
    </row>
    <row r="669">
      <c r="A669" s="817"/>
      <c r="B669" s="774"/>
      <c r="C669" s="818"/>
      <c r="G669" s="799"/>
      <c r="H669" s="283"/>
      <c r="I669" s="817"/>
      <c r="J669" s="774"/>
      <c r="K669" s="818"/>
      <c r="O669" s="799"/>
    </row>
    <row r="670">
      <c r="A670" s="817"/>
      <c r="B670" s="792"/>
      <c r="C670" s="818"/>
      <c r="G670" s="799"/>
      <c r="H670" s="283"/>
      <c r="I670" s="817"/>
      <c r="J670" s="792"/>
      <c r="K670" s="818"/>
      <c r="O670" s="829"/>
    </row>
    <row r="671">
      <c r="A671" s="821" t="s">
        <v>714</v>
      </c>
      <c r="B671" s="822"/>
      <c r="C671" s="823">
        <f>SUM(C666:C670)</f>
        <v>0</v>
      </c>
      <c r="G671" s="799"/>
      <c r="H671" s="283"/>
      <c r="I671" s="821" t="s">
        <v>714</v>
      </c>
      <c r="J671" s="826"/>
      <c r="K671" s="827"/>
      <c r="O671" s="866"/>
    </row>
    <row r="672">
      <c r="A672" s="828"/>
      <c r="C672" s="829"/>
      <c r="G672" s="799"/>
      <c r="H672" s="283"/>
      <c r="I672" s="828"/>
      <c r="K672" s="829"/>
      <c r="O672" s="829"/>
    </row>
    <row r="673">
      <c r="A673" s="830" t="s">
        <v>715</v>
      </c>
      <c r="B673" s="831"/>
      <c r="C673" s="832"/>
      <c r="G673" s="799"/>
      <c r="H673" s="283"/>
      <c r="I673" s="833" t="s">
        <v>715</v>
      </c>
      <c r="J673" s="834"/>
      <c r="K673" s="835"/>
      <c r="O673" s="829"/>
    </row>
    <row r="674">
      <c r="A674" s="836" t="s">
        <v>716</v>
      </c>
      <c r="B674" s="837"/>
      <c r="C674" s="838">
        <v>150.0</v>
      </c>
      <c r="G674" s="799"/>
      <c r="H674" s="283"/>
      <c r="I674" s="839"/>
      <c r="J674" s="840"/>
      <c r="K674" s="841"/>
      <c r="O674" s="799"/>
    </row>
    <row r="675">
      <c r="A675" s="842" t="s">
        <v>717</v>
      </c>
      <c r="B675" s="843"/>
      <c r="C675" s="844">
        <v>400.0</v>
      </c>
      <c r="D675" s="248"/>
      <c r="E675" s="845" t="s">
        <v>1182</v>
      </c>
      <c r="G675" s="846">
        <f>G663+C671-C680</f>
        <v>1166.83</v>
      </c>
      <c r="H675" s="283"/>
      <c r="I675" s="847"/>
      <c r="J675" s="848"/>
      <c r="K675" s="849"/>
      <c r="L675" s="248"/>
      <c r="M675" s="845" t="s">
        <v>1183</v>
      </c>
      <c r="O675" s="846">
        <f>O663+K671-K680</f>
        <v>856.7</v>
      </c>
    </row>
    <row r="676">
      <c r="A676" s="836" t="s">
        <v>718</v>
      </c>
      <c r="B676" s="837"/>
      <c r="C676" s="838"/>
      <c r="G676" s="799"/>
      <c r="H676" s="283"/>
      <c r="I676" s="847"/>
      <c r="J676" s="848"/>
      <c r="K676" s="849"/>
      <c r="O676" s="799"/>
    </row>
    <row r="677">
      <c r="A677" s="842" t="s">
        <v>656</v>
      </c>
      <c r="B677" s="843"/>
      <c r="C677" s="844">
        <f>IFERROR(__xludf.DUMMYFUNCTION("FILTER($C$4:$C$30,$B$4:$B$30=E655)"),747.17)</f>
        <v>747.17</v>
      </c>
      <c r="G677" s="799"/>
      <c r="H677" s="283"/>
      <c r="I677" s="847"/>
      <c r="J677" s="848"/>
      <c r="K677" s="849"/>
      <c r="O677" s="799"/>
    </row>
    <row r="678">
      <c r="A678" s="1049"/>
      <c r="B678" s="840"/>
      <c r="C678" s="849"/>
      <c r="E678" s="248"/>
      <c r="G678" s="799"/>
      <c r="H678" s="283"/>
      <c r="I678" s="847"/>
      <c r="J678" s="848"/>
      <c r="K678" s="849"/>
      <c r="M678" s="248"/>
      <c r="O678" s="799"/>
    </row>
    <row r="679">
      <c r="A679" s="847"/>
      <c r="B679" s="848"/>
      <c r="C679" s="849"/>
      <c r="G679" s="799"/>
      <c r="H679" s="283"/>
      <c r="I679" s="847"/>
      <c r="J679" s="848"/>
      <c r="K679" s="849"/>
      <c r="O679" s="799"/>
    </row>
    <row r="680">
      <c r="A680" s="853" t="s">
        <v>721</v>
      </c>
      <c r="B680" s="854"/>
      <c r="C680" s="855">
        <f>SUM(C674:C679)</f>
        <v>1297.17</v>
      </c>
      <c r="G680" s="799"/>
      <c r="H680" s="283"/>
      <c r="I680" s="853" t="s">
        <v>721</v>
      </c>
      <c r="J680" s="854"/>
      <c r="K680" s="855"/>
      <c r="O680" s="829"/>
    </row>
    <row r="681">
      <c r="A681" s="856"/>
      <c r="B681" s="857"/>
      <c r="C681" s="857"/>
      <c r="D681" s="857"/>
      <c r="E681" s="857"/>
      <c r="F681" s="857"/>
      <c r="G681" s="808"/>
      <c r="H681" s="283"/>
      <c r="I681" s="856"/>
      <c r="J681" s="857"/>
      <c r="K681" s="857"/>
      <c r="L681" s="857"/>
      <c r="M681" s="857"/>
      <c r="N681" s="857"/>
      <c r="O681" s="808"/>
    </row>
    <row r="684">
      <c r="A684" s="769"/>
      <c r="B684" s="770"/>
      <c r="C684" s="770"/>
      <c r="D684" s="771" t="s">
        <v>700</v>
      </c>
      <c r="E684" s="772" t="str">
        <f>E126</f>
        <v>11.24.2025-11.30.2025</v>
      </c>
      <c r="F684" s="773"/>
      <c r="G684" s="774"/>
      <c r="H684" s="305">
        <v>19.0</v>
      </c>
      <c r="I684" s="769"/>
      <c r="J684" s="770"/>
      <c r="K684" s="770"/>
      <c r="L684" s="771" t="s">
        <v>700</v>
      </c>
      <c r="M684" s="772" t="str">
        <f>E126</f>
        <v>11.24.2025-11.30.2025</v>
      </c>
      <c r="N684" s="773"/>
      <c r="O684" s="774"/>
    </row>
    <row r="685">
      <c r="A685" s="775"/>
      <c r="D685" s="771" t="s">
        <v>702</v>
      </c>
      <c r="E685" s="772" t="s">
        <v>861</v>
      </c>
      <c r="F685" s="773"/>
      <c r="G685" s="774"/>
      <c r="H685" s="283"/>
      <c r="I685" s="775"/>
      <c r="L685" s="771" t="s">
        <v>351</v>
      </c>
      <c r="M685" s="772" t="str">
        <f t="array" ref="M685">XLOOKUP(M686,$L$1:$L$122,$K$1:$K$122)</f>
        <v>Marco Cayo Cayo</v>
      </c>
      <c r="N685" s="773"/>
      <c r="O685" s="774"/>
    </row>
    <row r="686">
      <c r="A686" s="775"/>
      <c r="D686" s="771" t="s">
        <v>703</v>
      </c>
      <c r="E686" s="778" t="s">
        <v>982</v>
      </c>
      <c r="F686" s="773"/>
      <c r="G686" s="774"/>
      <c r="H686" s="283"/>
      <c r="I686" s="775"/>
      <c r="L686" s="771" t="s">
        <v>703</v>
      </c>
      <c r="M686" s="772" t="str">
        <f>E686</f>
        <v>0997</v>
      </c>
      <c r="N686" s="773"/>
      <c r="O686" s="774"/>
    </row>
    <row r="687">
      <c r="A687" s="779" t="s">
        <v>704</v>
      </c>
      <c r="B687" s="779" t="s">
        <v>5</v>
      </c>
      <c r="C687" s="779" t="s">
        <v>6</v>
      </c>
      <c r="D687" s="779" t="s">
        <v>7</v>
      </c>
      <c r="E687" s="779" t="s">
        <v>8</v>
      </c>
      <c r="F687" s="779" t="s">
        <v>706</v>
      </c>
      <c r="G687" s="779" t="s">
        <v>707</v>
      </c>
      <c r="H687" s="34"/>
      <c r="I687" s="779" t="s">
        <v>704</v>
      </c>
      <c r="J687" s="779" t="s">
        <v>5</v>
      </c>
      <c r="K687" s="779" t="s">
        <v>6</v>
      </c>
      <c r="L687" s="779" t="s">
        <v>7</v>
      </c>
      <c r="M687" s="779" t="s">
        <v>1178</v>
      </c>
      <c r="N687" s="779" t="s">
        <v>839</v>
      </c>
      <c r="O687" s="779" t="s">
        <v>707</v>
      </c>
    </row>
    <row r="688">
      <c r="A688" s="780">
        <f>IFERROR(__xludf.DUMMYFUNCTION("FILTER($D$3:$H$122,$L$3:$L$122=E686)"),45986.0)</f>
        <v>45986</v>
      </c>
      <c r="B688" s="781">
        <f>IFERROR(__xludf.DUMMYFUNCTION("""COMPUTED_VALUE"""),5542555.0)</f>
        <v>5542555</v>
      </c>
      <c r="C688" s="781" t="str">
        <f>IFERROR(__xludf.DUMMYFUNCTION("""COMPUTED_VALUE"""),"Woodburn, OR, 97071")</f>
        <v>Woodburn, OR, 97071</v>
      </c>
      <c r="D688" s="781" t="str">
        <f>IFERROR(__xludf.DUMMYFUNCTION("""COMPUTED_VALUE"""),"Brawley, CA, 92227")</f>
        <v>Brawley, CA, 92227</v>
      </c>
      <c r="E688" s="782">
        <f>IFERROR(__xludf.DUMMYFUNCTION("""COMPUTED_VALUE"""),1900.0)</f>
        <v>1900</v>
      </c>
      <c r="F688" s="783">
        <v>1.0</v>
      </c>
      <c r="G688" s="782">
        <f>E688*F688</f>
        <v>1900</v>
      </c>
      <c r="H688" s="283"/>
      <c r="I688" s="780">
        <f>IFERROR(__xludf.DUMMYFUNCTION("FILTER($D$3:$G$122,$L$3:$L$122=M686)"),45986.0)</f>
        <v>45986</v>
      </c>
      <c r="J688" s="781">
        <f>IFERROR(__xludf.DUMMYFUNCTION("""COMPUTED_VALUE"""),5542555.0)</f>
        <v>5542555</v>
      </c>
      <c r="K688" s="781" t="str">
        <f>IFERROR(__xludf.DUMMYFUNCTION("""COMPUTED_VALUE"""),"Woodburn, OR, 97071")</f>
        <v>Woodburn, OR, 97071</v>
      </c>
      <c r="L688" s="781" t="str">
        <f>IFERROR(__xludf.DUMMYFUNCTION("""COMPUTED_VALUE"""),"Brawley, CA, 92227")</f>
        <v>Brawley, CA, 92227</v>
      </c>
      <c r="M688" s="880">
        <f>IFERROR(__xludf.DUMMYFUNCTION("FILTER($I$3:$I$122,$L$3:$L$122=M686)"),1185.0)</f>
        <v>1185</v>
      </c>
      <c r="N688" s="781">
        <v>0.65</v>
      </c>
      <c r="O688" s="782">
        <f>M688*N688</f>
        <v>770.25</v>
      </c>
    </row>
    <row r="689">
      <c r="A689" s="780"/>
      <c r="B689" s="781"/>
      <c r="C689" s="781"/>
      <c r="D689" s="781"/>
      <c r="E689" s="782"/>
      <c r="F689" s="783"/>
      <c r="G689" s="782"/>
      <c r="H689" s="283"/>
      <c r="I689" s="780"/>
      <c r="J689" s="781"/>
      <c r="K689" s="781"/>
      <c r="L689" s="781"/>
      <c r="M689" s="880"/>
      <c r="N689" s="781"/>
      <c r="O689" s="782"/>
    </row>
    <row r="690">
      <c r="A690" s="785"/>
      <c r="B690" s="786"/>
      <c r="C690" s="786"/>
      <c r="D690" s="786"/>
      <c r="E690" s="785"/>
      <c r="F690" s="787"/>
      <c r="G690" s="788"/>
      <c r="H690" s="283"/>
      <c r="I690" s="780"/>
      <c r="J690" s="781"/>
      <c r="K690" s="781"/>
      <c r="L690" s="781"/>
      <c r="M690" s="880"/>
      <c r="N690" s="781"/>
      <c r="O690" s="782"/>
    </row>
    <row r="691">
      <c r="A691" s="785"/>
      <c r="B691" s="786"/>
      <c r="C691" s="786"/>
      <c r="D691" s="786"/>
      <c r="E691" s="785"/>
      <c r="F691" s="787"/>
      <c r="G691" s="788"/>
      <c r="H691" s="283"/>
      <c r="I691" s="785"/>
      <c r="J691" s="786"/>
      <c r="K691" s="786"/>
      <c r="L691" s="786"/>
      <c r="M691" s="785"/>
      <c r="N691" s="787"/>
      <c r="O691" s="789"/>
    </row>
    <row r="692">
      <c r="A692" s="785"/>
      <c r="B692" s="786"/>
      <c r="C692" s="786"/>
      <c r="D692" s="786"/>
      <c r="E692" s="785"/>
      <c r="F692" s="787"/>
      <c r="G692" s="788"/>
      <c r="H692" s="283"/>
      <c r="I692" s="785"/>
      <c r="J692" s="786"/>
      <c r="K692" s="786"/>
      <c r="L692" s="786"/>
      <c r="M692" s="785"/>
      <c r="N692" s="787"/>
      <c r="O692" s="789"/>
      <c r="T692" s="29"/>
      <c r="U692" s="918"/>
    </row>
    <row r="693">
      <c r="A693" s="785"/>
      <c r="B693" s="786"/>
      <c r="C693" s="786"/>
      <c r="D693" s="786"/>
      <c r="E693" s="785"/>
      <c r="F693" s="787"/>
      <c r="G693" s="788"/>
      <c r="H693" s="283"/>
      <c r="I693" s="785"/>
      <c r="J693" s="786"/>
      <c r="K693" s="786"/>
      <c r="L693" s="786"/>
      <c r="M693" s="785"/>
      <c r="N693" s="787"/>
      <c r="O693" s="789"/>
      <c r="T693" s="29"/>
      <c r="U693" s="918"/>
    </row>
    <row r="694">
      <c r="A694" s="790" t="s">
        <v>711</v>
      </c>
      <c r="B694" s="791"/>
      <c r="C694" s="791"/>
      <c r="D694" s="792"/>
      <c r="E694" s="793">
        <f>SUM(E688:E693)</f>
        <v>1900</v>
      </c>
      <c r="F694" s="794"/>
      <c r="G694" s="793">
        <f>SUM(G688:G693)</f>
        <v>1900</v>
      </c>
      <c r="H694" s="283"/>
      <c r="I694" s="790" t="s">
        <v>711</v>
      </c>
      <c r="J694" s="791"/>
      <c r="K694" s="791"/>
      <c r="L694" s="792"/>
      <c r="M694" s="793">
        <f>SUM(M688:M693)</f>
        <v>1185</v>
      </c>
      <c r="N694" s="794"/>
      <c r="O694" s="793">
        <f>SUM(O688:O693)</f>
        <v>770.25</v>
      </c>
      <c r="T694" s="29"/>
      <c r="U694" s="918"/>
    </row>
    <row r="695">
      <c r="A695" s="796"/>
      <c r="D695" s="798"/>
      <c r="G695" s="799"/>
      <c r="H695" s="283"/>
      <c r="I695" s="796"/>
      <c r="L695" s="798"/>
      <c r="O695" s="799"/>
      <c r="T695" s="29"/>
      <c r="U695" s="918"/>
    </row>
    <row r="696">
      <c r="A696" s="800" t="s">
        <v>712</v>
      </c>
      <c r="B696" s="801"/>
      <c r="C696" s="802"/>
      <c r="G696" s="799"/>
      <c r="H696" s="283"/>
      <c r="I696" s="800" t="s">
        <v>712</v>
      </c>
      <c r="J696" s="803"/>
      <c r="K696" s="804"/>
      <c r="O696" s="799"/>
      <c r="T696" s="29"/>
      <c r="U696" s="918"/>
    </row>
    <row r="697">
      <c r="A697" s="867"/>
      <c r="B697" s="808"/>
      <c r="C697" s="809"/>
      <c r="G697" s="799"/>
      <c r="H697" s="283"/>
      <c r="I697" s="867"/>
      <c r="J697" s="808"/>
      <c r="K697" s="809"/>
      <c r="O697" s="799"/>
      <c r="T697" s="29"/>
      <c r="U697" s="918"/>
    </row>
    <row r="698">
      <c r="A698" s="868"/>
      <c r="B698" s="774"/>
      <c r="C698" s="816"/>
      <c r="G698" s="799"/>
      <c r="H698" s="283"/>
      <c r="I698" s="868"/>
      <c r="J698" s="774"/>
      <c r="K698" s="816"/>
      <c r="O698" s="799"/>
      <c r="T698" s="29"/>
      <c r="U698" s="918"/>
    </row>
    <row r="699">
      <c r="A699" s="815"/>
      <c r="B699" s="792"/>
      <c r="C699" s="816"/>
      <c r="G699" s="799"/>
      <c r="H699" s="283"/>
      <c r="I699" s="815"/>
      <c r="J699" s="792"/>
      <c r="K699" s="816"/>
      <c r="O699" s="799"/>
      <c r="T699" s="29"/>
      <c r="U699" s="918"/>
    </row>
    <row r="700">
      <c r="A700" s="817"/>
      <c r="B700" s="774"/>
      <c r="C700" s="818"/>
      <c r="G700" s="799"/>
      <c r="H700" s="283"/>
      <c r="I700" s="817"/>
      <c r="J700" s="774"/>
      <c r="K700" s="818"/>
      <c r="O700" s="799"/>
      <c r="T700" s="29"/>
      <c r="U700" s="918"/>
    </row>
    <row r="701">
      <c r="A701" s="817"/>
      <c r="B701" s="792"/>
      <c r="C701" s="818"/>
      <c r="G701" s="799"/>
      <c r="H701" s="283"/>
      <c r="I701" s="817"/>
      <c r="J701" s="792"/>
      <c r="K701" s="818"/>
      <c r="O701" s="799"/>
      <c r="T701" s="29"/>
      <c r="U701" s="918"/>
    </row>
    <row r="702">
      <c r="A702" s="821" t="s">
        <v>714</v>
      </c>
      <c r="B702" s="822"/>
      <c r="C702" s="823">
        <f>SUM(C697:C701)</f>
        <v>0</v>
      </c>
      <c r="G702" s="799"/>
      <c r="H702" s="283"/>
      <c r="I702" s="821" t="s">
        <v>714</v>
      </c>
      <c r="J702" s="826"/>
      <c r="K702" s="827"/>
      <c r="O702" s="799"/>
      <c r="T702" s="29"/>
      <c r="U702" s="918"/>
    </row>
    <row r="703">
      <c r="A703" s="828"/>
      <c r="C703" s="829"/>
      <c r="G703" s="799"/>
      <c r="H703" s="283"/>
      <c r="I703" s="828"/>
      <c r="K703" s="829"/>
      <c r="O703" s="799"/>
      <c r="T703" s="29"/>
      <c r="U703" s="918"/>
    </row>
    <row r="704">
      <c r="A704" s="830" t="s">
        <v>715</v>
      </c>
      <c r="B704" s="831"/>
      <c r="C704" s="832"/>
      <c r="G704" s="799"/>
      <c r="H704" s="283"/>
      <c r="I704" s="833" t="s">
        <v>715</v>
      </c>
      <c r="J704" s="834"/>
      <c r="K704" s="835"/>
      <c r="O704" s="799"/>
      <c r="T704" s="29"/>
      <c r="U704" s="918"/>
    </row>
    <row r="705">
      <c r="A705" s="836" t="s">
        <v>716</v>
      </c>
      <c r="B705" s="837"/>
      <c r="C705" s="838"/>
      <c r="G705" s="799"/>
      <c r="H705" s="283"/>
      <c r="I705" s="839"/>
      <c r="J705" s="840"/>
      <c r="K705" s="841"/>
      <c r="O705" s="799"/>
      <c r="T705" s="29"/>
      <c r="U705" s="918"/>
    </row>
    <row r="706">
      <c r="A706" s="842" t="s">
        <v>717</v>
      </c>
      <c r="B706" s="843"/>
      <c r="C706" s="844"/>
      <c r="D706" s="248"/>
      <c r="E706" s="845" t="s">
        <v>1182</v>
      </c>
      <c r="G706" s="846">
        <f>G694+C702-C711</f>
        <v>168.84</v>
      </c>
      <c r="H706" s="283"/>
      <c r="I706" s="847"/>
      <c r="J706" s="848"/>
      <c r="K706" s="849"/>
      <c r="L706" s="248"/>
      <c r="M706" s="845" t="s">
        <v>1183</v>
      </c>
      <c r="O706" s="846">
        <f>O694+K702-K711</f>
        <v>770.25</v>
      </c>
      <c r="T706" s="29"/>
      <c r="U706" s="918"/>
    </row>
    <row r="707">
      <c r="A707" s="836" t="s">
        <v>718</v>
      </c>
      <c r="B707" s="837"/>
      <c r="C707" s="838"/>
      <c r="G707" s="799"/>
      <c r="H707" s="283"/>
      <c r="I707" s="847"/>
      <c r="J707" s="848"/>
      <c r="K707" s="849"/>
      <c r="O707" s="799"/>
      <c r="T707" s="29"/>
      <c r="U707" s="918"/>
    </row>
    <row r="708">
      <c r="A708" s="842" t="s">
        <v>656</v>
      </c>
      <c r="B708" s="843"/>
      <c r="C708" s="844">
        <f>IFERROR(__xludf.DUMMYFUNCTION("FILTER($C$4:$C$30,$B$4:$B$30=E686)"),1731.16)</f>
        <v>1731.16</v>
      </c>
      <c r="G708" s="799"/>
      <c r="H708" s="283"/>
      <c r="I708" s="847"/>
      <c r="J708" s="848"/>
      <c r="K708" s="849"/>
      <c r="O708" s="799"/>
      <c r="T708" s="29"/>
      <c r="U708" s="918"/>
    </row>
    <row r="709">
      <c r="A709" s="1049"/>
      <c r="B709" s="840"/>
      <c r="C709" s="849"/>
      <c r="E709" s="248"/>
      <c r="G709" s="799"/>
      <c r="H709" s="283"/>
      <c r="I709" s="847"/>
      <c r="J709" s="848"/>
      <c r="K709" s="849"/>
      <c r="M709" s="248"/>
      <c r="O709" s="799"/>
      <c r="T709" s="29"/>
      <c r="U709" s="918"/>
    </row>
    <row r="710">
      <c r="A710" s="847"/>
      <c r="B710" s="848"/>
      <c r="C710" s="849"/>
      <c r="G710" s="799"/>
      <c r="H710" s="283"/>
      <c r="I710" s="847"/>
      <c r="J710" s="848"/>
      <c r="K710" s="849"/>
      <c r="O710" s="799"/>
      <c r="T710" s="29"/>
      <c r="U710" s="918"/>
    </row>
    <row r="711">
      <c r="A711" s="853" t="s">
        <v>721</v>
      </c>
      <c r="B711" s="854"/>
      <c r="C711" s="855">
        <f>SUM(C705:C710)</f>
        <v>1731.16</v>
      </c>
      <c r="G711" s="799"/>
      <c r="H711" s="283"/>
      <c r="I711" s="853" t="s">
        <v>721</v>
      </c>
      <c r="J711" s="854"/>
      <c r="K711" s="855"/>
      <c r="O711" s="799"/>
      <c r="T711" s="29"/>
      <c r="U711" s="918"/>
    </row>
    <row r="712">
      <c r="A712" s="856"/>
      <c r="B712" s="857"/>
      <c r="C712" s="857"/>
      <c r="D712" s="857"/>
      <c r="E712" s="857"/>
      <c r="F712" s="857"/>
      <c r="G712" s="808"/>
      <c r="H712" s="283"/>
      <c r="I712" s="856"/>
      <c r="J712" s="857"/>
      <c r="K712" s="857"/>
      <c r="L712" s="857"/>
      <c r="M712" s="857"/>
      <c r="N712" s="857"/>
      <c r="O712" s="808"/>
      <c r="T712" s="29"/>
      <c r="U712" s="918"/>
    </row>
    <row r="713">
      <c r="T713" s="29"/>
      <c r="U713" s="918"/>
    </row>
    <row r="714">
      <c r="T714" s="29"/>
      <c r="U714" s="918"/>
    </row>
    <row r="715">
      <c r="A715" s="769"/>
      <c r="B715" s="770"/>
      <c r="C715" s="770"/>
      <c r="D715" s="771" t="s">
        <v>700</v>
      </c>
      <c r="E715" s="772" t="str">
        <f>E126</f>
        <v>11.24.2025-11.30.2025</v>
      </c>
      <c r="F715" s="773"/>
      <c r="G715" s="774"/>
      <c r="H715" s="305">
        <v>20.0</v>
      </c>
      <c r="I715" s="769"/>
      <c r="J715" s="770"/>
      <c r="K715" s="770"/>
      <c r="L715" s="771" t="s">
        <v>700</v>
      </c>
      <c r="M715" s="772" t="str">
        <f>E126</f>
        <v>11.24.2025-11.30.2025</v>
      </c>
      <c r="N715" s="773"/>
      <c r="O715" s="774"/>
      <c r="T715" s="29"/>
      <c r="U715" s="918"/>
    </row>
    <row r="716">
      <c r="A716" s="775"/>
      <c r="D716" s="771" t="s">
        <v>702</v>
      </c>
      <c r="E716" s="772" t="s">
        <v>680</v>
      </c>
      <c r="F716" s="773"/>
      <c r="G716" s="774"/>
      <c r="H716" s="283"/>
      <c r="I716" s="775"/>
      <c r="L716" s="771" t="s">
        <v>351</v>
      </c>
      <c r="M716" s="772" t="str">
        <f t="array" ref="M716">XLOOKUP(M717,$L$1:$L$122,$K$1:$K$122)</f>
        <v>Ben Beliscar</v>
      </c>
      <c r="N716" s="773"/>
      <c r="O716" s="774"/>
      <c r="T716" s="29"/>
      <c r="U716" s="918"/>
    </row>
    <row r="717">
      <c r="A717" s="775"/>
      <c r="D717" s="771" t="s">
        <v>703</v>
      </c>
      <c r="E717" s="772">
        <v>2932.0</v>
      </c>
      <c r="F717" s="773"/>
      <c r="G717" s="774"/>
      <c r="H717" s="283"/>
      <c r="I717" s="775"/>
      <c r="L717" s="771" t="s">
        <v>703</v>
      </c>
      <c r="M717" s="772">
        <f>E717</f>
        <v>2932</v>
      </c>
      <c r="N717" s="773"/>
      <c r="O717" s="774"/>
      <c r="T717" s="29"/>
      <c r="U717" s="918"/>
    </row>
    <row r="718">
      <c r="A718" s="779" t="s">
        <v>704</v>
      </c>
      <c r="B718" s="779" t="s">
        <v>5</v>
      </c>
      <c r="C718" s="779" t="s">
        <v>6</v>
      </c>
      <c r="D718" s="779" t="s">
        <v>7</v>
      </c>
      <c r="E718" s="779" t="s">
        <v>8</v>
      </c>
      <c r="F718" s="779" t="s">
        <v>706</v>
      </c>
      <c r="G718" s="779" t="s">
        <v>707</v>
      </c>
      <c r="H718" s="34"/>
      <c r="I718" s="779" t="s">
        <v>704</v>
      </c>
      <c r="J718" s="779" t="s">
        <v>5</v>
      </c>
      <c r="K718" s="779" t="s">
        <v>6</v>
      </c>
      <c r="L718" s="779" t="s">
        <v>7</v>
      </c>
      <c r="M718" s="779" t="s">
        <v>1178</v>
      </c>
      <c r="N718" s="779" t="s">
        <v>839</v>
      </c>
      <c r="O718" s="779" t="s">
        <v>707</v>
      </c>
      <c r="T718" s="29"/>
      <c r="U718" s="918"/>
    </row>
    <row r="719">
      <c r="A719" s="780" t="str">
        <f>IFERROR(__xludf.DUMMYFUNCTION("FILTER($D$3:$H$122,$L$3:$L$122=E717)"),"")</f>
        <v/>
      </c>
      <c r="B719" s="781"/>
      <c r="C719" s="781"/>
      <c r="D719" s="781"/>
      <c r="E719" s="782"/>
      <c r="F719" s="783">
        <v>1.0</v>
      </c>
      <c r="G719" s="782">
        <f>E719*F719</f>
        <v>0</v>
      </c>
      <c r="H719" s="283"/>
      <c r="I719" s="780" t="str">
        <f>IFERROR(__xludf.DUMMYFUNCTION("FILTER($D$3:$G$122,$L$3:$L$122=M717)"),"")</f>
        <v/>
      </c>
      <c r="J719" s="781"/>
      <c r="K719" s="781"/>
      <c r="L719" s="781"/>
      <c r="M719" s="880" t="str">
        <f>IFERROR(__xludf.DUMMYFUNCTION("FILTER($I$3:$I$122,$L$3:$L$122=M717)"),"")</f>
        <v/>
      </c>
      <c r="N719" s="781">
        <v>0.65</v>
      </c>
      <c r="O719" s="782">
        <f>M719*N719</f>
        <v>0</v>
      </c>
      <c r="T719" s="922"/>
      <c r="U719" s="923"/>
    </row>
    <row r="720">
      <c r="A720" s="780"/>
      <c r="B720" s="781"/>
      <c r="C720" s="781"/>
      <c r="D720" s="781"/>
      <c r="E720" s="782"/>
      <c r="F720" s="783"/>
      <c r="G720" s="782"/>
      <c r="H720" s="283"/>
      <c r="I720" s="780"/>
      <c r="J720" s="781"/>
      <c r="K720" s="781"/>
      <c r="L720" s="781"/>
      <c r="M720" s="880"/>
      <c r="N720" s="781"/>
      <c r="O720" s="782"/>
    </row>
    <row r="721">
      <c r="A721" s="785"/>
      <c r="B721" s="786"/>
      <c r="C721" s="786"/>
      <c r="D721" s="786"/>
      <c r="E721" s="785"/>
      <c r="F721" s="787"/>
      <c r="G721" s="788"/>
      <c r="H721" s="283"/>
      <c r="I721" s="780"/>
      <c r="J721" s="781"/>
      <c r="K721" s="781"/>
      <c r="L721" s="781"/>
      <c r="M721" s="880"/>
      <c r="N721" s="781"/>
      <c r="O721" s="782"/>
    </row>
    <row r="722">
      <c r="A722" s="785"/>
      <c r="B722" s="786"/>
      <c r="C722" s="786"/>
      <c r="D722" s="786"/>
      <c r="E722" s="785"/>
      <c r="F722" s="787"/>
      <c r="G722" s="788"/>
      <c r="H722" s="283"/>
      <c r="I722" s="785"/>
      <c r="J722" s="786"/>
      <c r="K722" s="786"/>
      <c r="L722" s="786"/>
      <c r="M722" s="785"/>
      <c r="N722" s="787"/>
      <c r="O722" s="789"/>
    </row>
    <row r="723">
      <c r="A723" s="785"/>
      <c r="B723" s="786"/>
      <c r="C723" s="786"/>
      <c r="D723" s="786"/>
      <c r="E723" s="785"/>
      <c r="F723" s="787"/>
      <c r="G723" s="788"/>
      <c r="H723" s="283"/>
      <c r="I723" s="785"/>
      <c r="J723" s="786"/>
      <c r="K723" s="786"/>
      <c r="L723" s="786"/>
      <c r="M723" s="785"/>
      <c r="N723" s="787"/>
      <c r="O723" s="789"/>
    </row>
    <row r="724">
      <c r="A724" s="785"/>
      <c r="B724" s="786"/>
      <c r="C724" s="786"/>
      <c r="D724" s="786"/>
      <c r="E724" s="785"/>
      <c r="F724" s="787"/>
      <c r="G724" s="788"/>
      <c r="H724" s="283"/>
      <c r="I724" s="785"/>
      <c r="J724" s="786"/>
      <c r="K724" s="786"/>
      <c r="L724" s="786"/>
      <c r="M724" s="785"/>
      <c r="N724" s="787"/>
      <c r="O724" s="789"/>
    </row>
    <row r="725">
      <c r="A725" s="790" t="s">
        <v>711</v>
      </c>
      <c r="B725" s="791"/>
      <c r="C725" s="791"/>
      <c r="D725" s="792"/>
      <c r="E725" s="793">
        <f>SUM(E719:E724)</f>
        <v>0</v>
      </c>
      <c r="F725" s="794"/>
      <c r="G725" s="793">
        <f>SUM(G719:G724)</f>
        <v>0</v>
      </c>
      <c r="H725" s="283"/>
      <c r="I725" s="790" t="s">
        <v>711</v>
      </c>
      <c r="J725" s="791"/>
      <c r="K725" s="791"/>
      <c r="L725" s="792"/>
      <c r="M725" s="793">
        <f>SUM(M719:M724)</f>
        <v>0</v>
      </c>
      <c r="N725" s="794"/>
      <c r="O725" s="793">
        <f>SUM(O719:O724)</f>
        <v>0</v>
      </c>
    </row>
    <row r="726">
      <c r="A726" s="796"/>
      <c r="D726" s="798"/>
      <c r="G726" s="799"/>
      <c r="H726" s="283"/>
      <c r="I726" s="796"/>
      <c r="L726" s="798"/>
      <c r="O726" s="799"/>
    </row>
    <row r="727">
      <c r="A727" s="800" t="s">
        <v>712</v>
      </c>
      <c r="B727" s="801"/>
      <c r="C727" s="802"/>
      <c r="G727" s="799"/>
      <c r="H727" s="283"/>
      <c r="I727" s="800" t="s">
        <v>712</v>
      </c>
      <c r="J727" s="803"/>
      <c r="K727" s="804"/>
      <c r="O727" s="799"/>
    </row>
    <row r="728">
      <c r="A728" s="867"/>
      <c r="B728" s="808"/>
      <c r="C728" s="809"/>
      <c r="G728" s="799"/>
      <c r="H728" s="283"/>
      <c r="I728" s="867"/>
      <c r="J728" s="808"/>
      <c r="K728" s="809"/>
      <c r="O728" s="799"/>
    </row>
    <row r="729">
      <c r="A729" s="868"/>
      <c r="B729" s="774"/>
      <c r="C729" s="816"/>
      <c r="G729" s="799"/>
      <c r="H729" s="283"/>
      <c r="I729" s="868"/>
      <c r="J729" s="774"/>
      <c r="K729" s="816"/>
      <c r="O729" s="799"/>
    </row>
    <row r="730">
      <c r="A730" s="815"/>
      <c r="B730" s="792"/>
      <c r="C730" s="816"/>
      <c r="G730" s="799"/>
      <c r="H730" s="283"/>
      <c r="I730" s="815"/>
      <c r="J730" s="792"/>
      <c r="K730" s="816"/>
      <c r="O730" s="799"/>
    </row>
    <row r="731">
      <c r="A731" s="817"/>
      <c r="B731" s="774"/>
      <c r="C731" s="818"/>
      <c r="G731" s="799"/>
      <c r="H731" s="283"/>
      <c r="I731" s="817"/>
      <c r="J731" s="774"/>
      <c r="K731" s="818"/>
      <c r="O731" s="799"/>
    </row>
    <row r="732">
      <c r="A732" s="817"/>
      <c r="B732" s="792"/>
      <c r="C732" s="818"/>
      <c r="G732" s="799"/>
      <c r="H732" s="283"/>
      <c r="I732" s="817"/>
      <c r="J732" s="792"/>
      <c r="K732" s="818"/>
      <c r="O732" s="799"/>
    </row>
    <row r="733">
      <c r="A733" s="821" t="s">
        <v>714</v>
      </c>
      <c r="B733" s="822"/>
      <c r="C733" s="823">
        <f>SUM(C728:C732)</f>
        <v>0</v>
      </c>
      <c r="G733" s="799"/>
      <c r="H733" s="283"/>
      <c r="I733" s="821" t="s">
        <v>714</v>
      </c>
      <c r="J733" s="826"/>
      <c r="K733" s="827"/>
      <c r="O733" s="799"/>
    </row>
    <row r="734">
      <c r="A734" s="828"/>
      <c r="C734" s="829"/>
      <c r="G734" s="799"/>
      <c r="H734" s="283"/>
      <c r="I734" s="828"/>
      <c r="K734" s="829"/>
      <c r="O734" s="799"/>
    </row>
    <row r="735">
      <c r="A735" s="830" t="s">
        <v>715</v>
      </c>
      <c r="B735" s="831"/>
      <c r="C735" s="832"/>
      <c r="G735" s="799"/>
      <c r="H735" s="283"/>
      <c r="I735" s="833" t="s">
        <v>715</v>
      </c>
      <c r="J735" s="834"/>
      <c r="K735" s="835"/>
      <c r="O735" s="799"/>
    </row>
    <row r="736">
      <c r="A736" s="836" t="s">
        <v>716</v>
      </c>
      <c r="B736" s="837"/>
      <c r="C736" s="838"/>
      <c r="G736" s="799"/>
      <c r="H736" s="283"/>
      <c r="I736" s="839"/>
      <c r="J736" s="840"/>
      <c r="K736" s="841"/>
      <c r="O736" s="799"/>
    </row>
    <row r="737">
      <c r="A737" s="842" t="s">
        <v>717</v>
      </c>
      <c r="B737" s="843"/>
      <c r="C737" s="844"/>
      <c r="D737" s="248"/>
      <c r="E737" s="845" t="s">
        <v>1182</v>
      </c>
      <c r="G737" s="846" t="str">
        <f>G725+C733-C742</f>
        <v>#N/A</v>
      </c>
      <c r="H737" s="283"/>
      <c r="I737" s="847"/>
      <c r="J737" s="848"/>
      <c r="K737" s="849"/>
      <c r="L737" s="248"/>
      <c r="M737" s="845" t="s">
        <v>1183</v>
      </c>
      <c r="O737" s="846">
        <f>O725+K733-K742</f>
        <v>0</v>
      </c>
    </row>
    <row r="738">
      <c r="A738" s="836" t="s">
        <v>718</v>
      </c>
      <c r="B738" s="837"/>
      <c r="C738" s="838"/>
      <c r="G738" s="799"/>
      <c r="H738" s="283"/>
      <c r="I738" s="847"/>
      <c r="J738" s="848"/>
      <c r="K738" s="849"/>
      <c r="O738" s="799"/>
    </row>
    <row r="739">
      <c r="A739" s="842" t="s">
        <v>656</v>
      </c>
      <c r="B739" s="843"/>
      <c r="C739" s="844" t="str">
        <f>IFERROR(__xludf.DUMMYFUNCTION("FILTER($C$4:$C$30,$B$4:$B$30=E717)"),"#N/A")</f>
        <v>#N/A</v>
      </c>
      <c r="G739" s="799"/>
      <c r="H739" s="283"/>
      <c r="I739" s="847"/>
      <c r="J739" s="848"/>
      <c r="K739" s="849"/>
      <c r="O739" s="799"/>
    </row>
    <row r="740">
      <c r="A740" s="1049"/>
      <c r="B740" s="840"/>
      <c r="C740" s="849"/>
      <c r="E740" s="248"/>
      <c r="G740" s="799"/>
      <c r="H740" s="283"/>
      <c r="I740" s="847"/>
      <c r="J740" s="848"/>
      <c r="K740" s="849"/>
      <c r="M740" s="248"/>
      <c r="O740" s="799"/>
    </row>
    <row r="741">
      <c r="A741" s="847"/>
      <c r="B741" s="848"/>
      <c r="C741" s="849"/>
      <c r="G741" s="799"/>
      <c r="H741" s="283"/>
      <c r="I741" s="847"/>
      <c r="J741" s="848"/>
      <c r="K741" s="849"/>
      <c r="O741" s="799"/>
    </row>
    <row r="742">
      <c r="A742" s="853" t="s">
        <v>721</v>
      </c>
      <c r="B742" s="854"/>
      <c r="C742" s="855" t="str">
        <f>SUM(C736:C741)</f>
        <v>#N/A</v>
      </c>
      <c r="G742" s="799"/>
      <c r="H742" s="283"/>
      <c r="I742" s="853" t="s">
        <v>721</v>
      </c>
      <c r="J742" s="854"/>
      <c r="K742" s="855"/>
      <c r="O742" s="799"/>
    </row>
    <row r="743">
      <c r="A743" s="856"/>
      <c r="B743" s="857"/>
      <c r="C743" s="857"/>
      <c r="D743" s="857"/>
      <c r="E743" s="857"/>
      <c r="F743" s="857"/>
      <c r="G743" s="808"/>
      <c r="H743" s="283"/>
      <c r="I743" s="856"/>
      <c r="J743" s="857"/>
      <c r="K743" s="857"/>
      <c r="L743" s="857"/>
      <c r="M743" s="857"/>
      <c r="N743" s="857"/>
      <c r="O743" s="808"/>
    </row>
    <row r="744">
      <c r="A744" s="199"/>
      <c r="B744" s="199"/>
      <c r="C744" s="199"/>
      <c r="D744" s="248"/>
      <c r="E744" s="248"/>
      <c r="F744" s="248"/>
      <c r="G744" s="248"/>
      <c r="H744" s="283"/>
      <c r="I744" s="199"/>
      <c r="J744" s="199"/>
      <c r="K744" s="199"/>
      <c r="L744" s="248"/>
      <c r="M744" s="248"/>
      <c r="N744" s="248"/>
      <c r="O744" s="248"/>
    </row>
    <row r="745">
      <c r="A745" s="199"/>
      <c r="B745" s="199"/>
      <c r="C745" s="199"/>
      <c r="D745" s="248"/>
      <c r="E745" s="248"/>
      <c r="F745" s="248"/>
      <c r="G745" s="248"/>
      <c r="H745" s="283"/>
      <c r="I745" s="199"/>
      <c r="J745" s="199"/>
      <c r="K745" s="199"/>
      <c r="L745" s="248"/>
      <c r="M745" s="248"/>
      <c r="N745" s="248"/>
      <c r="O745" s="248"/>
    </row>
    <row r="746">
      <c r="A746" s="769"/>
      <c r="B746" s="770"/>
      <c r="C746" s="770"/>
      <c r="D746" s="771" t="s">
        <v>700</v>
      </c>
      <c r="E746" s="772" t="str">
        <f>E126</f>
        <v>11.24.2025-11.30.2025</v>
      </c>
      <c r="F746" s="773"/>
      <c r="G746" s="774"/>
      <c r="H746" s="305">
        <v>21.0</v>
      </c>
      <c r="I746" s="769"/>
      <c r="J746" s="770"/>
      <c r="K746" s="770"/>
      <c r="L746" s="771" t="s">
        <v>700</v>
      </c>
      <c r="M746" s="772" t="str">
        <f>E126</f>
        <v>11.24.2025-11.30.2025</v>
      </c>
      <c r="N746" s="773"/>
      <c r="O746" s="774"/>
    </row>
    <row r="747">
      <c r="A747" s="775"/>
      <c r="D747" s="771" t="s">
        <v>702</v>
      </c>
      <c r="E747" s="772" t="s">
        <v>680</v>
      </c>
      <c r="F747" s="773"/>
      <c r="G747" s="774"/>
      <c r="H747" s="283"/>
      <c r="I747" s="775"/>
      <c r="L747" s="771" t="s">
        <v>351</v>
      </c>
      <c r="M747" s="772" t="str">
        <f t="array" ref="M747">XLOOKUP(M748,$L$1:$L$122,$K$1:$K$122)</f>
        <v>CHRISTOPHER ELIOTT NUNEZ</v>
      </c>
      <c r="N747" s="773"/>
      <c r="O747" s="774"/>
    </row>
    <row r="748">
      <c r="A748" s="775"/>
      <c r="D748" s="771" t="s">
        <v>703</v>
      </c>
      <c r="E748" s="772">
        <v>2774.0</v>
      </c>
      <c r="F748" s="773"/>
      <c r="G748" s="774"/>
      <c r="H748" s="283"/>
      <c r="I748" s="775"/>
      <c r="L748" s="771" t="s">
        <v>703</v>
      </c>
      <c r="M748" s="772">
        <f>E748</f>
        <v>2774</v>
      </c>
      <c r="N748" s="773"/>
      <c r="O748" s="774"/>
    </row>
    <row r="749">
      <c r="A749" s="779" t="s">
        <v>704</v>
      </c>
      <c r="B749" s="779" t="s">
        <v>5</v>
      </c>
      <c r="C749" s="779" t="s">
        <v>6</v>
      </c>
      <c r="D749" s="779" t="s">
        <v>7</v>
      </c>
      <c r="E749" s="779" t="s">
        <v>8</v>
      </c>
      <c r="F749" s="779" t="s">
        <v>706</v>
      </c>
      <c r="G749" s="779" t="s">
        <v>707</v>
      </c>
      <c r="H749" s="34"/>
      <c r="I749" s="779" t="s">
        <v>704</v>
      </c>
      <c r="J749" s="779" t="s">
        <v>5</v>
      </c>
      <c r="K749" s="779" t="s">
        <v>6</v>
      </c>
      <c r="L749" s="779" t="s">
        <v>7</v>
      </c>
      <c r="M749" s="779" t="s">
        <v>1178</v>
      </c>
      <c r="N749" s="779" t="s">
        <v>839</v>
      </c>
      <c r="O749" s="779" t="s">
        <v>707</v>
      </c>
    </row>
    <row r="750">
      <c r="A750" s="780">
        <f>IFERROR(__xludf.DUMMYFUNCTION("FILTER($D$3:$H$122,$L$3:$L$122=E748)"),45989.0)</f>
        <v>45989</v>
      </c>
      <c r="B750" s="781">
        <f>IFERROR(__xludf.DUMMYFUNCTION("""COMPUTED_VALUE"""),5.35457817E8)</f>
        <v>535457817</v>
      </c>
      <c r="C750" s="781" t="str">
        <f>IFERROR(__xludf.DUMMYFUNCTION("""COMPUTED_VALUE"""),"Pine Hill, AL, 36769")</f>
        <v>Pine Hill, AL, 36769</v>
      </c>
      <c r="D750" s="781" t="str">
        <f>IFERROR(__xludf.DUMMYFUNCTION("""COMPUTED_VALUE"""),"Shillington, PA, 19607")</f>
        <v>Shillington, PA, 19607</v>
      </c>
      <c r="E750" s="782">
        <f>IFERROR(__xludf.DUMMYFUNCTION("""COMPUTED_VALUE"""),2350.0)</f>
        <v>2350</v>
      </c>
      <c r="F750" s="783">
        <v>1.0</v>
      </c>
      <c r="G750" s="782">
        <f>E750*F750</f>
        <v>2350</v>
      </c>
      <c r="H750" s="283"/>
      <c r="I750" s="780">
        <f>IFERROR(__xludf.DUMMYFUNCTION("FILTER($D$3:$G$122,$L$3:$L$122=M748)"),45989.0)</f>
        <v>45989</v>
      </c>
      <c r="J750" s="781">
        <f>IFERROR(__xludf.DUMMYFUNCTION("""COMPUTED_VALUE"""),5.35457817E8)</f>
        <v>535457817</v>
      </c>
      <c r="K750" s="781" t="str">
        <f>IFERROR(__xludf.DUMMYFUNCTION("""COMPUTED_VALUE"""),"Pine Hill, AL, 36769")</f>
        <v>Pine Hill, AL, 36769</v>
      </c>
      <c r="L750" s="781" t="str">
        <f>IFERROR(__xludf.DUMMYFUNCTION("""COMPUTED_VALUE"""),"Shillington, PA, 19607")</f>
        <v>Shillington, PA, 19607</v>
      </c>
      <c r="M750" s="880">
        <f>IFERROR(__xludf.DUMMYFUNCTION("FILTER($I$3:$I$122,$L$3:$L$122=M748)"),1254.0)</f>
        <v>1254</v>
      </c>
      <c r="N750" s="781">
        <v>0.65</v>
      </c>
      <c r="O750" s="782">
        <f>M750*N750</f>
        <v>815.1</v>
      </c>
    </row>
    <row r="751">
      <c r="A751" s="780">
        <f>IFERROR(__xludf.DUMMYFUNCTION("""COMPUTED_VALUE"""),45987.0)</f>
        <v>45987</v>
      </c>
      <c r="B751" s="781">
        <f>IFERROR(__xludf.DUMMYFUNCTION("""COMPUTED_VALUE"""),5.35945871E8)</f>
        <v>535945871</v>
      </c>
      <c r="C751" s="781" t="str">
        <f>IFERROR(__xludf.DUMMYFUNCTION("""COMPUTED_VALUE"""),"Rome, GA, 30165")</f>
        <v>Rome, GA, 30165</v>
      </c>
      <c r="D751" s="781" t="str">
        <f>IFERROR(__xludf.DUMMYFUNCTION("""COMPUTED_VALUE"""),"Federalsburg, MD, 21632")</f>
        <v>Federalsburg, MD, 21632</v>
      </c>
      <c r="E751" s="782">
        <f>IFERROR(__xludf.DUMMYFUNCTION("""COMPUTED_VALUE"""),1650.0)</f>
        <v>1650</v>
      </c>
      <c r="F751" s="783"/>
      <c r="G751" s="782"/>
      <c r="H751" s="283"/>
      <c r="I751" s="780">
        <f>IFERROR(__xludf.DUMMYFUNCTION("""COMPUTED_VALUE"""),45987.0)</f>
        <v>45987</v>
      </c>
      <c r="J751" s="781">
        <f>IFERROR(__xludf.DUMMYFUNCTION("""COMPUTED_VALUE"""),5.35945871E8)</f>
        <v>535945871</v>
      </c>
      <c r="K751" s="781" t="str">
        <f>IFERROR(__xludf.DUMMYFUNCTION("""COMPUTED_VALUE"""),"Rome, GA, 30165")</f>
        <v>Rome, GA, 30165</v>
      </c>
      <c r="L751" s="781" t="str">
        <f>IFERROR(__xludf.DUMMYFUNCTION("""COMPUTED_VALUE"""),"Federalsburg, MD, 21632")</f>
        <v>Federalsburg, MD, 21632</v>
      </c>
      <c r="M751" s="880">
        <f>IFERROR(__xludf.DUMMYFUNCTION("""COMPUTED_VALUE"""),747.39)</f>
        <v>747.39</v>
      </c>
      <c r="N751" s="781"/>
      <c r="O751" s="782"/>
    </row>
    <row r="752">
      <c r="A752" s="785"/>
      <c r="B752" s="786"/>
      <c r="C752" s="786"/>
      <c r="D752" s="786"/>
      <c r="E752" s="785"/>
      <c r="F752" s="787"/>
      <c r="G752" s="788"/>
      <c r="H752" s="283"/>
      <c r="I752" s="780"/>
      <c r="J752" s="781"/>
      <c r="K752" s="781"/>
      <c r="L752" s="781"/>
      <c r="M752" s="880"/>
      <c r="N752" s="781"/>
      <c r="O752" s="782"/>
    </row>
    <row r="753">
      <c r="A753" s="785"/>
      <c r="B753" s="786"/>
      <c r="C753" s="786"/>
      <c r="D753" s="786"/>
      <c r="E753" s="785"/>
      <c r="F753" s="787"/>
      <c r="G753" s="788"/>
      <c r="H753" s="283"/>
      <c r="I753" s="785"/>
      <c r="J753" s="786"/>
      <c r="K753" s="786"/>
      <c r="L753" s="786"/>
      <c r="M753" s="785"/>
      <c r="N753" s="787"/>
      <c r="O753" s="789"/>
    </row>
    <row r="754">
      <c r="A754" s="785"/>
      <c r="B754" s="786"/>
      <c r="C754" s="786"/>
      <c r="D754" s="786"/>
      <c r="E754" s="785"/>
      <c r="F754" s="787"/>
      <c r="G754" s="788"/>
      <c r="H754" s="283"/>
      <c r="I754" s="785"/>
      <c r="J754" s="786"/>
      <c r="K754" s="786"/>
      <c r="L754" s="786"/>
      <c r="M754" s="785"/>
      <c r="N754" s="787"/>
      <c r="O754" s="789"/>
    </row>
    <row r="755">
      <c r="A755" s="785"/>
      <c r="B755" s="786"/>
      <c r="C755" s="786"/>
      <c r="D755" s="786"/>
      <c r="E755" s="785"/>
      <c r="F755" s="787"/>
      <c r="G755" s="788"/>
      <c r="H755" s="283"/>
      <c r="I755" s="785"/>
      <c r="J755" s="786"/>
      <c r="K755" s="786"/>
      <c r="L755" s="786"/>
      <c r="M755" s="785"/>
      <c r="N755" s="787"/>
      <c r="O755" s="789"/>
    </row>
    <row r="756">
      <c r="A756" s="790" t="s">
        <v>711</v>
      </c>
      <c r="B756" s="791"/>
      <c r="C756" s="791"/>
      <c r="D756" s="792"/>
      <c r="E756" s="793">
        <f>SUM(E750:E755)</f>
        <v>4000</v>
      </c>
      <c r="F756" s="794"/>
      <c r="G756" s="793">
        <f>SUM(G750:G755)</f>
        <v>2350</v>
      </c>
      <c r="H756" s="283"/>
      <c r="I756" s="790" t="s">
        <v>711</v>
      </c>
      <c r="J756" s="791"/>
      <c r="K756" s="791"/>
      <c r="L756" s="792"/>
      <c r="M756" s="793">
        <f>SUM(M750:M755)</f>
        <v>2001.39</v>
      </c>
      <c r="N756" s="794"/>
      <c r="O756" s="793">
        <f>SUM(O750:O755)</f>
        <v>815.1</v>
      </c>
    </row>
    <row r="757">
      <c r="A757" s="796"/>
      <c r="D757" s="798"/>
      <c r="G757" s="799"/>
      <c r="H757" s="283"/>
      <c r="I757" s="796"/>
      <c r="L757" s="798"/>
      <c r="O757" s="799"/>
    </row>
    <row r="758">
      <c r="A758" s="800" t="s">
        <v>712</v>
      </c>
      <c r="B758" s="801"/>
      <c r="C758" s="802"/>
      <c r="G758" s="799"/>
      <c r="H758" s="283"/>
      <c r="I758" s="800" t="s">
        <v>712</v>
      </c>
      <c r="J758" s="803"/>
      <c r="K758" s="804"/>
      <c r="O758" s="799"/>
    </row>
    <row r="759">
      <c r="A759" s="867"/>
      <c r="B759" s="808"/>
      <c r="C759" s="809"/>
      <c r="G759" s="799"/>
      <c r="H759" s="283"/>
      <c r="I759" s="867"/>
      <c r="J759" s="808"/>
      <c r="K759" s="809"/>
      <c r="O759" s="799"/>
    </row>
    <row r="760">
      <c r="A760" s="868"/>
      <c r="B760" s="774"/>
      <c r="C760" s="816"/>
      <c r="G760" s="799"/>
      <c r="H760" s="283"/>
      <c r="I760" s="868"/>
      <c r="J760" s="774"/>
      <c r="K760" s="816"/>
      <c r="O760" s="799"/>
    </row>
    <row r="761">
      <c r="A761" s="815"/>
      <c r="B761" s="792"/>
      <c r="C761" s="816"/>
      <c r="G761" s="799"/>
      <c r="H761" s="283"/>
      <c r="I761" s="815"/>
      <c r="J761" s="792"/>
      <c r="K761" s="816"/>
      <c r="O761" s="799"/>
    </row>
    <row r="762">
      <c r="A762" s="817"/>
      <c r="B762" s="774"/>
      <c r="C762" s="818"/>
      <c r="G762" s="799"/>
      <c r="H762" s="283"/>
      <c r="I762" s="817"/>
      <c r="J762" s="774"/>
      <c r="K762" s="818"/>
      <c r="O762" s="799"/>
    </row>
    <row r="763">
      <c r="A763" s="817"/>
      <c r="B763" s="792"/>
      <c r="C763" s="818"/>
      <c r="G763" s="799"/>
      <c r="H763" s="283"/>
      <c r="I763" s="817"/>
      <c r="J763" s="792"/>
      <c r="K763" s="818"/>
      <c r="O763" s="799"/>
    </row>
    <row r="764">
      <c r="A764" s="821" t="s">
        <v>714</v>
      </c>
      <c r="B764" s="822"/>
      <c r="C764" s="823">
        <f>SUM(C759:C763)</f>
        <v>0</v>
      </c>
      <c r="G764" s="799"/>
      <c r="H764" s="283"/>
      <c r="I764" s="821" t="s">
        <v>714</v>
      </c>
      <c r="J764" s="826"/>
      <c r="K764" s="827"/>
      <c r="O764" s="799"/>
    </row>
    <row r="765">
      <c r="A765" s="828"/>
      <c r="C765" s="829"/>
      <c r="G765" s="799"/>
      <c r="H765" s="283"/>
      <c r="I765" s="828"/>
      <c r="K765" s="829"/>
      <c r="O765" s="799"/>
    </row>
    <row r="766">
      <c r="A766" s="830" t="s">
        <v>715</v>
      </c>
      <c r="B766" s="831"/>
      <c r="C766" s="832"/>
      <c r="G766" s="799"/>
      <c r="H766" s="283"/>
      <c r="I766" s="833" t="s">
        <v>715</v>
      </c>
      <c r="J766" s="834"/>
      <c r="K766" s="835"/>
      <c r="O766" s="799"/>
    </row>
    <row r="767">
      <c r="A767" s="836" t="s">
        <v>716</v>
      </c>
      <c r="B767" s="837"/>
      <c r="C767" s="838"/>
      <c r="G767" s="799"/>
      <c r="H767" s="283"/>
      <c r="I767" s="839"/>
      <c r="J767" s="840"/>
      <c r="K767" s="841"/>
      <c r="O767" s="799"/>
    </row>
    <row r="768">
      <c r="A768" s="842" t="s">
        <v>717</v>
      </c>
      <c r="B768" s="843"/>
      <c r="C768" s="844"/>
      <c r="D768" s="248"/>
      <c r="E768" s="845" t="s">
        <v>1182</v>
      </c>
      <c r="G768" s="846">
        <f>G756+C764-C773</f>
        <v>1376.18</v>
      </c>
      <c r="H768" s="283"/>
      <c r="I768" s="847"/>
      <c r="J768" s="848"/>
      <c r="K768" s="849"/>
      <c r="L768" s="248"/>
      <c r="M768" s="845" t="s">
        <v>1183</v>
      </c>
      <c r="O768" s="846">
        <f>O756+K764-K773</f>
        <v>815.1</v>
      </c>
    </row>
    <row r="769">
      <c r="A769" s="836" t="s">
        <v>718</v>
      </c>
      <c r="B769" s="837"/>
      <c r="C769" s="838"/>
      <c r="G769" s="799"/>
      <c r="H769" s="283"/>
      <c r="I769" s="847"/>
      <c r="J769" s="848"/>
      <c r="K769" s="849"/>
      <c r="O769" s="799"/>
    </row>
    <row r="770">
      <c r="A770" s="842" t="s">
        <v>656</v>
      </c>
      <c r="B770" s="843"/>
      <c r="C770" s="844">
        <f>IFERROR(__xludf.DUMMYFUNCTION("FILTER($C$4:$C$30,$B$4:$B$30=E748)"),973.82)</f>
        <v>973.82</v>
      </c>
      <c r="G770" s="799"/>
      <c r="H770" s="283"/>
      <c r="I770" s="847"/>
      <c r="J770" s="848"/>
      <c r="K770" s="849"/>
      <c r="O770" s="799"/>
    </row>
    <row r="771">
      <c r="A771" s="1049"/>
      <c r="B771" s="840"/>
      <c r="C771" s="849"/>
      <c r="E771" s="248"/>
      <c r="G771" s="799"/>
      <c r="H771" s="283"/>
      <c r="I771" s="847"/>
      <c r="J771" s="848"/>
      <c r="K771" s="849"/>
      <c r="M771" s="248"/>
      <c r="O771" s="799"/>
    </row>
    <row r="772">
      <c r="A772" s="847"/>
      <c r="B772" s="848"/>
      <c r="C772" s="849"/>
      <c r="G772" s="799"/>
      <c r="H772" s="283"/>
      <c r="I772" s="847"/>
      <c r="J772" s="848"/>
      <c r="K772" s="849"/>
      <c r="O772" s="799"/>
    </row>
    <row r="773">
      <c r="A773" s="853" t="s">
        <v>721</v>
      </c>
      <c r="B773" s="854"/>
      <c r="C773" s="855">
        <f>SUM(C767:C772)</f>
        <v>973.82</v>
      </c>
      <c r="G773" s="799"/>
      <c r="H773" s="283"/>
      <c r="I773" s="853" t="s">
        <v>721</v>
      </c>
      <c r="J773" s="854"/>
      <c r="K773" s="855"/>
      <c r="O773" s="799"/>
    </row>
    <row r="774">
      <c r="A774" s="856"/>
      <c r="B774" s="857"/>
      <c r="C774" s="857"/>
      <c r="D774" s="857"/>
      <c r="E774" s="857"/>
      <c r="F774" s="857"/>
      <c r="G774" s="808"/>
      <c r="H774" s="283"/>
      <c r="I774" s="856"/>
      <c r="J774" s="857"/>
      <c r="K774" s="857"/>
      <c r="L774" s="857"/>
      <c r="M774" s="857"/>
      <c r="N774" s="857"/>
      <c r="O774" s="808"/>
    </row>
    <row r="775">
      <c r="A775" s="199"/>
      <c r="B775" s="199"/>
      <c r="C775" s="199"/>
      <c r="D775" s="248"/>
      <c r="E775" s="248"/>
      <c r="F775" s="248"/>
      <c r="G775" s="248"/>
      <c r="H775" s="283"/>
      <c r="I775" s="199"/>
      <c r="J775" s="199"/>
      <c r="K775" s="199"/>
      <c r="L775" s="248"/>
      <c r="M775" s="248"/>
      <c r="N775" s="248"/>
      <c r="O775" s="248"/>
    </row>
    <row r="776">
      <c r="A776" s="199"/>
      <c r="B776" s="199"/>
      <c r="C776" s="199"/>
      <c r="D776" s="248"/>
      <c r="E776" s="248"/>
      <c r="F776" s="248"/>
      <c r="G776" s="248"/>
      <c r="H776" s="283"/>
      <c r="I776" s="199"/>
      <c r="J776" s="199"/>
      <c r="K776" s="199"/>
      <c r="L776" s="248"/>
      <c r="M776" s="248"/>
      <c r="N776" s="248"/>
      <c r="O776" s="248"/>
    </row>
    <row r="777">
      <c r="A777" s="769"/>
      <c r="B777" s="770"/>
      <c r="C777" s="770"/>
      <c r="D777" s="771" t="s">
        <v>700</v>
      </c>
      <c r="E777" s="772" t="str">
        <f>E126</f>
        <v>11.24.2025-11.30.2025</v>
      </c>
      <c r="F777" s="773"/>
      <c r="G777" s="774"/>
      <c r="H777" s="305">
        <v>22.0</v>
      </c>
      <c r="I777" s="769"/>
      <c r="J777" s="770"/>
      <c r="K777" s="770"/>
      <c r="L777" s="771" t="s">
        <v>700</v>
      </c>
      <c r="M777" s="772" t="str">
        <f>E126</f>
        <v>11.24.2025-11.30.2025</v>
      </c>
      <c r="N777" s="773"/>
      <c r="O777" s="774"/>
    </row>
    <row r="778">
      <c r="A778" s="775"/>
      <c r="D778" s="771" t="s">
        <v>702</v>
      </c>
      <c r="E778" s="772" t="s">
        <v>680</v>
      </c>
      <c r="F778" s="773"/>
      <c r="G778" s="774"/>
      <c r="H778" s="283"/>
      <c r="I778" s="775"/>
      <c r="L778" s="771" t="s">
        <v>351</v>
      </c>
      <c r="M778" s="772" t="str">
        <f t="array" ref="M778">XLOOKUP(M779,$L$1:$L$122,$K$1:$K$122)</f>
        <v>GLADIMY JULME</v>
      </c>
      <c r="N778" s="773"/>
      <c r="O778" s="774"/>
    </row>
    <row r="779">
      <c r="A779" s="775"/>
      <c r="D779" s="771" t="s">
        <v>703</v>
      </c>
      <c r="E779" s="778" t="s">
        <v>973</v>
      </c>
      <c r="F779" s="773"/>
      <c r="G779" s="774"/>
      <c r="H779" s="283"/>
      <c r="I779" s="775"/>
      <c r="L779" s="771" t="s">
        <v>703</v>
      </c>
      <c r="M779" s="772" t="str">
        <f>E779</f>
        <v>0659</v>
      </c>
      <c r="N779" s="773"/>
      <c r="O779" s="774"/>
    </row>
    <row r="780">
      <c r="A780" s="779" t="s">
        <v>704</v>
      </c>
      <c r="B780" s="779" t="s">
        <v>5</v>
      </c>
      <c r="C780" s="779" t="s">
        <v>6</v>
      </c>
      <c r="D780" s="779" t="s">
        <v>7</v>
      </c>
      <c r="E780" s="779" t="s">
        <v>8</v>
      </c>
      <c r="F780" s="779" t="s">
        <v>706</v>
      </c>
      <c r="G780" s="779" t="s">
        <v>707</v>
      </c>
      <c r="H780" s="34"/>
      <c r="I780" s="779" t="s">
        <v>704</v>
      </c>
      <c r="J780" s="779" t="s">
        <v>5</v>
      </c>
      <c r="K780" s="779" t="s">
        <v>6</v>
      </c>
      <c r="L780" s="779" t="s">
        <v>7</v>
      </c>
      <c r="M780" s="779" t="s">
        <v>1178</v>
      </c>
      <c r="N780" s="779" t="s">
        <v>839</v>
      </c>
      <c r="O780" s="779" t="s">
        <v>707</v>
      </c>
    </row>
    <row r="781">
      <c r="A781" s="780">
        <f>IFERROR(__xludf.DUMMYFUNCTION("FILTER($D$3:$H$122,$L$3:$L$122=E779)"),45989.0)</f>
        <v>45989</v>
      </c>
      <c r="B781" s="781" t="str">
        <f>IFERROR(__xludf.DUMMYFUNCTION("""COMPUTED_VALUE"""),"OR463319")</f>
        <v>OR463319</v>
      </c>
      <c r="C781" s="781" t="str">
        <f>IFERROR(__xludf.DUMMYFUNCTION("""COMPUTED_VALUE"""),"Ontario, CA, 91761")</f>
        <v>Ontario, CA, 91761</v>
      </c>
      <c r="D781" s="781" t="str">
        <f>IFERROR(__xludf.DUMMYFUNCTION("""COMPUTED_VALUE"""),"Charlotte, NC, 28214")</f>
        <v>Charlotte, NC, 28214</v>
      </c>
      <c r="E781" s="782">
        <f>IFERROR(__xludf.DUMMYFUNCTION("""COMPUTED_VALUE"""),6400.0)</f>
        <v>6400</v>
      </c>
      <c r="F781" s="783">
        <v>0.88</v>
      </c>
      <c r="G781" s="782">
        <f t="shared" ref="G781:G785" si="5">E781*F781</f>
        <v>5632</v>
      </c>
      <c r="H781" s="283"/>
      <c r="I781" s="780">
        <f>IFERROR(__xludf.DUMMYFUNCTION("FILTER($D$3:$G$122,$L$3:$L$122=M779)"),45989.0)</f>
        <v>45989</v>
      </c>
      <c r="J781" s="781" t="str">
        <f>IFERROR(__xludf.DUMMYFUNCTION("""COMPUTED_VALUE"""),"OR463319")</f>
        <v>OR463319</v>
      </c>
      <c r="K781" s="781" t="str">
        <f>IFERROR(__xludf.DUMMYFUNCTION("""COMPUTED_VALUE"""),"Ontario, CA, 91761")</f>
        <v>Ontario, CA, 91761</v>
      </c>
      <c r="L781" s="781" t="str">
        <f>IFERROR(__xludf.DUMMYFUNCTION("""COMPUTED_VALUE"""),"Charlotte, NC, 28214")</f>
        <v>Charlotte, NC, 28214</v>
      </c>
      <c r="M781" s="880">
        <f>IFERROR(__xludf.DUMMYFUNCTION("FILTER($I$3:$I$122,$L$3:$L$122=M779)"),2663.0)</f>
        <v>2663</v>
      </c>
      <c r="N781" s="781">
        <v>0.65</v>
      </c>
      <c r="O781" s="782">
        <f t="shared" ref="O781:O785" si="6">M781*N781</f>
        <v>1730.95</v>
      </c>
    </row>
    <row r="782">
      <c r="A782" s="780">
        <f>IFERROR(__xludf.DUMMYFUNCTION("""COMPUTED_VALUE"""),45987.0)</f>
        <v>45987</v>
      </c>
      <c r="B782" s="781">
        <f>IFERROR(__xludf.DUMMYFUNCTION("""COMPUTED_VALUE"""),2.0714865E7)</f>
        <v>20714865</v>
      </c>
      <c r="C782" s="781" t="str">
        <f>IFERROR(__xludf.DUMMYFUNCTION("""COMPUTED_VALUE"""),"Salinas, CA, 93901")</f>
        <v>Salinas, CA, 93901</v>
      </c>
      <c r="D782" s="781" t="str">
        <f>IFERROR(__xludf.DUMMYFUNCTION("""COMPUTED_VALUE"""),"Apple Valley, CA, 92307")</f>
        <v>Apple Valley, CA, 92307</v>
      </c>
      <c r="E782" s="782">
        <f>IFERROR(__xludf.DUMMYFUNCTION("""COMPUTED_VALUE"""),800.0)</f>
        <v>800</v>
      </c>
      <c r="F782" s="783">
        <v>0.88</v>
      </c>
      <c r="G782" s="782">
        <f t="shared" si="5"/>
        <v>704</v>
      </c>
      <c r="H782" s="283"/>
      <c r="I782" s="780">
        <f>IFERROR(__xludf.DUMMYFUNCTION("""COMPUTED_VALUE"""),45987.0)</f>
        <v>45987</v>
      </c>
      <c r="J782" s="781">
        <f>IFERROR(__xludf.DUMMYFUNCTION("""COMPUTED_VALUE"""),2.0714865E7)</f>
        <v>20714865</v>
      </c>
      <c r="K782" s="781" t="str">
        <f>IFERROR(__xludf.DUMMYFUNCTION("""COMPUTED_VALUE"""),"Salinas, CA, 93901")</f>
        <v>Salinas, CA, 93901</v>
      </c>
      <c r="L782" s="781" t="str">
        <f>IFERROR(__xludf.DUMMYFUNCTION("""COMPUTED_VALUE"""),"Apple Valley, CA, 92307")</f>
        <v>Apple Valley, CA, 92307</v>
      </c>
      <c r="M782" s="880">
        <f>IFERROR(__xludf.DUMMYFUNCTION("""COMPUTED_VALUE"""),424.0)</f>
        <v>424</v>
      </c>
      <c r="N782" s="781">
        <v>0.65</v>
      </c>
      <c r="O782" s="782">
        <f t="shared" si="6"/>
        <v>275.6</v>
      </c>
    </row>
    <row r="783">
      <c r="A783" s="883">
        <f>IFERROR(__xludf.DUMMYFUNCTION("""COMPUTED_VALUE"""),45986.0)</f>
        <v>45986</v>
      </c>
      <c r="B783" s="786">
        <f>IFERROR(__xludf.DUMMYFUNCTION("""COMPUTED_VALUE"""),5.35758159E8)</f>
        <v>535758159</v>
      </c>
      <c r="C783" s="786" t="str">
        <f>IFERROR(__xludf.DUMMYFUNCTION("""COMPUTED_VALUE"""),"Shafter, CA, 93263")</f>
        <v>Shafter, CA, 93263</v>
      </c>
      <c r="D783" s="786" t="str">
        <f>IFERROR(__xludf.DUMMYFUNCTION("""COMPUTED_VALUE"""),"Fremont, CA, 94538")</f>
        <v>Fremont, CA, 94538</v>
      </c>
      <c r="E783" s="884">
        <f>IFERROR(__xludf.DUMMYFUNCTION("""COMPUTED_VALUE"""),708.8)</f>
        <v>708.8</v>
      </c>
      <c r="F783" s="783">
        <v>0.88</v>
      </c>
      <c r="G783" s="782">
        <f t="shared" si="5"/>
        <v>623.744</v>
      </c>
      <c r="H783" s="283"/>
      <c r="I783" s="780">
        <f>IFERROR(__xludf.DUMMYFUNCTION("""COMPUTED_VALUE"""),45986.0)</f>
        <v>45986</v>
      </c>
      <c r="J783" s="781">
        <f>IFERROR(__xludf.DUMMYFUNCTION("""COMPUTED_VALUE"""),5.35758159E8)</f>
        <v>535758159</v>
      </c>
      <c r="K783" s="781" t="str">
        <f>IFERROR(__xludf.DUMMYFUNCTION("""COMPUTED_VALUE"""),"Shafter, CA, 93263")</f>
        <v>Shafter, CA, 93263</v>
      </c>
      <c r="L783" s="781" t="str">
        <f>IFERROR(__xludf.DUMMYFUNCTION("""COMPUTED_VALUE"""),"Fremont, CA, 94538")</f>
        <v>Fremont, CA, 94538</v>
      </c>
      <c r="M783" s="880">
        <f>IFERROR(__xludf.DUMMYFUNCTION("""COMPUTED_VALUE"""),352.0)</f>
        <v>352</v>
      </c>
      <c r="N783" s="781">
        <v>0.65</v>
      </c>
      <c r="O783" s="782">
        <f t="shared" si="6"/>
        <v>228.8</v>
      </c>
    </row>
    <row r="784">
      <c r="A784" s="785"/>
      <c r="B784" s="786"/>
      <c r="C784" s="786"/>
      <c r="D784" s="786"/>
      <c r="E784" s="785"/>
      <c r="F784" s="783">
        <v>0.88</v>
      </c>
      <c r="G784" s="782">
        <f t="shared" si="5"/>
        <v>0</v>
      </c>
      <c r="H784" s="283"/>
      <c r="I784" s="785"/>
      <c r="J784" s="786"/>
      <c r="K784" s="786"/>
      <c r="L784" s="786"/>
      <c r="M784" s="785"/>
      <c r="N784" s="781">
        <v>0.65</v>
      </c>
      <c r="O784" s="782">
        <f t="shared" si="6"/>
        <v>0</v>
      </c>
    </row>
    <row r="785">
      <c r="A785" s="785"/>
      <c r="B785" s="786"/>
      <c r="C785" s="786"/>
      <c r="D785" s="786"/>
      <c r="E785" s="785"/>
      <c r="F785" s="783">
        <v>0.88</v>
      </c>
      <c r="G785" s="782">
        <f t="shared" si="5"/>
        <v>0</v>
      </c>
      <c r="H785" s="283"/>
      <c r="I785" s="785"/>
      <c r="J785" s="786"/>
      <c r="K785" s="786"/>
      <c r="L785" s="786"/>
      <c r="M785" s="785"/>
      <c r="N785" s="781">
        <v>0.65</v>
      </c>
      <c r="O785" s="782">
        <f t="shared" si="6"/>
        <v>0</v>
      </c>
    </row>
    <row r="786">
      <c r="A786" s="785"/>
      <c r="B786" s="786"/>
      <c r="C786" s="786"/>
      <c r="D786" s="786"/>
      <c r="E786" s="785"/>
      <c r="F786" s="787"/>
      <c r="G786" s="788"/>
      <c r="H786" s="283"/>
      <c r="I786" s="785"/>
      <c r="J786" s="786"/>
      <c r="K786" s="786"/>
      <c r="L786" s="786"/>
      <c r="M786" s="785"/>
      <c r="N786" s="787"/>
      <c r="O786" s="789"/>
    </row>
    <row r="787">
      <c r="A787" s="790" t="s">
        <v>711</v>
      </c>
      <c r="B787" s="791"/>
      <c r="C787" s="791"/>
      <c r="D787" s="792"/>
      <c r="E787" s="793">
        <f>SUM(E781:E786)</f>
        <v>7908.8</v>
      </c>
      <c r="F787" s="794"/>
      <c r="G787" s="793">
        <f>SUM(G781:G786)</f>
        <v>6959.744</v>
      </c>
      <c r="H787" s="283"/>
      <c r="I787" s="790" t="s">
        <v>711</v>
      </c>
      <c r="J787" s="791"/>
      <c r="K787" s="791"/>
      <c r="L787" s="792"/>
      <c r="M787" s="793">
        <f>SUM(M781:M786)</f>
        <v>3439</v>
      </c>
      <c r="N787" s="794"/>
      <c r="O787" s="793">
        <f>SUM(O781:O786)</f>
        <v>2235.35</v>
      </c>
    </row>
    <row r="788">
      <c r="A788" s="796"/>
      <c r="D788" s="798"/>
      <c r="G788" s="799"/>
      <c r="H788" s="283"/>
      <c r="I788" s="796"/>
      <c r="L788" s="798"/>
      <c r="O788" s="799"/>
    </row>
    <row r="789">
      <c r="A789" s="800" t="s">
        <v>712</v>
      </c>
      <c r="B789" s="801"/>
      <c r="C789" s="802"/>
      <c r="G789" s="799"/>
      <c r="H789" s="283"/>
      <c r="I789" s="800" t="s">
        <v>712</v>
      </c>
      <c r="J789" s="803"/>
      <c r="K789" s="804"/>
      <c r="O789" s="799"/>
    </row>
    <row r="790">
      <c r="A790" s="867"/>
      <c r="B790" s="808"/>
      <c r="C790" s="809"/>
      <c r="G790" s="799"/>
      <c r="H790" s="283"/>
      <c r="I790" s="867"/>
      <c r="J790" s="808"/>
      <c r="K790" s="809"/>
      <c r="O790" s="799"/>
    </row>
    <row r="791">
      <c r="A791" s="868"/>
      <c r="B791" s="774"/>
      <c r="C791" s="816"/>
      <c r="G791" s="799"/>
      <c r="H791" s="283"/>
      <c r="I791" s="868"/>
      <c r="J791" s="774"/>
      <c r="K791" s="816"/>
      <c r="O791" s="799"/>
    </row>
    <row r="792">
      <c r="A792" s="815"/>
      <c r="B792" s="792"/>
      <c r="C792" s="816"/>
      <c r="G792" s="799"/>
      <c r="H792" s="283"/>
      <c r="I792" s="815"/>
      <c r="J792" s="792"/>
      <c r="K792" s="816"/>
      <c r="O792" s="799"/>
    </row>
    <row r="793">
      <c r="A793" s="817"/>
      <c r="B793" s="774"/>
      <c r="C793" s="818"/>
      <c r="G793" s="799"/>
      <c r="H793" s="283"/>
      <c r="I793" s="817"/>
      <c r="J793" s="774"/>
      <c r="K793" s="818"/>
      <c r="O793" s="799"/>
    </row>
    <row r="794">
      <c r="A794" s="817"/>
      <c r="B794" s="792"/>
      <c r="C794" s="818"/>
      <c r="G794" s="799"/>
      <c r="H794" s="283"/>
      <c r="I794" s="817"/>
      <c r="J794" s="792"/>
      <c r="K794" s="818"/>
      <c r="O794" s="799"/>
    </row>
    <row r="795">
      <c r="A795" s="821" t="s">
        <v>714</v>
      </c>
      <c r="B795" s="822"/>
      <c r="C795" s="823">
        <f>SUM(C790:C794)</f>
        <v>0</v>
      </c>
      <c r="G795" s="799"/>
      <c r="H795" s="283"/>
      <c r="I795" s="821" t="s">
        <v>714</v>
      </c>
      <c r="J795" s="826"/>
      <c r="K795" s="827"/>
      <c r="O795" s="799"/>
    </row>
    <row r="796">
      <c r="A796" s="828"/>
      <c r="C796" s="829"/>
      <c r="G796" s="799"/>
      <c r="H796" s="283"/>
      <c r="I796" s="828"/>
      <c r="K796" s="829"/>
      <c r="O796" s="799"/>
    </row>
    <row r="797">
      <c r="A797" s="830" t="s">
        <v>715</v>
      </c>
      <c r="B797" s="831"/>
      <c r="C797" s="832"/>
      <c r="G797" s="799"/>
      <c r="H797" s="283"/>
      <c r="I797" s="833" t="s">
        <v>715</v>
      </c>
      <c r="J797" s="834"/>
      <c r="K797" s="835"/>
      <c r="O797" s="799"/>
    </row>
    <row r="798">
      <c r="A798" s="836" t="s">
        <v>716</v>
      </c>
      <c r="B798" s="837"/>
      <c r="C798" s="929">
        <v>100.0</v>
      </c>
      <c r="G798" s="799"/>
      <c r="H798" s="283"/>
      <c r="I798" s="839"/>
      <c r="J798" s="840"/>
      <c r="K798" s="841"/>
      <c r="O798" s="799"/>
    </row>
    <row r="799">
      <c r="A799" s="842" t="s">
        <v>717</v>
      </c>
      <c r="B799" s="843"/>
      <c r="C799" s="844">
        <v>400.0</v>
      </c>
      <c r="D799" s="248"/>
      <c r="E799" s="845" t="s">
        <v>1182</v>
      </c>
      <c r="G799" s="846">
        <f>G787+C795-C804</f>
        <v>3586.624</v>
      </c>
      <c r="H799" s="283"/>
      <c r="I799" s="847"/>
      <c r="J799" s="848"/>
      <c r="K799" s="849"/>
      <c r="L799" s="248"/>
      <c r="M799" s="845" t="s">
        <v>1183</v>
      </c>
      <c r="O799" s="846">
        <f>O787+K795-K804</f>
        <v>2235.35</v>
      </c>
    </row>
    <row r="800">
      <c r="A800" s="836" t="s">
        <v>718</v>
      </c>
      <c r="B800" s="837"/>
      <c r="C800" s="838">
        <v>200.0</v>
      </c>
      <c r="G800" s="799"/>
      <c r="H800" s="283"/>
      <c r="I800" s="847"/>
      <c r="J800" s="848"/>
      <c r="K800" s="849"/>
      <c r="O800" s="799"/>
    </row>
    <row r="801">
      <c r="A801" s="842" t="s">
        <v>656</v>
      </c>
      <c r="B801" s="843"/>
      <c r="C801" s="844">
        <f>IFERROR(__xludf.DUMMYFUNCTION("FILTER($C$4:$C$30,$B$4:$B$30=E779)"),2673.12)</f>
        <v>2673.12</v>
      </c>
      <c r="G801" s="799"/>
      <c r="H801" s="283"/>
      <c r="I801" s="847"/>
      <c r="J801" s="848"/>
      <c r="K801" s="849"/>
      <c r="O801" s="799"/>
    </row>
    <row r="802">
      <c r="A802" s="1049"/>
      <c r="B802" s="840"/>
      <c r="C802" s="849"/>
      <c r="E802" s="248"/>
      <c r="G802" s="799"/>
      <c r="H802" s="283"/>
      <c r="I802" s="847"/>
      <c r="J802" s="848"/>
      <c r="K802" s="849"/>
      <c r="M802" s="248"/>
      <c r="O802" s="799"/>
    </row>
    <row r="803">
      <c r="A803" s="847"/>
      <c r="B803" s="848"/>
      <c r="C803" s="849"/>
      <c r="G803" s="799"/>
      <c r="H803" s="283"/>
      <c r="I803" s="847"/>
      <c r="J803" s="848"/>
      <c r="K803" s="849"/>
      <c r="O803" s="799"/>
    </row>
    <row r="804">
      <c r="A804" s="853" t="s">
        <v>721</v>
      </c>
      <c r="B804" s="854"/>
      <c r="C804" s="855">
        <f>SUM(C798:C803)</f>
        <v>3373.12</v>
      </c>
      <c r="G804" s="799"/>
      <c r="H804" s="283"/>
      <c r="I804" s="853" t="s">
        <v>721</v>
      </c>
      <c r="J804" s="854"/>
      <c r="K804" s="855"/>
      <c r="O804" s="799"/>
    </row>
    <row r="805">
      <c r="A805" s="856"/>
      <c r="B805" s="857"/>
      <c r="C805" s="857"/>
      <c r="D805" s="857"/>
      <c r="E805" s="857"/>
      <c r="F805" s="857"/>
      <c r="G805" s="808"/>
      <c r="H805" s="283"/>
      <c r="I805" s="856"/>
      <c r="J805" s="857"/>
      <c r="K805" s="857"/>
      <c r="L805" s="857"/>
      <c r="M805" s="857"/>
      <c r="N805" s="857"/>
      <c r="O805" s="808"/>
    </row>
    <row r="806">
      <c r="A806" s="199"/>
      <c r="B806" s="199"/>
      <c r="C806" s="199"/>
      <c r="D806" s="248"/>
      <c r="E806" s="248"/>
      <c r="F806" s="248"/>
      <c r="G806" s="248"/>
      <c r="H806" s="283"/>
      <c r="I806" s="199"/>
      <c r="J806" s="199"/>
      <c r="K806" s="199"/>
      <c r="L806" s="248"/>
      <c r="M806" s="248"/>
      <c r="N806" s="248"/>
      <c r="O806" s="248"/>
    </row>
    <row r="807">
      <c r="A807" s="199"/>
      <c r="B807" s="199"/>
      <c r="C807" s="199"/>
      <c r="D807" s="248"/>
      <c r="E807" s="248"/>
      <c r="F807" s="248"/>
      <c r="G807" s="248"/>
      <c r="H807" s="283"/>
      <c r="I807" s="199"/>
      <c r="J807" s="199"/>
      <c r="K807" s="199"/>
      <c r="L807" s="248"/>
      <c r="M807" s="248"/>
      <c r="N807" s="248"/>
      <c r="O807" s="248"/>
    </row>
    <row r="808">
      <c r="A808" s="769"/>
      <c r="B808" s="770"/>
      <c r="C808" s="770"/>
      <c r="D808" s="771" t="s">
        <v>700</v>
      </c>
      <c r="E808" s="772" t="str">
        <f>E126</f>
        <v>11.24.2025-11.30.2025</v>
      </c>
      <c r="F808" s="773"/>
      <c r="G808" s="774"/>
      <c r="H808" s="305">
        <v>23.0</v>
      </c>
      <c r="I808" s="769"/>
      <c r="J808" s="770"/>
      <c r="K808" s="770"/>
      <c r="L808" s="771" t="s">
        <v>700</v>
      </c>
      <c r="M808" s="772" t="str">
        <f>E126</f>
        <v>11.24.2025-11.30.2025</v>
      </c>
      <c r="N808" s="773"/>
      <c r="O808" s="774"/>
    </row>
    <row r="809">
      <c r="A809" s="775"/>
      <c r="D809" s="771" t="s">
        <v>702</v>
      </c>
      <c r="E809" s="772" t="s">
        <v>693</v>
      </c>
      <c r="F809" s="773"/>
      <c r="G809" s="774"/>
      <c r="H809" s="283"/>
      <c r="I809" s="775"/>
      <c r="L809" s="771" t="s">
        <v>351</v>
      </c>
      <c r="M809" s="772" t="str">
        <f t="array" ref="M809">XLOOKUP(M810,$L$1:$L$122,$K$1:$K$122)</f>
        <v>FERHAT BAL</v>
      </c>
      <c r="N809" s="773"/>
      <c r="O809" s="774"/>
    </row>
    <row r="810">
      <c r="A810" s="775"/>
      <c r="D810" s="771" t="s">
        <v>703</v>
      </c>
      <c r="E810" s="772">
        <v>6643.0</v>
      </c>
      <c r="F810" s="773"/>
      <c r="G810" s="774"/>
      <c r="H810" s="283"/>
      <c r="I810" s="775"/>
      <c r="L810" s="771" t="s">
        <v>703</v>
      </c>
      <c r="M810" s="772">
        <f>E810</f>
        <v>6643</v>
      </c>
      <c r="N810" s="773"/>
      <c r="O810" s="774"/>
    </row>
    <row r="811">
      <c r="A811" s="779" t="s">
        <v>704</v>
      </c>
      <c r="B811" s="779" t="s">
        <v>5</v>
      </c>
      <c r="C811" s="779" t="s">
        <v>6</v>
      </c>
      <c r="D811" s="779" t="s">
        <v>7</v>
      </c>
      <c r="E811" s="779" t="s">
        <v>8</v>
      </c>
      <c r="F811" s="779" t="s">
        <v>706</v>
      </c>
      <c r="G811" s="779" t="s">
        <v>707</v>
      </c>
      <c r="H811" s="34"/>
      <c r="I811" s="779" t="s">
        <v>704</v>
      </c>
      <c r="J811" s="779" t="s">
        <v>5</v>
      </c>
      <c r="K811" s="779" t="s">
        <v>6</v>
      </c>
      <c r="L811" s="779" t="s">
        <v>7</v>
      </c>
      <c r="M811" s="779" t="s">
        <v>1178</v>
      </c>
      <c r="N811" s="779" t="s">
        <v>839</v>
      </c>
      <c r="O811" s="779" t="s">
        <v>707</v>
      </c>
    </row>
    <row r="812">
      <c r="A812" s="780">
        <f>IFERROR(__xludf.DUMMYFUNCTION("FILTER($D$3:$H$122,$L$3:$L$122=E810)"),45987.0)</f>
        <v>45987</v>
      </c>
      <c r="B812" s="781">
        <f>IFERROR(__xludf.DUMMYFUNCTION("""COMPUTED_VALUE"""),2177290.0)</f>
        <v>2177290</v>
      </c>
      <c r="C812" s="781" t="str">
        <f>IFERROR(__xludf.DUMMYFUNCTION("""COMPUTED_VALUE"""),"Mattoon, IL, 61938")</f>
        <v>Mattoon, IL, 61938</v>
      </c>
      <c r="D812" s="781" t="str">
        <f>IFERROR(__xludf.DUMMYFUNCTION("""COMPUTED_VALUE"""),"Columbia, SC, 29209")</f>
        <v>Columbia, SC, 29209</v>
      </c>
      <c r="E812" s="782">
        <f>IFERROR(__xludf.DUMMYFUNCTION("""COMPUTED_VALUE"""),2500.0)</f>
        <v>2500</v>
      </c>
      <c r="F812" s="783">
        <v>1.0</v>
      </c>
      <c r="G812" s="782">
        <f>E812*F812</f>
        <v>2500</v>
      </c>
      <c r="H812" s="283"/>
      <c r="I812" s="780">
        <f>IFERROR(__xludf.DUMMYFUNCTION("FILTER($D$3:$G$122,$L$3:$L$122=M810)"),45987.0)</f>
        <v>45987</v>
      </c>
      <c r="J812" s="781">
        <f>IFERROR(__xludf.DUMMYFUNCTION("""COMPUTED_VALUE"""),2177290.0)</f>
        <v>2177290</v>
      </c>
      <c r="K812" s="781" t="str">
        <f>IFERROR(__xludf.DUMMYFUNCTION("""COMPUTED_VALUE"""),"Mattoon, IL, 61938")</f>
        <v>Mattoon, IL, 61938</v>
      </c>
      <c r="L812" s="781" t="str">
        <f>IFERROR(__xludf.DUMMYFUNCTION("""COMPUTED_VALUE"""),"Columbia, SC, 29209")</f>
        <v>Columbia, SC, 29209</v>
      </c>
      <c r="M812" s="880">
        <f>IFERROR(__xludf.DUMMYFUNCTION("FILTER($I$3:$I$122,$L$3:$L$122=M810)"),782.0)</f>
        <v>782</v>
      </c>
      <c r="N812" s="781"/>
      <c r="O812" s="782"/>
    </row>
    <row r="813">
      <c r="A813" s="780">
        <f>IFERROR(__xludf.DUMMYFUNCTION("""COMPUTED_VALUE"""),45986.0)</f>
        <v>45986</v>
      </c>
      <c r="B813" s="781">
        <f>IFERROR(__xludf.DUMMYFUNCTION("""COMPUTED_VALUE"""),2174307.0)</f>
        <v>2174307</v>
      </c>
      <c r="C813" s="781" t="str">
        <f>IFERROR(__xludf.DUMMYFUNCTION("""COMPUTED_VALUE"""),"Olathe, KS, 66062")</f>
        <v>Olathe, KS, 66062</v>
      </c>
      <c r="D813" s="781" t="str">
        <f>IFERROR(__xludf.DUMMYFUNCTION("""COMPUTED_VALUE"""),"Champaign, IL, 61822")</f>
        <v>Champaign, IL, 61822</v>
      </c>
      <c r="E813" s="782">
        <f>IFERROR(__xludf.DUMMYFUNCTION("""COMPUTED_VALUE"""),1550.0)</f>
        <v>1550</v>
      </c>
      <c r="F813" s="783"/>
      <c r="G813" s="782"/>
      <c r="H813" s="283"/>
      <c r="I813" s="780">
        <f>IFERROR(__xludf.DUMMYFUNCTION("""COMPUTED_VALUE"""),45986.0)</f>
        <v>45986</v>
      </c>
      <c r="J813" s="781">
        <f>IFERROR(__xludf.DUMMYFUNCTION("""COMPUTED_VALUE"""),2174307.0)</f>
        <v>2174307</v>
      </c>
      <c r="K813" s="781" t="str">
        <f>IFERROR(__xludf.DUMMYFUNCTION("""COMPUTED_VALUE"""),"Olathe, KS, 66062")</f>
        <v>Olathe, KS, 66062</v>
      </c>
      <c r="L813" s="781" t="str">
        <f>IFERROR(__xludf.DUMMYFUNCTION("""COMPUTED_VALUE"""),"Champaign, IL, 61822")</f>
        <v>Champaign, IL, 61822</v>
      </c>
      <c r="M813" s="880">
        <f>IFERROR(__xludf.DUMMYFUNCTION("""COMPUTED_VALUE"""),411.0)</f>
        <v>411</v>
      </c>
      <c r="N813" s="781"/>
      <c r="O813" s="782"/>
    </row>
    <row r="814">
      <c r="A814" s="883">
        <f>IFERROR(__xludf.DUMMYFUNCTION("""COMPUTED_VALUE"""),45985.0)</f>
        <v>45985</v>
      </c>
      <c r="B814" s="786">
        <f>IFERROR(__xludf.DUMMYFUNCTION("""COMPUTED_VALUE"""),2.0638176E7)</f>
        <v>20638176</v>
      </c>
      <c r="C814" s="786" t="str">
        <f>IFERROR(__xludf.DUMMYFUNCTION("""COMPUTED_VALUE"""),"Lemont, IL, 60439")</f>
        <v>Lemont, IL, 60439</v>
      </c>
      <c r="D814" s="786" t="str">
        <f>IFERROR(__xludf.DUMMYFUNCTION("""COMPUTED_VALUE"""),"North Kansas City, MO, 64116")</f>
        <v>North Kansas City, MO, 64116</v>
      </c>
      <c r="E814" s="884">
        <f>IFERROR(__xludf.DUMMYFUNCTION("""COMPUTED_VALUE"""),1400.0)</f>
        <v>1400</v>
      </c>
      <c r="F814" s="787"/>
      <c r="G814" s="788"/>
      <c r="H814" s="283"/>
      <c r="I814" s="780">
        <f>IFERROR(__xludf.DUMMYFUNCTION("""COMPUTED_VALUE"""),45985.0)</f>
        <v>45985</v>
      </c>
      <c r="J814" s="781">
        <f>IFERROR(__xludf.DUMMYFUNCTION("""COMPUTED_VALUE"""),2.0638176E7)</f>
        <v>20638176</v>
      </c>
      <c r="K814" s="781" t="str">
        <f>IFERROR(__xludf.DUMMYFUNCTION("""COMPUTED_VALUE"""),"Lemont, IL, 60439")</f>
        <v>Lemont, IL, 60439</v>
      </c>
      <c r="L814" s="781" t="str">
        <f>IFERROR(__xludf.DUMMYFUNCTION("""COMPUTED_VALUE"""),"North Kansas City, MO, 64116")</f>
        <v>North Kansas City, MO, 64116</v>
      </c>
      <c r="M814" s="880">
        <f>IFERROR(__xludf.DUMMYFUNCTION("""COMPUTED_VALUE"""),598.0)</f>
        <v>598</v>
      </c>
      <c r="N814" s="781"/>
      <c r="O814" s="782"/>
    </row>
    <row r="815">
      <c r="A815" s="785"/>
      <c r="B815" s="786"/>
      <c r="C815" s="786"/>
      <c r="D815" s="786"/>
      <c r="E815" s="785"/>
      <c r="F815" s="787"/>
      <c r="G815" s="788"/>
      <c r="H815" s="283"/>
      <c r="I815" s="785"/>
      <c r="J815" s="786"/>
      <c r="K815" s="786"/>
      <c r="L815" s="786"/>
      <c r="M815" s="785"/>
      <c r="N815" s="787"/>
      <c r="O815" s="789"/>
    </row>
    <row r="816">
      <c r="A816" s="785"/>
      <c r="B816" s="786"/>
      <c r="C816" s="786"/>
      <c r="D816" s="786"/>
      <c r="E816" s="785"/>
      <c r="F816" s="787"/>
      <c r="G816" s="788"/>
      <c r="H816" s="283"/>
      <c r="I816" s="785"/>
      <c r="J816" s="786"/>
      <c r="K816" s="786"/>
      <c r="L816" s="786"/>
      <c r="M816" s="785"/>
      <c r="N816" s="787"/>
      <c r="O816" s="789"/>
    </row>
    <row r="817">
      <c r="A817" s="785"/>
      <c r="B817" s="786"/>
      <c r="C817" s="786"/>
      <c r="D817" s="786"/>
      <c r="E817" s="785"/>
      <c r="F817" s="787"/>
      <c r="G817" s="788"/>
      <c r="H817" s="283"/>
      <c r="I817" s="785"/>
      <c r="J817" s="786"/>
      <c r="K817" s="786"/>
      <c r="L817" s="786"/>
      <c r="M817" s="785"/>
      <c r="N817" s="787"/>
      <c r="O817" s="789"/>
    </row>
    <row r="818">
      <c r="A818" s="790" t="s">
        <v>711</v>
      </c>
      <c r="B818" s="791"/>
      <c r="C818" s="791"/>
      <c r="D818" s="792"/>
      <c r="E818" s="793">
        <f>SUM(E812:E817)</f>
        <v>5450</v>
      </c>
      <c r="F818" s="794"/>
      <c r="G818" s="793">
        <f>SUM(G812:G817)</f>
        <v>2500</v>
      </c>
      <c r="H818" s="283"/>
      <c r="I818" s="790" t="s">
        <v>711</v>
      </c>
      <c r="J818" s="791"/>
      <c r="K818" s="791"/>
      <c r="L818" s="792"/>
      <c r="M818" s="793">
        <f>SUM(M812:M817)</f>
        <v>1791</v>
      </c>
      <c r="N818" s="794"/>
      <c r="O818" s="793">
        <f>SUM(O812:O817)</f>
        <v>0</v>
      </c>
    </row>
    <row r="819">
      <c r="A819" s="796"/>
      <c r="D819" s="798"/>
      <c r="G819" s="799"/>
      <c r="H819" s="283"/>
      <c r="I819" s="796"/>
      <c r="L819" s="798"/>
      <c r="O819" s="799"/>
    </row>
    <row r="820">
      <c r="A820" s="800" t="s">
        <v>712</v>
      </c>
      <c r="B820" s="801"/>
      <c r="C820" s="802"/>
      <c r="G820" s="799"/>
      <c r="H820" s="283"/>
      <c r="I820" s="800" t="s">
        <v>712</v>
      </c>
      <c r="J820" s="803"/>
      <c r="K820" s="804"/>
      <c r="O820" s="799"/>
    </row>
    <row r="821">
      <c r="A821" s="867"/>
      <c r="B821" s="808"/>
      <c r="C821" s="809"/>
      <c r="G821" s="799"/>
      <c r="H821" s="283"/>
      <c r="I821" s="867"/>
      <c r="J821" s="808"/>
      <c r="K821" s="809"/>
      <c r="O821" s="799"/>
    </row>
    <row r="822">
      <c r="A822" s="868"/>
      <c r="B822" s="774"/>
      <c r="C822" s="816"/>
      <c r="G822" s="799"/>
      <c r="H822" s="283"/>
      <c r="I822" s="868"/>
      <c r="J822" s="774"/>
      <c r="K822" s="816"/>
      <c r="O822" s="799"/>
    </row>
    <row r="823">
      <c r="A823" s="815"/>
      <c r="B823" s="792"/>
      <c r="C823" s="816"/>
      <c r="G823" s="799"/>
      <c r="H823" s="283"/>
      <c r="I823" s="815"/>
      <c r="J823" s="792"/>
      <c r="K823" s="816"/>
      <c r="O823" s="799"/>
    </row>
    <row r="824">
      <c r="A824" s="817"/>
      <c r="B824" s="774"/>
      <c r="C824" s="818"/>
      <c r="G824" s="799"/>
      <c r="H824" s="283"/>
      <c r="I824" s="817"/>
      <c r="J824" s="774"/>
      <c r="K824" s="818"/>
      <c r="O824" s="799"/>
    </row>
    <row r="825">
      <c r="A825" s="817"/>
      <c r="B825" s="792"/>
      <c r="C825" s="818"/>
      <c r="G825" s="799"/>
      <c r="H825" s="283"/>
      <c r="I825" s="817"/>
      <c r="J825" s="792"/>
      <c r="K825" s="818"/>
      <c r="O825" s="799"/>
    </row>
    <row r="826">
      <c r="A826" s="821" t="s">
        <v>714</v>
      </c>
      <c r="B826" s="822"/>
      <c r="C826" s="823">
        <f>SUM(C821:C825)</f>
        <v>0</v>
      </c>
      <c r="G826" s="799"/>
      <c r="H826" s="283"/>
      <c r="I826" s="821" t="s">
        <v>714</v>
      </c>
      <c r="J826" s="826"/>
      <c r="K826" s="827"/>
      <c r="O826" s="799"/>
    </row>
    <row r="827">
      <c r="A827" s="828"/>
      <c r="C827" s="829"/>
      <c r="G827" s="799"/>
      <c r="H827" s="283"/>
      <c r="I827" s="828"/>
      <c r="K827" s="829"/>
      <c r="O827" s="799"/>
    </row>
    <row r="828">
      <c r="A828" s="830" t="s">
        <v>715</v>
      </c>
      <c r="B828" s="831"/>
      <c r="C828" s="832"/>
      <c r="G828" s="799"/>
      <c r="H828" s="283"/>
      <c r="I828" s="833" t="s">
        <v>715</v>
      </c>
      <c r="J828" s="834"/>
      <c r="K828" s="835"/>
      <c r="O828" s="799"/>
    </row>
    <row r="829">
      <c r="A829" s="836" t="s">
        <v>716</v>
      </c>
      <c r="B829" s="837"/>
      <c r="C829" s="838"/>
      <c r="G829" s="799"/>
      <c r="H829" s="283"/>
      <c r="I829" s="839"/>
      <c r="J829" s="840"/>
      <c r="K829" s="841"/>
      <c r="O829" s="799"/>
    </row>
    <row r="830">
      <c r="A830" s="842" t="s">
        <v>717</v>
      </c>
      <c r="B830" s="843"/>
      <c r="C830" s="844"/>
      <c r="D830" s="248"/>
      <c r="E830" s="845" t="s">
        <v>1182</v>
      </c>
      <c r="G830" s="846">
        <f>G818+C826-C835</f>
        <v>836.78</v>
      </c>
      <c r="H830" s="283"/>
      <c r="I830" s="847"/>
      <c r="J830" s="848"/>
      <c r="K830" s="849"/>
      <c r="L830" s="248"/>
      <c r="M830" s="845" t="s">
        <v>1183</v>
      </c>
      <c r="O830" s="846">
        <f>O818+K826-K835</f>
        <v>0</v>
      </c>
    </row>
    <row r="831">
      <c r="A831" s="836" t="s">
        <v>718</v>
      </c>
      <c r="B831" s="837"/>
      <c r="C831" s="838"/>
      <c r="G831" s="799"/>
      <c r="H831" s="283"/>
      <c r="I831" s="847"/>
      <c r="J831" s="848"/>
      <c r="K831" s="849"/>
      <c r="O831" s="799"/>
    </row>
    <row r="832">
      <c r="A832" s="842" t="s">
        <v>656</v>
      </c>
      <c r="B832" s="843"/>
      <c r="C832" s="844">
        <f>IFERROR(__xludf.DUMMYFUNCTION("FILTER($C$4:$C$30,$B$4:$B$30=E810)"),1663.22)</f>
        <v>1663.22</v>
      </c>
      <c r="G832" s="799"/>
      <c r="H832" s="283"/>
      <c r="I832" s="847"/>
      <c r="J832" s="848"/>
      <c r="K832" s="849"/>
      <c r="O832" s="799"/>
    </row>
    <row r="833">
      <c r="A833" s="1049"/>
      <c r="B833" s="840"/>
      <c r="C833" s="849"/>
      <c r="E833" s="248"/>
      <c r="G833" s="799"/>
      <c r="H833" s="283"/>
      <c r="I833" s="847"/>
      <c r="J833" s="848"/>
      <c r="K833" s="849"/>
      <c r="M833" s="248"/>
      <c r="O833" s="799"/>
    </row>
    <row r="834">
      <c r="A834" s="847"/>
      <c r="B834" s="848"/>
      <c r="C834" s="849"/>
      <c r="G834" s="799"/>
      <c r="H834" s="283"/>
      <c r="I834" s="847"/>
      <c r="J834" s="848"/>
      <c r="K834" s="849"/>
      <c r="O834" s="799"/>
    </row>
    <row r="835">
      <c r="A835" s="853" t="s">
        <v>721</v>
      </c>
      <c r="B835" s="854"/>
      <c r="C835" s="855">
        <f>SUM(C829:C834)</f>
        <v>1663.22</v>
      </c>
      <c r="G835" s="799"/>
      <c r="H835" s="283"/>
      <c r="I835" s="853" t="s">
        <v>721</v>
      </c>
      <c r="J835" s="854"/>
      <c r="K835" s="855"/>
      <c r="O835" s="799"/>
    </row>
    <row r="836">
      <c r="A836" s="856"/>
      <c r="B836" s="857"/>
      <c r="C836" s="857"/>
      <c r="D836" s="857"/>
      <c r="E836" s="857"/>
      <c r="F836" s="857"/>
      <c r="G836" s="808"/>
      <c r="H836" s="283"/>
      <c r="I836" s="856"/>
      <c r="J836" s="857"/>
      <c r="K836" s="857"/>
      <c r="L836" s="857"/>
      <c r="M836" s="857"/>
      <c r="N836" s="857"/>
      <c r="O836" s="808"/>
    </row>
    <row r="837">
      <c r="A837" s="199"/>
      <c r="B837" s="199"/>
      <c r="C837" s="199"/>
      <c r="D837" s="248"/>
      <c r="E837" s="248"/>
      <c r="F837" s="248"/>
      <c r="G837" s="248"/>
      <c r="H837" s="283"/>
      <c r="I837" s="199"/>
      <c r="J837" s="199"/>
      <c r="K837" s="199"/>
      <c r="L837" s="248"/>
      <c r="M837" s="248"/>
      <c r="N837" s="248"/>
      <c r="O837" s="248"/>
    </row>
    <row r="838">
      <c r="A838" s="199"/>
      <c r="B838" s="199"/>
      <c r="C838" s="199"/>
      <c r="D838" s="248"/>
      <c r="E838" s="248"/>
      <c r="F838" s="248"/>
      <c r="G838" s="248"/>
      <c r="H838" s="283"/>
      <c r="I838" s="199"/>
      <c r="J838" s="199"/>
      <c r="K838" s="199"/>
      <c r="L838" s="248"/>
      <c r="M838" s="248"/>
      <c r="N838" s="248"/>
      <c r="O838" s="248"/>
    </row>
    <row r="839">
      <c r="A839" s="769"/>
      <c r="B839" s="770"/>
      <c r="C839" s="770"/>
      <c r="D839" s="771" t="s">
        <v>700</v>
      </c>
      <c r="E839" s="772" t="str">
        <f>E126</f>
        <v>11.24.2025-11.30.2025</v>
      </c>
      <c r="F839" s="773"/>
      <c r="G839" s="774"/>
      <c r="H839" s="305">
        <v>24.0</v>
      </c>
      <c r="I839" s="769"/>
      <c r="J839" s="770"/>
      <c r="K839" s="770"/>
      <c r="L839" s="771" t="s">
        <v>700</v>
      </c>
      <c r="M839" s="772" t="str">
        <f>E126</f>
        <v>11.24.2025-11.30.2025</v>
      </c>
      <c r="N839" s="773"/>
      <c r="O839" s="774"/>
    </row>
    <row r="840">
      <c r="A840" s="775"/>
      <c r="D840" s="771" t="s">
        <v>702</v>
      </c>
      <c r="E840" s="772" t="s">
        <v>1490</v>
      </c>
      <c r="F840" s="773"/>
      <c r="G840" s="774"/>
      <c r="H840" s="283"/>
      <c r="I840" s="775"/>
      <c r="L840" s="771" t="s">
        <v>351</v>
      </c>
      <c r="M840" s="772" t="str">
        <f t="array" ref="M840">XLOOKUP(M841,$L$1:$L$122,$K$1:$K$122)</f>
        <v>Kimberly Sowell</v>
      </c>
      <c r="N840" s="773"/>
      <c r="O840" s="774"/>
    </row>
    <row r="841">
      <c r="A841" s="775"/>
      <c r="D841" s="771" t="s">
        <v>703</v>
      </c>
      <c r="E841" s="772">
        <v>8479.0</v>
      </c>
      <c r="F841" s="773"/>
      <c r="G841" s="774"/>
      <c r="H841" s="283"/>
      <c r="I841" s="775"/>
      <c r="L841" s="771" t="s">
        <v>703</v>
      </c>
      <c r="M841" s="772">
        <f>E841</f>
        <v>8479</v>
      </c>
      <c r="N841" s="773"/>
      <c r="O841" s="774"/>
    </row>
    <row r="842">
      <c r="A842" s="779" t="s">
        <v>704</v>
      </c>
      <c r="B842" s="779" t="s">
        <v>5</v>
      </c>
      <c r="C842" s="779" t="s">
        <v>6</v>
      </c>
      <c r="D842" s="779" t="s">
        <v>7</v>
      </c>
      <c r="E842" s="779" t="s">
        <v>8</v>
      </c>
      <c r="F842" s="779" t="s">
        <v>706</v>
      </c>
      <c r="G842" s="779" t="s">
        <v>707</v>
      </c>
      <c r="H842" s="34"/>
      <c r="I842" s="779" t="s">
        <v>704</v>
      </c>
      <c r="J842" s="779" t="s">
        <v>5</v>
      </c>
      <c r="K842" s="779" t="s">
        <v>6</v>
      </c>
      <c r="L842" s="779" t="s">
        <v>7</v>
      </c>
      <c r="M842" s="779" t="s">
        <v>1178</v>
      </c>
      <c r="N842" s="779" t="s">
        <v>839</v>
      </c>
      <c r="O842" s="779" t="s">
        <v>707</v>
      </c>
    </row>
    <row r="843">
      <c r="A843" s="780" t="str">
        <f>IFERROR(__xludf.DUMMYFUNCTION("FILTER($D$3:$H$122,$L$3:$L$122=E841)"),"")</f>
        <v/>
      </c>
      <c r="B843" s="781"/>
      <c r="C843" s="781"/>
      <c r="D843" s="781"/>
      <c r="E843" s="782"/>
      <c r="F843" s="783">
        <v>1.0</v>
      </c>
      <c r="G843" s="782">
        <f>E843*F843</f>
        <v>0</v>
      </c>
      <c r="H843" s="283"/>
      <c r="I843" s="780" t="str">
        <f>IFERROR(__xludf.DUMMYFUNCTION("FILTER($D$3:$G$122,$L$3:$L$122=M841)"),"")</f>
        <v/>
      </c>
      <c r="J843" s="781"/>
      <c r="K843" s="781"/>
      <c r="L843" s="781"/>
      <c r="M843" s="880" t="str">
        <f>IFERROR(__xludf.DUMMYFUNCTION("FILTER($I$3:$I$122,$L$3:$L$122=M841)"),"")</f>
        <v/>
      </c>
      <c r="N843" s="781">
        <v>0.65</v>
      </c>
      <c r="O843" s="782">
        <f>M843*N843</f>
        <v>0</v>
      </c>
    </row>
    <row r="844">
      <c r="A844" s="780"/>
      <c r="B844" s="781"/>
      <c r="C844" s="781"/>
      <c r="D844" s="781"/>
      <c r="E844" s="782"/>
      <c r="F844" s="783"/>
      <c r="G844" s="782"/>
      <c r="H844" s="283"/>
      <c r="I844" s="780"/>
      <c r="J844" s="781"/>
      <c r="K844" s="781"/>
      <c r="L844" s="781"/>
      <c r="M844" s="880"/>
      <c r="N844" s="781"/>
      <c r="O844" s="782"/>
    </row>
    <row r="845">
      <c r="A845" s="785"/>
      <c r="B845" s="786"/>
      <c r="C845" s="786"/>
      <c r="D845" s="786"/>
      <c r="E845" s="785"/>
      <c r="F845" s="787"/>
      <c r="G845" s="788"/>
      <c r="H845" s="283"/>
      <c r="I845" s="780"/>
      <c r="J845" s="781"/>
      <c r="K845" s="781"/>
      <c r="L845" s="781"/>
      <c r="M845" s="880"/>
      <c r="N845" s="781"/>
      <c r="O845" s="782"/>
    </row>
    <row r="846">
      <c r="A846" s="785"/>
      <c r="B846" s="786"/>
      <c r="C846" s="786"/>
      <c r="D846" s="786"/>
      <c r="E846" s="785"/>
      <c r="F846" s="787"/>
      <c r="G846" s="788"/>
      <c r="H846" s="283"/>
      <c r="I846" s="785"/>
      <c r="J846" s="786"/>
      <c r="K846" s="786"/>
      <c r="L846" s="786"/>
      <c r="M846" s="785"/>
      <c r="N846" s="787"/>
      <c r="O846" s="789"/>
    </row>
    <row r="847">
      <c r="A847" s="785"/>
      <c r="B847" s="786"/>
      <c r="C847" s="786"/>
      <c r="D847" s="786"/>
      <c r="E847" s="785"/>
      <c r="F847" s="787"/>
      <c r="G847" s="788"/>
      <c r="H847" s="283"/>
      <c r="I847" s="785"/>
      <c r="J847" s="786"/>
      <c r="K847" s="786"/>
      <c r="L847" s="786"/>
      <c r="M847" s="785"/>
      <c r="N847" s="787"/>
      <c r="O847" s="789"/>
    </row>
    <row r="848">
      <c r="A848" s="785"/>
      <c r="B848" s="786"/>
      <c r="C848" s="786"/>
      <c r="D848" s="786"/>
      <c r="E848" s="785"/>
      <c r="F848" s="787"/>
      <c r="G848" s="788"/>
      <c r="H848" s="283"/>
      <c r="I848" s="785"/>
      <c r="J848" s="786"/>
      <c r="K848" s="786"/>
      <c r="L848" s="786"/>
      <c r="M848" s="785"/>
      <c r="N848" s="787"/>
      <c r="O848" s="789"/>
    </row>
    <row r="849">
      <c r="A849" s="790" t="s">
        <v>711</v>
      </c>
      <c r="B849" s="791"/>
      <c r="C849" s="791"/>
      <c r="D849" s="792"/>
      <c r="E849" s="793">
        <f>SUM(E843:E848)</f>
        <v>0</v>
      </c>
      <c r="F849" s="794"/>
      <c r="G849" s="793">
        <f>SUM(G843:G848)</f>
        <v>0</v>
      </c>
      <c r="H849" s="283"/>
      <c r="I849" s="790" t="s">
        <v>711</v>
      </c>
      <c r="J849" s="791"/>
      <c r="K849" s="791"/>
      <c r="L849" s="792"/>
      <c r="M849" s="793">
        <f>SUM(M843:M848)</f>
        <v>0</v>
      </c>
      <c r="N849" s="794"/>
      <c r="O849" s="793">
        <f>SUM(O843:O848)</f>
        <v>0</v>
      </c>
    </row>
    <row r="850">
      <c r="A850" s="796"/>
      <c r="D850" s="798"/>
      <c r="G850" s="799"/>
      <c r="H850" s="283"/>
      <c r="I850" s="796"/>
      <c r="L850" s="798"/>
      <c r="O850" s="799"/>
    </row>
    <row r="851">
      <c r="A851" s="800" t="s">
        <v>712</v>
      </c>
      <c r="B851" s="801"/>
      <c r="C851" s="802"/>
      <c r="G851" s="799"/>
      <c r="H851" s="283"/>
      <c r="I851" s="800" t="s">
        <v>712</v>
      </c>
      <c r="J851" s="803"/>
      <c r="K851" s="804"/>
      <c r="O851" s="799"/>
    </row>
    <row r="852">
      <c r="A852" s="867"/>
      <c r="B852" s="808"/>
      <c r="C852" s="809"/>
      <c r="G852" s="799"/>
      <c r="H852" s="283"/>
      <c r="I852" s="867"/>
      <c r="J852" s="808"/>
      <c r="K852" s="809"/>
      <c r="O852" s="799"/>
    </row>
    <row r="853">
      <c r="A853" s="868"/>
      <c r="B853" s="774"/>
      <c r="C853" s="816"/>
      <c r="G853" s="799"/>
      <c r="H853" s="283"/>
      <c r="I853" s="868"/>
      <c r="J853" s="774"/>
      <c r="K853" s="816"/>
      <c r="O853" s="799"/>
    </row>
    <row r="854">
      <c r="A854" s="815"/>
      <c r="B854" s="792"/>
      <c r="C854" s="816"/>
      <c r="G854" s="799"/>
      <c r="H854" s="283"/>
      <c r="I854" s="815"/>
      <c r="J854" s="792"/>
      <c r="K854" s="816"/>
      <c r="O854" s="799"/>
    </row>
    <row r="855">
      <c r="A855" s="817"/>
      <c r="B855" s="774"/>
      <c r="C855" s="818"/>
      <c r="G855" s="799"/>
      <c r="H855" s="283"/>
      <c r="I855" s="817"/>
      <c r="J855" s="774"/>
      <c r="K855" s="818"/>
      <c r="O855" s="799"/>
    </row>
    <row r="856">
      <c r="A856" s="817"/>
      <c r="B856" s="792"/>
      <c r="C856" s="818"/>
      <c r="G856" s="799"/>
      <c r="H856" s="283"/>
      <c r="I856" s="817"/>
      <c r="J856" s="792"/>
      <c r="K856" s="818"/>
      <c r="O856" s="799"/>
    </row>
    <row r="857">
      <c r="A857" s="821" t="s">
        <v>714</v>
      </c>
      <c r="B857" s="822"/>
      <c r="C857" s="823">
        <f>SUM(C852:C856)</f>
        <v>0</v>
      </c>
      <c r="G857" s="799"/>
      <c r="H857" s="283"/>
      <c r="I857" s="821" t="s">
        <v>714</v>
      </c>
      <c r="J857" s="826"/>
      <c r="K857" s="827"/>
      <c r="O857" s="799"/>
    </row>
    <row r="858">
      <c r="A858" s="828"/>
      <c r="C858" s="829"/>
      <c r="G858" s="799"/>
      <c r="H858" s="283"/>
      <c r="I858" s="828"/>
      <c r="K858" s="829"/>
      <c r="O858" s="799"/>
    </row>
    <row r="859">
      <c r="A859" s="830" t="s">
        <v>715</v>
      </c>
      <c r="B859" s="831"/>
      <c r="C859" s="832"/>
      <c r="G859" s="799"/>
      <c r="H859" s="283"/>
      <c r="I859" s="833" t="s">
        <v>715</v>
      </c>
      <c r="J859" s="834"/>
      <c r="K859" s="835"/>
      <c r="O859" s="799"/>
    </row>
    <row r="860">
      <c r="A860" s="836" t="s">
        <v>716</v>
      </c>
      <c r="B860" s="837"/>
      <c r="C860" s="838"/>
      <c r="G860" s="799"/>
      <c r="H860" s="283"/>
      <c r="I860" s="839"/>
      <c r="J860" s="840"/>
      <c r="K860" s="841"/>
      <c r="O860" s="799"/>
    </row>
    <row r="861">
      <c r="A861" s="842" t="s">
        <v>717</v>
      </c>
      <c r="B861" s="843"/>
      <c r="C861" s="844"/>
      <c r="D861" s="248"/>
      <c r="E861" s="845" t="s">
        <v>1182</v>
      </c>
      <c r="G861" s="846" t="str">
        <f>G849+C857-C866</f>
        <v>#N/A</v>
      </c>
      <c r="H861" s="283"/>
      <c r="I861" s="847"/>
      <c r="J861" s="848"/>
      <c r="K861" s="849"/>
      <c r="L861" s="248"/>
      <c r="M861" s="845" t="s">
        <v>1183</v>
      </c>
      <c r="O861" s="846">
        <f>O849+K857-K866</f>
        <v>0</v>
      </c>
    </row>
    <row r="862">
      <c r="A862" s="836" t="s">
        <v>718</v>
      </c>
      <c r="B862" s="837"/>
      <c r="C862" s="838"/>
      <c r="G862" s="799"/>
      <c r="H862" s="283"/>
      <c r="I862" s="847"/>
      <c r="J862" s="848"/>
      <c r="K862" s="849"/>
      <c r="O862" s="799"/>
    </row>
    <row r="863">
      <c r="A863" s="842" t="s">
        <v>656</v>
      </c>
      <c r="B863" s="843"/>
      <c r="C863" s="844" t="str">
        <f>IFERROR(__xludf.DUMMYFUNCTION("FILTER($C$4:$C$30,$B$4:$B$30=E841)"),"#N/A")</f>
        <v>#N/A</v>
      </c>
      <c r="G863" s="799"/>
      <c r="H863" s="283"/>
      <c r="I863" s="847"/>
      <c r="J863" s="848"/>
      <c r="K863" s="849"/>
      <c r="O863" s="799"/>
    </row>
    <row r="864">
      <c r="A864" s="1049"/>
      <c r="B864" s="840"/>
      <c r="C864" s="849"/>
      <c r="E864" s="248"/>
      <c r="G864" s="799"/>
      <c r="H864" s="283"/>
      <c r="I864" s="847"/>
      <c r="J864" s="848"/>
      <c r="K864" s="849"/>
      <c r="M864" s="248"/>
      <c r="O864" s="799"/>
    </row>
    <row r="865">
      <c r="A865" s="847"/>
      <c r="B865" s="848"/>
      <c r="C865" s="849"/>
      <c r="G865" s="799"/>
      <c r="H865" s="283"/>
      <c r="I865" s="847"/>
      <c r="J865" s="848"/>
      <c r="K865" s="849"/>
      <c r="O865" s="799"/>
    </row>
    <row r="866">
      <c r="A866" s="853" t="s">
        <v>721</v>
      </c>
      <c r="B866" s="854"/>
      <c r="C866" s="855" t="str">
        <f>SUM(C860:C865)</f>
        <v>#N/A</v>
      </c>
      <c r="G866" s="799"/>
      <c r="H866" s="283"/>
      <c r="I866" s="853" t="s">
        <v>721</v>
      </c>
      <c r="J866" s="854"/>
      <c r="K866" s="855"/>
      <c r="O866" s="799"/>
    </row>
    <row r="867">
      <c r="A867" s="856"/>
      <c r="B867" s="857"/>
      <c r="C867" s="857"/>
      <c r="D867" s="857"/>
      <c r="E867" s="857"/>
      <c r="F867" s="857"/>
      <c r="G867" s="808"/>
      <c r="H867" s="283"/>
      <c r="I867" s="856"/>
      <c r="J867" s="857"/>
      <c r="K867" s="857"/>
      <c r="L867" s="857"/>
      <c r="M867" s="857"/>
      <c r="N867" s="857"/>
      <c r="O867" s="808"/>
    </row>
    <row r="868">
      <c r="A868" s="199"/>
      <c r="B868" s="199"/>
      <c r="C868" s="199"/>
      <c r="D868" s="248"/>
      <c r="E868" s="248"/>
      <c r="F868" s="248"/>
      <c r="G868" s="248"/>
      <c r="H868" s="283"/>
      <c r="I868" s="199"/>
      <c r="J868" s="199"/>
      <c r="K868" s="199"/>
      <c r="L868" s="248"/>
      <c r="M868" s="248"/>
      <c r="N868" s="248"/>
      <c r="O868" s="248"/>
    </row>
    <row r="869">
      <c r="A869" s="199"/>
      <c r="B869" s="199"/>
      <c r="C869" s="199"/>
      <c r="D869" s="248"/>
      <c r="E869" s="248"/>
      <c r="F869" s="248"/>
      <c r="G869" s="248"/>
      <c r="H869" s="283"/>
      <c r="I869" s="199"/>
      <c r="J869" s="199"/>
      <c r="K869" s="199"/>
      <c r="L869" s="248"/>
      <c r="M869" s="248"/>
      <c r="N869" s="248"/>
      <c r="O869" s="248"/>
    </row>
    <row r="870">
      <c r="A870" s="769"/>
      <c r="B870" s="770"/>
      <c r="C870" s="770"/>
      <c r="D870" s="771" t="s">
        <v>700</v>
      </c>
      <c r="E870" s="772" t="str">
        <f>E126</f>
        <v>11.24.2025-11.30.2025</v>
      </c>
      <c r="F870" s="773"/>
      <c r="G870" s="774"/>
      <c r="H870" s="305">
        <v>25.0</v>
      </c>
      <c r="I870" s="769"/>
      <c r="J870" s="770"/>
      <c r="K870" s="770"/>
      <c r="L870" s="771" t="s">
        <v>700</v>
      </c>
      <c r="M870" s="772" t="str">
        <f>E126</f>
        <v>11.24.2025-11.30.2025</v>
      </c>
      <c r="N870" s="773"/>
      <c r="O870" s="774"/>
    </row>
    <row r="871">
      <c r="A871" s="775"/>
      <c r="D871" s="771" t="s">
        <v>702</v>
      </c>
      <c r="E871" s="772" t="s">
        <v>665</v>
      </c>
      <c r="F871" s="773"/>
      <c r="G871" s="774"/>
      <c r="H871" s="283"/>
      <c r="I871" s="775"/>
      <c r="L871" s="771" t="s">
        <v>351</v>
      </c>
      <c r="M871" s="772" t="str">
        <f t="array" ref="M871">XLOOKUP(M872,$L$1:$L$122,$K$1:$K$122)</f>
        <v>TOUSSAINT BESANTO</v>
      </c>
      <c r="N871" s="773"/>
      <c r="O871" s="774"/>
    </row>
    <row r="872">
      <c r="A872" s="775"/>
      <c r="D872" s="771" t="s">
        <v>703</v>
      </c>
      <c r="E872" s="772">
        <v>7807.0</v>
      </c>
      <c r="F872" s="773"/>
      <c r="G872" s="774"/>
      <c r="H872" s="283"/>
      <c r="I872" s="775"/>
      <c r="L872" s="771" t="s">
        <v>703</v>
      </c>
      <c r="M872" s="772">
        <f>E872</f>
        <v>7807</v>
      </c>
      <c r="N872" s="773"/>
      <c r="O872" s="774"/>
    </row>
    <row r="873">
      <c r="A873" s="779" t="s">
        <v>704</v>
      </c>
      <c r="B873" s="779" t="s">
        <v>5</v>
      </c>
      <c r="C873" s="779" t="s">
        <v>6</v>
      </c>
      <c r="D873" s="779" t="s">
        <v>7</v>
      </c>
      <c r="E873" s="779" t="s">
        <v>8</v>
      </c>
      <c r="F873" s="779" t="s">
        <v>706</v>
      </c>
      <c r="G873" s="779" t="s">
        <v>707</v>
      </c>
      <c r="H873" s="34"/>
      <c r="I873" s="779" t="s">
        <v>704</v>
      </c>
      <c r="J873" s="779" t="s">
        <v>5</v>
      </c>
      <c r="K873" s="779" t="s">
        <v>6</v>
      </c>
      <c r="L873" s="779" t="s">
        <v>7</v>
      </c>
      <c r="M873" s="779" t="s">
        <v>1178</v>
      </c>
      <c r="N873" s="779" t="s">
        <v>839</v>
      </c>
      <c r="O873" s="779" t="s">
        <v>707</v>
      </c>
    </row>
    <row r="874">
      <c r="A874" s="780">
        <f>IFERROR(__xludf.DUMMYFUNCTION("FILTER($D$3:$H$122,$L$3:$L$122=E872)"),45986.0)</f>
        <v>45986</v>
      </c>
      <c r="B874" s="781">
        <f>IFERROR(__xludf.DUMMYFUNCTION("""COMPUTED_VALUE"""),393581.0)</f>
        <v>393581</v>
      </c>
      <c r="C874" s="781" t="str">
        <f>IFERROR(__xludf.DUMMYFUNCTION("""COMPUTED_VALUE"""),"Austintown, OH, 44509")</f>
        <v>Austintown, OH, 44509</v>
      </c>
      <c r="D874" s="781" t="str">
        <f>IFERROR(__xludf.DUMMYFUNCTION("""COMPUTED_VALUE"""),"Alachua, FL, 32615")</f>
        <v>Alachua, FL, 32615</v>
      </c>
      <c r="E874" s="782">
        <f>IFERROR(__xludf.DUMMYFUNCTION("""COMPUTED_VALUE"""),2350.0)</f>
        <v>2350</v>
      </c>
      <c r="F874" s="783">
        <v>1.0</v>
      </c>
      <c r="G874" s="782">
        <f>E874*F874</f>
        <v>2350</v>
      </c>
      <c r="H874" s="283"/>
      <c r="I874" s="780">
        <f>IFERROR(__xludf.DUMMYFUNCTION("FILTER($D$3:$G$122,$L$3:$L$122=M872)"),45986.0)</f>
        <v>45986</v>
      </c>
      <c r="J874" s="781">
        <f>IFERROR(__xludf.DUMMYFUNCTION("""COMPUTED_VALUE"""),393581.0)</f>
        <v>393581</v>
      </c>
      <c r="K874" s="781" t="str">
        <f>IFERROR(__xludf.DUMMYFUNCTION("""COMPUTED_VALUE"""),"Austintown, OH, 44509")</f>
        <v>Austintown, OH, 44509</v>
      </c>
      <c r="L874" s="781" t="str">
        <f>IFERROR(__xludf.DUMMYFUNCTION("""COMPUTED_VALUE"""),"Alachua, FL, 32615")</f>
        <v>Alachua, FL, 32615</v>
      </c>
      <c r="M874" s="880">
        <f>IFERROR(__xludf.DUMMYFUNCTION("FILTER($I$3:$I$122,$L$3:$L$122=M872)"),1025.0)</f>
        <v>1025</v>
      </c>
      <c r="N874" s="781">
        <v>0.65</v>
      </c>
      <c r="O874" s="782">
        <f>M874*N874</f>
        <v>666.25</v>
      </c>
    </row>
    <row r="875">
      <c r="A875" s="780">
        <f>IFERROR(__xludf.DUMMYFUNCTION("""COMPUTED_VALUE"""),45985.0)</f>
        <v>45985</v>
      </c>
      <c r="B875" s="781">
        <f>IFERROR(__xludf.DUMMYFUNCTION("""COMPUTED_VALUE"""),794771.0)</f>
        <v>794771</v>
      </c>
      <c r="C875" s="781" t="str">
        <f>IFERROR(__xludf.DUMMYFUNCTION("""COMPUTED_VALUE"""),"East Hartford, CT, 06118")</f>
        <v>East Hartford, CT, 06118</v>
      </c>
      <c r="D875" s="781" t="str">
        <f>IFERROR(__xludf.DUMMYFUNCTION("""COMPUTED_VALUE"""),"Bedford Heights, OH, 44146")</f>
        <v>Bedford Heights, OH, 44146</v>
      </c>
      <c r="E875" s="782">
        <f>IFERROR(__xludf.DUMMYFUNCTION("""COMPUTED_VALUE"""),675.0)</f>
        <v>675</v>
      </c>
      <c r="F875" s="783"/>
      <c r="G875" s="782"/>
      <c r="H875" s="283"/>
      <c r="I875" s="780">
        <f>IFERROR(__xludf.DUMMYFUNCTION("""COMPUTED_VALUE"""),45985.0)</f>
        <v>45985</v>
      </c>
      <c r="J875" s="781">
        <f>IFERROR(__xludf.DUMMYFUNCTION("""COMPUTED_VALUE"""),794771.0)</f>
        <v>794771</v>
      </c>
      <c r="K875" s="781" t="str">
        <f>IFERROR(__xludf.DUMMYFUNCTION("""COMPUTED_VALUE"""),"East Hartford, CT, 06118")</f>
        <v>East Hartford, CT, 06118</v>
      </c>
      <c r="L875" s="781" t="str">
        <f>IFERROR(__xludf.DUMMYFUNCTION("""COMPUTED_VALUE"""),"Bedford Heights, OH, 44146")</f>
        <v>Bedford Heights, OH, 44146</v>
      </c>
      <c r="M875" s="880">
        <f>IFERROR(__xludf.DUMMYFUNCTION("""COMPUTED_VALUE"""),571.0)</f>
        <v>571</v>
      </c>
      <c r="N875" s="781"/>
      <c r="O875" s="782"/>
    </row>
    <row r="876">
      <c r="A876" s="785"/>
      <c r="B876" s="786"/>
      <c r="C876" s="786"/>
      <c r="D876" s="786"/>
      <c r="E876" s="785"/>
      <c r="F876" s="787"/>
      <c r="G876" s="788"/>
      <c r="H876" s="283"/>
      <c r="I876" s="780"/>
      <c r="J876" s="781"/>
      <c r="K876" s="781"/>
      <c r="L876" s="781"/>
      <c r="M876" s="880"/>
      <c r="N876" s="781"/>
      <c r="O876" s="782"/>
    </row>
    <row r="877">
      <c r="A877" s="785"/>
      <c r="B877" s="786"/>
      <c r="C877" s="786"/>
      <c r="D877" s="786"/>
      <c r="E877" s="785"/>
      <c r="F877" s="787"/>
      <c r="G877" s="788"/>
      <c r="H877" s="283"/>
      <c r="I877" s="785"/>
      <c r="J877" s="786"/>
      <c r="K877" s="786"/>
      <c r="L877" s="786"/>
      <c r="M877" s="785"/>
      <c r="N877" s="787"/>
      <c r="O877" s="789"/>
    </row>
    <row r="878">
      <c r="A878" s="785"/>
      <c r="B878" s="786"/>
      <c r="C878" s="786"/>
      <c r="D878" s="786"/>
      <c r="E878" s="785"/>
      <c r="F878" s="787"/>
      <c r="G878" s="788"/>
      <c r="H878" s="283"/>
      <c r="I878" s="785"/>
      <c r="J878" s="786"/>
      <c r="K878" s="786"/>
      <c r="L878" s="786"/>
      <c r="M878" s="785"/>
      <c r="N878" s="787"/>
      <c r="O878" s="789"/>
    </row>
    <row r="879">
      <c r="A879" s="785"/>
      <c r="B879" s="786"/>
      <c r="C879" s="786"/>
      <c r="D879" s="786"/>
      <c r="E879" s="785"/>
      <c r="F879" s="787"/>
      <c r="G879" s="788"/>
      <c r="H879" s="283"/>
      <c r="I879" s="785"/>
      <c r="J879" s="786"/>
      <c r="K879" s="786"/>
      <c r="L879" s="786"/>
      <c r="M879" s="785"/>
      <c r="N879" s="787"/>
      <c r="O879" s="789"/>
    </row>
    <row r="880">
      <c r="A880" s="790" t="s">
        <v>711</v>
      </c>
      <c r="B880" s="791"/>
      <c r="C880" s="791"/>
      <c r="D880" s="792"/>
      <c r="E880" s="793">
        <f>SUM(E874:E879)</f>
        <v>3025</v>
      </c>
      <c r="F880" s="794"/>
      <c r="G880" s="793">
        <f>SUM(G874:G879)</f>
        <v>2350</v>
      </c>
      <c r="H880" s="283"/>
      <c r="I880" s="790" t="s">
        <v>711</v>
      </c>
      <c r="J880" s="791"/>
      <c r="K880" s="791"/>
      <c r="L880" s="792"/>
      <c r="M880" s="793">
        <f>SUM(M874:M879)</f>
        <v>1596</v>
      </c>
      <c r="N880" s="794"/>
      <c r="O880" s="793">
        <f>SUM(O874:O879)</f>
        <v>666.25</v>
      </c>
    </row>
    <row r="881">
      <c r="A881" s="796"/>
      <c r="D881" s="798"/>
      <c r="G881" s="799"/>
      <c r="H881" s="283"/>
      <c r="I881" s="796"/>
      <c r="L881" s="798"/>
      <c r="O881" s="799"/>
    </row>
    <row r="882">
      <c r="A882" s="800" t="s">
        <v>712</v>
      </c>
      <c r="B882" s="801"/>
      <c r="C882" s="802"/>
      <c r="G882" s="799"/>
      <c r="H882" s="283"/>
      <c r="I882" s="800" t="s">
        <v>712</v>
      </c>
      <c r="J882" s="803"/>
      <c r="K882" s="804"/>
      <c r="O882" s="799"/>
    </row>
    <row r="883">
      <c r="A883" s="867"/>
      <c r="B883" s="808"/>
      <c r="C883" s="809"/>
      <c r="G883" s="799"/>
      <c r="H883" s="283"/>
      <c r="I883" s="867"/>
      <c r="J883" s="808"/>
      <c r="K883" s="809"/>
      <c r="O883" s="799"/>
    </row>
    <row r="884">
      <c r="A884" s="868"/>
      <c r="B884" s="774"/>
      <c r="C884" s="816"/>
      <c r="G884" s="799"/>
      <c r="H884" s="283"/>
      <c r="I884" s="868"/>
      <c r="J884" s="774"/>
      <c r="K884" s="816"/>
      <c r="O884" s="799"/>
    </row>
    <row r="885">
      <c r="A885" s="815"/>
      <c r="B885" s="792"/>
      <c r="C885" s="816"/>
      <c r="G885" s="799"/>
      <c r="H885" s="283"/>
      <c r="I885" s="815"/>
      <c r="J885" s="792"/>
      <c r="K885" s="816"/>
      <c r="O885" s="799"/>
    </row>
    <row r="886">
      <c r="A886" s="817"/>
      <c r="B886" s="774"/>
      <c r="C886" s="818"/>
      <c r="G886" s="799"/>
      <c r="H886" s="283"/>
      <c r="I886" s="817"/>
      <c r="J886" s="774"/>
      <c r="K886" s="818"/>
      <c r="O886" s="799"/>
    </row>
    <row r="887">
      <c r="A887" s="817"/>
      <c r="B887" s="792"/>
      <c r="C887" s="818"/>
      <c r="G887" s="799"/>
      <c r="H887" s="283"/>
      <c r="I887" s="817"/>
      <c r="J887" s="792"/>
      <c r="K887" s="818"/>
      <c r="O887" s="799"/>
    </row>
    <row r="888">
      <c r="A888" s="821" t="s">
        <v>714</v>
      </c>
      <c r="B888" s="822"/>
      <c r="C888" s="823">
        <f>SUM(C883:C887)</f>
        <v>0</v>
      </c>
      <c r="G888" s="799"/>
      <c r="H888" s="283"/>
      <c r="I888" s="821" t="s">
        <v>714</v>
      </c>
      <c r="J888" s="826"/>
      <c r="K888" s="827"/>
      <c r="O888" s="799"/>
    </row>
    <row r="889">
      <c r="A889" s="828"/>
      <c r="C889" s="829"/>
      <c r="G889" s="799"/>
      <c r="H889" s="283"/>
      <c r="I889" s="828"/>
      <c r="K889" s="829"/>
      <c r="O889" s="799"/>
    </row>
    <row r="890">
      <c r="A890" s="830" t="s">
        <v>715</v>
      </c>
      <c r="B890" s="831"/>
      <c r="C890" s="832"/>
      <c r="G890" s="799"/>
      <c r="H890" s="283"/>
      <c r="I890" s="833" t="s">
        <v>715</v>
      </c>
      <c r="J890" s="834"/>
      <c r="K890" s="835"/>
      <c r="O890" s="799"/>
    </row>
    <row r="891">
      <c r="A891" s="836" t="s">
        <v>716</v>
      </c>
      <c r="B891" s="837"/>
      <c r="C891" s="838"/>
      <c r="G891" s="799"/>
      <c r="H891" s="283"/>
      <c r="I891" s="839"/>
      <c r="J891" s="840"/>
      <c r="K891" s="841"/>
      <c r="O891" s="799"/>
    </row>
    <row r="892">
      <c r="A892" s="842" t="s">
        <v>717</v>
      </c>
      <c r="B892" s="843"/>
      <c r="C892" s="844"/>
      <c r="D892" s="248"/>
      <c r="E892" s="845" t="s">
        <v>1182</v>
      </c>
      <c r="G892" s="846">
        <f>G880+C888-C897</f>
        <v>1218.92</v>
      </c>
      <c r="H892" s="283"/>
      <c r="I892" s="847"/>
      <c r="J892" s="848"/>
      <c r="K892" s="849"/>
      <c r="L892" s="248"/>
      <c r="M892" s="845" t="s">
        <v>1183</v>
      </c>
      <c r="O892" s="846">
        <f>O880+K888-K897</f>
        <v>666.25</v>
      </c>
    </row>
    <row r="893">
      <c r="A893" s="836" t="s">
        <v>718</v>
      </c>
      <c r="B893" s="837"/>
      <c r="C893" s="838"/>
      <c r="G893" s="799"/>
      <c r="H893" s="283"/>
      <c r="I893" s="847"/>
      <c r="J893" s="848"/>
      <c r="K893" s="849"/>
      <c r="O893" s="799"/>
    </row>
    <row r="894">
      <c r="A894" s="842" t="s">
        <v>656</v>
      </c>
      <c r="B894" s="843"/>
      <c r="C894" s="844">
        <f>IFERROR(__xludf.DUMMYFUNCTION("FILTER($C$4:$C$30,$B$4:$B$30=E872)"),1131.08)</f>
        <v>1131.08</v>
      </c>
      <c r="G894" s="799"/>
      <c r="H894" s="283"/>
      <c r="I894" s="847"/>
      <c r="J894" s="848"/>
      <c r="K894" s="849"/>
      <c r="O894" s="799"/>
    </row>
    <row r="895">
      <c r="A895" s="1049"/>
      <c r="B895" s="840"/>
      <c r="C895" s="849"/>
      <c r="E895" s="248"/>
      <c r="G895" s="799"/>
      <c r="H895" s="283"/>
      <c r="I895" s="847"/>
      <c r="J895" s="848"/>
      <c r="K895" s="849"/>
      <c r="M895" s="248"/>
      <c r="O895" s="799"/>
    </row>
    <row r="896">
      <c r="A896" s="847"/>
      <c r="B896" s="848"/>
      <c r="C896" s="849"/>
      <c r="G896" s="799"/>
      <c r="H896" s="283"/>
      <c r="I896" s="847"/>
      <c r="J896" s="848"/>
      <c r="K896" s="849"/>
      <c r="O896" s="799"/>
    </row>
    <row r="897">
      <c r="A897" s="853" t="s">
        <v>721</v>
      </c>
      <c r="B897" s="854"/>
      <c r="C897" s="855">
        <f>SUM(C891:C896)</f>
        <v>1131.08</v>
      </c>
      <c r="G897" s="799"/>
      <c r="H897" s="283"/>
      <c r="I897" s="853" t="s">
        <v>721</v>
      </c>
      <c r="J897" s="854"/>
      <c r="K897" s="855"/>
      <c r="O897" s="799"/>
    </row>
    <row r="898">
      <c r="A898" s="856"/>
      <c r="B898" s="857"/>
      <c r="C898" s="857"/>
      <c r="D898" s="857"/>
      <c r="E898" s="857"/>
      <c r="F898" s="857"/>
      <c r="G898" s="808"/>
      <c r="H898" s="283"/>
      <c r="I898" s="856"/>
      <c r="J898" s="857"/>
      <c r="K898" s="857"/>
      <c r="L898" s="857"/>
      <c r="M898" s="857"/>
      <c r="N898" s="857"/>
      <c r="O898" s="808"/>
    </row>
    <row r="899">
      <c r="A899" s="199"/>
      <c r="B899" s="199"/>
      <c r="C899" s="199"/>
      <c r="D899" s="248"/>
      <c r="E899" s="248"/>
      <c r="F899" s="248"/>
      <c r="G899" s="248"/>
      <c r="H899" s="283"/>
      <c r="I899" s="199"/>
      <c r="J899" s="199"/>
      <c r="K899" s="199"/>
      <c r="L899" s="248"/>
      <c r="M899" s="248"/>
      <c r="N899" s="248"/>
      <c r="O899" s="248"/>
    </row>
    <row r="900">
      <c r="A900" s="199"/>
      <c r="B900" s="199"/>
      <c r="C900" s="199"/>
      <c r="D900" s="248"/>
      <c r="E900" s="248"/>
      <c r="F900" s="248"/>
      <c r="G900" s="248"/>
      <c r="H900" s="283"/>
      <c r="I900" s="199"/>
      <c r="J900" s="199"/>
      <c r="K900" s="199"/>
      <c r="L900" s="248"/>
      <c r="M900" s="248"/>
      <c r="N900" s="248"/>
      <c r="O900" s="248"/>
    </row>
    <row r="901">
      <c r="A901" s="769"/>
      <c r="B901" s="770"/>
      <c r="C901" s="770"/>
      <c r="D901" s="771" t="s">
        <v>700</v>
      </c>
      <c r="E901" s="772" t="str">
        <f>E126</f>
        <v>11.24.2025-11.30.2025</v>
      </c>
      <c r="F901" s="773"/>
      <c r="G901" s="774"/>
      <c r="H901" s="305">
        <v>26.0</v>
      </c>
      <c r="I901" s="769"/>
      <c r="J901" s="770"/>
      <c r="K901" s="770"/>
      <c r="L901" s="771" t="s">
        <v>700</v>
      </c>
      <c r="M901" s="772" t="str">
        <f>E126</f>
        <v>11.24.2025-11.30.2025</v>
      </c>
      <c r="N901" s="773"/>
      <c r="O901" s="774"/>
    </row>
    <row r="902">
      <c r="A902" s="775"/>
      <c r="D902" s="771" t="s">
        <v>702</v>
      </c>
      <c r="E902" s="772" t="s">
        <v>673</v>
      </c>
      <c r="F902" s="773"/>
      <c r="G902" s="774"/>
      <c r="H902" s="283"/>
      <c r="I902" s="775"/>
      <c r="L902" s="771" t="s">
        <v>351</v>
      </c>
      <c r="M902" s="772" t="str">
        <f t="array" ref="M902">XLOOKUP(M903,$L$1:$L$122,$K$1:$K$122)</f>
        <v>Emmanuel Muller</v>
      </c>
      <c r="N902" s="773"/>
      <c r="O902" s="774"/>
    </row>
    <row r="903">
      <c r="A903" s="775"/>
      <c r="D903" s="771" t="s">
        <v>703</v>
      </c>
      <c r="E903" s="772">
        <v>9617.0</v>
      </c>
      <c r="F903" s="773"/>
      <c r="G903" s="774"/>
      <c r="H903" s="283"/>
      <c r="I903" s="775"/>
      <c r="L903" s="771" t="s">
        <v>703</v>
      </c>
      <c r="M903" s="772">
        <f>E903</f>
        <v>9617</v>
      </c>
      <c r="N903" s="773"/>
      <c r="O903" s="774"/>
    </row>
    <row r="904">
      <c r="A904" s="779" t="s">
        <v>704</v>
      </c>
      <c r="B904" s="779" t="s">
        <v>5</v>
      </c>
      <c r="C904" s="779" t="s">
        <v>6</v>
      </c>
      <c r="D904" s="779" t="s">
        <v>7</v>
      </c>
      <c r="E904" s="779" t="s">
        <v>8</v>
      </c>
      <c r="F904" s="779" t="s">
        <v>706</v>
      </c>
      <c r="G904" s="779" t="s">
        <v>707</v>
      </c>
      <c r="H904" s="34"/>
      <c r="I904" s="779" t="s">
        <v>704</v>
      </c>
      <c r="J904" s="779" t="s">
        <v>5</v>
      </c>
      <c r="K904" s="779" t="s">
        <v>6</v>
      </c>
      <c r="L904" s="779" t="s">
        <v>7</v>
      </c>
      <c r="M904" s="779" t="s">
        <v>1178</v>
      </c>
      <c r="N904" s="779" t="s">
        <v>839</v>
      </c>
      <c r="O904" s="779" t="s">
        <v>707</v>
      </c>
    </row>
    <row r="905">
      <c r="A905" s="780" t="str">
        <f>IFERROR(__xludf.DUMMYFUNCTION("FILTER($D$3:$H$122,$L$3:$L$122=E903)"),"")</f>
        <v/>
      </c>
      <c r="B905" s="781"/>
      <c r="C905" s="781"/>
      <c r="D905" s="781"/>
      <c r="E905" s="782"/>
      <c r="F905" s="783">
        <v>1.0</v>
      </c>
      <c r="G905" s="782">
        <f>E905*F905</f>
        <v>0</v>
      </c>
      <c r="H905" s="283"/>
      <c r="I905" s="780" t="str">
        <f>IFERROR(__xludf.DUMMYFUNCTION("FILTER($D$3:$G$122,$L$3:$L$122=M903)"),"")</f>
        <v/>
      </c>
      <c r="J905" s="781"/>
      <c r="K905" s="781"/>
      <c r="L905" s="781"/>
      <c r="M905" s="880" t="str">
        <f>IFERROR(__xludf.DUMMYFUNCTION("FILTER($I$3:$I$122,$L$3:$L$122=M903)"),"")</f>
        <v/>
      </c>
      <c r="N905" s="781">
        <v>0.65</v>
      </c>
      <c r="O905" s="782">
        <f>M905*N905</f>
        <v>0</v>
      </c>
    </row>
    <row r="906">
      <c r="A906" s="780"/>
      <c r="B906" s="781"/>
      <c r="C906" s="781"/>
      <c r="D906" s="781"/>
      <c r="E906" s="782"/>
      <c r="F906" s="783"/>
      <c r="G906" s="782"/>
      <c r="H906" s="283"/>
      <c r="I906" s="780"/>
      <c r="J906" s="781"/>
      <c r="K906" s="781"/>
      <c r="L906" s="781"/>
      <c r="M906" s="880"/>
      <c r="N906" s="781"/>
      <c r="O906" s="782"/>
    </row>
    <row r="907">
      <c r="A907" s="785"/>
      <c r="B907" s="786"/>
      <c r="C907" s="786"/>
      <c r="D907" s="786"/>
      <c r="E907" s="785"/>
      <c r="F907" s="787"/>
      <c r="G907" s="788"/>
      <c r="H907" s="283"/>
      <c r="I907" s="780"/>
      <c r="J907" s="781"/>
      <c r="K907" s="781"/>
      <c r="L907" s="781"/>
      <c r="M907" s="880"/>
      <c r="N907" s="781"/>
      <c r="O907" s="782"/>
    </row>
    <row r="908">
      <c r="A908" s="785"/>
      <c r="B908" s="786"/>
      <c r="C908" s="786"/>
      <c r="D908" s="786"/>
      <c r="E908" s="785"/>
      <c r="F908" s="787"/>
      <c r="G908" s="788"/>
      <c r="H908" s="283"/>
      <c r="I908" s="785"/>
      <c r="J908" s="786"/>
      <c r="K908" s="786"/>
      <c r="L908" s="786"/>
      <c r="M908" s="785"/>
      <c r="N908" s="787"/>
      <c r="O908" s="789"/>
    </row>
    <row r="909">
      <c r="A909" s="785"/>
      <c r="B909" s="786"/>
      <c r="C909" s="786"/>
      <c r="D909" s="786"/>
      <c r="E909" s="785"/>
      <c r="F909" s="787"/>
      <c r="G909" s="788"/>
      <c r="H909" s="283"/>
      <c r="I909" s="785"/>
      <c r="J909" s="786"/>
      <c r="K909" s="786"/>
      <c r="L909" s="786"/>
      <c r="M909" s="785"/>
      <c r="N909" s="787"/>
      <c r="O909" s="789"/>
    </row>
    <row r="910">
      <c r="A910" s="785"/>
      <c r="B910" s="786"/>
      <c r="C910" s="786"/>
      <c r="D910" s="786"/>
      <c r="E910" s="785"/>
      <c r="F910" s="787"/>
      <c r="G910" s="788"/>
      <c r="H910" s="283"/>
      <c r="I910" s="785"/>
      <c r="J910" s="786"/>
      <c r="K910" s="786"/>
      <c r="L910" s="786"/>
      <c r="M910" s="785"/>
      <c r="N910" s="787"/>
      <c r="O910" s="789"/>
    </row>
    <row r="911">
      <c r="A911" s="790" t="s">
        <v>711</v>
      </c>
      <c r="B911" s="791"/>
      <c r="C911" s="791"/>
      <c r="D911" s="792"/>
      <c r="E911" s="793">
        <f>SUM(E905:E910)</f>
        <v>0</v>
      </c>
      <c r="F911" s="794"/>
      <c r="G911" s="793">
        <f>SUM(G905:G910)</f>
        <v>0</v>
      </c>
      <c r="H911" s="283"/>
      <c r="I911" s="790" t="s">
        <v>711</v>
      </c>
      <c r="J911" s="791"/>
      <c r="K911" s="791"/>
      <c r="L911" s="792"/>
      <c r="M911" s="793">
        <f>SUM(M905:M910)</f>
        <v>0</v>
      </c>
      <c r="N911" s="794"/>
      <c r="O911" s="793">
        <f>SUM(O905:O910)</f>
        <v>0</v>
      </c>
    </row>
    <row r="912">
      <c r="A912" s="796"/>
      <c r="D912" s="798"/>
      <c r="G912" s="799"/>
      <c r="H912" s="283"/>
      <c r="I912" s="796"/>
      <c r="L912" s="798"/>
      <c r="O912" s="799"/>
    </row>
    <row r="913">
      <c r="A913" s="800" t="s">
        <v>712</v>
      </c>
      <c r="B913" s="801"/>
      <c r="C913" s="802"/>
      <c r="G913" s="799"/>
      <c r="H913" s="283"/>
      <c r="I913" s="800" t="s">
        <v>712</v>
      </c>
      <c r="J913" s="803"/>
      <c r="K913" s="804"/>
      <c r="O913" s="799"/>
    </row>
    <row r="914">
      <c r="A914" s="867"/>
      <c r="B914" s="808"/>
      <c r="C914" s="809"/>
      <c r="G914" s="799"/>
      <c r="H914" s="283"/>
      <c r="I914" s="867"/>
      <c r="J914" s="808"/>
      <c r="K914" s="809"/>
      <c r="O914" s="799"/>
    </row>
    <row r="915">
      <c r="A915" s="868"/>
      <c r="B915" s="774"/>
      <c r="C915" s="816"/>
      <c r="G915" s="799"/>
      <c r="H915" s="283"/>
      <c r="I915" s="868"/>
      <c r="J915" s="774"/>
      <c r="K915" s="816"/>
      <c r="O915" s="799"/>
    </row>
    <row r="916">
      <c r="A916" s="815"/>
      <c r="B916" s="792"/>
      <c r="C916" s="816"/>
      <c r="G916" s="799"/>
      <c r="H916" s="283"/>
      <c r="I916" s="815"/>
      <c r="J916" s="792"/>
      <c r="K916" s="816"/>
      <c r="O916" s="799"/>
    </row>
    <row r="917">
      <c r="A917" s="817"/>
      <c r="B917" s="774"/>
      <c r="C917" s="818"/>
      <c r="G917" s="799"/>
      <c r="H917" s="283"/>
      <c r="I917" s="817"/>
      <c r="J917" s="774"/>
      <c r="K917" s="818"/>
      <c r="O917" s="799"/>
    </row>
    <row r="918">
      <c r="A918" s="817"/>
      <c r="B918" s="792"/>
      <c r="C918" s="818"/>
      <c r="G918" s="799"/>
      <c r="H918" s="283"/>
      <c r="I918" s="817"/>
      <c r="J918" s="792"/>
      <c r="K918" s="818"/>
      <c r="O918" s="799"/>
    </row>
    <row r="919">
      <c r="A919" s="821" t="s">
        <v>714</v>
      </c>
      <c r="B919" s="822"/>
      <c r="C919" s="823">
        <f>SUM(C914:C918)</f>
        <v>0</v>
      </c>
      <c r="G919" s="799"/>
      <c r="H919" s="283"/>
      <c r="I919" s="821" t="s">
        <v>714</v>
      </c>
      <c r="J919" s="826"/>
      <c r="K919" s="827"/>
      <c r="O919" s="799"/>
    </row>
    <row r="920">
      <c r="A920" s="828"/>
      <c r="C920" s="829"/>
      <c r="G920" s="799"/>
      <c r="H920" s="283"/>
      <c r="I920" s="828"/>
      <c r="K920" s="829"/>
      <c r="O920" s="799"/>
    </row>
    <row r="921">
      <c r="A921" s="830" t="s">
        <v>715</v>
      </c>
      <c r="B921" s="831"/>
      <c r="C921" s="832"/>
      <c r="G921" s="799"/>
      <c r="H921" s="283"/>
      <c r="I921" s="833" t="s">
        <v>715</v>
      </c>
      <c r="J921" s="834"/>
      <c r="K921" s="835"/>
      <c r="O921" s="799"/>
    </row>
    <row r="922">
      <c r="A922" s="836" t="s">
        <v>716</v>
      </c>
      <c r="B922" s="837"/>
      <c r="C922" s="838"/>
      <c r="G922" s="799"/>
      <c r="H922" s="283"/>
      <c r="I922" s="839"/>
      <c r="J922" s="840"/>
      <c r="K922" s="841"/>
      <c r="O922" s="799"/>
    </row>
    <row r="923">
      <c r="A923" s="842" t="s">
        <v>717</v>
      </c>
      <c r="B923" s="843"/>
      <c r="C923" s="844"/>
      <c r="D923" s="248"/>
      <c r="E923" s="845" t="s">
        <v>1182</v>
      </c>
      <c r="G923" s="846">
        <f>G911+C919-C928</f>
        <v>-911.29</v>
      </c>
      <c r="H923" s="283"/>
      <c r="I923" s="847"/>
      <c r="J923" s="848"/>
      <c r="K923" s="849"/>
      <c r="L923" s="248"/>
      <c r="M923" s="845" t="s">
        <v>1183</v>
      </c>
      <c r="O923" s="846">
        <f>O911+K919-K928</f>
        <v>0</v>
      </c>
    </row>
    <row r="924">
      <c r="A924" s="836" t="s">
        <v>718</v>
      </c>
      <c r="B924" s="837"/>
      <c r="C924" s="838"/>
      <c r="G924" s="799"/>
      <c r="H924" s="283"/>
      <c r="I924" s="847"/>
      <c r="J924" s="848"/>
      <c r="K924" s="849"/>
      <c r="O924" s="799"/>
    </row>
    <row r="925">
      <c r="A925" s="842" t="s">
        <v>656</v>
      </c>
      <c r="B925" s="843"/>
      <c r="C925" s="844">
        <f>IFERROR(__xludf.DUMMYFUNCTION("FILTER($C$4:$C$30,$B$4:$B$30=E903)"),911.29)</f>
        <v>911.29</v>
      </c>
      <c r="G925" s="799"/>
      <c r="H925" s="283"/>
      <c r="I925" s="847"/>
      <c r="J925" s="848"/>
      <c r="K925" s="849"/>
      <c r="O925" s="799"/>
    </row>
    <row r="926">
      <c r="A926" s="1049"/>
      <c r="B926" s="840"/>
      <c r="C926" s="849"/>
      <c r="E926" s="248"/>
      <c r="G926" s="799"/>
      <c r="H926" s="283"/>
      <c r="I926" s="847"/>
      <c r="J926" s="848"/>
      <c r="K926" s="849"/>
      <c r="M926" s="248"/>
      <c r="O926" s="799"/>
    </row>
    <row r="927">
      <c r="A927" s="847"/>
      <c r="B927" s="848"/>
      <c r="C927" s="849"/>
      <c r="G927" s="799"/>
      <c r="H927" s="283"/>
      <c r="I927" s="847"/>
      <c r="J927" s="848"/>
      <c r="K927" s="849"/>
      <c r="O927" s="799"/>
    </row>
    <row r="928">
      <c r="A928" s="853" t="s">
        <v>721</v>
      </c>
      <c r="B928" s="854"/>
      <c r="C928" s="855">
        <f>SUM(C922:C927)</f>
        <v>911.29</v>
      </c>
      <c r="G928" s="799"/>
      <c r="H928" s="283"/>
      <c r="I928" s="853" t="s">
        <v>721</v>
      </c>
      <c r="J928" s="854"/>
      <c r="K928" s="855"/>
      <c r="O928" s="799"/>
    </row>
    <row r="929">
      <c r="A929" s="856"/>
      <c r="B929" s="857"/>
      <c r="C929" s="857"/>
      <c r="D929" s="857"/>
      <c r="E929" s="857"/>
      <c r="F929" s="857"/>
      <c r="G929" s="808"/>
      <c r="H929" s="283"/>
      <c r="I929" s="856"/>
      <c r="J929" s="857"/>
      <c r="K929" s="857"/>
      <c r="L929" s="857"/>
      <c r="M929" s="857"/>
      <c r="N929" s="857"/>
      <c r="O929" s="808"/>
    </row>
    <row r="930">
      <c r="A930" s="199"/>
      <c r="B930" s="199"/>
      <c r="C930" s="199"/>
      <c r="D930" s="248"/>
      <c r="E930" s="248"/>
      <c r="F930" s="248"/>
      <c r="G930" s="248"/>
      <c r="H930" s="283"/>
      <c r="I930" s="199"/>
      <c r="J930" s="199"/>
      <c r="K930" s="199"/>
      <c r="L930" s="248"/>
      <c r="M930" s="248"/>
      <c r="N930" s="248"/>
      <c r="O930" s="248"/>
    </row>
    <row r="931">
      <c r="A931" s="199"/>
      <c r="B931" s="199"/>
      <c r="C931" s="199"/>
      <c r="D931" s="248"/>
      <c r="E931" s="248"/>
      <c r="F931" s="248"/>
      <c r="G931" s="248"/>
      <c r="H931" s="283"/>
      <c r="I931" s="199"/>
      <c r="J931" s="199"/>
      <c r="K931" s="199"/>
      <c r="L931" s="248"/>
      <c r="M931" s="248"/>
      <c r="N931" s="248"/>
      <c r="O931" s="248"/>
    </row>
    <row r="932">
      <c r="A932" s="769"/>
      <c r="B932" s="770"/>
      <c r="C932" s="770"/>
      <c r="D932" s="771" t="s">
        <v>700</v>
      </c>
      <c r="E932" s="772" t="str">
        <f>E126</f>
        <v>11.24.2025-11.30.2025</v>
      </c>
      <c r="F932" s="773"/>
      <c r="G932" s="774"/>
      <c r="H932" s="305">
        <v>27.0</v>
      </c>
      <c r="I932" s="769"/>
      <c r="J932" s="770"/>
      <c r="K932" s="770"/>
      <c r="L932" s="771" t="s">
        <v>700</v>
      </c>
      <c r="M932" s="772" t="str">
        <f>E126</f>
        <v>11.24.2025-11.30.2025</v>
      </c>
      <c r="N932" s="773"/>
      <c r="O932" s="774"/>
    </row>
    <row r="933">
      <c r="A933" s="775"/>
      <c r="D933" s="771" t="s">
        <v>702</v>
      </c>
      <c r="E933" s="772" t="s">
        <v>1491</v>
      </c>
      <c r="F933" s="773"/>
      <c r="G933" s="774"/>
      <c r="H933" s="283"/>
      <c r="I933" s="775"/>
      <c r="L933" s="771" t="s">
        <v>351</v>
      </c>
      <c r="M933" s="772" t="str">
        <f t="array" ref="M933">XLOOKUP(M934,$L$1:$L$122,$K$1:$K$122)</f>
        <v>BELLANE STENDER</v>
      </c>
      <c r="N933" s="773"/>
      <c r="O933" s="774"/>
    </row>
    <row r="934">
      <c r="A934" s="775"/>
      <c r="D934" s="771" t="s">
        <v>703</v>
      </c>
      <c r="E934" s="772">
        <v>9334.0</v>
      </c>
      <c r="F934" s="773"/>
      <c r="G934" s="774"/>
      <c r="H934" s="283"/>
      <c r="I934" s="775"/>
      <c r="L934" s="771" t="s">
        <v>703</v>
      </c>
      <c r="M934" s="772">
        <f>E934</f>
        <v>9334</v>
      </c>
      <c r="N934" s="773"/>
      <c r="O934" s="774"/>
    </row>
    <row r="935">
      <c r="A935" s="779" t="s">
        <v>704</v>
      </c>
      <c r="B935" s="779" t="s">
        <v>5</v>
      </c>
      <c r="C935" s="779" t="s">
        <v>6</v>
      </c>
      <c r="D935" s="779" t="s">
        <v>7</v>
      </c>
      <c r="E935" s="779" t="s">
        <v>8</v>
      </c>
      <c r="F935" s="779" t="s">
        <v>706</v>
      </c>
      <c r="G935" s="779" t="s">
        <v>707</v>
      </c>
      <c r="H935" s="34"/>
      <c r="I935" s="779" t="s">
        <v>704</v>
      </c>
      <c r="J935" s="779" t="s">
        <v>5</v>
      </c>
      <c r="K935" s="779" t="s">
        <v>6</v>
      </c>
      <c r="L935" s="779" t="s">
        <v>7</v>
      </c>
      <c r="M935" s="779" t="s">
        <v>1178</v>
      </c>
      <c r="N935" s="779" t="s">
        <v>839</v>
      </c>
      <c r="O935" s="779" t="s">
        <v>707</v>
      </c>
    </row>
    <row r="936">
      <c r="A936" s="780">
        <f>IFERROR(__xludf.DUMMYFUNCTION("FILTER($D$3:$H$122,$L$3:$L$122=E934)"),45987.0)</f>
        <v>45987</v>
      </c>
      <c r="B936" s="781" t="str">
        <f>IFERROR(__xludf.DUMMYFUNCTION("""COMPUTED_VALUE"""),"EXP541159")</f>
        <v>EXP541159</v>
      </c>
      <c r="C936" s="781" t="str">
        <f>IFERROR(__xludf.DUMMYFUNCTION("""COMPUTED_VALUE"""),"Spanish Fork, UT, 84660")</f>
        <v>Spanish Fork, UT, 84660</v>
      </c>
      <c r="D936" s="781" t="str">
        <f>IFERROR(__xludf.DUMMYFUNCTION("""COMPUTED_VALUE"""),"Henderson, NC, 27537")</f>
        <v>Henderson, NC, 27537</v>
      </c>
      <c r="E936" s="782">
        <f>IFERROR(__xludf.DUMMYFUNCTION("""COMPUTED_VALUE"""),4100.0)</f>
        <v>4100</v>
      </c>
      <c r="F936" s="783">
        <v>1.0</v>
      </c>
      <c r="G936" s="782">
        <f>E936*F936</f>
        <v>4100</v>
      </c>
      <c r="H936" s="283"/>
      <c r="I936" s="780">
        <f>IFERROR(__xludf.DUMMYFUNCTION("FILTER($D$3:$G$122,$L$3:$L$122=M934)"),45987.0)</f>
        <v>45987</v>
      </c>
      <c r="J936" s="781" t="str">
        <f>IFERROR(__xludf.DUMMYFUNCTION("""COMPUTED_VALUE"""),"EXP541159")</f>
        <v>EXP541159</v>
      </c>
      <c r="K936" s="781" t="str">
        <f>IFERROR(__xludf.DUMMYFUNCTION("""COMPUTED_VALUE"""),"Spanish Fork, UT, 84660")</f>
        <v>Spanish Fork, UT, 84660</v>
      </c>
      <c r="L936" s="781" t="str">
        <f>IFERROR(__xludf.DUMMYFUNCTION("""COMPUTED_VALUE"""),"Henderson, NC, 27537")</f>
        <v>Henderson, NC, 27537</v>
      </c>
      <c r="M936" s="880">
        <f>IFERROR(__xludf.DUMMYFUNCTION("FILTER($I$3:$I$122,$L$3:$L$122=M934)"),2263.0)</f>
        <v>2263</v>
      </c>
      <c r="N936" s="781">
        <v>0.65</v>
      </c>
      <c r="O936" s="782">
        <f>M936*N936</f>
        <v>1470.95</v>
      </c>
    </row>
    <row r="937">
      <c r="A937" s="780">
        <f>IFERROR(__xludf.DUMMYFUNCTION("""COMPUTED_VALUE"""),45986.0)</f>
        <v>45986</v>
      </c>
      <c r="B937" s="781">
        <f>IFERROR(__xludf.DUMMYFUNCTION("""COMPUTED_VALUE"""),2026142.0)</f>
        <v>2026142</v>
      </c>
      <c r="C937" s="781" t="str">
        <f>IFERROR(__xludf.DUMMYFUNCTION("""COMPUTED_VALUE"""),"Lakewood, CO, 80215")</f>
        <v>Lakewood, CO, 80215</v>
      </c>
      <c r="D937" s="781" t="str">
        <f>IFERROR(__xludf.DUMMYFUNCTION("""COMPUTED_VALUE"""),"Salt Lake City, UT, 84116")</f>
        <v>Salt Lake City, UT, 84116</v>
      </c>
      <c r="E937" s="782">
        <f>IFERROR(__xludf.DUMMYFUNCTION("""COMPUTED_VALUE"""),750.0)</f>
        <v>750</v>
      </c>
      <c r="F937" s="783"/>
      <c r="G937" s="782"/>
      <c r="H937" s="283"/>
      <c r="I937" s="780">
        <f>IFERROR(__xludf.DUMMYFUNCTION("""COMPUTED_VALUE"""),45986.0)</f>
        <v>45986</v>
      </c>
      <c r="J937" s="781">
        <f>IFERROR(__xludf.DUMMYFUNCTION("""COMPUTED_VALUE"""),2026142.0)</f>
        <v>2026142</v>
      </c>
      <c r="K937" s="781" t="str">
        <f>IFERROR(__xludf.DUMMYFUNCTION("""COMPUTED_VALUE"""),"Lakewood, CO, 80215")</f>
        <v>Lakewood, CO, 80215</v>
      </c>
      <c r="L937" s="781" t="str">
        <f>IFERROR(__xludf.DUMMYFUNCTION("""COMPUTED_VALUE"""),"Salt Lake City, UT, 84116")</f>
        <v>Salt Lake City, UT, 84116</v>
      </c>
      <c r="M937" s="880">
        <f>IFERROR(__xludf.DUMMYFUNCTION("""COMPUTED_VALUE"""),531.0)</f>
        <v>531</v>
      </c>
      <c r="N937" s="781"/>
      <c r="O937" s="782"/>
    </row>
    <row r="938">
      <c r="A938" s="883">
        <f>IFERROR(__xludf.DUMMYFUNCTION("""COMPUTED_VALUE"""),45985.0)</f>
        <v>45985</v>
      </c>
      <c r="B938" s="786">
        <f>IFERROR(__xludf.DUMMYFUNCTION("""COMPUTED_VALUE"""),1259248.0)</f>
        <v>1259248</v>
      </c>
      <c r="C938" s="786" t="str">
        <f>IFERROR(__xludf.DUMMYFUNCTION("""COMPUTED_VALUE"""),"Fort Worth, TX, 76131")</f>
        <v>Fort Worth, TX, 76131</v>
      </c>
      <c r="D938" s="786" t="str">
        <f>IFERROR(__xludf.DUMMYFUNCTION("""COMPUTED_VALUE"""),"Fountain, CO, 80817")</f>
        <v>Fountain, CO, 80817</v>
      </c>
      <c r="E938" s="884">
        <f>IFERROR(__xludf.DUMMYFUNCTION("""COMPUTED_VALUE"""),2000.0)</f>
        <v>2000</v>
      </c>
      <c r="F938" s="787"/>
      <c r="G938" s="788"/>
      <c r="H938" s="283"/>
      <c r="I938" s="780">
        <f>IFERROR(__xludf.DUMMYFUNCTION("""COMPUTED_VALUE"""),45985.0)</f>
        <v>45985</v>
      </c>
      <c r="J938" s="781">
        <f>IFERROR(__xludf.DUMMYFUNCTION("""COMPUTED_VALUE"""),1259248.0)</f>
        <v>1259248</v>
      </c>
      <c r="K938" s="781" t="str">
        <f>IFERROR(__xludf.DUMMYFUNCTION("""COMPUTED_VALUE"""),"Fort Worth, TX, 76131")</f>
        <v>Fort Worth, TX, 76131</v>
      </c>
      <c r="L938" s="781" t="str">
        <f>IFERROR(__xludf.DUMMYFUNCTION("""COMPUTED_VALUE"""),"Fountain, CO, 80817")</f>
        <v>Fountain, CO, 80817</v>
      </c>
      <c r="M938" s="880">
        <f>IFERROR(__xludf.DUMMYFUNCTION("""COMPUTED_VALUE"""),693.0)</f>
        <v>693</v>
      </c>
      <c r="N938" s="781"/>
      <c r="O938" s="782"/>
    </row>
    <row r="939">
      <c r="A939" s="785"/>
      <c r="B939" s="786"/>
      <c r="C939" s="786"/>
      <c r="D939" s="786"/>
      <c r="E939" s="785"/>
      <c r="F939" s="787"/>
      <c r="G939" s="788"/>
      <c r="H939" s="283"/>
      <c r="I939" s="785"/>
      <c r="J939" s="786"/>
      <c r="K939" s="786"/>
      <c r="L939" s="786"/>
      <c r="M939" s="785"/>
      <c r="N939" s="787"/>
      <c r="O939" s="789"/>
    </row>
    <row r="940">
      <c r="A940" s="785"/>
      <c r="B940" s="786"/>
      <c r="C940" s="786"/>
      <c r="D940" s="786"/>
      <c r="E940" s="785"/>
      <c r="F940" s="787"/>
      <c r="G940" s="788"/>
      <c r="H940" s="283"/>
      <c r="I940" s="785"/>
      <c r="J940" s="786"/>
      <c r="K940" s="786"/>
      <c r="L940" s="786"/>
      <c r="M940" s="785"/>
      <c r="N940" s="787"/>
      <c r="O940" s="789"/>
    </row>
    <row r="941">
      <c r="A941" s="785"/>
      <c r="B941" s="786"/>
      <c r="C941" s="786"/>
      <c r="D941" s="786"/>
      <c r="E941" s="785"/>
      <c r="F941" s="787"/>
      <c r="G941" s="788"/>
      <c r="H941" s="283"/>
      <c r="I941" s="785"/>
      <c r="J941" s="786"/>
      <c r="K941" s="786"/>
      <c r="L941" s="786"/>
      <c r="M941" s="785"/>
      <c r="N941" s="787"/>
      <c r="O941" s="789"/>
    </row>
    <row r="942">
      <c r="A942" s="790" t="s">
        <v>711</v>
      </c>
      <c r="B942" s="791"/>
      <c r="C942" s="791"/>
      <c r="D942" s="792"/>
      <c r="E942" s="793">
        <f>SUM(E936:E941)</f>
        <v>6850</v>
      </c>
      <c r="F942" s="794"/>
      <c r="G942" s="793">
        <f>SUM(G936:G941)</f>
        <v>4100</v>
      </c>
      <c r="H942" s="283"/>
      <c r="I942" s="790" t="s">
        <v>711</v>
      </c>
      <c r="J942" s="791"/>
      <c r="K942" s="791"/>
      <c r="L942" s="792"/>
      <c r="M942" s="793">
        <f>SUM(M936:M941)</f>
        <v>3487</v>
      </c>
      <c r="N942" s="794"/>
      <c r="O942" s="793">
        <f>SUM(O936:O941)</f>
        <v>1470.95</v>
      </c>
    </row>
    <row r="943">
      <c r="A943" s="796"/>
      <c r="D943" s="798"/>
      <c r="G943" s="799"/>
      <c r="H943" s="283"/>
      <c r="I943" s="796"/>
      <c r="L943" s="798"/>
      <c r="O943" s="799"/>
    </row>
    <row r="944">
      <c r="A944" s="800" t="s">
        <v>712</v>
      </c>
      <c r="B944" s="801"/>
      <c r="C944" s="802"/>
      <c r="G944" s="799"/>
      <c r="H944" s="283"/>
      <c r="I944" s="800" t="s">
        <v>712</v>
      </c>
      <c r="J944" s="803"/>
      <c r="K944" s="804"/>
      <c r="O944" s="799"/>
    </row>
    <row r="945">
      <c r="A945" s="867"/>
      <c r="B945" s="808"/>
      <c r="C945" s="809"/>
      <c r="G945" s="799"/>
      <c r="H945" s="283"/>
      <c r="I945" s="867"/>
      <c r="J945" s="808"/>
      <c r="K945" s="809"/>
      <c r="O945" s="799"/>
    </row>
    <row r="946">
      <c r="A946" s="868"/>
      <c r="B946" s="774"/>
      <c r="C946" s="816"/>
      <c r="G946" s="799"/>
      <c r="H946" s="283"/>
      <c r="I946" s="868"/>
      <c r="J946" s="774"/>
      <c r="K946" s="816"/>
      <c r="O946" s="799"/>
    </row>
    <row r="947">
      <c r="A947" s="815"/>
      <c r="B947" s="792"/>
      <c r="C947" s="816"/>
      <c r="G947" s="799"/>
      <c r="H947" s="283"/>
      <c r="I947" s="815"/>
      <c r="J947" s="792"/>
      <c r="K947" s="816"/>
      <c r="O947" s="799"/>
    </row>
    <row r="948">
      <c r="A948" s="817"/>
      <c r="B948" s="774"/>
      <c r="C948" s="818"/>
      <c r="G948" s="799"/>
      <c r="H948" s="283"/>
      <c r="I948" s="817"/>
      <c r="J948" s="774"/>
      <c r="K948" s="818"/>
      <c r="O948" s="799"/>
    </row>
    <row r="949">
      <c r="A949" s="817"/>
      <c r="B949" s="792"/>
      <c r="C949" s="818"/>
      <c r="G949" s="799"/>
      <c r="H949" s="283"/>
      <c r="I949" s="817"/>
      <c r="J949" s="792"/>
      <c r="K949" s="818"/>
      <c r="O949" s="799"/>
    </row>
    <row r="950">
      <c r="A950" s="821" t="s">
        <v>714</v>
      </c>
      <c r="B950" s="822"/>
      <c r="C950" s="823">
        <f>SUM(C945:C949)</f>
        <v>0</v>
      </c>
      <c r="G950" s="799"/>
      <c r="H950" s="283"/>
      <c r="I950" s="821" t="s">
        <v>714</v>
      </c>
      <c r="J950" s="826"/>
      <c r="K950" s="827"/>
      <c r="O950" s="799"/>
    </row>
    <row r="951">
      <c r="A951" s="828"/>
      <c r="C951" s="829"/>
      <c r="G951" s="799"/>
      <c r="H951" s="283"/>
      <c r="I951" s="828"/>
      <c r="K951" s="829"/>
      <c r="O951" s="799"/>
    </row>
    <row r="952">
      <c r="A952" s="830" t="s">
        <v>715</v>
      </c>
      <c r="B952" s="831"/>
      <c r="C952" s="832"/>
      <c r="G952" s="799"/>
      <c r="H952" s="283"/>
      <c r="I952" s="833" t="s">
        <v>715</v>
      </c>
      <c r="J952" s="834"/>
      <c r="K952" s="835"/>
      <c r="O952" s="799"/>
    </row>
    <row r="953">
      <c r="A953" s="836" t="s">
        <v>716</v>
      </c>
      <c r="B953" s="837"/>
      <c r="C953" s="838"/>
      <c r="G953" s="799"/>
      <c r="H953" s="283"/>
      <c r="I953" s="839"/>
      <c r="J953" s="840"/>
      <c r="K953" s="841"/>
      <c r="O953" s="799"/>
    </row>
    <row r="954">
      <c r="A954" s="842" t="s">
        <v>717</v>
      </c>
      <c r="B954" s="843"/>
      <c r="C954" s="844"/>
      <c r="D954" s="248"/>
      <c r="E954" s="845" t="s">
        <v>1182</v>
      </c>
      <c r="G954" s="846">
        <f>G942+C950-C959</f>
        <v>2165.59</v>
      </c>
      <c r="H954" s="283"/>
      <c r="I954" s="847"/>
      <c r="J954" s="848"/>
      <c r="K954" s="849"/>
      <c r="L954" s="248"/>
      <c r="M954" s="845" t="s">
        <v>1183</v>
      </c>
      <c r="O954" s="846">
        <f>O942+K950-K959</f>
        <v>1470.95</v>
      </c>
    </row>
    <row r="955">
      <c r="A955" s="836" t="s">
        <v>718</v>
      </c>
      <c r="B955" s="837"/>
      <c r="C955" s="838"/>
      <c r="G955" s="799"/>
      <c r="H955" s="283"/>
      <c r="I955" s="847"/>
      <c r="J955" s="848"/>
      <c r="K955" s="849"/>
      <c r="O955" s="799"/>
    </row>
    <row r="956">
      <c r="A956" s="842" t="s">
        <v>656</v>
      </c>
      <c r="B956" s="843"/>
      <c r="C956" s="844">
        <f>IFERROR(__xludf.DUMMYFUNCTION("FILTER($C$4:$C$30,$B$4:$B$30=E934)"),1934.41)</f>
        <v>1934.41</v>
      </c>
      <c r="G956" s="799"/>
      <c r="H956" s="283"/>
      <c r="I956" s="847"/>
      <c r="J956" s="848"/>
      <c r="K956" s="849"/>
      <c r="O956" s="799"/>
    </row>
    <row r="957">
      <c r="A957" s="1049"/>
      <c r="B957" s="840"/>
      <c r="C957" s="849"/>
      <c r="E957" s="248"/>
      <c r="G957" s="799"/>
      <c r="H957" s="283"/>
      <c r="I957" s="847"/>
      <c r="J957" s="848"/>
      <c r="K957" s="849"/>
      <c r="M957" s="248"/>
      <c r="O957" s="799"/>
    </row>
    <row r="958">
      <c r="A958" s="847"/>
      <c r="B958" s="848"/>
      <c r="C958" s="849"/>
      <c r="G958" s="799"/>
      <c r="H958" s="283"/>
      <c r="I958" s="847"/>
      <c r="J958" s="848"/>
      <c r="K958" s="849"/>
      <c r="O958" s="799"/>
    </row>
    <row r="959">
      <c r="A959" s="853" t="s">
        <v>721</v>
      </c>
      <c r="B959" s="854"/>
      <c r="C959" s="855">
        <f>SUM(C953:C958)</f>
        <v>1934.41</v>
      </c>
      <c r="G959" s="799"/>
      <c r="H959" s="283"/>
      <c r="I959" s="853" t="s">
        <v>721</v>
      </c>
      <c r="J959" s="854"/>
      <c r="K959" s="855"/>
      <c r="O959" s="799"/>
    </row>
    <row r="960">
      <c r="A960" s="856"/>
      <c r="B960" s="857"/>
      <c r="C960" s="857"/>
      <c r="D960" s="857"/>
      <c r="E960" s="857"/>
      <c r="F960" s="857"/>
      <c r="G960" s="808"/>
      <c r="H960" s="283"/>
      <c r="I960" s="856"/>
      <c r="J960" s="857"/>
      <c r="K960" s="857"/>
      <c r="L960" s="857"/>
      <c r="M960" s="857"/>
      <c r="N960" s="857"/>
      <c r="O960" s="808"/>
    </row>
    <row r="961">
      <c r="A961" s="199"/>
      <c r="B961" s="199"/>
      <c r="C961" s="199"/>
      <c r="D961" s="248"/>
      <c r="E961" s="248"/>
      <c r="F961" s="248"/>
      <c r="G961" s="248"/>
      <c r="H961" s="283"/>
      <c r="I961" s="199"/>
      <c r="J961" s="199"/>
      <c r="K961" s="199"/>
      <c r="L961" s="248"/>
      <c r="M961" s="248"/>
      <c r="N961" s="248"/>
      <c r="O961" s="248"/>
    </row>
    <row r="962">
      <c r="A962" s="199"/>
      <c r="B962" s="199"/>
      <c r="C962" s="199"/>
      <c r="D962" s="248"/>
      <c r="E962" s="248"/>
      <c r="F962" s="248"/>
      <c r="G962" s="248"/>
      <c r="H962" s="283"/>
      <c r="I962" s="199"/>
      <c r="J962" s="199"/>
      <c r="K962" s="199"/>
      <c r="L962" s="248"/>
      <c r="M962" s="248"/>
      <c r="N962" s="248"/>
      <c r="O962" s="248"/>
    </row>
    <row r="963">
      <c r="A963" s="769"/>
      <c r="B963" s="770"/>
      <c r="C963" s="770"/>
      <c r="D963" s="771" t="s">
        <v>700</v>
      </c>
      <c r="E963" s="772" t="str">
        <f>E157</f>
        <v>11.24.2025-11.30.2025</v>
      </c>
      <c r="F963" s="773"/>
      <c r="G963" s="774"/>
      <c r="H963" s="305">
        <v>28.0</v>
      </c>
      <c r="I963" s="769"/>
      <c r="J963" s="770"/>
      <c r="K963" s="770"/>
      <c r="L963" s="771" t="s">
        <v>700</v>
      </c>
      <c r="M963" s="772" t="str">
        <f>E157</f>
        <v>11.24.2025-11.30.2025</v>
      </c>
      <c r="N963" s="773"/>
      <c r="O963" s="774"/>
    </row>
    <row r="964">
      <c r="A964" s="775"/>
      <c r="D964" s="771" t="s">
        <v>702</v>
      </c>
      <c r="E964" s="772" t="s">
        <v>911</v>
      </c>
      <c r="F964" s="773"/>
      <c r="G964" s="774"/>
      <c r="H964" s="283"/>
      <c r="I964" s="775"/>
      <c r="L964" s="771" t="s">
        <v>351</v>
      </c>
      <c r="M964" s="772" t="str">
        <f t="array" ref="M964">XLOOKUP(M965,$L$1:$L$122,$K$1:$K$122)</f>
        <v>JEREMY POTTER</v>
      </c>
      <c r="N964" s="773"/>
      <c r="O964" s="774"/>
    </row>
    <row r="965">
      <c r="A965" s="775"/>
      <c r="D965" s="771" t="s">
        <v>703</v>
      </c>
      <c r="E965" s="778" t="s">
        <v>513</v>
      </c>
      <c r="F965" s="773"/>
      <c r="G965" s="774"/>
      <c r="H965" s="283"/>
      <c r="I965" s="775"/>
      <c r="L965" s="771" t="s">
        <v>703</v>
      </c>
      <c r="M965" s="772" t="str">
        <f>E965</f>
        <v>0913</v>
      </c>
      <c r="N965" s="773"/>
      <c r="O965" s="774"/>
    </row>
    <row r="966">
      <c r="A966" s="779" t="s">
        <v>704</v>
      </c>
      <c r="B966" s="779" t="s">
        <v>5</v>
      </c>
      <c r="C966" s="779" t="s">
        <v>6</v>
      </c>
      <c r="D966" s="779" t="s">
        <v>7</v>
      </c>
      <c r="E966" s="779" t="s">
        <v>8</v>
      </c>
      <c r="F966" s="779" t="s">
        <v>706</v>
      </c>
      <c r="G966" s="779" t="s">
        <v>707</v>
      </c>
      <c r="H966" s="34"/>
      <c r="I966" s="779" t="s">
        <v>704</v>
      </c>
      <c r="J966" s="779" t="s">
        <v>5</v>
      </c>
      <c r="K966" s="779" t="s">
        <v>6</v>
      </c>
      <c r="L966" s="779" t="s">
        <v>7</v>
      </c>
      <c r="M966" s="779" t="s">
        <v>1178</v>
      </c>
      <c r="N966" s="779" t="s">
        <v>839</v>
      </c>
      <c r="O966" s="779" t="s">
        <v>707</v>
      </c>
    </row>
    <row r="967">
      <c r="A967" s="780">
        <f>IFERROR(__xludf.DUMMYFUNCTION("FILTER($D$3:$H$122,$L$3:$L$122=E965)"),45987.0)</f>
        <v>45987</v>
      </c>
      <c r="B967" s="781">
        <f>IFERROR(__xludf.DUMMYFUNCTION("""COMPUTED_VALUE"""),5.36172052E8)</f>
        <v>536172052</v>
      </c>
      <c r="C967" s="781" t="str">
        <f>IFERROR(__xludf.DUMMYFUNCTION("""COMPUTED_VALUE"""),"Atlanta, GA, 30336")</f>
        <v>Atlanta, GA, 30336</v>
      </c>
      <c r="D967" s="781" t="str">
        <f>IFERROR(__xludf.DUMMYFUNCTION("""COMPUTED_VALUE"""),"Newburgh, NY, 12550")</f>
        <v>Newburgh, NY, 12550</v>
      </c>
      <c r="E967" s="782">
        <f>IFERROR(__xludf.DUMMYFUNCTION("""COMPUTED_VALUE"""),2400.0)</f>
        <v>2400</v>
      </c>
      <c r="F967" s="783">
        <v>1.0</v>
      </c>
      <c r="G967" s="782">
        <f>E967*F967</f>
        <v>2400</v>
      </c>
      <c r="H967" s="283"/>
      <c r="I967" s="780">
        <f>IFERROR(__xludf.DUMMYFUNCTION("FILTER($D$3:$G$122,$L$3:$L$122=M965)"),45987.0)</f>
        <v>45987</v>
      </c>
      <c r="J967" s="781">
        <f>IFERROR(__xludf.DUMMYFUNCTION("""COMPUTED_VALUE"""),5.36172052E8)</f>
        <v>536172052</v>
      </c>
      <c r="K967" s="781" t="str">
        <f>IFERROR(__xludf.DUMMYFUNCTION("""COMPUTED_VALUE"""),"Atlanta, GA, 30336")</f>
        <v>Atlanta, GA, 30336</v>
      </c>
      <c r="L967" s="781" t="str">
        <f>IFERROR(__xludf.DUMMYFUNCTION("""COMPUTED_VALUE"""),"Newburgh, NY, 12550")</f>
        <v>Newburgh, NY, 12550</v>
      </c>
      <c r="M967" s="880">
        <f>IFERROR(__xludf.DUMMYFUNCTION("FILTER($I$3:$I$122,$L$3:$L$122=M965)"),930.0)</f>
        <v>930</v>
      </c>
      <c r="N967" s="781">
        <v>0.65</v>
      </c>
      <c r="O967" s="782">
        <f>M967*N967</f>
        <v>604.5</v>
      </c>
    </row>
    <row r="968">
      <c r="A968" s="780">
        <f>IFERROR(__xludf.DUMMYFUNCTION("""COMPUTED_VALUE"""),45986.0)</f>
        <v>45986</v>
      </c>
      <c r="B968" s="781">
        <f>IFERROR(__xludf.DUMMYFUNCTION("""COMPUTED_VALUE"""),642799.0)</f>
        <v>642799</v>
      </c>
      <c r="C968" s="781" t="str">
        <f>IFERROR(__xludf.DUMMYFUNCTION("""COMPUTED_VALUE"""),"North East, MD, 21901")</f>
        <v>North East, MD, 21901</v>
      </c>
      <c r="D968" s="781" t="str">
        <f>IFERROR(__xludf.DUMMYFUNCTION("""COMPUTED_VALUE"""),"Lithia Springs, GA, 30122")</f>
        <v>Lithia Springs, GA, 30122</v>
      </c>
      <c r="E968" s="782">
        <f>IFERROR(__xludf.DUMMYFUNCTION("""COMPUTED_VALUE"""),1300.0)</f>
        <v>1300</v>
      </c>
      <c r="F968" s="783"/>
      <c r="G968" s="782"/>
      <c r="H968" s="283"/>
      <c r="I968" s="780">
        <f>IFERROR(__xludf.DUMMYFUNCTION("""COMPUTED_VALUE"""),45986.0)</f>
        <v>45986</v>
      </c>
      <c r="J968" s="781">
        <f>IFERROR(__xludf.DUMMYFUNCTION("""COMPUTED_VALUE"""),642799.0)</f>
        <v>642799</v>
      </c>
      <c r="K968" s="781" t="str">
        <f>IFERROR(__xludf.DUMMYFUNCTION("""COMPUTED_VALUE"""),"North East, MD, 21901")</f>
        <v>North East, MD, 21901</v>
      </c>
      <c r="L968" s="781" t="str">
        <f>IFERROR(__xludf.DUMMYFUNCTION("""COMPUTED_VALUE"""),"Lithia Springs, GA, 30122")</f>
        <v>Lithia Springs, GA, 30122</v>
      </c>
      <c r="M968" s="880">
        <f>IFERROR(__xludf.DUMMYFUNCTION("""COMPUTED_VALUE"""),727.0)</f>
        <v>727</v>
      </c>
      <c r="N968" s="781"/>
      <c r="O968" s="782"/>
    </row>
    <row r="969">
      <c r="A969" s="785"/>
      <c r="B969" s="786"/>
      <c r="C969" s="786"/>
      <c r="D969" s="786"/>
      <c r="E969" s="785"/>
      <c r="F969" s="787"/>
      <c r="G969" s="788"/>
      <c r="H969" s="283"/>
      <c r="I969" s="780"/>
      <c r="J969" s="781"/>
      <c r="K969" s="781"/>
      <c r="L969" s="781"/>
      <c r="M969" s="880"/>
      <c r="N969" s="781"/>
      <c r="O969" s="782"/>
    </row>
    <row r="970">
      <c r="A970" s="785"/>
      <c r="B970" s="786"/>
      <c r="C970" s="786"/>
      <c r="D970" s="786"/>
      <c r="E970" s="785"/>
      <c r="F970" s="787"/>
      <c r="G970" s="788"/>
      <c r="H970" s="283"/>
      <c r="I970" s="785"/>
      <c r="J970" s="786"/>
      <c r="K970" s="786"/>
      <c r="L970" s="786"/>
      <c r="M970" s="785"/>
      <c r="N970" s="787"/>
      <c r="O970" s="789"/>
    </row>
    <row r="971">
      <c r="A971" s="785"/>
      <c r="B971" s="786"/>
      <c r="C971" s="786"/>
      <c r="D971" s="786"/>
      <c r="E971" s="785"/>
      <c r="F971" s="787"/>
      <c r="G971" s="788"/>
      <c r="H971" s="283"/>
      <c r="I971" s="785"/>
      <c r="J971" s="786"/>
      <c r="K971" s="786"/>
      <c r="L971" s="786"/>
      <c r="M971" s="785"/>
      <c r="N971" s="787"/>
      <c r="O971" s="789"/>
    </row>
    <row r="972">
      <c r="A972" s="785"/>
      <c r="B972" s="786"/>
      <c r="C972" s="786"/>
      <c r="D972" s="786"/>
      <c r="E972" s="785"/>
      <c r="F972" s="787"/>
      <c r="G972" s="788"/>
      <c r="H972" s="283"/>
      <c r="I972" s="785"/>
      <c r="J972" s="786"/>
      <c r="K972" s="786"/>
      <c r="L972" s="786"/>
      <c r="M972" s="785"/>
      <c r="N972" s="787"/>
      <c r="O972" s="789"/>
    </row>
    <row r="973">
      <c r="A973" s="790" t="s">
        <v>711</v>
      </c>
      <c r="B973" s="791"/>
      <c r="C973" s="791"/>
      <c r="D973" s="792"/>
      <c r="E973" s="793">
        <f>SUM(E967:E972)</f>
        <v>3700</v>
      </c>
      <c r="F973" s="794"/>
      <c r="G973" s="793">
        <f>SUM(G967:G972)</f>
        <v>2400</v>
      </c>
      <c r="H973" s="283"/>
      <c r="I973" s="790" t="s">
        <v>711</v>
      </c>
      <c r="J973" s="791"/>
      <c r="K973" s="791"/>
      <c r="L973" s="792"/>
      <c r="M973" s="793">
        <f>SUM(M967:M972)</f>
        <v>1657</v>
      </c>
      <c r="N973" s="794"/>
      <c r="O973" s="793">
        <f>SUM(O967:O972)</f>
        <v>604.5</v>
      </c>
    </row>
    <row r="974">
      <c r="A974" s="796"/>
      <c r="D974" s="798"/>
      <c r="G974" s="799"/>
      <c r="H974" s="283"/>
      <c r="I974" s="796"/>
      <c r="L974" s="798"/>
      <c r="O974" s="799"/>
    </row>
    <row r="975">
      <c r="A975" s="800" t="s">
        <v>712</v>
      </c>
      <c r="B975" s="801"/>
      <c r="C975" s="802"/>
      <c r="G975" s="799"/>
      <c r="H975" s="283"/>
      <c r="I975" s="800" t="s">
        <v>712</v>
      </c>
      <c r="J975" s="803"/>
      <c r="K975" s="804"/>
      <c r="O975" s="799"/>
    </row>
    <row r="976">
      <c r="A976" s="867"/>
      <c r="B976" s="808"/>
      <c r="C976" s="809"/>
      <c r="G976" s="799"/>
      <c r="H976" s="283"/>
      <c r="I976" s="867"/>
      <c r="J976" s="808"/>
      <c r="K976" s="809"/>
      <c r="O976" s="799"/>
    </row>
    <row r="977">
      <c r="A977" s="868"/>
      <c r="B977" s="774"/>
      <c r="C977" s="816"/>
      <c r="G977" s="799"/>
      <c r="H977" s="283"/>
      <c r="I977" s="868"/>
      <c r="J977" s="774"/>
      <c r="K977" s="816"/>
      <c r="O977" s="799"/>
    </row>
    <row r="978">
      <c r="A978" s="815"/>
      <c r="B978" s="792"/>
      <c r="C978" s="816"/>
      <c r="G978" s="799"/>
      <c r="H978" s="283"/>
      <c r="I978" s="815"/>
      <c r="J978" s="792"/>
      <c r="K978" s="816"/>
      <c r="O978" s="799"/>
    </row>
    <row r="979">
      <c r="A979" s="817"/>
      <c r="B979" s="774"/>
      <c r="C979" s="818"/>
      <c r="G979" s="799"/>
      <c r="H979" s="283"/>
      <c r="I979" s="817"/>
      <c r="J979" s="774"/>
      <c r="K979" s="818"/>
      <c r="O979" s="799"/>
    </row>
    <row r="980">
      <c r="A980" s="817"/>
      <c r="B980" s="792"/>
      <c r="C980" s="818"/>
      <c r="G980" s="799"/>
      <c r="H980" s="283"/>
      <c r="I980" s="817"/>
      <c r="J980" s="792"/>
      <c r="K980" s="818"/>
      <c r="O980" s="799"/>
    </row>
    <row r="981">
      <c r="A981" s="821" t="s">
        <v>714</v>
      </c>
      <c r="B981" s="822"/>
      <c r="C981" s="823">
        <f>SUM(C976:C980)</f>
        <v>0</v>
      </c>
      <c r="G981" s="799"/>
      <c r="H981" s="283"/>
      <c r="I981" s="821" t="s">
        <v>714</v>
      </c>
      <c r="J981" s="826"/>
      <c r="K981" s="827"/>
      <c r="O981" s="799"/>
    </row>
    <row r="982">
      <c r="A982" s="828"/>
      <c r="C982" s="829"/>
      <c r="G982" s="799"/>
      <c r="H982" s="283"/>
      <c r="I982" s="828"/>
      <c r="K982" s="829"/>
      <c r="O982" s="799"/>
    </row>
    <row r="983">
      <c r="A983" s="830" t="s">
        <v>715</v>
      </c>
      <c r="B983" s="831"/>
      <c r="C983" s="832"/>
      <c r="G983" s="799"/>
      <c r="H983" s="283"/>
      <c r="I983" s="833" t="s">
        <v>715</v>
      </c>
      <c r="J983" s="834"/>
      <c r="K983" s="835"/>
      <c r="O983" s="799"/>
    </row>
    <row r="984">
      <c r="A984" s="836" t="s">
        <v>716</v>
      </c>
      <c r="B984" s="837"/>
      <c r="C984" s="838"/>
      <c r="G984" s="799"/>
      <c r="H984" s="283"/>
      <c r="I984" s="839"/>
      <c r="J984" s="840"/>
      <c r="K984" s="841"/>
      <c r="O984" s="799"/>
    </row>
    <row r="985">
      <c r="A985" s="842" t="s">
        <v>717</v>
      </c>
      <c r="B985" s="843"/>
      <c r="C985" s="844"/>
      <c r="D985" s="248"/>
      <c r="E985" s="845" t="s">
        <v>1182</v>
      </c>
      <c r="G985" s="846">
        <f>G973+C981-C990</f>
        <v>1337.19</v>
      </c>
      <c r="H985" s="283"/>
      <c r="I985" s="847"/>
      <c r="J985" s="848"/>
      <c r="K985" s="849"/>
      <c r="L985" s="248"/>
      <c r="M985" s="845" t="s">
        <v>1183</v>
      </c>
      <c r="O985" s="846">
        <f>O973+K981-K990</f>
        <v>604.5</v>
      </c>
    </row>
    <row r="986">
      <c r="A986" s="836" t="s">
        <v>718</v>
      </c>
      <c r="B986" s="837"/>
      <c r="C986" s="838"/>
      <c r="G986" s="799"/>
      <c r="H986" s="283"/>
      <c r="I986" s="847"/>
      <c r="J986" s="848"/>
      <c r="K986" s="849"/>
      <c r="O986" s="799"/>
    </row>
    <row r="987">
      <c r="A987" s="842" t="s">
        <v>656</v>
      </c>
      <c r="B987" s="843"/>
      <c r="C987" s="844">
        <f>IFERROR(__xludf.DUMMYFUNCTION("FILTER($C$4:$C$30,$B$4:$B$30=E965)"),1062.81)</f>
        <v>1062.81</v>
      </c>
      <c r="G987" s="799"/>
      <c r="H987" s="283"/>
      <c r="I987" s="847"/>
      <c r="J987" s="848"/>
      <c r="K987" s="849"/>
      <c r="O987" s="799"/>
    </row>
    <row r="988">
      <c r="A988" s="1049"/>
      <c r="B988" s="840"/>
      <c r="C988" s="849"/>
      <c r="E988" s="248"/>
      <c r="G988" s="799"/>
      <c r="H988" s="283"/>
      <c r="I988" s="847"/>
      <c r="J988" s="848"/>
      <c r="K988" s="849"/>
      <c r="M988" s="248"/>
      <c r="O988" s="799"/>
    </row>
    <row r="989">
      <c r="A989" s="847"/>
      <c r="B989" s="848"/>
      <c r="C989" s="849"/>
      <c r="G989" s="799"/>
      <c r="H989" s="283"/>
      <c r="I989" s="847"/>
      <c r="J989" s="848"/>
      <c r="K989" s="849"/>
      <c r="O989" s="799"/>
    </row>
    <row r="990">
      <c r="A990" s="853" t="s">
        <v>721</v>
      </c>
      <c r="B990" s="854"/>
      <c r="C990" s="855">
        <f>SUM(C984:C989)</f>
        <v>1062.81</v>
      </c>
      <c r="G990" s="799"/>
      <c r="H990" s="283"/>
      <c r="I990" s="853" t="s">
        <v>721</v>
      </c>
      <c r="J990" s="854"/>
      <c r="K990" s="855"/>
      <c r="O990" s="799"/>
    </row>
    <row r="991">
      <c r="A991" s="856"/>
      <c r="B991" s="857"/>
      <c r="C991" s="857"/>
      <c r="D991" s="857"/>
      <c r="E991" s="857"/>
      <c r="F991" s="857"/>
      <c r="G991" s="808"/>
      <c r="H991" s="283"/>
      <c r="I991" s="856"/>
      <c r="J991" s="857"/>
      <c r="K991" s="857"/>
      <c r="L991" s="857"/>
      <c r="M991" s="857"/>
      <c r="N991" s="857"/>
      <c r="O991" s="808"/>
    </row>
    <row r="994">
      <c r="A994" s="769"/>
      <c r="B994" s="770"/>
      <c r="C994" s="770"/>
      <c r="D994" s="771" t="s">
        <v>700</v>
      </c>
      <c r="E994" s="772" t="str">
        <f>E188</f>
        <v>11.24.2025-11.30.2025</v>
      </c>
      <c r="F994" s="773"/>
      <c r="G994" s="774"/>
      <c r="H994" s="305">
        <v>29.0</v>
      </c>
      <c r="I994" s="769"/>
      <c r="J994" s="770"/>
      <c r="K994" s="770"/>
      <c r="L994" s="771" t="s">
        <v>700</v>
      </c>
      <c r="M994" s="772" t="str">
        <f>E188</f>
        <v>11.24.2025-11.30.2025</v>
      </c>
      <c r="N994" s="773"/>
      <c r="O994" s="774"/>
    </row>
    <row r="995">
      <c r="A995" s="775"/>
      <c r="D995" s="771" t="s">
        <v>702</v>
      </c>
      <c r="E995" s="772" t="s">
        <v>1492</v>
      </c>
      <c r="F995" s="773"/>
      <c r="G995" s="774"/>
      <c r="H995" s="283"/>
      <c r="I995" s="775"/>
      <c r="L995" s="771" t="s">
        <v>351</v>
      </c>
      <c r="M995" s="772" t="str">
        <f t="array" ref="M995">XLOOKUP(M996,$L$1:$L$122,$K$1:$K$122)</f>
        <v>Paula Nicolas</v>
      </c>
      <c r="N995" s="773"/>
      <c r="O995" s="774"/>
    </row>
    <row r="996">
      <c r="A996" s="775"/>
      <c r="D996" s="771" t="s">
        <v>703</v>
      </c>
      <c r="E996" s="772">
        <v>1002.0</v>
      </c>
      <c r="F996" s="773"/>
      <c r="G996" s="774"/>
      <c r="H996" s="283"/>
      <c r="I996" s="775"/>
      <c r="L996" s="771" t="s">
        <v>703</v>
      </c>
      <c r="M996" s="772">
        <f>E996</f>
        <v>1002</v>
      </c>
      <c r="N996" s="773"/>
      <c r="O996" s="774"/>
    </row>
    <row r="997">
      <c r="A997" s="779" t="s">
        <v>704</v>
      </c>
      <c r="B997" s="779" t="s">
        <v>5</v>
      </c>
      <c r="C997" s="779" t="s">
        <v>6</v>
      </c>
      <c r="D997" s="779" t="s">
        <v>7</v>
      </c>
      <c r="E997" s="779" t="s">
        <v>8</v>
      </c>
      <c r="F997" s="779" t="s">
        <v>706</v>
      </c>
      <c r="G997" s="779" t="s">
        <v>707</v>
      </c>
      <c r="H997" s="34"/>
      <c r="I997" s="779" t="s">
        <v>704</v>
      </c>
      <c r="J997" s="779" t="s">
        <v>5</v>
      </c>
      <c r="K997" s="779" t="s">
        <v>6</v>
      </c>
      <c r="L997" s="779" t="s">
        <v>7</v>
      </c>
      <c r="M997" s="779" t="s">
        <v>1178</v>
      </c>
      <c r="N997" s="779" t="s">
        <v>839</v>
      </c>
      <c r="O997" s="779" t="s">
        <v>707</v>
      </c>
    </row>
    <row r="998">
      <c r="A998" s="780" t="str">
        <f>IFERROR(__xludf.DUMMYFUNCTION("FILTER($D$3:$H$122,$L$3:$L$122=E996)"),"")</f>
        <v/>
      </c>
      <c r="B998" s="781"/>
      <c r="C998" s="781"/>
      <c r="D998" s="781"/>
      <c r="E998" s="782"/>
      <c r="F998" s="783">
        <v>1.0</v>
      </c>
      <c r="G998" s="782">
        <f>E998*F998</f>
        <v>0</v>
      </c>
      <c r="H998" s="283"/>
      <c r="I998" s="780" t="str">
        <f>IFERROR(__xludf.DUMMYFUNCTION("FILTER($D$3:$G$122,$L$3:$L$122=M996)"),"")</f>
        <v/>
      </c>
      <c r="J998" s="781"/>
      <c r="K998" s="781"/>
      <c r="L998" s="781"/>
      <c r="M998" s="880" t="str">
        <f>IFERROR(__xludf.DUMMYFUNCTION("FILTER($I$3:$I$122,$L$3:$L$122=M996)"),"")</f>
        <v/>
      </c>
      <c r="N998" s="781">
        <v>0.65</v>
      </c>
      <c r="O998" s="782">
        <f>M998*N998</f>
        <v>0</v>
      </c>
    </row>
    <row r="999">
      <c r="A999" s="780"/>
      <c r="B999" s="781"/>
      <c r="C999" s="781"/>
      <c r="D999" s="781"/>
      <c r="E999" s="782"/>
      <c r="F999" s="783"/>
      <c r="G999" s="782"/>
      <c r="H999" s="283"/>
      <c r="I999" s="780"/>
      <c r="J999" s="781"/>
      <c r="K999" s="781"/>
      <c r="L999" s="781"/>
      <c r="M999" s="880"/>
      <c r="N999" s="781"/>
      <c r="O999" s="782"/>
    </row>
    <row r="1000">
      <c r="A1000" s="785"/>
      <c r="B1000" s="786"/>
      <c r="C1000" s="786"/>
      <c r="D1000" s="786"/>
      <c r="E1000" s="785"/>
      <c r="F1000" s="787"/>
      <c r="G1000" s="788"/>
      <c r="H1000" s="283"/>
      <c r="I1000" s="780"/>
      <c r="J1000" s="781"/>
      <c r="K1000" s="781"/>
      <c r="L1000" s="781"/>
      <c r="M1000" s="880"/>
      <c r="N1000" s="781"/>
      <c r="O1000" s="782"/>
    </row>
    <row r="1001">
      <c r="A1001" s="785"/>
      <c r="B1001" s="786"/>
      <c r="C1001" s="786"/>
      <c r="D1001" s="786"/>
      <c r="E1001" s="785"/>
      <c r="F1001" s="787"/>
      <c r="G1001" s="788"/>
      <c r="H1001" s="283"/>
      <c r="I1001" s="785"/>
      <c r="J1001" s="786"/>
      <c r="K1001" s="786"/>
      <c r="L1001" s="786"/>
      <c r="M1001" s="785"/>
      <c r="N1001" s="787"/>
      <c r="O1001" s="789"/>
    </row>
    <row r="1002">
      <c r="A1002" s="785"/>
      <c r="B1002" s="786"/>
      <c r="C1002" s="786"/>
      <c r="D1002" s="786"/>
      <c r="E1002" s="785"/>
      <c r="F1002" s="787"/>
      <c r="G1002" s="788"/>
      <c r="H1002" s="283"/>
      <c r="I1002" s="785"/>
      <c r="J1002" s="786"/>
      <c r="K1002" s="786"/>
      <c r="L1002" s="786"/>
      <c r="M1002" s="785"/>
      <c r="N1002" s="787"/>
      <c r="O1002" s="789"/>
    </row>
    <row r="1003">
      <c r="A1003" s="785"/>
      <c r="B1003" s="786"/>
      <c r="C1003" s="786"/>
      <c r="D1003" s="786"/>
      <c r="E1003" s="785"/>
      <c r="F1003" s="787"/>
      <c r="G1003" s="788"/>
      <c r="H1003" s="283"/>
      <c r="I1003" s="785"/>
      <c r="J1003" s="786"/>
      <c r="K1003" s="786"/>
      <c r="L1003" s="786"/>
      <c r="M1003" s="785"/>
      <c r="N1003" s="787"/>
      <c r="O1003" s="789"/>
    </row>
    <row r="1004">
      <c r="A1004" s="790" t="s">
        <v>711</v>
      </c>
      <c r="B1004" s="791"/>
      <c r="C1004" s="791"/>
      <c r="D1004" s="792"/>
      <c r="E1004" s="793">
        <f>SUM(E998:E1003)</f>
        <v>0</v>
      </c>
      <c r="F1004" s="794"/>
      <c r="G1004" s="793">
        <f>SUM(G998:G1003)</f>
        <v>0</v>
      </c>
      <c r="H1004" s="283"/>
      <c r="I1004" s="790" t="s">
        <v>711</v>
      </c>
      <c r="J1004" s="791"/>
      <c r="K1004" s="791"/>
      <c r="L1004" s="792"/>
      <c r="M1004" s="793">
        <f>SUM(M998:M1003)</f>
        <v>0</v>
      </c>
      <c r="N1004" s="794"/>
      <c r="O1004" s="793">
        <f>SUM(O998:O1003)</f>
        <v>0</v>
      </c>
    </row>
    <row r="1005">
      <c r="A1005" s="796"/>
      <c r="D1005" s="798"/>
      <c r="G1005" s="799"/>
      <c r="H1005" s="283"/>
      <c r="I1005" s="796"/>
      <c r="L1005" s="798"/>
      <c r="O1005" s="799"/>
    </row>
    <row r="1006">
      <c r="A1006" s="800" t="s">
        <v>712</v>
      </c>
      <c r="B1006" s="801"/>
      <c r="C1006" s="802"/>
      <c r="G1006" s="799"/>
      <c r="H1006" s="283"/>
      <c r="I1006" s="800" t="s">
        <v>712</v>
      </c>
      <c r="J1006" s="803"/>
      <c r="K1006" s="804"/>
      <c r="O1006" s="799"/>
    </row>
    <row r="1007">
      <c r="A1007" s="867"/>
      <c r="B1007" s="808"/>
      <c r="C1007" s="809"/>
      <c r="G1007" s="799"/>
      <c r="H1007" s="283"/>
      <c r="I1007" s="867"/>
      <c r="J1007" s="808"/>
      <c r="K1007" s="809"/>
      <c r="O1007" s="799"/>
    </row>
    <row r="1008">
      <c r="A1008" s="868"/>
      <c r="B1008" s="774"/>
      <c r="C1008" s="816"/>
      <c r="G1008" s="799"/>
      <c r="H1008" s="283"/>
      <c r="I1008" s="868"/>
      <c r="J1008" s="774"/>
      <c r="K1008" s="816"/>
      <c r="O1008" s="799"/>
    </row>
    <row r="1009">
      <c r="A1009" s="815"/>
      <c r="B1009" s="792"/>
      <c r="C1009" s="816"/>
      <c r="G1009" s="799"/>
      <c r="H1009" s="283"/>
      <c r="I1009" s="815"/>
      <c r="J1009" s="792"/>
      <c r="K1009" s="816"/>
      <c r="O1009" s="799"/>
    </row>
    <row r="1010">
      <c r="A1010" s="817"/>
      <c r="B1010" s="774"/>
      <c r="C1010" s="818"/>
      <c r="G1010" s="799"/>
      <c r="H1010" s="283"/>
      <c r="I1010" s="817"/>
      <c r="J1010" s="774"/>
      <c r="K1010" s="818"/>
      <c r="O1010" s="799"/>
    </row>
    <row r="1011">
      <c r="A1011" s="817"/>
      <c r="B1011" s="792"/>
      <c r="C1011" s="818"/>
      <c r="G1011" s="799"/>
      <c r="H1011" s="283"/>
      <c r="I1011" s="817"/>
      <c r="J1011" s="792"/>
      <c r="K1011" s="818"/>
      <c r="O1011" s="799"/>
    </row>
    <row r="1012">
      <c r="A1012" s="821" t="s">
        <v>714</v>
      </c>
      <c r="B1012" s="822"/>
      <c r="C1012" s="823">
        <f>SUM(C1007:C1011)</f>
        <v>0</v>
      </c>
      <c r="G1012" s="799"/>
      <c r="H1012" s="283"/>
      <c r="I1012" s="821" t="s">
        <v>714</v>
      </c>
      <c r="J1012" s="826"/>
      <c r="K1012" s="827"/>
      <c r="O1012" s="799"/>
    </row>
    <row r="1013">
      <c r="A1013" s="828"/>
      <c r="C1013" s="829"/>
      <c r="G1013" s="799"/>
      <c r="H1013" s="283"/>
      <c r="I1013" s="828"/>
      <c r="K1013" s="829"/>
      <c r="O1013" s="799"/>
    </row>
    <row r="1014">
      <c r="A1014" s="830" t="s">
        <v>715</v>
      </c>
      <c r="B1014" s="831"/>
      <c r="C1014" s="832"/>
      <c r="G1014" s="799"/>
      <c r="H1014" s="283"/>
      <c r="I1014" s="833" t="s">
        <v>715</v>
      </c>
      <c r="J1014" s="834"/>
      <c r="K1014" s="835"/>
      <c r="O1014" s="799"/>
    </row>
    <row r="1015">
      <c r="A1015" s="836" t="s">
        <v>716</v>
      </c>
      <c r="B1015" s="837"/>
      <c r="C1015" s="838"/>
      <c r="G1015" s="799"/>
      <c r="H1015" s="283"/>
      <c r="I1015" s="839"/>
      <c r="J1015" s="840"/>
      <c r="K1015" s="841"/>
      <c r="O1015" s="799"/>
    </row>
    <row r="1016">
      <c r="A1016" s="842" t="s">
        <v>717</v>
      </c>
      <c r="B1016" s="843"/>
      <c r="C1016" s="844"/>
      <c r="D1016" s="248"/>
      <c r="E1016" s="845" t="s">
        <v>1182</v>
      </c>
      <c r="G1016" s="846" t="str">
        <f>G1004+C1012-C1021</f>
        <v>#N/A</v>
      </c>
      <c r="H1016" s="283"/>
      <c r="I1016" s="847"/>
      <c r="J1016" s="848"/>
      <c r="K1016" s="849"/>
      <c r="L1016" s="248"/>
      <c r="M1016" s="845" t="s">
        <v>1183</v>
      </c>
      <c r="O1016" s="846">
        <f>O1004+K1012-K1021</f>
        <v>0</v>
      </c>
    </row>
    <row r="1017">
      <c r="A1017" s="836" t="s">
        <v>718</v>
      </c>
      <c r="B1017" s="837"/>
      <c r="C1017" s="838"/>
      <c r="G1017" s="799"/>
      <c r="H1017" s="283"/>
      <c r="I1017" s="847"/>
      <c r="J1017" s="848"/>
      <c r="K1017" s="849"/>
      <c r="O1017" s="799"/>
    </row>
    <row r="1018">
      <c r="A1018" s="842" t="s">
        <v>656</v>
      </c>
      <c r="B1018" s="843"/>
      <c r="C1018" s="844" t="str">
        <f>IFERROR(__xludf.DUMMYFUNCTION("FILTER($C$4:$C$30,$B$4:$B$30=E996)"),"#N/A")</f>
        <v>#N/A</v>
      </c>
      <c r="G1018" s="799"/>
      <c r="H1018" s="283"/>
      <c r="I1018" s="847"/>
      <c r="J1018" s="848"/>
      <c r="K1018" s="849"/>
      <c r="O1018" s="799"/>
    </row>
    <row r="1019">
      <c r="A1019" s="1049"/>
      <c r="B1019" s="840"/>
      <c r="C1019" s="849"/>
      <c r="E1019" s="248"/>
      <c r="G1019" s="799"/>
      <c r="H1019" s="283"/>
      <c r="I1019" s="847"/>
      <c r="J1019" s="848"/>
      <c r="K1019" s="849"/>
      <c r="M1019" s="248"/>
      <c r="O1019" s="799"/>
    </row>
    <row r="1020">
      <c r="A1020" s="847"/>
      <c r="B1020" s="848"/>
      <c r="C1020" s="849"/>
      <c r="G1020" s="799"/>
      <c r="H1020" s="283"/>
      <c r="I1020" s="847"/>
      <c r="J1020" s="848"/>
      <c r="K1020" s="849"/>
      <c r="O1020" s="799"/>
    </row>
    <row r="1021">
      <c r="A1021" s="853" t="s">
        <v>721</v>
      </c>
      <c r="B1021" s="854"/>
      <c r="C1021" s="855" t="str">
        <f>SUM(C1015:C1020)</f>
        <v>#N/A</v>
      </c>
      <c r="G1021" s="799"/>
      <c r="H1021" s="283"/>
      <c r="I1021" s="853" t="s">
        <v>721</v>
      </c>
      <c r="J1021" s="854"/>
      <c r="K1021" s="855"/>
      <c r="O1021" s="799"/>
    </row>
    <row r="1022">
      <c r="A1022" s="856"/>
      <c r="B1022" s="857"/>
      <c r="C1022" s="857"/>
      <c r="D1022" s="857"/>
      <c r="E1022" s="857"/>
      <c r="F1022" s="857"/>
      <c r="G1022" s="808"/>
      <c r="H1022" s="283"/>
      <c r="I1022" s="856"/>
      <c r="J1022" s="857"/>
      <c r="K1022" s="857"/>
      <c r="L1022" s="857"/>
      <c r="M1022" s="857"/>
      <c r="N1022" s="857"/>
      <c r="O1022" s="808"/>
    </row>
    <row r="1023">
      <c r="A1023" s="199"/>
      <c r="B1023" s="199"/>
      <c r="C1023" s="199"/>
      <c r="D1023" s="248"/>
      <c r="E1023" s="248"/>
      <c r="F1023" s="248"/>
      <c r="G1023" s="248"/>
      <c r="H1023" s="283"/>
      <c r="I1023" s="199"/>
      <c r="J1023" s="199"/>
      <c r="K1023" s="199"/>
      <c r="L1023" s="248"/>
      <c r="M1023" s="248"/>
      <c r="N1023" s="248"/>
      <c r="O1023" s="248"/>
    </row>
    <row r="1024">
      <c r="A1024" s="199"/>
      <c r="B1024" s="199"/>
      <c r="C1024" s="199"/>
      <c r="D1024" s="248"/>
      <c r="E1024" s="248"/>
      <c r="F1024" s="248"/>
      <c r="G1024" s="248"/>
      <c r="H1024" s="283"/>
      <c r="I1024" s="199"/>
      <c r="J1024" s="199"/>
      <c r="K1024" s="199"/>
      <c r="L1024" s="248"/>
      <c r="M1024" s="248"/>
      <c r="N1024" s="248"/>
      <c r="O1024" s="248"/>
    </row>
    <row r="1025">
      <c r="A1025" s="769"/>
      <c r="B1025" s="770"/>
      <c r="C1025" s="770"/>
      <c r="D1025" s="771" t="s">
        <v>700</v>
      </c>
      <c r="E1025" s="772" t="str">
        <f>E219</f>
        <v>11.24.2025-11.30.2025</v>
      </c>
      <c r="F1025" s="773"/>
      <c r="G1025" s="774"/>
      <c r="H1025" s="305">
        <v>30.0</v>
      </c>
      <c r="I1025" s="769"/>
      <c r="J1025" s="770"/>
      <c r="K1025" s="770"/>
      <c r="L1025" s="771" t="s">
        <v>700</v>
      </c>
      <c r="M1025" s="772" t="str">
        <f>E219</f>
        <v>11.24.2025-11.30.2025</v>
      </c>
      <c r="N1025" s="773"/>
      <c r="O1025" s="774"/>
    </row>
    <row r="1026">
      <c r="A1026" s="775"/>
      <c r="D1026" s="771" t="s">
        <v>702</v>
      </c>
      <c r="E1026" s="772" t="s">
        <v>676</v>
      </c>
      <c r="F1026" s="773"/>
      <c r="G1026" s="774"/>
      <c r="H1026" s="283"/>
      <c r="I1026" s="775"/>
      <c r="L1026" s="771" t="s">
        <v>351</v>
      </c>
      <c r="M1026" s="772" t="str">
        <f t="array" ref="M1026">XLOOKUP(M1027,$L$1:$L$122,$K$1:$K$122)</f>
        <v>KESNY METELUS</v>
      </c>
      <c r="N1026" s="773"/>
      <c r="O1026" s="774"/>
    </row>
    <row r="1027">
      <c r="A1027" s="775"/>
      <c r="D1027" s="771" t="s">
        <v>703</v>
      </c>
      <c r="E1027" s="772">
        <v>2890.0</v>
      </c>
      <c r="F1027" s="773"/>
      <c r="G1027" s="774"/>
      <c r="H1027" s="283"/>
      <c r="I1027" s="775"/>
      <c r="L1027" s="771" t="s">
        <v>703</v>
      </c>
      <c r="M1027" s="772">
        <f>E1027</f>
        <v>2890</v>
      </c>
      <c r="N1027" s="773"/>
      <c r="O1027" s="774"/>
    </row>
    <row r="1028">
      <c r="A1028" s="779" t="s">
        <v>704</v>
      </c>
      <c r="B1028" s="779" t="s">
        <v>5</v>
      </c>
      <c r="C1028" s="779" t="s">
        <v>6</v>
      </c>
      <c r="D1028" s="779" t="s">
        <v>7</v>
      </c>
      <c r="E1028" s="779" t="s">
        <v>8</v>
      </c>
      <c r="F1028" s="779" t="s">
        <v>706</v>
      </c>
      <c r="G1028" s="779" t="s">
        <v>707</v>
      </c>
      <c r="H1028" s="34"/>
      <c r="I1028" s="779" t="s">
        <v>704</v>
      </c>
      <c r="J1028" s="779" t="s">
        <v>5</v>
      </c>
      <c r="K1028" s="779" t="s">
        <v>6</v>
      </c>
      <c r="L1028" s="779" t="s">
        <v>7</v>
      </c>
      <c r="M1028" s="779" t="s">
        <v>1178</v>
      </c>
      <c r="N1028" s="779" t="s">
        <v>839</v>
      </c>
      <c r="O1028" s="779" t="s">
        <v>707</v>
      </c>
    </row>
    <row r="1029">
      <c r="A1029" s="780">
        <f>IFERROR(__xludf.DUMMYFUNCTION("FILTER($D$3:$H$122,$L$3:$L$122=E1027)"),45986.0)</f>
        <v>45986</v>
      </c>
      <c r="B1029" s="781">
        <f>IFERROR(__xludf.DUMMYFUNCTION("""COMPUTED_VALUE"""),170800.0)</f>
        <v>170800</v>
      </c>
      <c r="C1029" s="781" t="str">
        <f>IFERROR(__xludf.DUMMYFUNCTION("""COMPUTED_VALUE"""),"Lancaster, PA, 17601")</f>
        <v>Lancaster, PA, 17601</v>
      </c>
      <c r="D1029" s="781" t="str">
        <f>IFERROR(__xludf.DUMMYFUNCTION("""COMPUTED_VALUE"""),"Fort Pierce, FL, 34981")</f>
        <v>Fort Pierce, FL, 34981</v>
      </c>
      <c r="E1029" s="782">
        <f>IFERROR(__xludf.DUMMYFUNCTION("""COMPUTED_VALUE"""),2300.0)</f>
        <v>2300</v>
      </c>
      <c r="F1029" s="783">
        <v>1.0</v>
      </c>
      <c r="G1029" s="782">
        <f>E1029*F1029</f>
        <v>2300</v>
      </c>
      <c r="H1029" s="283"/>
      <c r="I1029" s="780">
        <f>IFERROR(__xludf.DUMMYFUNCTION("FILTER($D$3:$G$122,$L$3:$L$122=M1027)"),45986.0)</f>
        <v>45986</v>
      </c>
      <c r="J1029" s="781">
        <f>IFERROR(__xludf.DUMMYFUNCTION("""COMPUTED_VALUE"""),170800.0)</f>
        <v>170800</v>
      </c>
      <c r="K1029" s="781" t="str">
        <f>IFERROR(__xludf.DUMMYFUNCTION("""COMPUTED_VALUE"""),"Lancaster, PA, 17601")</f>
        <v>Lancaster, PA, 17601</v>
      </c>
      <c r="L1029" s="781" t="str">
        <f>IFERROR(__xludf.DUMMYFUNCTION("""COMPUTED_VALUE"""),"Fort Pierce, FL, 34981")</f>
        <v>Fort Pierce, FL, 34981</v>
      </c>
      <c r="M1029" s="880">
        <f>IFERROR(__xludf.DUMMYFUNCTION("FILTER($I$3:$I$122,$L$3:$L$122=M1027)"),1079.0)</f>
        <v>1079</v>
      </c>
      <c r="N1029" s="781">
        <v>0.65</v>
      </c>
      <c r="O1029" s="782">
        <f>M1029*N1029</f>
        <v>701.35</v>
      </c>
    </row>
    <row r="1030">
      <c r="A1030" s="780"/>
      <c r="B1030" s="781"/>
      <c r="C1030" s="781"/>
      <c r="D1030" s="781"/>
      <c r="E1030" s="782"/>
      <c r="F1030" s="783"/>
      <c r="G1030" s="782"/>
      <c r="H1030" s="283"/>
      <c r="I1030" s="780"/>
      <c r="J1030" s="781"/>
      <c r="K1030" s="781"/>
      <c r="L1030" s="781"/>
      <c r="M1030" s="880"/>
      <c r="N1030" s="781"/>
      <c r="O1030" s="782"/>
    </row>
    <row r="1031">
      <c r="A1031" s="785"/>
      <c r="B1031" s="786"/>
      <c r="C1031" s="786"/>
      <c r="D1031" s="786"/>
      <c r="E1031" s="785"/>
      <c r="F1031" s="787"/>
      <c r="G1031" s="788"/>
      <c r="H1031" s="283"/>
      <c r="I1031" s="780"/>
      <c r="J1031" s="781"/>
      <c r="K1031" s="781"/>
      <c r="L1031" s="781"/>
      <c r="M1031" s="880"/>
      <c r="N1031" s="781"/>
      <c r="O1031" s="782"/>
    </row>
    <row r="1032">
      <c r="A1032" s="785"/>
      <c r="B1032" s="786"/>
      <c r="C1032" s="786"/>
      <c r="D1032" s="786"/>
      <c r="E1032" s="785"/>
      <c r="F1032" s="787"/>
      <c r="G1032" s="788"/>
      <c r="H1032" s="283"/>
      <c r="I1032" s="785"/>
      <c r="J1032" s="786"/>
      <c r="K1032" s="786"/>
      <c r="L1032" s="786"/>
      <c r="M1032" s="785"/>
      <c r="N1032" s="787"/>
      <c r="O1032" s="789"/>
    </row>
    <row r="1033">
      <c r="A1033" s="785"/>
      <c r="B1033" s="786"/>
      <c r="C1033" s="786"/>
      <c r="D1033" s="786"/>
      <c r="E1033" s="785"/>
      <c r="F1033" s="787"/>
      <c r="G1033" s="788"/>
      <c r="H1033" s="283"/>
      <c r="I1033" s="785"/>
      <c r="J1033" s="786"/>
      <c r="K1033" s="786"/>
      <c r="L1033" s="786"/>
      <c r="M1033" s="785"/>
      <c r="N1033" s="787"/>
      <c r="O1033" s="789"/>
    </row>
    <row r="1034">
      <c r="A1034" s="785"/>
      <c r="B1034" s="786"/>
      <c r="C1034" s="786"/>
      <c r="D1034" s="786"/>
      <c r="E1034" s="785"/>
      <c r="F1034" s="787"/>
      <c r="G1034" s="788"/>
      <c r="H1034" s="283"/>
      <c r="I1034" s="785"/>
      <c r="J1034" s="786"/>
      <c r="K1034" s="786"/>
      <c r="L1034" s="786"/>
      <c r="M1034" s="785"/>
      <c r="N1034" s="787"/>
      <c r="O1034" s="789"/>
    </row>
    <row r="1035">
      <c r="A1035" s="790" t="s">
        <v>711</v>
      </c>
      <c r="B1035" s="791"/>
      <c r="C1035" s="791"/>
      <c r="D1035" s="792"/>
      <c r="E1035" s="793">
        <f>SUM(E1029:E1034)</f>
        <v>2300</v>
      </c>
      <c r="F1035" s="794"/>
      <c r="G1035" s="793">
        <f>SUM(G1029:G1034)</f>
        <v>2300</v>
      </c>
      <c r="H1035" s="283"/>
      <c r="I1035" s="790" t="s">
        <v>711</v>
      </c>
      <c r="J1035" s="791"/>
      <c r="K1035" s="791"/>
      <c r="L1035" s="792"/>
      <c r="M1035" s="793">
        <f>SUM(M1029:M1034)</f>
        <v>1079</v>
      </c>
      <c r="N1035" s="794"/>
      <c r="O1035" s="793">
        <f>SUM(O1029:O1034)</f>
        <v>701.35</v>
      </c>
    </row>
    <row r="1036">
      <c r="A1036" s="796"/>
      <c r="D1036" s="798"/>
      <c r="G1036" s="799"/>
      <c r="H1036" s="283"/>
      <c r="I1036" s="796"/>
      <c r="L1036" s="798"/>
      <c r="O1036" s="799"/>
    </row>
    <row r="1037">
      <c r="A1037" s="800" t="s">
        <v>712</v>
      </c>
      <c r="B1037" s="801"/>
      <c r="C1037" s="802"/>
      <c r="G1037" s="799"/>
      <c r="H1037" s="283"/>
      <c r="I1037" s="800" t="s">
        <v>712</v>
      </c>
      <c r="J1037" s="803"/>
      <c r="K1037" s="804"/>
      <c r="O1037" s="799"/>
    </row>
    <row r="1038">
      <c r="A1038" s="867"/>
      <c r="B1038" s="808"/>
      <c r="C1038" s="809"/>
      <c r="G1038" s="799"/>
      <c r="H1038" s="283"/>
      <c r="I1038" s="867"/>
      <c r="J1038" s="808"/>
      <c r="K1038" s="809"/>
      <c r="O1038" s="799"/>
    </row>
    <row r="1039">
      <c r="A1039" s="868"/>
      <c r="B1039" s="774"/>
      <c r="C1039" s="816"/>
      <c r="G1039" s="799"/>
      <c r="H1039" s="283"/>
      <c r="I1039" s="868"/>
      <c r="J1039" s="774"/>
      <c r="K1039" s="816"/>
      <c r="O1039" s="799"/>
    </row>
    <row r="1040">
      <c r="A1040" s="815"/>
      <c r="B1040" s="792"/>
      <c r="C1040" s="816"/>
      <c r="G1040" s="799"/>
      <c r="H1040" s="283"/>
      <c r="I1040" s="815"/>
      <c r="J1040" s="792"/>
      <c r="K1040" s="816"/>
      <c r="O1040" s="799"/>
    </row>
    <row r="1041">
      <c r="A1041" s="817"/>
      <c r="B1041" s="774"/>
      <c r="C1041" s="818"/>
      <c r="G1041" s="799"/>
      <c r="H1041" s="283"/>
      <c r="I1041" s="817"/>
      <c r="J1041" s="774"/>
      <c r="K1041" s="818"/>
      <c r="O1041" s="799"/>
    </row>
    <row r="1042">
      <c r="A1042" s="817"/>
      <c r="B1042" s="792"/>
      <c r="C1042" s="818"/>
      <c r="G1042" s="799"/>
      <c r="H1042" s="283"/>
      <c r="I1042" s="817"/>
      <c r="J1042" s="792"/>
      <c r="K1042" s="818"/>
      <c r="O1042" s="799"/>
    </row>
    <row r="1043">
      <c r="A1043" s="821" t="s">
        <v>714</v>
      </c>
      <c r="B1043" s="822"/>
      <c r="C1043" s="823">
        <f>SUM(C1038:C1042)</f>
        <v>0</v>
      </c>
      <c r="G1043" s="799"/>
      <c r="H1043" s="283"/>
      <c r="I1043" s="821" t="s">
        <v>714</v>
      </c>
      <c r="J1043" s="826"/>
      <c r="K1043" s="827"/>
      <c r="O1043" s="799"/>
    </row>
    <row r="1044">
      <c r="A1044" s="828"/>
      <c r="C1044" s="829"/>
      <c r="G1044" s="799"/>
      <c r="H1044" s="283"/>
      <c r="I1044" s="828"/>
      <c r="K1044" s="829"/>
      <c r="O1044" s="799"/>
    </row>
    <row r="1045">
      <c r="A1045" s="830" t="s">
        <v>715</v>
      </c>
      <c r="B1045" s="831"/>
      <c r="C1045" s="832"/>
      <c r="G1045" s="799"/>
      <c r="H1045" s="283"/>
      <c r="I1045" s="833" t="s">
        <v>715</v>
      </c>
      <c r="J1045" s="834"/>
      <c r="K1045" s="835"/>
      <c r="O1045" s="799"/>
    </row>
    <row r="1046">
      <c r="A1046" s="836" t="s">
        <v>716</v>
      </c>
      <c r="B1046" s="837"/>
      <c r="C1046" s="838"/>
      <c r="G1046" s="799"/>
      <c r="H1046" s="283"/>
      <c r="I1046" s="839"/>
      <c r="J1046" s="840"/>
      <c r="K1046" s="841"/>
      <c r="O1046" s="799"/>
    </row>
    <row r="1047">
      <c r="A1047" s="842" t="s">
        <v>717</v>
      </c>
      <c r="B1047" s="843"/>
      <c r="C1047" s="844"/>
      <c r="D1047" s="248"/>
      <c r="E1047" s="845" t="s">
        <v>1182</v>
      </c>
      <c r="G1047" s="846">
        <f>G1035+C1043-C1052</f>
        <v>1205.6</v>
      </c>
      <c r="H1047" s="283"/>
      <c r="I1047" s="847"/>
      <c r="J1047" s="848"/>
      <c r="K1047" s="849"/>
      <c r="L1047" s="248"/>
      <c r="M1047" s="845" t="s">
        <v>1183</v>
      </c>
      <c r="O1047" s="846">
        <f>O1035+K1043-K1052</f>
        <v>701.35</v>
      </c>
    </row>
    <row r="1048">
      <c r="A1048" s="836" t="s">
        <v>718</v>
      </c>
      <c r="B1048" s="837"/>
      <c r="C1048" s="838"/>
      <c r="G1048" s="799"/>
      <c r="H1048" s="283"/>
      <c r="I1048" s="847"/>
      <c r="J1048" s="848"/>
      <c r="K1048" s="849"/>
      <c r="O1048" s="799"/>
    </row>
    <row r="1049">
      <c r="A1049" s="842" t="s">
        <v>656</v>
      </c>
      <c r="B1049" s="843"/>
      <c r="C1049" s="844">
        <f>IFERROR(__xludf.DUMMYFUNCTION("FILTER($C$4:$C$30,$B$4:$B$30=E1027)"),1094.4)</f>
        <v>1094.4</v>
      </c>
      <c r="G1049" s="799"/>
      <c r="H1049" s="283"/>
      <c r="I1049" s="847"/>
      <c r="J1049" s="848"/>
      <c r="K1049" s="849"/>
      <c r="O1049" s="799"/>
    </row>
    <row r="1050">
      <c r="A1050" s="1049"/>
      <c r="B1050" s="840"/>
      <c r="C1050" s="849"/>
      <c r="E1050" s="248"/>
      <c r="G1050" s="799"/>
      <c r="H1050" s="283"/>
      <c r="I1050" s="847"/>
      <c r="J1050" s="848"/>
      <c r="K1050" s="849"/>
      <c r="M1050" s="248"/>
      <c r="O1050" s="799"/>
    </row>
    <row r="1051">
      <c r="A1051" s="847"/>
      <c r="B1051" s="848"/>
      <c r="C1051" s="849"/>
      <c r="G1051" s="799"/>
      <c r="H1051" s="283"/>
      <c r="I1051" s="847"/>
      <c r="J1051" s="848"/>
      <c r="K1051" s="849"/>
      <c r="O1051" s="799"/>
    </row>
    <row r="1052">
      <c r="A1052" s="853" t="s">
        <v>721</v>
      </c>
      <c r="B1052" s="854"/>
      <c r="C1052" s="855">
        <f>SUM(C1046:C1051)</f>
        <v>1094.4</v>
      </c>
      <c r="G1052" s="799"/>
      <c r="H1052" s="283"/>
      <c r="I1052" s="853" t="s">
        <v>721</v>
      </c>
      <c r="J1052" s="854"/>
      <c r="K1052" s="855"/>
      <c r="O1052" s="799"/>
    </row>
    <row r="1053">
      <c r="A1053" s="856"/>
      <c r="B1053" s="857"/>
      <c r="C1053" s="857"/>
      <c r="D1053" s="857"/>
      <c r="E1053" s="857"/>
      <c r="F1053" s="857"/>
      <c r="G1053" s="808"/>
      <c r="H1053" s="283"/>
      <c r="I1053" s="856"/>
      <c r="J1053" s="857"/>
      <c r="K1053" s="857"/>
      <c r="L1053" s="857"/>
      <c r="M1053" s="857"/>
      <c r="N1053" s="857"/>
      <c r="O1053" s="808"/>
    </row>
    <row r="1054">
      <c r="A1054" s="199"/>
      <c r="B1054" s="199"/>
      <c r="C1054" s="199"/>
      <c r="D1054" s="248"/>
      <c r="E1054" s="248"/>
      <c r="F1054" s="248"/>
      <c r="G1054" s="248"/>
      <c r="H1054" s="283"/>
      <c r="I1054" s="199"/>
      <c r="J1054" s="199"/>
      <c r="K1054" s="199"/>
      <c r="L1054" s="248"/>
      <c r="M1054" s="248"/>
      <c r="N1054" s="248"/>
      <c r="O1054" s="248"/>
    </row>
    <row r="1055">
      <c r="A1055" s="199"/>
      <c r="B1055" s="199"/>
      <c r="C1055" s="199"/>
      <c r="D1055" s="248"/>
      <c r="E1055" s="248"/>
      <c r="F1055" s="248"/>
      <c r="G1055" s="248"/>
      <c r="H1055" s="283"/>
      <c r="I1055" s="199"/>
      <c r="J1055" s="199"/>
      <c r="K1055" s="199"/>
      <c r="L1055" s="248"/>
      <c r="M1055" s="248"/>
      <c r="N1055" s="248"/>
      <c r="O1055" s="248"/>
    </row>
    <row r="1056">
      <c r="A1056" s="769"/>
      <c r="B1056" s="770"/>
      <c r="C1056" s="770"/>
      <c r="D1056" s="771" t="s">
        <v>700</v>
      </c>
      <c r="E1056" s="772" t="str">
        <f>E250</f>
        <v>11.24.2025-11.30.2025</v>
      </c>
      <c r="F1056" s="773"/>
      <c r="G1056" s="774"/>
      <c r="H1056" s="305">
        <v>31.0</v>
      </c>
      <c r="I1056" s="769"/>
      <c r="J1056" s="770"/>
      <c r="K1056" s="770"/>
      <c r="L1056" s="771" t="s">
        <v>700</v>
      </c>
      <c r="M1056" s="772" t="str">
        <f>E250</f>
        <v>11.24.2025-11.30.2025</v>
      </c>
      <c r="N1056" s="773"/>
      <c r="O1056" s="774"/>
    </row>
    <row r="1057">
      <c r="A1057" s="775"/>
      <c r="D1057" s="771" t="s">
        <v>702</v>
      </c>
      <c r="E1057" s="772" t="s">
        <v>676</v>
      </c>
      <c r="F1057" s="773"/>
      <c r="G1057" s="774"/>
      <c r="H1057" s="283"/>
      <c r="I1057" s="775"/>
      <c r="L1057" s="771" t="s">
        <v>351</v>
      </c>
      <c r="M1057" s="772" t="str">
        <f t="array" ref="M1057">XLOOKUP(M1058,$L$1:$L$122,$K$1:$K$122)</f>
        <v>WILLIAMSON MONCHERY</v>
      </c>
      <c r="N1057" s="773"/>
      <c r="O1057" s="774"/>
    </row>
    <row r="1058">
      <c r="A1058" s="775"/>
      <c r="D1058" s="771" t="s">
        <v>703</v>
      </c>
      <c r="E1058" s="772">
        <v>2316.0</v>
      </c>
      <c r="F1058" s="773"/>
      <c r="G1058" s="774"/>
      <c r="H1058" s="283"/>
      <c r="I1058" s="775"/>
      <c r="L1058" s="771" t="s">
        <v>703</v>
      </c>
      <c r="M1058" s="772">
        <f>E1058</f>
        <v>2316</v>
      </c>
      <c r="N1058" s="773"/>
      <c r="O1058" s="774"/>
    </row>
    <row r="1059">
      <c r="A1059" s="779" t="s">
        <v>704</v>
      </c>
      <c r="B1059" s="779" t="s">
        <v>5</v>
      </c>
      <c r="C1059" s="779" t="s">
        <v>6</v>
      </c>
      <c r="D1059" s="779" t="s">
        <v>7</v>
      </c>
      <c r="E1059" s="779" t="s">
        <v>8</v>
      </c>
      <c r="F1059" s="779" t="s">
        <v>706</v>
      </c>
      <c r="G1059" s="779" t="s">
        <v>707</v>
      </c>
      <c r="H1059" s="34"/>
      <c r="I1059" s="779" t="s">
        <v>704</v>
      </c>
      <c r="J1059" s="779" t="s">
        <v>5</v>
      </c>
      <c r="K1059" s="779" t="s">
        <v>6</v>
      </c>
      <c r="L1059" s="779" t="s">
        <v>7</v>
      </c>
      <c r="M1059" s="779" t="s">
        <v>1178</v>
      </c>
      <c r="N1059" s="779" t="s">
        <v>839</v>
      </c>
      <c r="O1059" s="779" t="s">
        <v>707</v>
      </c>
    </row>
    <row r="1060">
      <c r="A1060" s="780">
        <f>IFERROR(__xludf.DUMMYFUNCTION("FILTER($D$3:$H$122,$L$3:$L$122=E1058)"),45987.0)</f>
        <v>45987</v>
      </c>
      <c r="B1060" s="781">
        <f>IFERROR(__xludf.DUMMYFUNCTION("""COMPUTED_VALUE"""),6.5171572E7)</f>
        <v>65171572</v>
      </c>
      <c r="C1060" s="781" t="str">
        <f>IFERROR(__xludf.DUMMYFUNCTION("""COMPUTED_VALUE"""),"Portland, OR, 97217")</f>
        <v>Portland, OR, 97217</v>
      </c>
      <c r="D1060" s="781" t="str">
        <f>IFERROR(__xludf.DUMMYFUNCTION("""COMPUTED_VALUE"""),"Colonial Heights, VA, 23834")</f>
        <v>Colonial Heights, VA, 23834</v>
      </c>
      <c r="E1060" s="782">
        <f>IFERROR(__xludf.DUMMYFUNCTION("""COMPUTED_VALUE"""),4700.0)</f>
        <v>4700</v>
      </c>
      <c r="F1060" s="783">
        <v>1.0</v>
      </c>
      <c r="G1060" s="782">
        <f>E1060*F1060</f>
        <v>4700</v>
      </c>
      <c r="H1060" s="283"/>
      <c r="I1060" s="780">
        <f>IFERROR(__xludf.DUMMYFUNCTION("FILTER($D$3:$G$122,$L$3:$L$122=M1058)"),45987.0)</f>
        <v>45987</v>
      </c>
      <c r="J1060" s="781">
        <f>IFERROR(__xludf.DUMMYFUNCTION("""COMPUTED_VALUE"""),6.5171572E7)</f>
        <v>65171572</v>
      </c>
      <c r="K1060" s="781" t="str">
        <f>IFERROR(__xludf.DUMMYFUNCTION("""COMPUTED_VALUE"""),"Portland, OR, 97217")</f>
        <v>Portland, OR, 97217</v>
      </c>
      <c r="L1060" s="781" t="str">
        <f>IFERROR(__xludf.DUMMYFUNCTION("""COMPUTED_VALUE"""),"Colonial Heights, VA, 23834")</f>
        <v>Colonial Heights, VA, 23834</v>
      </c>
      <c r="M1060" s="880">
        <f>IFERROR(__xludf.DUMMYFUNCTION("FILTER($I$3:$I$122,$L$3:$L$122=M1058)"),2887.0)</f>
        <v>2887</v>
      </c>
      <c r="N1060" s="781">
        <v>0.65</v>
      </c>
      <c r="O1060" s="782">
        <f>M1060*N1060</f>
        <v>1876.55</v>
      </c>
    </row>
    <row r="1061">
      <c r="A1061" s="780"/>
      <c r="B1061" s="781"/>
      <c r="C1061" s="781"/>
      <c r="D1061" s="781"/>
      <c r="E1061" s="782"/>
      <c r="F1061" s="783"/>
      <c r="G1061" s="782"/>
      <c r="H1061" s="283"/>
      <c r="I1061" s="780"/>
      <c r="J1061" s="781"/>
      <c r="K1061" s="781"/>
      <c r="L1061" s="781"/>
      <c r="M1061" s="880"/>
      <c r="N1061" s="781"/>
      <c r="O1061" s="782"/>
    </row>
    <row r="1062">
      <c r="A1062" s="785"/>
      <c r="B1062" s="786"/>
      <c r="C1062" s="786"/>
      <c r="D1062" s="786"/>
      <c r="E1062" s="785"/>
      <c r="F1062" s="787"/>
      <c r="G1062" s="788"/>
      <c r="H1062" s="283"/>
      <c r="I1062" s="780"/>
      <c r="J1062" s="781"/>
      <c r="K1062" s="781"/>
      <c r="L1062" s="781"/>
      <c r="M1062" s="880"/>
      <c r="N1062" s="781"/>
      <c r="O1062" s="782"/>
    </row>
    <row r="1063">
      <c r="A1063" s="785"/>
      <c r="B1063" s="786"/>
      <c r="C1063" s="786"/>
      <c r="D1063" s="786"/>
      <c r="E1063" s="785"/>
      <c r="F1063" s="787"/>
      <c r="G1063" s="788"/>
      <c r="H1063" s="283"/>
      <c r="I1063" s="785"/>
      <c r="J1063" s="786"/>
      <c r="K1063" s="786"/>
      <c r="L1063" s="786"/>
      <c r="M1063" s="785"/>
      <c r="N1063" s="787"/>
      <c r="O1063" s="789"/>
    </row>
    <row r="1064">
      <c r="A1064" s="785"/>
      <c r="B1064" s="786"/>
      <c r="C1064" s="786"/>
      <c r="D1064" s="786"/>
      <c r="E1064" s="785"/>
      <c r="F1064" s="787"/>
      <c r="G1064" s="788"/>
      <c r="H1064" s="283"/>
      <c r="I1064" s="785"/>
      <c r="J1064" s="786"/>
      <c r="K1064" s="786"/>
      <c r="L1064" s="786"/>
      <c r="M1064" s="785"/>
      <c r="N1064" s="787"/>
      <c r="O1064" s="789"/>
    </row>
    <row r="1065">
      <c r="A1065" s="785"/>
      <c r="B1065" s="786"/>
      <c r="C1065" s="786"/>
      <c r="D1065" s="786"/>
      <c r="E1065" s="785"/>
      <c r="F1065" s="787"/>
      <c r="G1065" s="788"/>
      <c r="H1065" s="283"/>
      <c r="I1065" s="785"/>
      <c r="J1065" s="786"/>
      <c r="K1065" s="786"/>
      <c r="L1065" s="786"/>
      <c r="M1065" s="785"/>
      <c r="N1065" s="787"/>
      <c r="O1065" s="789"/>
    </row>
    <row r="1066">
      <c r="A1066" s="790" t="s">
        <v>711</v>
      </c>
      <c r="B1066" s="791"/>
      <c r="C1066" s="791"/>
      <c r="D1066" s="792"/>
      <c r="E1066" s="793">
        <f>SUM(E1060:E1065)</f>
        <v>4700</v>
      </c>
      <c r="F1066" s="794"/>
      <c r="G1066" s="793">
        <f>SUM(G1060:G1065)</f>
        <v>4700</v>
      </c>
      <c r="H1066" s="283"/>
      <c r="I1066" s="790" t="s">
        <v>711</v>
      </c>
      <c r="J1066" s="791"/>
      <c r="K1066" s="791"/>
      <c r="L1066" s="792"/>
      <c r="M1066" s="793">
        <f>SUM(M1060:M1065)</f>
        <v>2887</v>
      </c>
      <c r="N1066" s="794"/>
      <c r="O1066" s="793">
        <f>SUM(O1060:O1065)</f>
        <v>1876.55</v>
      </c>
    </row>
    <row r="1067">
      <c r="A1067" s="796"/>
      <c r="D1067" s="798"/>
      <c r="G1067" s="799"/>
      <c r="H1067" s="283"/>
      <c r="I1067" s="796"/>
      <c r="L1067" s="798"/>
      <c r="O1067" s="799"/>
    </row>
    <row r="1068">
      <c r="A1068" s="800" t="s">
        <v>712</v>
      </c>
      <c r="B1068" s="801"/>
      <c r="C1068" s="802"/>
      <c r="G1068" s="799"/>
      <c r="H1068" s="283"/>
      <c r="I1068" s="800" t="s">
        <v>712</v>
      </c>
      <c r="J1068" s="803"/>
      <c r="K1068" s="804"/>
      <c r="O1068" s="799"/>
    </row>
    <row r="1069">
      <c r="A1069" s="867"/>
      <c r="B1069" s="808"/>
      <c r="C1069" s="809"/>
      <c r="G1069" s="799"/>
      <c r="H1069" s="283"/>
      <c r="I1069" s="867"/>
      <c r="J1069" s="808"/>
      <c r="K1069" s="809"/>
      <c r="O1069" s="799"/>
    </row>
    <row r="1070">
      <c r="A1070" s="868"/>
      <c r="B1070" s="774"/>
      <c r="C1070" s="816"/>
      <c r="G1070" s="799"/>
      <c r="H1070" s="283"/>
      <c r="I1070" s="868"/>
      <c r="J1070" s="774"/>
      <c r="K1070" s="816"/>
      <c r="O1070" s="799"/>
    </row>
    <row r="1071">
      <c r="A1071" s="815"/>
      <c r="B1071" s="792"/>
      <c r="C1071" s="816"/>
      <c r="G1071" s="799"/>
      <c r="H1071" s="283"/>
      <c r="I1071" s="815"/>
      <c r="J1071" s="792"/>
      <c r="K1071" s="816"/>
      <c r="O1071" s="799"/>
    </row>
    <row r="1072">
      <c r="A1072" s="817"/>
      <c r="B1072" s="774"/>
      <c r="C1072" s="818"/>
      <c r="G1072" s="799"/>
      <c r="H1072" s="283"/>
      <c r="I1072" s="817"/>
      <c r="J1072" s="774"/>
      <c r="K1072" s="818"/>
      <c r="O1072" s="799"/>
    </row>
    <row r="1073">
      <c r="A1073" s="817"/>
      <c r="B1073" s="792"/>
      <c r="C1073" s="818"/>
      <c r="G1073" s="799"/>
      <c r="H1073" s="283"/>
      <c r="I1073" s="817"/>
      <c r="J1073" s="792"/>
      <c r="K1073" s="818"/>
      <c r="O1073" s="799"/>
    </row>
    <row r="1074">
      <c r="A1074" s="821" t="s">
        <v>714</v>
      </c>
      <c r="B1074" s="822"/>
      <c r="C1074" s="823">
        <f>SUM(C1069:C1073)</f>
        <v>0</v>
      </c>
      <c r="G1074" s="799"/>
      <c r="H1074" s="283"/>
      <c r="I1074" s="821" t="s">
        <v>714</v>
      </c>
      <c r="J1074" s="826"/>
      <c r="K1074" s="827"/>
      <c r="O1074" s="799"/>
    </row>
    <row r="1075">
      <c r="A1075" s="828"/>
      <c r="C1075" s="829"/>
      <c r="G1075" s="799"/>
      <c r="H1075" s="283"/>
      <c r="I1075" s="828"/>
      <c r="K1075" s="829"/>
      <c r="O1075" s="799"/>
    </row>
    <row r="1076">
      <c r="A1076" s="830" t="s">
        <v>715</v>
      </c>
      <c r="B1076" s="831"/>
      <c r="C1076" s="832"/>
      <c r="G1076" s="799"/>
      <c r="H1076" s="283"/>
      <c r="I1076" s="833" t="s">
        <v>715</v>
      </c>
      <c r="J1076" s="834"/>
      <c r="K1076" s="835"/>
      <c r="O1076" s="799"/>
    </row>
    <row r="1077">
      <c r="A1077" s="836" t="s">
        <v>716</v>
      </c>
      <c r="B1077" s="837"/>
      <c r="C1077" s="838"/>
      <c r="G1077" s="799"/>
      <c r="H1077" s="283"/>
      <c r="I1077" s="839"/>
      <c r="J1077" s="840"/>
      <c r="K1077" s="841"/>
      <c r="O1077" s="799"/>
    </row>
    <row r="1078">
      <c r="A1078" s="842" t="s">
        <v>717</v>
      </c>
      <c r="B1078" s="843"/>
      <c r="C1078" s="844"/>
      <c r="D1078" s="248"/>
      <c r="E1078" s="845" t="s">
        <v>1182</v>
      </c>
      <c r="G1078" s="846">
        <f>G1066+C1074-C1083</f>
        <v>1970.37</v>
      </c>
      <c r="H1078" s="283"/>
      <c r="I1078" s="847"/>
      <c r="J1078" s="848"/>
      <c r="K1078" s="849"/>
      <c r="L1078" s="248"/>
      <c r="M1078" s="845" t="s">
        <v>1183</v>
      </c>
      <c r="O1078" s="846">
        <f>O1066+K1074-K1083</f>
        <v>1876.55</v>
      </c>
    </row>
    <row r="1079">
      <c r="A1079" s="836" t="s">
        <v>718</v>
      </c>
      <c r="B1079" s="837"/>
      <c r="C1079" s="838"/>
      <c r="G1079" s="799"/>
      <c r="H1079" s="283"/>
      <c r="I1079" s="847"/>
      <c r="J1079" s="848"/>
      <c r="K1079" s="849"/>
      <c r="O1079" s="799"/>
    </row>
    <row r="1080">
      <c r="A1080" s="842" t="s">
        <v>656</v>
      </c>
      <c r="B1080" s="843"/>
      <c r="C1080" s="844">
        <f>IFERROR(__xludf.DUMMYFUNCTION("FILTER($C$4:$C$30,$B$4:$B$30=E1058)"),2729.63)</f>
        <v>2729.63</v>
      </c>
      <c r="G1080" s="799"/>
      <c r="H1080" s="283"/>
      <c r="I1080" s="847"/>
      <c r="J1080" s="848"/>
      <c r="K1080" s="849"/>
      <c r="O1080" s="799"/>
    </row>
    <row r="1081">
      <c r="A1081" s="1049"/>
      <c r="B1081" s="840"/>
      <c r="C1081" s="849"/>
      <c r="E1081" s="248"/>
      <c r="G1081" s="799"/>
      <c r="H1081" s="283"/>
      <c r="I1081" s="847"/>
      <c r="J1081" s="848"/>
      <c r="K1081" s="849"/>
      <c r="M1081" s="248"/>
      <c r="O1081" s="799"/>
    </row>
    <row r="1082">
      <c r="A1082" s="847"/>
      <c r="B1082" s="848"/>
      <c r="C1082" s="849"/>
      <c r="G1082" s="799"/>
      <c r="H1082" s="283"/>
      <c r="I1082" s="847"/>
      <c r="J1082" s="848"/>
      <c r="K1082" s="849"/>
      <c r="O1082" s="799"/>
    </row>
    <row r="1083">
      <c r="A1083" s="853" t="s">
        <v>721</v>
      </c>
      <c r="B1083" s="854"/>
      <c r="C1083" s="855">
        <f>SUM(C1077:C1082)</f>
        <v>2729.63</v>
      </c>
      <c r="G1083" s="799"/>
      <c r="H1083" s="283"/>
      <c r="I1083" s="853" t="s">
        <v>721</v>
      </c>
      <c r="J1083" s="854"/>
      <c r="K1083" s="855"/>
      <c r="O1083" s="799"/>
    </row>
    <row r="1084">
      <c r="A1084" s="856"/>
      <c r="B1084" s="857"/>
      <c r="C1084" s="857"/>
      <c r="D1084" s="857"/>
      <c r="E1084" s="857"/>
      <c r="F1084" s="857"/>
      <c r="G1084" s="808"/>
      <c r="H1084" s="283"/>
      <c r="I1084" s="856"/>
      <c r="J1084" s="857"/>
      <c r="K1084" s="857"/>
      <c r="L1084" s="857"/>
      <c r="M1084" s="857"/>
      <c r="N1084" s="857"/>
      <c r="O1084" s="808"/>
    </row>
    <row r="1085">
      <c r="A1085" s="199"/>
      <c r="B1085" s="199"/>
      <c r="C1085" s="199"/>
      <c r="D1085" s="248"/>
      <c r="E1085" s="248"/>
      <c r="F1085" s="248"/>
      <c r="G1085" s="248"/>
      <c r="H1085" s="283"/>
      <c r="I1085" s="199"/>
      <c r="J1085" s="199"/>
      <c r="K1085" s="199"/>
      <c r="L1085" s="248"/>
      <c r="M1085" s="248"/>
      <c r="N1085" s="248"/>
      <c r="O1085" s="248"/>
    </row>
    <row r="1086">
      <c r="A1086" s="199"/>
      <c r="B1086" s="199"/>
      <c r="C1086" s="199"/>
      <c r="D1086" s="248"/>
      <c r="E1086" s="248"/>
      <c r="F1086" s="248"/>
      <c r="G1086" s="248"/>
      <c r="H1086" s="283"/>
      <c r="I1086" s="199"/>
      <c r="J1086" s="199"/>
      <c r="K1086" s="199"/>
      <c r="L1086" s="248"/>
      <c r="M1086" s="248"/>
      <c r="N1086" s="248"/>
      <c r="O1086" s="248"/>
    </row>
    <row r="1087">
      <c r="A1087" s="769"/>
      <c r="B1087" s="770"/>
      <c r="C1087" s="770"/>
      <c r="D1087" s="771" t="s">
        <v>700</v>
      </c>
      <c r="E1087" s="772" t="str">
        <f>E281</f>
        <v>11.24.2025-11.30.2025</v>
      </c>
      <c r="F1087" s="773"/>
      <c r="G1087" s="774"/>
      <c r="H1087" s="305">
        <v>32.0</v>
      </c>
      <c r="I1087" s="769"/>
      <c r="J1087" s="770"/>
      <c r="K1087" s="770"/>
      <c r="L1087" s="771" t="s">
        <v>700</v>
      </c>
      <c r="M1087" s="772" t="str">
        <f>E281</f>
        <v>11.24.2025-11.30.2025</v>
      </c>
      <c r="N1087" s="773"/>
      <c r="O1087" s="774"/>
    </row>
    <row r="1088">
      <c r="A1088" s="775"/>
      <c r="D1088" s="771" t="s">
        <v>702</v>
      </c>
      <c r="E1088" s="772" t="s">
        <v>872</v>
      </c>
      <c r="F1088" s="773"/>
      <c r="G1088" s="774"/>
      <c r="H1088" s="283"/>
      <c r="I1088" s="775"/>
      <c r="L1088" s="771" t="s">
        <v>351</v>
      </c>
      <c r="M1088" s="772" t="str">
        <f t="array" ref="M1088">XLOOKUP(M1089,$L$1:$L$122,$K$1:$K$122)</f>
        <v>JOSEPH JOSEPH HYVENS</v>
      </c>
      <c r="N1088" s="773"/>
      <c r="O1088" s="774"/>
    </row>
    <row r="1089">
      <c r="A1089" s="775"/>
      <c r="D1089" s="771" t="s">
        <v>703</v>
      </c>
      <c r="E1089" s="772">
        <v>2693.0</v>
      </c>
      <c r="F1089" s="773"/>
      <c r="G1089" s="774"/>
      <c r="H1089" s="283"/>
      <c r="I1089" s="775"/>
      <c r="L1089" s="771" t="s">
        <v>703</v>
      </c>
      <c r="M1089" s="772">
        <f>E1089</f>
        <v>2693</v>
      </c>
      <c r="N1089" s="773"/>
      <c r="O1089" s="774"/>
    </row>
    <row r="1090">
      <c r="A1090" s="779" t="s">
        <v>704</v>
      </c>
      <c r="B1090" s="779" t="s">
        <v>5</v>
      </c>
      <c r="C1090" s="779" t="s">
        <v>6</v>
      </c>
      <c r="D1090" s="779" t="s">
        <v>7</v>
      </c>
      <c r="E1090" s="779" t="s">
        <v>8</v>
      </c>
      <c r="F1090" s="779" t="s">
        <v>706</v>
      </c>
      <c r="G1090" s="779" t="s">
        <v>707</v>
      </c>
      <c r="H1090" s="34"/>
      <c r="I1090" s="779" t="s">
        <v>704</v>
      </c>
      <c r="J1090" s="779" t="s">
        <v>5</v>
      </c>
      <c r="K1090" s="779" t="s">
        <v>6</v>
      </c>
      <c r="L1090" s="779" t="s">
        <v>7</v>
      </c>
      <c r="M1090" s="779" t="s">
        <v>1178</v>
      </c>
      <c r="N1090" s="779" t="s">
        <v>839</v>
      </c>
      <c r="O1090" s="779" t="s">
        <v>707</v>
      </c>
    </row>
    <row r="1091">
      <c r="A1091" s="780">
        <f>IFERROR(__xludf.DUMMYFUNCTION("FILTER($D$3:$H$122,$L$3:$L$122=E1089)"),45987.0)</f>
        <v>45987</v>
      </c>
      <c r="B1091" s="781">
        <f>IFERROR(__xludf.DUMMYFUNCTION("""COMPUTED_VALUE"""),1.26138229E8)</f>
        <v>126138229</v>
      </c>
      <c r="C1091" s="781" t="str">
        <f>IFERROR(__xludf.DUMMYFUNCTION("""COMPUTED_VALUE"""),"Fort Fairfield, ME, 04742")</f>
        <v>Fort Fairfield, ME, 04742</v>
      </c>
      <c r="D1091" s="781" t="str">
        <f>IFERROR(__xludf.DUMMYFUNCTION("""COMPUTED_VALUE"""),", SC, 29455")</f>
        <v>, SC, 29455</v>
      </c>
      <c r="E1091" s="782">
        <f>IFERROR(__xludf.DUMMYFUNCTION("""COMPUTED_VALUE"""),2500.0)</f>
        <v>2500</v>
      </c>
      <c r="F1091" s="783">
        <v>1.0</v>
      </c>
      <c r="G1091" s="782">
        <f>E1091*F1091</f>
        <v>2500</v>
      </c>
      <c r="H1091" s="283"/>
      <c r="I1091" s="780">
        <f>IFERROR(__xludf.DUMMYFUNCTION("FILTER($D$3:$G$122,$L$3:$L$122=M1089)"),45987.0)</f>
        <v>45987</v>
      </c>
      <c r="J1091" s="781">
        <f>IFERROR(__xludf.DUMMYFUNCTION("""COMPUTED_VALUE"""),1.26138229E8)</f>
        <v>126138229</v>
      </c>
      <c r="K1091" s="781" t="str">
        <f>IFERROR(__xludf.DUMMYFUNCTION("""COMPUTED_VALUE"""),"Fort Fairfield, ME, 04742")</f>
        <v>Fort Fairfield, ME, 04742</v>
      </c>
      <c r="L1091" s="781" t="str">
        <f>IFERROR(__xludf.DUMMYFUNCTION("""COMPUTED_VALUE"""),", SC, 29455")</f>
        <v>, SC, 29455</v>
      </c>
      <c r="M1091" s="880">
        <f>IFERROR(__xludf.DUMMYFUNCTION("FILTER($I$3:$I$122,$L$3:$L$122=M1089)"),1361.0)</f>
        <v>1361</v>
      </c>
      <c r="N1091" s="781">
        <v>0.65</v>
      </c>
      <c r="O1091" s="782">
        <f>M1091*N1091</f>
        <v>884.65</v>
      </c>
    </row>
    <row r="1092">
      <c r="A1092" s="780">
        <f>IFERROR(__xludf.DUMMYFUNCTION("""COMPUTED_VALUE"""),45986.0)</f>
        <v>45986</v>
      </c>
      <c r="B1092" s="781">
        <f>IFERROR(__xludf.DUMMYFUNCTION("""COMPUTED_VALUE"""),2884255.0)</f>
        <v>2884255</v>
      </c>
      <c r="C1092" s="781" t="str">
        <f>IFERROR(__xludf.DUMMYFUNCTION("""COMPUTED_VALUE"""),"Belcamp, MD, 21017")</f>
        <v>Belcamp, MD, 21017</v>
      </c>
      <c r="D1092" s="781" t="str">
        <f>IFERROR(__xludf.DUMMYFUNCTION("""COMPUTED_VALUE"""),"Mars Hill, ME, 04758")</f>
        <v>Mars Hill, ME, 04758</v>
      </c>
      <c r="E1092" s="782">
        <f>IFERROR(__xludf.DUMMYFUNCTION("""COMPUTED_VALUE"""),2185.0)</f>
        <v>2185</v>
      </c>
      <c r="F1092" s="783"/>
      <c r="G1092" s="782"/>
      <c r="H1092" s="283"/>
      <c r="I1092" s="780">
        <f>IFERROR(__xludf.DUMMYFUNCTION("""COMPUTED_VALUE"""),45986.0)</f>
        <v>45986</v>
      </c>
      <c r="J1092" s="781">
        <f>IFERROR(__xludf.DUMMYFUNCTION("""COMPUTED_VALUE"""),2884255.0)</f>
        <v>2884255</v>
      </c>
      <c r="K1092" s="781" t="str">
        <f>IFERROR(__xludf.DUMMYFUNCTION("""COMPUTED_VALUE"""),"Belcamp, MD, 21017")</f>
        <v>Belcamp, MD, 21017</v>
      </c>
      <c r="L1092" s="781" t="str">
        <f>IFERROR(__xludf.DUMMYFUNCTION("""COMPUTED_VALUE"""),"Mars Hill, ME, 04758")</f>
        <v>Mars Hill, ME, 04758</v>
      </c>
      <c r="M1092" s="880">
        <f>IFERROR(__xludf.DUMMYFUNCTION("""COMPUTED_VALUE"""),847.0)</f>
        <v>847</v>
      </c>
      <c r="N1092" s="781"/>
      <c r="O1092" s="782"/>
    </row>
    <row r="1093">
      <c r="A1093" s="785"/>
      <c r="B1093" s="786"/>
      <c r="C1093" s="786"/>
      <c r="D1093" s="786"/>
      <c r="E1093" s="785"/>
      <c r="F1093" s="787"/>
      <c r="G1093" s="788"/>
      <c r="H1093" s="283"/>
      <c r="I1093" s="780"/>
      <c r="J1093" s="781"/>
      <c r="K1093" s="781"/>
      <c r="L1093" s="781"/>
      <c r="M1093" s="880"/>
      <c r="N1093" s="781"/>
      <c r="O1093" s="782"/>
    </row>
    <row r="1094">
      <c r="A1094" s="785"/>
      <c r="B1094" s="786"/>
      <c r="C1094" s="786"/>
      <c r="D1094" s="786"/>
      <c r="E1094" s="785"/>
      <c r="F1094" s="787"/>
      <c r="G1094" s="788"/>
      <c r="H1094" s="283"/>
      <c r="I1094" s="785"/>
      <c r="J1094" s="786"/>
      <c r="K1094" s="786"/>
      <c r="L1094" s="786"/>
      <c r="M1094" s="785"/>
      <c r="N1094" s="787"/>
      <c r="O1094" s="789"/>
    </row>
    <row r="1095">
      <c r="A1095" s="785"/>
      <c r="B1095" s="786"/>
      <c r="C1095" s="786"/>
      <c r="D1095" s="786"/>
      <c r="E1095" s="785"/>
      <c r="F1095" s="787"/>
      <c r="G1095" s="788"/>
      <c r="H1095" s="283"/>
      <c r="I1095" s="785"/>
      <c r="J1095" s="786"/>
      <c r="K1095" s="786"/>
      <c r="L1095" s="786"/>
      <c r="M1095" s="785"/>
      <c r="N1095" s="787"/>
      <c r="O1095" s="789"/>
    </row>
    <row r="1096">
      <c r="A1096" s="785"/>
      <c r="B1096" s="786"/>
      <c r="C1096" s="786"/>
      <c r="D1096" s="786"/>
      <c r="E1096" s="785"/>
      <c r="F1096" s="787"/>
      <c r="G1096" s="788"/>
      <c r="H1096" s="283"/>
      <c r="I1096" s="785"/>
      <c r="J1096" s="786"/>
      <c r="K1096" s="786"/>
      <c r="L1096" s="786"/>
      <c r="M1096" s="785"/>
      <c r="N1096" s="787"/>
      <c r="O1096" s="789"/>
    </row>
    <row r="1097">
      <c r="A1097" s="790" t="s">
        <v>711</v>
      </c>
      <c r="B1097" s="791"/>
      <c r="C1097" s="791"/>
      <c r="D1097" s="792"/>
      <c r="E1097" s="793">
        <f>SUM(E1091:E1096)</f>
        <v>4685</v>
      </c>
      <c r="F1097" s="794"/>
      <c r="G1097" s="793">
        <f>SUM(G1091:G1096)</f>
        <v>2500</v>
      </c>
      <c r="H1097" s="283"/>
      <c r="I1097" s="790" t="s">
        <v>711</v>
      </c>
      <c r="J1097" s="791"/>
      <c r="K1097" s="791"/>
      <c r="L1097" s="792"/>
      <c r="M1097" s="793">
        <f>SUM(M1091:M1096)</f>
        <v>2208</v>
      </c>
      <c r="N1097" s="794"/>
      <c r="O1097" s="793">
        <f>SUM(O1091:O1096)</f>
        <v>884.65</v>
      </c>
    </row>
    <row r="1098">
      <c r="A1098" s="796"/>
      <c r="D1098" s="798"/>
      <c r="G1098" s="799"/>
      <c r="H1098" s="283"/>
      <c r="I1098" s="796"/>
      <c r="L1098" s="798"/>
      <c r="O1098" s="799"/>
    </row>
    <row r="1099">
      <c r="A1099" s="800" t="s">
        <v>712</v>
      </c>
      <c r="B1099" s="801"/>
      <c r="C1099" s="802"/>
      <c r="G1099" s="799"/>
      <c r="H1099" s="283"/>
      <c r="I1099" s="800" t="s">
        <v>712</v>
      </c>
      <c r="J1099" s="803"/>
      <c r="K1099" s="804"/>
      <c r="O1099" s="799"/>
    </row>
    <row r="1100">
      <c r="A1100" s="867"/>
      <c r="B1100" s="808"/>
      <c r="C1100" s="809"/>
      <c r="G1100" s="799"/>
      <c r="H1100" s="283"/>
      <c r="I1100" s="867"/>
      <c r="J1100" s="808"/>
      <c r="K1100" s="809"/>
      <c r="O1100" s="799"/>
    </row>
    <row r="1101">
      <c r="A1101" s="868"/>
      <c r="B1101" s="774"/>
      <c r="C1101" s="816"/>
      <c r="G1101" s="799"/>
      <c r="H1101" s="283"/>
      <c r="I1101" s="868"/>
      <c r="J1101" s="774"/>
      <c r="K1101" s="816"/>
      <c r="O1101" s="799"/>
    </row>
    <row r="1102">
      <c r="A1102" s="815"/>
      <c r="B1102" s="792"/>
      <c r="C1102" s="816"/>
      <c r="G1102" s="799"/>
      <c r="H1102" s="283"/>
      <c r="I1102" s="815"/>
      <c r="J1102" s="792"/>
      <c r="K1102" s="816"/>
      <c r="O1102" s="799"/>
    </row>
    <row r="1103">
      <c r="A1103" s="817"/>
      <c r="B1103" s="774"/>
      <c r="C1103" s="818"/>
      <c r="G1103" s="799"/>
      <c r="H1103" s="283"/>
      <c r="I1103" s="817"/>
      <c r="J1103" s="774"/>
      <c r="K1103" s="818"/>
      <c r="O1103" s="799"/>
    </row>
    <row r="1104">
      <c r="A1104" s="817"/>
      <c r="B1104" s="792"/>
      <c r="C1104" s="818"/>
      <c r="G1104" s="799"/>
      <c r="H1104" s="283"/>
      <c r="I1104" s="817"/>
      <c r="J1104" s="792"/>
      <c r="K1104" s="818"/>
      <c r="O1104" s="799"/>
    </row>
    <row r="1105">
      <c r="A1105" s="821" t="s">
        <v>714</v>
      </c>
      <c r="B1105" s="822"/>
      <c r="C1105" s="823">
        <f>SUM(C1100:C1104)</f>
        <v>0</v>
      </c>
      <c r="G1105" s="799"/>
      <c r="H1105" s="283"/>
      <c r="I1105" s="821" t="s">
        <v>714</v>
      </c>
      <c r="J1105" s="826"/>
      <c r="K1105" s="827"/>
      <c r="O1105" s="799"/>
    </row>
    <row r="1106">
      <c r="A1106" s="828"/>
      <c r="C1106" s="829"/>
      <c r="G1106" s="799"/>
      <c r="H1106" s="283"/>
      <c r="I1106" s="828"/>
      <c r="K1106" s="829"/>
      <c r="O1106" s="799"/>
    </row>
    <row r="1107">
      <c r="A1107" s="830" t="s">
        <v>715</v>
      </c>
      <c r="B1107" s="831"/>
      <c r="C1107" s="832"/>
      <c r="G1107" s="799"/>
      <c r="H1107" s="283"/>
      <c r="I1107" s="833" t="s">
        <v>715</v>
      </c>
      <c r="J1107" s="834"/>
      <c r="K1107" s="835"/>
      <c r="O1107" s="799"/>
    </row>
    <row r="1108">
      <c r="A1108" s="836" t="s">
        <v>716</v>
      </c>
      <c r="B1108" s="837"/>
      <c r="C1108" s="838"/>
      <c r="G1108" s="799"/>
      <c r="H1108" s="283"/>
      <c r="I1108" s="839"/>
      <c r="J1108" s="840"/>
      <c r="K1108" s="841"/>
      <c r="O1108" s="799"/>
    </row>
    <row r="1109">
      <c r="A1109" s="842" t="s">
        <v>717</v>
      </c>
      <c r="B1109" s="843"/>
      <c r="C1109" s="844"/>
      <c r="D1109" s="248"/>
      <c r="E1109" s="845" t="s">
        <v>1182</v>
      </c>
      <c r="G1109" s="846">
        <f>G1097+C1105-C1114</f>
        <v>-887.6</v>
      </c>
      <c r="H1109" s="283"/>
      <c r="I1109" s="847"/>
      <c r="J1109" s="848"/>
      <c r="K1109" s="849"/>
      <c r="L1109" s="248"/>
      <c r="M1109" s="845" t="s">
        <v>1183</v>
      </c>
      <c r="O1109" s="846">
        <f>O1097+K1105-K1114</f>
        <v>884.65</v>
      </c>
    </row>
    <row r="1110">
      <c r="A1110" s="836" t="s">
        <v>718</v>
      </c>
      <c r="B1110" s="837"/>
      <c r="C1110" s="838"/>
      <c r="G1110" s="799"/>
      <c r="H1110" s="283"/>
      <c r="I1110" s="847"/>
      <c r="J1110" s="848"/>
      <c r="K1110" s="849"/>
      <c r="O1110" s="799"/>
    </row>
    <row r="1111">
      <c r="A1111" s="842" t="s">
        <v>656</v>
      </c>
      <c r="B1111" s="843"/>
      <c r="C1111" s="844">
        <f>IFERROR(__xludf.DUMMYFUNCTION("FILTER($C$4:$C$30,$B$4:$B$30=E1089)"),3387.6)</f>
        <v>3387.6</v>
      </c>
      <c r="G1111" s="799"/>
      <c r="H1111" s="283"/>
      <c r="I1111" s="847"/>
      <c r="J1111" s="848"/>
      <c r="K1111" s="849"/>
      <c r="O1111" s="799"/>
    </row>
    <row r="1112">
      <c r="A1112" s="1049"/>
      <c r="B1112" s="840"/>
      <c r="C1112" s="849"/>
      <c r="E1112" s="248"/>
      <c r="G1112" s="799"/>
      <c r="H1112" s="283"/>
      <c r="I1112" s="847"/>
      <c r="J1112" s="848"/>
      <c r="K1112" s="849"/>
      <c r="M1112" s="248"/>
      <c r="O1112" s="799"/>
    </row>
    <row r="1113">
      <c r="A1113" s="847"/>
      <c r="B1113" s="848"/>
      <c r="C1113" s="849"/>
      <c r="G1113" s="799"/>
      <c r="H1113" s="283"/>
      <c r="I1113" s="847"/>
      <c r="J1113" s="848"/>
      <c r="K1113" s="849"/>
      <c r="O1113" s="799"/>
    </row>
    <row r="1114">
      <c r="A1114" s="853" t="s">
        <v>721</v>
      </c>
      <c r="B1114" s="854"/>
      <c r="C1114" s="855">
        <f>SUM(C1108:C1113)</f>
        <v>3387.6</v>
      </c>
      <c r="G1114" s="799"/>
      <c r="H1114" s="283"/>
      <c r="I1114" s="853" t="s">
        <v>721</v>
      </c>
      <c r="J1114" s="854"/>
      <c r="K1114" s="855"/>
      <c r="O1114" s="799"/>
    </row>
    <row r="1115">
      <c r="A1115" s="856"/>
      <c r="B1115" s="857"/>
      <c r="C1115" s="857"/>
      <c r="D1115" s="857"/>
      <c r="E1115" s="857"/>
      <c r="F1115" s="857"/>
      <c r="G1115" s="808"/>
      <c r="H1115" s="283"/>
      <c r="I1115" s="856"/>
      <c r="J1115" s="857"/>
      <c r="K1115" s="857"/>
      <c r="L1115" s="857"/>
      <c r="M1115" s="857"/>
      <c r="N1115" s="857"/>
      <c r="O1115" s="808"/>
    </row>
    <row r="1116">
      <c r="A1116" s="199"/>
      <c r="B1116" s="199"/>
      <c r="C1116" s="199"/>
      <c r="D1116" s="248"/>
      <c r="E1116" s="248"/>
      <c r="F1116" s="248"/>
      <c r="G1116" s="248"/>
      <c r="H1116" s="283"/>
      <c r="I1116" s="199"/>
      <c r="J1116" s="199"/>
      <c r="K1116" s="199"/>
      <c r="L1116" s="248"/>
      <c r="M1116" s="248"/>
      <c r="N1116" s="248"/>
      <c r="O1116" s="248"/>
    </row>
    <row r="1117">
      <c r="A1117" s="199"/>
      <c r="B1117" s="199"/>
      <c r="C1117" s="199"/>
      <c r="D1117" s="248"/>
      <c r="E1117" s="248"/>
      <c r="F1117" s="248"/>
      <c r="G1117" s="248"/>
      <c r="H1117" s="283"/>
      <c r="I1117" s="199"/>
      <c r="J1117" s="199"/>
      <c r="K1117" s="199"/>
      <c r="L1117" s="248"/>
      <c r="M1117" s="248"/>
      <c r="N1117" s="248"/>
      <c r="O1117" s="248"/>
    </row>
    <row r="1118">
      <c r="A1118" s="769"/>
      <c r="B1118" s="770"/>
      <c r="C1118" s="770"/>
      <c r="D1118" s="771" t="s">
        <v>700</v>
      </c>
      <c r="E1118" s="772" t="str">
        <f>E312</f>
        <v>11.24.2025-11.30.2025</v>
      </c>
      <c r="F1118" s="773"/>
      <c r="G1118" s="774"/>
      <c r="H1118" s="305">
        <v>33.0</v>
      </c>
      <c r="I1118" s="769"/>
      <c r="J1118" s="770"/>
      <c r="K1118" s="770"/>
      <c r="L1118" s="771" t="s">
        <v>700</v>
      </c>
      <c r="M1118" s="772" t="str">
        <f>E312</f>
        <v>11.24.2025-11.30.2025</v>
      </c>
      <c r="N1118" s="773"/>
      <c r="O1118" s="774"/>
    </row>
    <row r="1119">
      <c r="A1119" s="775"/>
      <c r="D1119" s="771" t="s">
        <v>702</v>
      </c>
      <c r="E1119" s="772" t="s">
        <v>872</v>
      </c>
      <c r="F1119" s="773"/>
      <c r="G1119" s="774"/>
      <c r="H1119" s="283"/>
      <c r="I1119" s="775"/>
      <c r="L1119" s="771" t="s">
        <v>351</v>
      </c>
      <c r="M1119" s="772" t="str">
        <f t="array" ref="M1119">XLOOKUP(M1120,$L$1:$L$122,$K$1:$K$122)</f>
        <v>Emmanuel Antoine</v>
      </c>
      <c r="N1119" s="773"/>
      <c r="O1119" s="774"/>
    </row>
    <row r="1120">
      <c r="A1120" s="775"/>
      <c r="D1120" s="771" t="s">
        <v>703</v>
      </c>
      <c r="E1120" s="772">
        <v>3403.0</v>
      </c>
      <c r="F1120" s="773"/>
      <c r="G1120" s="774"/>
      <c r="H1120" s="283"/>
      <c r="I1120" s="775"/>
      <c r="L1120" s="771" t="s">
        <v>703</v>
      </c>
      <c r="M1120" s="772">
        <f>E1120</f>
        <v>3403</v>
      </c>
      <c r="N1120" s="773"/>
      <c r="O1120" s="774"/>
    </row>
    <row r="1121">
      <c r="A1121" s="779" t="s">
        <v>704</v>
      </c>
      <c r="B1121" s="779" t="s">
        <v>5</v>
      </c>
      <c r="C1121" s="779" t="s">
        <v>6</v>
      </c>
      <c r="D1121" s="779" t="s">
        <v>7</v>
      </c>
      <c r="E1121" s="779" t="s">
        <v>8</v>
      </c>
      <c r="F1121" s="779" t="s">
        <v>706</v>
      </c>
      <c r="G1121" s="779" t="s">
        <v>707</v>
      </c>
      <c r="H1121" s="34"/>
      <c r="I1121" s="779" t="s">
        <v>704</v>
      </c>
      <c r="J1121" s="779" t="s">
        <v>5</v>
      </c>
      <c r="K1121" s="779" t="s">
        <v>6</v>
      </c>
      <c r="L1121" s="779" t="s">
        <v>7</v>
      </c>
      <c r="M1121" s="779" t="s">
        <v>1178</v>
      </c>
      <c r="N1121" s="779" t="s">
        <v>839</v>
      </c>
      <c r="O1121" s="779" t="s">
        <v>707</v>
      </c>
    </row>
    <row r="1122">
      <c r="A1122" s="780" t="str">
        <f>IFERROR(__xludf.DUMMYFUNCTION("FILTER($D$3:$H$122,$L$3:$L$122=E1120)"),"")</f>
        <v/>
      </c>
      <c r="B1122" s="781"/>
      <c r="C1122" s="781"/>
      <c r="D1122" s="781"/>
      <c r="E1122" s="782"/>
      <c r="F1122" s="783">
        <v>1.0</v>
      </c>
      <c r="G1122" s="782">
        <f>E1122*F1122</f>
        <v>0</v>
      </c>
      <c r="H1122" s="283"/>
      <c r="I1122" s="780" t="str">
        <f>IFERROR(__xludf.DUMMYFUNCTION("FILTER($D$3:$G$122,$L$3:$L$122=M1120)"),"")</f>
        <v/>
      </c>
      <c r="J1122" s="781"/>
      <c r="K1122" s="781"/>
      <c r="L1122" s="781"/>
      <c r="M1122" s="880" t="str">
        <f>IFERROR(__xludf.DUMMYFUNCTION("FILTER($I$3:$I$122,$L$3:$L$122=M1120)"),"")</f>
        <v/>
      </c>
      <c r="N1122" s="781">
        <v>0.65</v>
      </c>
      <c r="O1122" s="782">
        <f>M1122*N1122</f>
        <v>0</v>
      </c>
    </row>
    <row r="1123">
      <c r="A1123" s="780"/>
      <c r="B1123" s="781"/>
      <c r="C1123" s="781"/>
      <c r="D1123" s="781"/>
      <c r="E1123" s="782"/>
      <c r="F1123" s="783"/>
      <c r="G1123" s="782"/>
      <c r="H1123" s="283"/>
      <c r="I1123" s="780"/>
      <c r="J1123" s="781"/>
      <c r="K1123" s="781"/>
      <c r="L1123" s="781"/>
      <c r="M1123" s="880"/>
      <c r="N1123" s="781"/>
      <c r="O1123" s="782"/>
    </row>
    <row r="1124">
      <c r="A1124" s="785"/>
      <c r="B1124" s="786"/>
      <c r="C1124" s="786"/>
      <c r="D1124" s="786"/>
      <c r="E1124" s="785"/>
      <c r="F1124" s="787"/>
      <c r="G1124" s="788"/>
      <c r="H1124" s="283"/>
      <c r="I1124" s="780"/>
      <c r="J1124" s="781"/>
      <c r="K1124" s="781"/>
      <c r="L1124" s="781"/>
      <c r="M1124" s="880"/>
      <c r="N1124" s="781"/>
      <c r="O1124" s="782"/>
    </row>
    <row r="1125">
      <c r="A1125" s="785"/>
      <c r="B1125" s="786"/>
      <c r="C1125" s="786"/>
      <c r="D1125" s="786"/>
      <c r="E1125" s="785"/>
      <c r="F1125" s="787"/>
      <c r="G1125" s="788"/>
      <c r="H1125" s="283"/>
      <c r="I1125" s="785"/>
      <c r="J1125" s="786"/>
      <c r="K1125" s="786"/>
      <c r="L1125" s="786"/>
      <c r="M1125" s="785"/>
      <c r="N1125" s="787"/>
      <c r="O1125" s="789"/>
    </row>
    <row r="1126">
      <c r="A1126" s="785"/>
      <c r="B1126" s="786"/>
      <c r="C1126" s="786"/>
      <c r="D1126" s="786"/>
      <c r="E1126" s="785"/>
      <c r="F1126" s="787"/>
      <c r="G1126" s="788"/>
      <c r="H1126" s="283"/>
      <c r="I1126" s="785"/>
      <c r="J1126" s="786"/>
      <c r="K1126" s="786"/>
      <c r="L1126" s="786"/>
      <c r="M1126" s="785"/>
      <c r="N1126" s="787"/>
      <c r="O1126" s="789"/>
    </row>
    <row r="1127">
      <c r="A1127" s="785"/>
      <c r="B1127" s="786"/>
      <c r="C1127" s="786"/>
      <c r="D1127" s="786"/>
      <c r="E1127" s="785"/>
      <c r="F1127" s="787"/>
      <c r="G1127" s="788"/>
      <c r="H1127" s="283"/>
      <c r="I1127" s="785"/>
      <c r="J1127" s="786"/>
      <c r="K1127" s="786"/>
      <c r="L1127" s="786"/>
      <c r="M1127" s="785"/>
      <c r="N1127" s="787"/>
      <c r="O1127" s="789"/>
    </row>
    <row r="1128">
      <c r="A1128" s="790" t="s">
        <v>711</v>
      </c>
      <c r="B1128" s="791"/>
      <c r="C1128" s="791"/>
      <c r="D1128" s="792"/>
      <c r="E1128" s="793">
        <f>SUM(E1122:E1127)</f>
        <v>0</v>
      </c>
      <c r="F1128" s="794"/>
      <c r="G1128" s="793">
        <f>SUM(G1122:G1127)</f>
        <v>0</v>
      </c>
      <c r="H1128" s="283"/>
      <c r="I1128" s="790" t="s">
        <v>711</v>
      </c>
      <c r="J1128" s="791"/>
      <c r="K1128" s="791"/>
      <c r="L1128" s="792"/>
      <c r="M1128" s="793">
        <f>SUM(M1122:M1127)</f>
        <v>0</v>
      </c>
      <c r="N1128" s="794"/>
      <c r="O1128" s="793">
        <f>SUM(O1122:O1127)</f>
        <v>0</v>
      </c>
    </row>
    <row r="1129">
      <c r="A1129" s="796"/>
      <c r="D1129" s="798"/>
      <c r="G1129" s="799"/>
      <c r="H1129" s="283"/>
      <c r="I1129" s="796"/>
      <c r="L1129" s="798"/>
      <c r="O1129" s="799"/>
    </row>
    <row r="1130">
      <c r="A1130" s="800" t="s">
        <v>712</v>
      </c>
      <c r="B1130" s="801"/>
      <c r="C1130" s="802"/>
      <c r="G1130" s="799"/>
      <c r="H1130" s="283"/>
      <c r="I1130" s="800" t="s">
        <v>712</v>
      </c>
      <c r="J1130" s="803"/>
      <c r="K1130" s="804"/>
      <c r="O1130" s="799"/>
    </row>
    <row r="1131">
      <c r="A1131" s="867"/>
      <c r="B1131" s="808"/>
      <c r="C1131" s="809"/>
      <c r="G1131" s="799"/>
      <c r="H1131" s="283"/>
      <c r="I1131" s="867"/>
      <c r="J1131" s="808"/>
      <c r="K1131" s="809"/>
      <c r="O1131" s="799"/>
    </row>
    <row r="1132">
      <c r="A1132" s="868"/>
      <c r="B1132" s="774"/>
      <c r="C1132" s="816"/>
      <c r="G1132" s="799"/>
      <c r="H1132" s="283"/>
      <c r="I1132" s="868"/>
      <c r="J1132" s="774"/>
      <c r="K1132" s="816"/>
      <c r="O1132" s="799"/>
    </row>
    <row r="1133">
      <c r="A1133" s="815"/>
      <c r="B1133" s="792"/>
      <c r="C1133" s="816"/>
      <c r="G1133" s="799"/>
      <c r="H1133" s="283"/>
      <c r="I1133" s="815"/>
      <c r="J1133" s="792"/>
      <c r="K1133" s="816"/>
      <c r="O1133" s="799"/>
    </row>
    <row r="1134">
      <c r="A1134" s="817"/>
      <c r="B1134" s="774"/>
      <c r="C1134" s="818"/>
      <c r="G1134" s="799"/>
      <c r="H1134" s="283"/>
      <c r="I1134" s="817"/>
      <c r="J1134" s="774"/>
      <c r="K1134" s="818"/>
      <c r="O1134" s="799"/>
    </row>
    <row r="1135">
      <c r="A1135" s="817"/>
      <c r="B1135" s="792"/>
      <c r="C1135" s="818"/>
      <c r="G1135" s="799"/>
      <c r="H1135" s="283"/>
      <c r="I1135" s="817"/>
      <c r="J1135" s="792"/>
      <c r="K1135" s="818"/>
      <c r="O1135" s="799"/>
    </row>
    <row r="1136">
      <c r="A1136" s="821" t="s">
        <v>714</v>
      </c>
      <c r="B1136" s="822"/>
      <c r="C1136" s="823">
        <f>SUM(C1131:C1135)</f>
        <v>0</v>
      </c>
      <c r="G1136" s="799"/>
      <c r="H1136" s="283"/>
      <c r="I1136" s="821" t="s">
        <v>714</v>
      </c>
      <c r="J1136" s="826"/>
      <c r="K1136" s="827"/>
      <c r="O1136" s="799"/>
    </row>
    <row r="1137">
      <c r="A1137" s="828"/>
      <c r="C1137" s="829"/>
      <c r="G1137" s="799"/>
      <c r="H1137" s="283"/>
      <c r="I1137" s="828"/>
      <c r="K1137" s="829"/>
      <c r="O1137" s="799"/>
    </row>
    <row r="1138">
      <c r="A1138" s="830" t="s">
        <v>715</v>
      </c>
      <c r="B1138" s="831"/>
      <c r="C1138" s="832"/>
      <c r="G1138" s="799"/>
      <c r="H1138" s="283"/>
      <c r="I1138" s="833" t="s">
        <v>715</v>
      </c>
      <c r="J1138" s="834"/>
      <c r="K1138" s="835"/>
      <c r="O1138" s="799"/>
    </row>
    <row r="1139">
      <c r="A1139" s="836" t="s">
        <v>716</v>
      </c>
      <c r="B1139" s="837"/>
      <c r="C1139" s="838"/>
      <c r="G1139" s="799"/>
      <c r="H1139" s="283"/>
      <c r="I1139" s="839"/>
      <c r="J1139" s="840"/>
      <c r="K1139" s="841"/>
      <c r="O1139" s="799"/>
    </row>
    <row r="1140">
      <c r="A1140" s="842" t="s">
        <v>717</v>
      </c>
      <c r="B1140" s="843"/>
      <c r="C1140" s="844"/>
      <c r="D1140" s="248"/>
      <c r="E1140" s="845" t="s">
        <v>1182</v>
      </c>
      <c r="G1140" s="846">
        <f>G1128+C1136-C1145</f>
        <v>-483.58</v>
      </c>
      <c r="H1140" s="283"/>
      <c r="I1140" s="847"/>
      <c r="J1140" s="848"/>
      <c r="K1140" s="849"/>
      <c r="L1140" s="248"/>
      <c r="M1140" s="845" t="s">
        <v>1183</v>
      </c>
      <c r="O1140" s="846">
        <f>O1128+K1136-K1145</f>
        <v>0</v>
      </c>
    </row>
    <row r="1141">
      <c r="A1141" s="836" t="s">
        <v>718</v>
      </c>
      <c r="B1141" s="837"/>
      <c r="C1141" s="838"/>
      <c r="G1141" s="799"/>
      <c r="H1141" s="283"/>
      <c r="I1141" s="847"/>
      <c r="J1141" s="848"/>
      <c r="K1141" s="849"/>
      <c r="O1141" s="799"/>
    </row>
    <row r="1142">
      <c r="A1142" s="842" t="s">
        <v>656</v>
      </c>
      <c r="B1142" s="843"/>
      <c r="C1142" s="844">
        <f>IFERROR(__xludf.DUMMYFUNCTION("FILTER($C$4:$C$30,$B$4:$B$30=E1120)"),483.58)</f>
        <v>483.58</v>
      </c>
      <c r="G1142" s="799"/>
      <c r="H1142" s="283"/>
      <c r="I1142" s="847"/>
      <c r="J1142" s="848"/>
      <c r="K1142" s="849"/>
      <c r="O1142" s="799"/>
    </row>
    <row r="1143">
      <c r="A1143" s="1049"/>
      <c r="B1143" s="840"/>
      <c r="C1143" s="849"/>
      <c r="E1143" s="248"/>
      <c r="G1143" s="799"/>
      <c r="H1143" s="283"/>
      <c r="I1143" s="847"/>
      <c r="J1143" s="848"/>
      <c r="K1143" s="849"/>
      <c r="M1143" s="248"/>
      <c r="O1143" s="799"/>
    </row>
    <row r="1144">
      <c r="A1144" s="847"/>
      <c r="B1144" s="848"/>
      <c r="C1144" s="849"/>
      <c r="G1144" s="799"/>
      <c r="H1144" s="283"/>
      <c r="I1144" s="847"/>
      <c r="J1144" s="848"/>
      <c r="K1144" s="849"/>
      <c r="O1144" s="799"/>
    </row>
    <row r="1145">
      <c r="A1145" s="853" t="s">
        <v>721</v>
      </c>
      <c r="B1145" s="854"/>
      <c r="C1145" s="855">
        <f>SUM(C1139:C1144)</f>
        <v>483.58</v>
      </c>
      <c r="G1145" s="799"/>
      <c r="H1145" s="283"/>
      <c r="I1145" s="853" t="s">
        <v>721</v>
      </c>
      <c r="J1145" s="854"/>
      <c r="K1145" s="855"/>
      <c r="O1145" s="799"/>
    </row>
    <row r="1146">
      <c r="A1146" s="856"/>
      <c r="B1146" s="857"/>
      <c r="C1146" s="857"/>
      <c r="D1146" s="857"/>
      <c r="E1146" s="857"/>
      <c r="F1146" s="857"/>
      <c r="G1146" s="808"/>
      <c r="H1146" s="283"/>
      <c r="I1146" s="856"/>
      <c r="J1146" s="857"/>
      <c r="K1146" s="857"/>
      <c r="L1146" s="857"/>
      <c r="M1146" s="857"/>
      <c r="N1146" s="857"/>
      <c r="O1146" s="808"/>
    </row>
    <row r="1147">
      <c r="A1147" s="199"/>
      <c r="B1147" s="199"/>
      <c r="C1147" s="199"/>
      <c r="D1147" s="248"/>
      <c r="E1147" s="248"/>
      <c r="F1147" s="248"/>
      <c r="G1147" s="248"/>
      <c r="H1147" s="283"/>
      <c r="I1147" s="199"/>
      <c r="J1147" s="199"/>
      <c r="K1147" s="199"/>
      <c r="L1147" s="248"/>
      <c r="M1147" s="248"/>
      <c r="N1147" s="248"/>
      <c r="O1147" s="248"/>
    </row>
    <row r="1148">
      <c r="A1148" s="199"/>
      <c r="B1148" s="199"/>
      <c r="C1148" s="199"/>
      <c r="D1148" s="248"/>
      <c r="E1148" s="248"/>
      <c r="F1148" s="248"/>
      <c r="G1148" s="248"/>
      <c r="H1148" s="283"/>
      <c r="I1148" s="199"/>
      <c r="J1148" s="199"/>
      <c r="K1148" s="199"/>
      <c r="L1148" s="248"/>
      <c r="M1148" s="248"/>
      <c r="N1148" s="248"/>
      <c r="O1148" s="248"/>
    </row>
    <row r="1149">
      <c r="A1149" s="769"/>
      <c r="B1149" s="770"/>
      <c r="C1149" s="770"/>
      <c r="D1149" s="771" t="s">
        <v>700</v>
      </c>
      <c r="E1149" s="772" t="str">
        <f>E343</f>
        <v>11.24.2025-11.30.2025</v>
      </c>
      <c r="F1149" s="773"/>
      <c r="G1149" s="774"/>
      <c r="H1149" s="305">
        <v>34.0</v>
      </c>
      <c r="I1149" s="769"/>
      <c r="J1149" s="770"/>
      <c r="K1149" s="770"/>
      <c r="L1149" s="771" t="s">
        <v>700</v>
      </c>
      <c r="M1149" s="772" t="str">
        <f>E343</f>
        <v>11.24.2025-11.30.2025</v>
      </c>
      <c r="N1149" s="773"/>
      <c r="O1149" s="774"/>
    </row>
    <row r="1150">
      <c r="A1150" s="775"/>
      <c r="D1150" s="771" t="s">
        <v>702</v>
      </c>
      <c r="E1150" s="772" t="s">
        <v>1491</v>
      </c>
      <c r="F1150" s="773"/>
      <c r="G1150" s="774"/>
      <c r="H1150" s="283"/>
      <c r="I1150" s="775"/>
      <c r="L1150" s="771" t="s">
        <v>351</v>
      </c>
      <c r="M1150" s="772" t="str">
        <f t="array" ref="M1150">XLOOKUP(M1151,$L$1:$L$122,$K$1:$K$122)</f>
        <v>#N/A</v>
      </c>
      <c r="N1150" s="773"/>
      <c r="O1150" s="774"/>
    </row>
    <row r="1151">
      <c r="A1151" s="775"/>
      <c r="D1151" s="771" t="s">
        <v>703</v>
      </c>
      <c r="E1151" s="772">
        <v>8775.0</v>
      </c>
      <c r="F1151" s="773"/>
      <c r="G1151" s="774"/>
      <c r="H1151" s="283"/>
      <c r="I1151" s="775"/>
      <c r="L1151" s="771" t="s">
        <v>703</v>
      </c>
      <c r="M1151" s="772">
        <f>E1151</f>
        <v>8775</v>
      </c>
      <c r="N1151" s="773"/>
      <c r="O1151" s="774"/>
    </row>
    <row r="1152">
      <c r="A1152" s="779" t="s">
        <v>704</v>
      </c>
      <c r="B1152" s="779" t="s">
        <v>5</v>
      </c>
      <c r="C1152" s="779" t="s">
        <v>6</v>
      </c>
      <c r="D1152" s="779" t="s">
        <v>7</v>
      </c>
      <c r="E1152" s="779" t="s">
        <v>8</v>
      </c>
      <c r="F1152" s="779" t="s">
        <v>706</v>
      </c>
      <c r="G1152" s="779" t="s">
        <v>707</v>
      </c>
      <c r="H1152" s="34"/>
      <c r="I1152" s="779" t="s">
        <v>704</v>
      </c>
      <c r="J1152" s="779" t="s">
        <v>5</v>
      </c>
      <c r="K1152" s="779" t="s">
        <v>6</v>
      </c>
      <c r="L1152" s="779" t="s">
        <v>7</v>
      </c>
      <c r="M1152" s="779" t="s">
        <v>1178</v>
      </c>
      <c r="N1152" s="779" t="s">
        <v>839</v>
      </c>
      <c r="O1152" s="779" t="s">
        <v>707</v>
      </c>
    </row>
    <row r="1153">
      <c r="A1153" s="780" t="str">
        <f>IFERROR(__xludf.DUMMYFUNCTION("FILTER($D$3:$H$122,$L$3:$L$122=E1151)"),"#N/A")</f>
        <v>#N/A</v>
      </c>
      <c r="B1153" s="781"/>
      <c r="C1153" s="781"/>
      <c r="D1153" s="781"/>
      <c r="E1153" s="782"/>
      <c r="F1153" s="783">
        <v>1.0</v>
      </c>
      <c r="G1153" s="782">
        <f>E1153*F1153</f>
        <v>0</v>
      </c>
      <c r="H1153" s="283"/>
      <c r="I1153" s="780" t="str">
        <f>IFERROR(__xludf.DUMMYFUNCTION("FILTER($D$3:$G$122,$L$3:$L$122=M1151)"),"#N/A")</f>
        <v>#N/A</v>
      </c>
      <c r="J1153" s="781"/>
      <c r="K1153" s="781"/>
      <c r="L1153" s="781"/>
      <c r="M1153" s="880" t="str">
        <f>IFERROR(__xludf.DUMMYFUNCTION("FILTER($I$3:$I$122,$L$3:$L$122=M1151)"),"#N/A")</f>
        <v>#N/A</v>
      </c>
      <c r="N1153" s="781">
        <v>0.65</v>
      </c>
      <c r="O1153" s="782" t="str">
        <f>M1153*N1153</f>
        <v>#N/A</v>
      </c>
    </row>
    <row r="1154">
      <c r="A1154" s="780"/>
      <c r="B1154" s="781"/>
      <c r="C1154" s="781"/>
      <c r="D1154" s="781"/>
      <c r="E1154" s="782"/>
      <c r="F1154" s="783"/>
      <c r="G1154" s="782"/>
      <c r="H1154" s="283"/>
      <c r="I1154" s="780"/>
      <c r="J1154" s="781"/>
      <c r="K1154" s="781"/>
      <c r="L1154" s="781"/>
      <c r="M1154" s="880"/>
      <c r="N1154" s="781"/>
      <c r="O1154" s="782"/>
    </row>
    <row r="1155">
      <c r="A1155" s="785"/>
      <c r="B1155" s="786"/>
      <c r="C1155" s="786"/>
      <c r="D1155" s="786"/>
      <c r="E1155" s="785"/>
      <c r="F1155" s="787"/>
      <c r="G1155" s="788"/>
      <c r="H1155" s="283"/>
      <c r="I1155" s="780"/>
      <c r="J1155" s="781"/>
      <c r="K1155" s="781"/>
      <c r="L1155" s="781"/>
      <c r="M1155" s="880"/>
      <c r="N1155" s="781"/>
      <c r="O1155" s="782"/>
    </row>
    <row r="1156">
      <c r="A1156" s="785"/>
      <c r="B1156" s="786"/>
      <c r="C1156" s="786"/>
      <c r="D1156" s="786"/>
      <c r="E1156" s="785"/>
      <c r="F1156" s="787"/>
      <c r="G1156" s="788"/>
      <c r="H1156" s="283"/>
      <c r="I1156" s="785"/>
      <c r="J1156" s="786"/>
      <c r="K1156" s="786"/>
      <c r="L1156" s="786"/>
      <c r="M1156" s="785"/>
      <c r="N1156" s="787"/>
      <c r="O1156" s="789"/>
    </row>
    <row r="1157">
      <c r="A1157" s="785"/>
      <c r="B1157" s="786"/>
      <c r="C1157" s="786"/>
      <c r="D1157" s="786"/>
      <c r="E1157" s="785"/>
      <c r="F1157" s="787"/>
      <c r="G1157" s="788"/>
      <c r="H1157" s="283"/>
      <c r="I1157" s="785"/>
      <c r="J1157" s="786"/>
      <c r="K1157" s="786"/>
      <c r="L1157" s="786"/>
      <c r="M1157" s="785"/>
      <c r="N1157" s="787"/>
      <c r="O1157" s="789"/>
    </row>
    <row r="1158">
      <c r="A1158" s="785"/>
      <c r="B1158" s="786"/>
      <c r="C1158" s="786"/>
      <c r="D1158" s="786"/>
      <c r="E1158" s="785"/>
      <c r="F1158" s="787"/>
      <c r="G1158" s="788"/>
      <c r="H1158" s="283"/>
      <c r="I1158" s="785"/>
      <c r="J1158" s="786"/>
      <c r="K1158" s="786"/>
      <c r="L1158" s="786"/>
      <c r="M1158" s="785"/>
      <c r="N1158" s="787"/>
      <c r="O1158" s="789"/>
    </row>
    <row r="1159">
      <c r="A1159" s="790" t="s">
        <v>711</v>
      </c>
      <c r="B1159" s="791"/>
      <c r="C1159" s="791"/>
      <c r="D1159" s="792"/>
      <c r="E1159" s="793">
        <f>SUM(E1153:E1158)</f>
        <v>0</v>
      </c>
      <c r="F1159" s="794"/>
      <c r="G1159" s="793">
        <f>SUM(G1153:G1158)</f>
        <v>0</v>
      </c>
      <c r="H1159" s="283"/>
      <c r="I1159" s="790" t="s">
        <v>711</v>
      </c>
      <c r="J1159" s="791"/>
      <c r="K1159" s="791"/>
      <c r="L1159" s="792"/>
      <c r="M1159" s="793" t="str">
        <f>SUM(M1153:M1158)</f>
        <v>#N/A</v>
      </c>
      <c r="N1159" s="794"/>
      <c r="O1159" s="793" t="str">
        <f>SUM(O1153:O1158)</f>
        <v>#N/A</v>
      </c>
    </row>
    <row r="1160">
      <c r="A1160" s="796"/>
      <c r="D1160" s="798"/>
      <c r="G1160" s="799"/>
      <c r="H1160" s="283"/>
      <c r="I1160" s="796"/>
      <c r="L1160" s="798"/>
      <c r="O1160" s="799"/>
    </row>
    <row r="1161">
      <c r="A1161" s="800" t="s">
        <v>712</v>
      </c>
      <c r="B1161" s="801"/>
      <c r="C1161" s="802"/>
      <c r="G1161" s="799"/>
      <c r="H1161" s="283"/>
      <c r="I1161" s="800" t="s">
        <v>712</v>
      </c>
      <c r="J1161" s="803"/>
      <c r="K1161" s="804"/>
      <c r="O1161" s="799"/>
    </row>
    <row r="1162">
      <c r="A1162" s="867"/>
      <c r="B1162" s="808"/>
      <c r="C1162" s="809"/>
      <c r="G1162" s="799"/>
      <c r="H1162" s="283"/>
      <c r="I1162" s="867"/>
      <c r="J1162" s="808"/>
      <c r="K1162" s="809"/>
      <c r="O1162" s="799"/>
    </row>
    <row r="1163">
      <c r="A1163" s="868"/>
      <c r="B1163" s="774"/>
      <c r="C1163" s="816"/>
      <c r="G1163" s="799"/>
      <c r="H1163" s="283"/>
      <c r="I1163" s="868"/>
      <c r="J1163" s="774"/>
      <c r="K1163" s="816"/>
      <c r="O1163" s="799"/>
    </row>
    <row r="1164">
      <c r="A1164" s="815"/>
      <c r="B1164" s="792"/>
      <c r="C1164" s="816"/>
      <c r="G1164" s="799"/>
      <c r="H1164" s="283"/>
      <c r="I1164" s="815"/>
      <c r="J1164" s="792"/>
      <c r="K1164" s="816"/>
      <c r="O1164" s="799"/>
    </row>
    <row r="1165">
      <c r="A1165" s="817"/>
      <c r="B1165" s="774"/>
      <c r="C1165" s="818"/>
      <c r="G1165" s="799"/>
      <c r="H1165" s="283"/>
      <c r="I1165" s="817"/>
      <c r="J1165" s="774"/>
      <c r="K1165" s="818"/>
      <c r="O1165" s="799"/>
    </row>
    <row r="1166">
      <c r="A1166" s="817"/>
      <c r="B1166" s="792"/>
      <c r="C1166" s="818"/>
      <c r="G1166" s="799"/>
      <c r="H1166" s="283"/>
      <c r="I1166" s="817"/>
      <c r="J1166" s="792"/>
      <c r="K1166" s="818"/>
      <c r="O1166" s="799"/>
    </row>
    <row r="1167">
      <c r="A1167" s="821" t="s">
        <v>714</v>
      </c>
      <c r="B1167" s="822"/>
      <c r="C1167" s="823">
        <f>SUM(C1162:C1166)</f>
        <v>0</v>
      </c>
      <c r="G1167" s="799"/>
      <c r="H1167" s="283"/>
      <c r="I1167" s="821" t="s">
        <v>714</v>
      </c>
      <c r="J1167" s="826"/>
      <c r="K1167" s="827"/>
      <c r="O1167" s="799"/>
    </row>
    <row r="1168">
      <c r="A1168" s="828"/>
      <c r="C1168" s="829"/>
      <c r="G1168" s="799"/>
      <c r="H1168" s="283"/>
      <c r="I1168" s="828"/>
      <c r="K1168" s="829"/>
      <c r="O1168" s="799"/>
    </row>
    <row r="1169">
      <c r="A1169" s="830" t="s">
        <v>715</v>
      </c>
      <c r="B1169" s="831"/>
      <c r="C1169" s="832"/>
      <c r="G1169" s="799"/>
      <c r="H1169" s="283"/>
      <c r="I1169" s="833" t="s">
        <v>715</v>
      </c>
      <c r="J1169" s="834"/>
      <c r="K1169" s="835"/>
      <c r="O1169" s="799"/>
    </row>
    <row r="1170">
      <c r="A1170" s="836" t="s">
        <v>716</v>
      </c>
      <c r="B1170" s="837"/>
      <c r="C1170" s="838"/>
      <c r="G1170" s="799"/>
      <c r="H1170" s="283"/>
      <c r="I1170" s="839"/>
      <c r="J1170" s="840"/>
      <c r="K1170" s="841"/>
      <c r="O1170" s="799"/>
    </row>
    <row r="1171">
      <c r="A1171" s="842" t="s">
        <v>717</v>
      </c>
      <c r="B1171" s="843"/>
      <c r="C1171" s="844"/>
      <c r="D1171" s="248"/>
      <c r="E1171" s="845" t="s">
        <v>1182</v>
      </c>
      <c r="G1171" s="846" t="str">
        <f>G1159+C1167-C1176</f>
        <v>#N/A</v>
      </c>
      <c r="H1171" s="283"/>
      <c r="I1171" s="847"/>
      <c r="J1171" s="848"/>
      <c r="K1171" s="849"/>
      <c r="L1171" s="248"/>
      <c r="M1171" s="845" t="s">
        <v>1183</v>
      </c>
      <c r="O1171" s="846" t="str">
        <f>O1159+K1167-K1176</f>
        <v>#N/A</v>
      </c>
    </row>
    <row r="1172">
      <c r="A1172" s="836" t="s">
        <v>718</v>
      </c>
      <c r="B1172" s="837"/>
      <c r="C1172" s="838"/>
      <c r="G1172" s="799"/>
      <c r="H1172" s="283"/>
      <c r="I1172" s="847"/>
      <c r="J1172" s="848"/>
      <c r="K1172" s="849"/>
      <c r="O1172" s="799"/>
    </row>
    <row r="1173">
      <c r="A1173" s="842" t="s">
        <v>656</v>
      </c>
      <c r="B1173" s="843"/>
      <c r="C1173" s="844" t="str">
        <f>IFERROR(__xludf.DUMMYFUNCTION("FILTER($C$4:$C$30,$B$4:$B$30=E1151)"),"#N/A")</f>
        <v>#N/A</v>
      </c>
      <c r="G1173" s="799"/>
      <c r="H1173" s="283"/>
      <c r="I1173" s="847"/>
      <c r="J1173" s="848"/>
      <c r="K1173" s="849"/>
      <c r="O1173" s="799"/>
    </row>
    <row r="1174">
      <c r="A1174" s="1049"/>
      <c r="B1174" s="840"/>
      <c r="C1174" s="849"/>
      <c r="E1174" s="248"/>
      <c r="G1174" s="799"/>
      <c r="H1174" s="283"/>
      <c r="I1174" s="847"/>
      <c r="J1174" s="848"/>
      <c r="K1174" s="849"/>
      <c r="M1174" s="248"/>
      <c r="O1174" s="799"/>
    </row>
    <row r="1175">
      <c r="A1175" s="847"/>
      <c r="B1175" s="848"/>
      <c r="C1175" s="849"/>
      <c r="G1175" s="799"/>
      <c r="H1175" s="283"/>
      <c r="I1175" s="847"/>
      <c r="J1175" s="848"/>
      <c r="K1175" s="849"/>
      <c r="O1175" s="799"/>
    </row>
    <row r="1176">
      <c r="A1176" s="853" t="s">
        <v>721</v>
      </c>
      <c r="B1176" s="854"/>
      <c r="C1176" s="855" t="str">
        <f>SUM(C1170:C1175)</f>
        <v>#N/A</v>
      </c>
      <c r="G1176" s="799"/>
      <c r="H1176" s="283"/>
      <c r="I1176" s="853" t="s">
        <v>721</v>
      </c>
      <c r="J1176" s="854"/>
      <c r="K1176" s="855"/>
      <c r="O1176" s="799"/>
    </row>
    <row r="1177">
      <c r="A1177" s="856"/>
      <c r="B1177" s="857"/>
      <c r="C1177" s="857"/>
      <c r="D1177" s="857"/>
      <c r="E1177" s="857"/>
      <c r="F1177" s="857"/>
      <c r="G1177" s="808"/>
      <c r="H1177" s="283"/>
      <c r="I1177" s="856"/>
      <c r="J1177" s="857"/>
      <c r="K1177" s="857"/>
      <c r="L1177" s="857"/>
      <c r="M1177" s="857"/>
      <c r="N1177" s="857"/>
      <c r="O1177" s="808"/>
    </row>
    <row r="1178">
      <c r="A1178" s="199"/>
      <c r="B1178" s="199"/>
      <c r="C1178" s="199"/>
      <c r="D1178" s="248"/>
      <c r="E1178" s="248"/>
      <c r="F1178" s="248"/>
      <c r="G1178" s="248"/>
      <c r="H1178" s="283"/>
      <c r="I1178" s="199"/>
      <c r="J1178" s="199"/>
      <c r="K1178" s="199"/>
      <c r="L1178" s="248"/>
      <c r="M1178" s="248"/>
      <c r="N1178" s="248"/>
      <c r="O1178" s="248"/>
    </row>
    <row r="1179">
      <c r="A1179" s="199"/>
      <c r="B1179" s="199"/>
      <c r="C1179" s="199"/>
      <c r="D1179" s="248"/>
      <c r="E1179" s="248"/>
      <c r="F1179" s="248"/>
      <c r="G1179" s="248"/>
      <c r="H1179" s="283"/>
      <c r="I1179" s="199"/>
      <c r="J1179" s="199"/>
      <c r="K1179" s="199"/>
      <c r="L1179" s="248"/>
      <c r="M1179" s="248"/>
      <c r="N1179" s="248"/>
      <c r="O1179" s="248"/>
    </row>
    <row r="1180">
      <c r="A1180" s="199"/>
      <c r="B1180" s="199"/>
      <c r="C1180" s="199"/>
      <c r="D1180" s="248"/>
      <c r="E1180" s="248"/>
      <c r="F1180" s="248"/>
      <c r="G1180" s="248"/>
      <c r="H1180" s="283"/>
      <c r="I1180" s="199"/>
      <c r="J1180" s="199"/>
      <c r="K1180" s="199"/>
      <c r="L1180" s="248"/>
      <c r="M1180" s="248"/>
      <c r="N1180" s="248"/>
      <c r="O1180" s="248"/>
    </row>
    <row r="1181">
      <c r="A1181" s="199"/>
      <c r="B1181" s="199"/>
      <c r="C1181" s="199"/>
      <c r="D1181" s="248"/>
      <c r="E1181" s="248"/>
      <c r="F1181" s="248"/>
      <c r="G1181" s="248"/>
      <c r="H1181" s="283"/>
      <c r="I1181" s="199"/>
      <c r="J1181" s="199"/>
      <c r="K1181" s="199"/>
      <c r="L1181" s="248"/>
      <c r="M1181" s="248"/>
      <c r="N1181" s="248"/>
      <c r="O1181" s="248"/>
    </row>
    <row r="1182">
      <c r="A1182" s="199"/>
      <c r="B1182" s="199"/>
      <c r="C1182" s="199"/>
      <c r="D1182" s="248"/>
      <c r="E1182" s="248"/>
      <c r="F1182" s="248"/>
      <c r="G1182" s="248"/>
      <c r="H1182" s="283"/>
      <c r="I1182" s="199"/>
      <c r="J1182" s="199"/>
      <c r="K1182" s="199"/>
      <c r="L1182" s="248"/>
      <c r="M1182" s="248"/>
      <c r="N1182" s="248"/>
      <c r="O1182" s="248"/>
    </row>
    <row r="1183">
      <c r="A1183" s="199"/>
      <c r="B1183" s="199"/>
      <c r="C1183" s="199"/>
      <c r="D1183" s="248"/>
      <c r="E1183" s="248"/>
      <c r="F1183" s="248"/>
      <c r="G1183" s="248"/>
      <c r="H1183" s="283"/>
      <c r="I1183" s="199"/>
      <c r="J1183" s="199"/>
      <c r="K1183" s="199"/>
      <c r="L1183" s="248"/>
      <c r="M1183" s="248"/>
      <c r="N1183" s="248"/>
      <c r="O1183" s="248"/>
    </row>
    <row r="1184">
      <c r="A1184" s="199"/>
      <c r="B1184" s="199"/>
      <c r="C1184" s="199"/>
      <c r="D1184" s="248"/>
      <c r="E1184" s="248"/>
      <c r="F1184" s="248"/>
      <c r="G1184" s="248"/>
      <c r="H1184" s="283"/>
      <c r="I1184" s="199"/>
      <c r="J1184" s="199"/>
      <c r="K1184" s="199"/>
      <c r="L1184" s="248"/>
      <c r="M1184" s="248"/>
      <c r="N1184" s="248"/>
      <c r="O1184" s="248"/>
    </row>
    <row r="1185">
      <c r="A1185" s="199"/>
      <c r="B1185" s="199"/>
      <c r="C1185" s="199"/>
      <c r="D1185" s="248"/>
      <c r="E1185" s="248"/>
      <c r="F1185" s="248"/>
      <c r="G1185" s="248"/>
      <c r="H1185" s="283"/>
      <c r="I1185" s="199"/>
      <c r="J1185" s="199"/>
      <c r="K1185" s="199"/>
      <c r="L1185" s="248"/>
      <c r="M1185" s="248"/>
      <c r="N1185" s="248"/>
      <c r="O1185" s="248"/>
    </row>
    <row r="1186">
      <c r="A1186" s="199"/>
      <c r="B1186" s="199"/>
      <c r="C1186" s="199"/>
      <c r="D1186" s="248"/>
      <c r="E1186" s="248"/>
      <c r="F1186" s="248"/>
      <c r="G1186" s="248"/>
      <c r="H1186" s="283"/>
      <c r="I1186" s="199"/>
      <c r="J1186" s="199"/>
      <c r="K1186" s="199"/>
      <c r="L1186" s="248"/>
      <c r="M1186" s="248"/>
      <c r="N1186" s="248"/>
      <c r="O1186" s="248"/>
    </row>
    <row r="1187">
      <c r="A1187" s="199"/>
      <c r="B1187" s="199"/>
      <c r="C1187" s="199"/>
      <c r="D1187" s="248"/>
      <c r="E1187" s="248"/>
      <c r="F1187" s="248"/>
      <c r="G1187" s="248"/>
      <c r="H1187" s="283"/>
      <c r="I1187" s="199"/>
      <c r="J1187" s="199"/>
      <c r="K1187" s="199"/>
      <c r="L1187" s="248"/>
      <c r="M1187" s="248"/>
      <c r="N1187" s="248"/>
      <c r="O1187" s="248"/>
    </row>
    <row r="1188">
      <c r="A1188" s="199"/>
      <c r="B1188" s="199"/>
      <c r="C1188" s="199"/>
      <c r="D1188" s="248"/>
      <c r="E1188" s="248"/>
      <c r="F1188" s="248"/>
      <c r="G1188" s="248"/>
      <c r="H1188" s="283"/>
      <c r="I1188" s="199"/>
      <c r="J1188" s="199"/>
      <c r="K1188" s="199"/>
      <c r="L1188" s="248"/>
      <c r="M1188" s="248"/>
      <c r="N1188" s="248"/>
      <c r="O1188" s="248"/>
    </row>
    <row r="1189">
      <c r="A1189" s="199"/>
      <c r="B1189" s="199"/>
      <c r="C1189" s="199"/>
      <c r="D1189" s="248"/>
      <c r="E1189" s="248"/>
      <c r="F1189" s="248"/>
      <c r="G1189" s="248"/>
      <c r="H1189" s="283"/>
      <c r="I1189" s="199"/>
      <c r="J1189" s="199"/>
      <c r="K1189" s="199"/>
      <c r="L1189" s="248"/>
      <c r="M1189" s="248"/>
      <c r="N1189" s="248"/>
      <c r="O1189" s="248"/>
    </row>
    <row r="1190">
      <c r="A1190" s="199"/>
      <c r="B1190" s="199"/>
      <c r="C1190" s="199"/>
      <c r="D1190" s="248"/>
      <c r="E1190" s="248"/>
      <c r="F1190" s="248"/>
      <c r="G1190" s="248"/>
      <c r="H1190" s="283"/>
      <c r="I1190" s="199"/>
      <c r="J1190" s="199"/>
      <c r="K1190" s="199"/>
      <c r="L1190" s="248"/>
      <c r="M1190" s="248"/>
      <c r="N1190" s="248"/>
      <c r="O1190" s="248"/>
    </row>
    <row r="1191">
      <c r="A1191" s="199"/>
      <c r="B1191" s="199"/>
      <c r="C1191" s="199"/>
      <c r="D1191" s="248"/>
      <c r="E1191" s="248"/>
      <c r="F1191" s="248"/>
      <c r="G1191" s="248"/>
      <c r="H1191" s="283"/>
      <c r="I1191" s="199"/>
      <c r="J1191" s="199"/>
      <c r="K1191" s="199"/>
      <c r="L1191" s="248"/>
      <c r="M1191" s="248"/>
      <c r="N1191" s="248"/>
      <c r="O1191" s="248"/>
    </row>
    <row r="1192">
      <c r="A1192" s="199"/>
      <c r="B1192" s="199"/>
      <c r="C1192" s="199"/>
      <c r="D1192" s="248"/>
      <c r="E1192" s="248"/>
      <c r="F1192" s="248"/>
      <c r="G1192" s="248"/>
      <c r="H1192" s="283"/>
      <c r="I1192" s="199"/>
      <c r="J1192" s="199"/>
      <c r="K1192" s="199"/>
      <c r="L1192" s="248"/>
      <c r="M1192" s="248"/>
      <c r="N1192" s="248"/>
      <c r="O1192" s="248"/>
    </row>
    <row r="1193">
      <c r="A1193" s="199"/>
      <c r="B1193" s="199"/>
      <c r="C1193" s="199"/>
      <c r="D1193" s="248"/>
      <c r="E1193" s="248"/>
      <c r="F1193" s="248"/>
      <c r="G1193" s="248"/>
      <c r="H1193" s="283"/>
      <c r="I1193" s="199"/>
      <c r="J1193" s="199"/>
      <c r="K1193" s="199"/>
      <c r="L1193" s="248"/>
      <c r="M1193" s="248"/>
      <c r="N1193" s="248"/>
      <c r="O1193" s="248"/>
    </row>
    <row r="1194">
      <c r="A1194" s="199"/>
      <c r="B1194" s="199"/>
      <c r="C1194" s="199"/>
      <c r="D1194" s="248"/>
      <c r="E1194" s="248"/>
      <c r="F1194" s="248"/>
      <c r="G1194" s="248"/>
      <c r="H1194" s="283"/>
      <c r="I1194" s="199"/>
      <c r="J1194" s="199"/>
      <c r="K1194" s="199"/>
      <c r="L1194" s="248"/>
      <c r="M1194" s="248"/>
      <c r="N1194" s="248"/>
      <c r="O1194" s="248"/>
    </row>
    <row r="1195">
      <c r="A1195" s="199"/>
      <c r="B1195" s="199"/>
      <c r="C1195" s="199"/>
      <c r="D1195" s="248"/>
      <c r="E1195" s="248"/>
      <c r="F1195" s="248"/>
      <c r="G1195" s="248"/>
      <c r="H1195" s="283"/>
      <c r="I1195" s="199"/>
      <c r="J1195" s="199"/>
      <c r="K1195" s="199"/>
      <c r="L1195" s="248"/>
      <c r="M1195" s="248"/>
      <c r="N1195" s="248"/>
      <c r="O1195" s="248"/>
    </row>
    <row r="1196">
      <c r="A1196" s="199"/>
      <c r="B1196" s="199"/>
      <c r="C1196" s="199"/>
      <c r="D1196" s="248"/>
      <c r="E1196" s="248"/>
      <c r="F1196" s="248"/>
      <c r="G1196" s="248"/>
      <c r="H1196" s="283"/>
      <c r="I1196" s="199"/>
      <c r="J1196" s="199"/>
      <c r="K1196" s="199"/>
      <c r="L1196" s="248"/>
      <c r="M1196" s="248"/>
      <c r="N1196" s="248"/>
      <c r="O1196" s="248"/>
    </row>
    <row r="1197">
      <c r="A1197" s="199"/>
      <c r="B1197" s="199"/>
      <c r="C1197" s="199"/>
      <c r="D1197" s="248"/>
      <c r="E1197" s="248"/>
      <c r="F1197" s="248"/>
      <c r="G1197" s="248"/>
      <c r="H1197" s="283"/>
      <c r="I1197" s="199"/>
      <c r="J1197" s="199"/>
      <c r="K1197" s="199"/>
      <c r="L1197" s="248"/>
      <c r="M1197" s="248"/>
      <c r="N1197" s="248"/>
      <c r="O1197" s="248"/>
    </row>
    <row r="1198">
      <c r="A1198" s="199"/>
      <c r="B1198" s="199"/>
      <c r="C1198" s="199"/>
      <c r="D1198" s="248"/>
      <c r="E1198" s="248"/>
      <c r="F1198" s="248"/>
      <c r="G1198" s="248"/>
      <c r="H1198" s="283"/>
      <c r="I1198" s="199"/>
      <c r="J1198" s="199"/>
      <c r="K1198" s="199"/>
      <c r="L1198" s="248"/>
      <c r="M1198" s="248"/>
      <c r="N1198" s="248"/>
      <c r="O1198" s="248"/>
    </row>
    <row r="1199">
      <c r="A1199" s="199"/>
      <c r="B1199" s="199"/>
      <c r="C1199" s="199"/>
      <c r="D1199" s="248"/>
      <c r="E1199" s="248"/>
      <c r="F1199" s="248"/>
      <c r="G1199" s="248"/>
      <c r="H1199" s="283"/>
      <c r="I1199" s="199"/>
      <c r="J1199" s="199"/>
      <c r="K1199" s="199"/>
      <c r="L1199" s="248"/>
      <c r="M1199" s="248"/>
      <c r="N1199" s="248"/>
      <c r="O1199" s="248"/>
    </row>
    <row r="1200">
      <c r="A1200" s="199"/>
      <c r="B1200" s="199"/>
      <c r="C1200" s="199"/>
      <c r="D1200" s="248"/>
      <c r="E1200" s="248"/>
      <c r="F1200" s="248"/>
      <c r="G1200" s="248"/>
      <c r="H1200" s="283"/>
      <c r="I1200" s="199"/>
      <c r="J1200" s="199"/>
      <c r="K1200" s="199"/>
      <c r="L1200" s="248"/>
      <c r="M1200" s="248"/>
      <c r="N1200" s="248"/>
      <c r="O1200" s="248"/>
    </row>
    <row r="1201">
      <c r="A1201" s="199"/>
      <c r="B1201" s="199"/>
      <c r="C1201" s="199"/>
      <c r="D1201" s="248"/>
      <c r="E1201" s="248"/>
      <c r="F1201" s="248"/>
      <c r="G1201" s="248"/>
      <c r="H1201" s="283"/>
      <c r="I1201" s="199"/>
      <c r="J1201" s="199"/>
      <c r="K1201" s="199"/>
      <c r="L1201" s="248"/>
      <c r="M1201" s="248"/>
      <c r="N1201" s="248"/>
      <c r="O1201" s="248"/>
    </row>
    <row r="1202">
      <c r="A1202" s="199"/>
      <c r="B1202" s="199"/>
      <c r="C1202" s="199"/>
      <c r="D1202" s="248"/>
      <c r="E1202" s="248"/>
      <c r="F1202" s="248"/>
      <c r="G1202" s="248"/>
      <c r="H1202" s="283"/>
      <c r="I1202" s="199"/>
      <c r="J1202" s="199"/>
      <c r="K1202" s="199"/>
      <c r="L1202" s="248"/>
      <c r="M1202" s="248"/>
      <c r="N1202" s="248"/>
      <c r="O1202" s="248"/>
    </row>
    <row r="1203">
      <c r="A1203" s="199"/>
      <c r="B1203" s="199"/>
      <c r="C1203" s="199"/>
      <c r="D1203" s="248"/>
      <c r="E1203" s="248"/>
      <c r="F1203" s="248"/>
      <c r="G1203" s="248"/>
      <c r="H1203" s="283"/>
      <c r="I1203" s="199"/>
      <c r="J1203" s="199"/>
      <c r="K1203" s="199"/>
      <c r="L1203" s="248"/>
      <c r="M1203" s="248"/>
      <c r="N1203" s="248"/>
      <c r="O1203" s="248"/>
    </row>
    <row r="1204">
      <c r="A1204" s="199"/>
      <c r="B1204" s="199"/>
      <c r="C1204" s="199"/>
      <c r="D1204" s="248"/>
      <c r="E1204" s="248"/>
      <c r="F1204" s="248"/>
      <c r="G1204" s="248"/>
      <c r="H1204" s="283"/>
      <c r="I1204" s="199"/>
      <c r="J1204" s="199"/>
      <c r="K1204" s="199"/>
      <c r="L1204" s="248"/>
      <c r="M1204" s="248"/>
      <c r="N1204" s="248"/>
      <c r="O1204" s="248"/>
    </row>
    <row r="1205">
      <c r="A1205" s="199"/>
      <c r="B1205" s="199"/>
      <c r="C1205" s="199"/>
      <c r="D1205" s="248"/>
      <c r="E1205" s="248"/>
      <c r="F1205" s="248"/>
      <c r="G1205" s="248"/>
      <c r="H1205" s="283"/>
      <c r="I1205" s="199"/>
      <c r="J1205" s="199"/>
      <c r="K1205" s="199"/>
      <c r="L1205" s="248"/>
      <c r="M1205" s="248"/>
      <c r="N1205" s="248"/>
      <c r="O1205" s="248"/>
    </row>
    <row r="1206">
      <c r="A1206" s="199"/>
      <c r="B1206" s="199"/>
      <c r="C1206" s="199"/>
      <c r="D1206" s="248"/>
      <c r="E1206" s="248"/>
      <c r="F1206" s="248"/>
      <c r="G1206" s="248"/>
      <c r="H1206" s="283"/>
      <c r="I1206" s="199"/>
      <c r="J1206" s="199"/>
      <c r="K1206" s="199"/>
      <c r="L1206" s="248"/>
      <c r="M1206" s="248"/>
      <c r="N1206" s="248"/>
      <c r="O1206" s="248"/>
    </row>
    <row r="1207">
      <c r="A1207" s="199"/>
      <c r="B1207" s="199"/>
      <c r="C1207" s="199"/>
      <c r="D1207" s="248"/>
      <c r="E1207" s="248"/>
      <c r="F1207" s="248"/>
      <c r="G1207" s="248"/>
      <c r="H1207" s="283"/>
      <c r="I1207" s="199"/>
      <c r="J1207" s="199"/>
      <c r="K1207" s="199"/>
      <c r="L1207" s="248"/>
      <c r="M1207" s="248"/>
      <c r="N1207" s="248"/>
      <c r="O1207" s="248"/>
    </row>
    <row r="1208">
      <c r="A1208" s="199"/>
      <c r="B1208" s="199"/>
      <c r="C1208" s="199"/>
      <c r="D1208" s="248"/>
      <c r="E1208" s="248"/>
      <c r="F1208" s="248"/>
      <c r="G1208" s="248"/>
      <c r="H1208" s="283"/>
      <c r="I1208" s="199"/>
      <c r="J1208" s="199"/>
      <c r="K1208" s="199"/>
      <c r="L1208" s="248"/>
      <c r="M1208" s="248"/>
      <c r="N1208" s="248"/>
      <c r="O1208" s="248"/>
    </row>
    <row r="1209">
      <c r="A1209" s="199"/>
      <c r="B1209" s="199"/>
      <c r="C1209" s="199"/>
      <c r="D1209" s="248"/>
      <c r="E1209" s="248"/>
      <c r="F1209" s="248"/>
      <c r="G1209" s="248"/>
      <c r="H1209" s="283"/>
      <c r="I1209" s="199"/>
      <c r="J1209" s="199"/>
      <c r="K1209" s="199"/>
      <c r="L1209" s="248"/>
      <c r="M1209" s="248"/>
      <c r="N1209" s="248"/>
      <c r="O1209" s="248"/>
    </row>
    <row r="1210">
      <c r="A1210" s="199"/>
      <c r="B1210" s="199"/>
      <c r="C1210" s="199"/>
      <c r="D1210" s="248"/>
      <c r="E1210" s="248"/>
      <c r="F1210" s="248"/>
      <c r="G1210" s="248"/>
      <c r="H1210" s="283"/>
      <c r="I1210" s="199"/>
      <c r="J1210" s="199"/>
      <c r="K1210" s="199"/>
      <c r="L1210" s="248"/>
      <c r="M1210" s="248"/>
      <c r="N1210" s="248"/>
      <c r="O1210" s="248"/>
    </row>
    <row r="1211">
      <c r="A1211" s="199"/>
      <c r="B1211" s="199"/>
      <c r="C1211" s="199"/>
      <c r="D1211" s="248"/>
      <c r="E1211" s="248"/>
      <c r="F1211" s="248"/>
      <c r="G1211" s="248"/>
      <c r="H1211" s="283"/>
      <c r="I1211" s="199"/>
      <c r="J1211" s="199"/>
      <c r="K1211" s="199"/>
      <c r="L1211" s="248"/>
      <c r="M1211" s="248"/>
      <c r="N1211" s="248"/>
      <c r="O1211" s="248"/>
    </row>
    <row r="1212">
      <c r="A1212" s="199"/>
      <c r="B1212" s="199"/>
      <c r="C1212" s="199"/>
      <c r="D1212" s="248"/>
      <c r="E1212" s="248"/>
      <c r="F1212" s="248"/>
      <c r="G1212" s="248"/>
      <c r="H1212" s="283"/>
      <c r="I1212" s="199"/>
      <c r="J1212" s="199"/>
      <c r="K1212" s="199"/>
      <c r="L1212" s="248"/>
      <c r="M1212" s="248"/>
      <c r="N1212" s="248"/>
      <c r="O1212" s="248"/>
    </row>
    <row r="1213">
      <c r="A1213" s="199"/>
      <c r="B1213" s="199"/>
      <c r="C1213" s="199"/>
      <c r="D1213" s="248"/>
      <c r="E1213" s="248"/>
      <c r="F1213" s="248"/>
      <c r="G1213" s="248"/>
      <c r="H1213" s="283"/>
      <c r="I1213" s="199"/>
      <c r="J1213" s="199"/>
      <c r="K1213" s="199"/>
      <c r="L1213" s="248"/>
      <c r="M1213" s="248"/>
      <c r="N1213" s="248"/>
      <c r="O1213" s="248"/>
    </row>
    <row r="1214">
      <c r="A1214" s="199"/>
      <c r="B1214" s="199"/>
      <c r="C1214" s="199"/>
      <c r="D1214" s="248"/>
      <c r="E1214" s="248"/>
      <c r="F1214" s="248"/>
      <c r="G1214" s="248"/>
      <c r="H1214" s="283"/>
      <c r="I1214" s="199"/>
      <c r="J1214" s="199"/>
      <c r="K1214" s="199"/>
      <c r="L1214" s="248"/>
      <c r="M1214" s="248"/>
      <c r="N1214" s="248"/>
      <c r="O1214" s="248"/>
    </row>
    <row r="1215">
      <c r="A1215" s="199"/>
      <c r="B1215" s="199"/>
      <c r="C1215" s="199"/>
      <c r="D1215" s="248"/>
      <c r="E1215" s="248"/>
      <c r="F1215" s="248"/>
      <c r="G1215" s="248"/>
      <c r="H1215" s="283"/>
      <c r="I1215" s="199"/>
      <c r="J1215" s="199"/>
      <c r="K1215" s="199"/>
      <c r="L1215" s="248"/>
      <c r="M1215" s="248"/>
      <c r="N1215" s="248"/>
      <c r="O1215" s="248"/>
    </row>
    <row r="1216">
      <c r="A1216" s="199"/>
      <c r="B1216" s="199"/>
      <c r="C1216" s="199"/>
      <c r="D1216" s="248"/>
      <c r="E1216" s="248"/>
      <c r="F1216" s="248"/>
      <c r="G1216" s="248"/>
      <c r="H1216" s="283"/>
      <c r="I1216" s="199"/>
      <c r="J1216" s="199"/>
      <c r="K1216" s="199"/>
      <c r="L1216" s="248"/>
      <c r="M1216" s="248"/>
      <c r="N1216" s="248"/>
      <c r="O1216" s="248"/>
    </row>
    <row r="1217">
      <c r="A1217" s="199"/>
      <c r="B1217" s="199"/>
      <c r="C1217" s="199"/>
      <c r="D1217" s="248"/>
      <c r="E1217" s="248"/>
      <c r="F1217" s="248"/>
      <c r="G1217" s="248"/>
      <c r="H1217" s="283"/>
      <c r="I1217" s="199"/>
      <c r="J1217" s="199"/>
      <c r="K1217" s="199"/>
      <c r="L1217" s="248"/>
      <c r="M1217" s="248"/>
      <c r="N1217" s="248"/>
      <c r="O1217" s="248"/>
    </row>
    <row r="1218">
      <c r="A1218" s="199"/>
      <c r="B1218" s="199"/>
      <c r="C1218" s="199"/>
      <c r="D1218" s="248"/>
      <c r="E1218" s="248"/>
      <c r="F1218" s="248"/>
      <c r="G1218" s="248"/>
      <c r="H1218" s="283"/>
      <c r="I1218" s="199"/>
      <c r="J1218" s="199"/>
      <c r="K1218" s="199"/>
      <c r="L1218" s="248"/>
      <c r="M1218" s="248"/>
      <c r="N1218" s="248"/>
      <c r="O1218" s="248"/>
    </row>
    <row r="1219">
      <c r="A1219" s="199"/>
      <c r="B1219" s="199"/>
      <c r="C1219" s="199"/>
      <c r="D1219" s="248"/>
      <c r="E1219" s="248"/>
      <c r="F1219" s="248"/>
      <c r="G1219" s="248"/>
      <c r="H1219" s="283"/>
      <c r="I1219" s="199"/>
      <c r="J1219" s="199"/>
      <c r="K1219" s="199"/>
      <c r="L1219" s="248"/>
      <c r="M1219" s="248"/>
      <c r="N1219" s="248"/>
      <c r="O1219" s="248"/>
    </row>
    <row r="1220">
      <c r="A1220" s="199"/>
      <c r="B1220" s="199"/>
      <c r="C1220" s="199"/>
      <c r="D1220" s="248"/>
      <c r="E1220" s="248"/>
      <c r="F1220" s="248"/>
      <c r="G1220" s="248"/>
      <c r="H1220" s="283"/>
      <c r="I1220" s="199"/>
      <c r="J1220" s="199"/>
      <c r="K1220" s="199"/>
      <c r="L1220" s="248"/>
      <c r="M1220" s="248"/>
      <c r="N1220" s="248"/>
      <c r="O1220" s="248"/>
    </row>
    <row r="1221">
      <c r="A1221" s="199"/>
      <c r="B1221" s="199"/>
      <c r="C1221" s="199"/>
      <c r="D1221" s="248"/>
      <c r="E1221" s="248"/>
      <c r="F1221" s="248"/>
      <c r="G1221" s="248"/>
      <c r="H1221" s="283"/>
      <c r="I1221" s="199"/>
      <c r="J1221" s="199"/>
      <c r="K1221" s="199"/>
      <c r="L1221" s="248"/>
      <c r="M1221" s="248"/>
      <c r="N1221" s="248"/>
      <c r="O1221" s="248"/>
    </row>
    <row r="1222">
      <c r="A1222" s="199"/>
      <c r="B1222" s="199"/>
      <c r="C1222" s="199"/>
      <c r="D1222" s="248"/>
      <c r="E1222" s="248"/>
      <c r="F1222" s="248"/>
      <c r="G1222" s="248"/>
      <c r="H1222" s="283"/>
      <c r="I1222" s="199"/>
      <c r="J1222" s="199"/>
      <c r="K1222" s="199"/>
      <c r="L1222" s="248"/>
      <c r="M1222" s="248"/>
      <c r="N1222" s="248"/>
      <c r="O1222" s="248"/>
    </row>
    <row r="1223">
      <c r="A1223" s="199"/>
      <c r="B1223" s="199"/>
      <c r="C1223" s="199"/>
      <c r="D1223" s="248"/>
      <c r="E1223" s="248"/>
      <c r="F1223" s="248"/>
      <c r="G1223" s="248"/>
      <c r="H1223" s="283"/>
      <c r="I1223" s="199"/>
      <c r="J1223" s="199"/>
      <c r="K1223" s="199"/>
      <c r="L1223" s="248"/>
      <c r="M1223" s="248"/>
      <c r="N1223" s="248"/>
      <c r="O1223" s="248"/>
    </row>
    <row r="1224">
      <c r="A1224" s="199"/>
      <c r="B1224" s="199"/>
      <c r="C1224" s="199"/>
      <c r="D1224" s="248"/>
      <c r="E1224" s="248"/>
      <c r="F1224" s="248"/>
      <c r="G1224" s="248"/>
      <c r="H1224" s="283"/>
      <c r="I1224" s="199"/>
      <c r="J1224" s="199"/>
      <c r="K1224" s="199"/>
      <c r="L1224" s="248"/>
      <c r="M1224" s="248"/>
      <c r="N1224" s="248"/>
      <c r="O1224" s="248"/>
    </row>
    <row r="1225">
      <c r="A1225" s="199"/>
      <c r="B1225" s="199"/>
      <c r="C1225" s="199"/>
      <c r="D1225" s="248"/>
      <c r="E1225" s="248"/>
      <c r="F1225" s="248"/>
      <c r="G1225" s="248"/>
      <c r="H1225" s="283"/>
      <c r="I1225" s="199"/>
      <c r="J1225" s="199"/>
      <c r="K1225" s="199"/>
      <c r="L1225" s="248"/>
      <c r="M1225" s="248"/>
      <c r="N1225" s="248"/>
      <c r="O1225" s="248"/>
    </row>
    <row r="1226">
      <c r="A1226" s="199"/>
      <c r="B1226" s="199"/>
      <c r="C1226" s="199"/>
      <c r="D1226" s="248"/>
      <c r="E1226" s="248"/>
      <c r="F1226" s="248"/>
      <c r="G1226" s="248"/>
      <c r="H1226" s="283"/>
      <c r="I1226" s="199"/>
      <c r="J1226" s="199"/>
      <c r="K1226" s="199"/>
      <c r="L1226" s="248"/>
      <c r="M1226" s="248"/>
      <c r="N1226" s="248"/>
      <c r="O1226" s="248"/>
    </row>
    <row r="1227">
      <c r="A1227" s="199"/>
      <c r="B1227" s="199"/>
      <c r="C1227" s="199"/>
      <c r="D1227" s="248"/>
      <c r="E1227" s="248"/>
      <c r="F1227" s="248"/>
      <c r="G1227" s="248"/>
      <c r="H1227" s="283"/>
      <c r="I1227" s="199"/>
      <c r="J1227" s="199"/>
      <c r="K1227" s="199"/>
      <c r="L1227" s="248"/>
      <c r="M1227" s="248"/>
      <c r="N1227" s="248"/>
      <c r="O1227" s="248"/>
    </row>
    <row r="1228">
      <c r="A1228" s="199"/>
      <c r="B1228" s="199"/>
      <c r="C1228" s="199"/>
      <c r="D1228" s="248"/>
      <c r="E1228" s="248"/>
      <c r="F1228" s="248"/>
      <c r="G1228" s="248"/>
      <c r="H1228" s="283"/>
      <c r="I1228" s="199"/>
      <c r="J1228" s="199"/>
      <c r="K1228" s="199"/>
      <c r="L1228" s="248"/>
      <c r="M1228" s="248"/>
      <c r="N1228" s="248"/>
      <c r="O1228" s="248"/>
    </row>
    <row r="1229">
      <c r="A1229" s="199"/>
      <c r="B1229" s="199"/>
      <c r="C1229" s="199"/>
      <c r="D1229" s="248"/>
      <c r="E1229" s="248"/>
      <c r="F1229" s="248"/>
      <c r="G1229" s="248"/>
      <c r="H1229" s="283"/>
      <c r="I1229" s="199"/>
      <c r="J1229" s="199"/>
      <c r="K1229" s="199"/>
      <c r="L1229" s="248"/>
      <c r="M1229" s="248"/>
      <c r="N1229" s="248"/>
      <c r="O1229" s="248"/>
    </row>
    <row r="1230">
      <c r="A1230" s="199"/>
      <c r="B1230" s="199"/>
      <c r="C1230" s="199"/>
      <c r="D1230" s="248"/>
      <c r="E1230" s="248"/>
      <c r="F1230" s="248"/>
      <c r="G1230" s="248"/>
      <c r="H1230" s="283"/>
      <c r="I1230" s="199"/>
      <c r="J1230" s="199"/>
      <c r="K1230" s="199"/>
      <c r="L1230" s="248"/>
      <c r="M1230" s="248"/>
      <c r="N1230" s="248"/>
      <c r="O1230" s="248"/>
    </row>
    <row r="1231">
      <c r="A1231" s="199"/>
      <c r="B1231" s="199"/>
      <c r="C1231" s="199"/>
      <c r="D1231" s="248"/>
      <c r="E1231" s="248"/>
      <c r="F1231" s="248"/>
      <c r="G1231" s="248"/>
      <c r="H1231" s="283"/>
      <c r="I1231" s="199"/>
      <c r="J1231" s="199"/>
      <c r="K1231" s="199"/>
      <c r="L1231" s="248"/>
      <c r="M1231" s="248"/>
      <c r="N1231" s="248"/>
      <c r="O1231" s="248"/>
    </row>
    <row r="1232">
      <c r="A1232" s="199"/>
      <c r="B1232" s="199"/>
      <c r="C1232" s="199"/>
      <c r="D1232" s="248"/>
      <c r="E1232" s="248"/>
      <c r="F1232" s="248"/>
      <c r="G1232" s="248"/>
      <c r="H1232" s="283"/>
      <c r="I1232" s="199"/>
      <c r="J1232" s="199"/>
      <c r="K1232" s="199"/>
      <c r="L1232" s="248"/>
      <c r="M1232" s="248"/>
      <c r="N1232" s="248"/>
      <c r="O1232" s="248"/>
    </row>
    <row r="1233">
      <c r="A1233" s="199"/>
      <c r="B1233" s="199"/>
      <c r="C1233" s="199"/>
      <c r="D1233" s="248"/>
      <c r="E1233" s="248"/>
      <c r="F1233" s="248"/>
      <c r="G1233" s="248"/>
      <c r="H1233" s="283"/>
      <c r="I1233" s="199"/>
      <c r="J1233" s="199"/>
      <c r="K1233" s="199"/>
      <c r="L1233" s="248"/>
      <c r="M1233" s="248"/>
      <c r="N1233" s="248"/>
      <c r="O1233" s="248"/>
    </row>
    <row r="1234">
      <c r="A1234" s="199"/>
      <c r="B1234" s="199"/>
      <c r="C1234" s="199"/>
      <c r="D1234" s="248"/>
      <c r="E1234" s="248"/>
      <c r="F1234" s="248"/>
      <c r="G1234" s="248"/>
      <c r="H1234" s="283"/>
      <c r="I1234" s="199"/>
      <c r="J1234" s="199"/>
      <c r="K1234" s="199"/>
      <c r="L1234" s="248"/>
      <c r="M1234" s="248"/>
      <c r="N1234" s="248"/>
      <c r="O1234" s="248"/>
    </row>
    <row r="1235">
      <c r="A1235" s="199"/>
      <c r="B1235" s="199"/>
      <c r="C1235" s="199"/>
      <c r="D1235" s="248"/>
      <c r="E1235" s="248"/>
      <c r="F1235" s="248"/>
      <c r="G1235" s="248"/>
      <c r="H1235" s="283"/>
      <c r="I1235" s="199"/>
      <c r="J1235" s="199"/>
      <c r="K1235" s="199"/>
      <c r="L1235" s="248"/>
      <c r="M1235" s="248"/>
      <c r="N1235" s="248"/>
      <c r="O1235" s="248"/>
    </row>
    <row r="1236">
      <c r="A1236" s="199"/>
      <c r="B1236" s="199"/>
      <c r="C1236" s="199"/>
      <c r="D1236" s="248"/>
      <c r="E1236" s="248"/>
      <c r="F1236" s="248"/>
      <c r="G1236" s="248"/>
      <c r="H1236" s="283"/>
      <c r="I1236" s="199"/>
      <c r="J1236" s="199"/>
      <c r="K1236" s="199"/>
      <c r="L1236" s="248"/>
      <c r="M1236" s="248"/>
      <c r="N1236" s="248"/>
      <c r="O1236" s="248"/>
    </row>
    <row r="1237">
      <c r="A1237" s="199"/>
      <c r="B1237" s="199"/>
      <c r="C1237" s="199"/>
      <c r="D1237" s="248"/>
      <c r="E1237" s="248"/>
      <c r="F1237" s="248"/>
      <c r="G1237" s="248"/>
      <c r="H1237" s="283"/>
      <c r="I1237" s="199"/>
      <c r="J1237" s="199"/>
      <c r="K1237" s="199"/>
      <c r="L1237" s="248"/>
      <c r="M1237" s="248"/>
      <c r="N1237" s="248"/>
      <c r="O1237" s="248"/>
    </row>
    <row r="1238">
      <c r="A1238" s="199"/>
      <c r="B1238" s="199"/>
      <c r="C1238" s="199"/>
      <c r="D1238" s="248"/>
      <c r="E1238" s="248"/>
      <c r="F1238" s="248"/>
      <c r="G1238" s="248"/>
      <c r="H1238" s="283"/>
      <c r="I1238" s="199"/>
      <c r="J1238" s="199"/>
      <c r="K1238" s="199"/>
      <c r="L1238" s="248"/>
      <c r="M1238" s="248"/>
      <c r="N1238" s="248"/>
      <c r="O1238" s="248"/>
    </row>
    <row r="1239">
      <c r="A1239" s="199"/>
      <c r="B1239" s="199"/>
      <c r="C1239" s="199"/>
      <c r="D1239" s="248"/>
      <c r="E1239" s="248"/>
      <c r="F1239" s="248"/>
      <c r="G1239" s="248"/>
      <c r="H1239" s="283"/>
      <c r="I1239" s="199"/>
      <c r="J1239" s="199"/>
      <c r="K1239" s="199"/>
      <c r="L1239" s="248"/>
      <c r="M1239" s="248"/>
      <c r="N1239" s="248"/>
      <c r="O1239" s="248"/>
    </row>
    <row r="1240">
      <c r="A1240" s="199"/>
      <c r="B1240" s="199"/>
      <c r="C1240" s="199"/>
      <c r="D1240" s="248"/>
      <c r="E1240" s="248"/>
      <c r="F1240" s="248"/>
      <c r="G1240" s="248"/>
      <c r="H1240" s="283"/>
      <c r="I1240" s="199"/>
      <c r="J1240" s="199"/>
      <c r="K1240" s="199"/>
      <c r="L1240" s="248"/>
      <c r="M1240" s="248"/>
      <c r="N1240" s="248"/>
      <c r="O1240" s="248"/>
    </row>
    <row r="1241">
      <c r="A1241" s="199"/>
      <c r="B1241" s="199"/>
      <c r="C1241" s="199"/>
      <c r="D1241" s="248"/>
      <c r="E1241" s="248"/>
      <c r="F1241" s="248"/>
      <c r="G1241" s="248"/>
      <c r="H1241" s="283"/>
      <c r="I1241" s="199"/>
      <c r="J1241" s="199"/>
      <c r="K1241" s="199"/>
      <c r="L1241" s="248"/>
      <c r="M1241" s="248"/>
      <c r="N1241" s="248"/>
      <c r="O1241" s="248"/>
    </row>
    <row r="1242">
      <c r="A1242" s="199"/>
      <c r="B1242" s="199"/>
      <c r="C1242" s="199"/>
      <c r="D1242" s="248"/>
      <c r="E1242" s="248"/>
      <c r="F1242" s="248"/>
      <c r="G1242" s="248"/>
      <c r="H1242" s="283"/>
      <c r="I1242" s="199"/>
      <c r="J1242" s="199"/>
      <c r="K1242" s="199"/>
      <c r="L1242" s="248"/>
      <c r="M1242" s="248"/>
      <c r="N1242" s="248"/>
      <c r="O1242" s="248"/>
    </row>
    <row r="1243">
      <c r="A1243" s="199"/>
      <c r="B1243" s="199"/>
      <c r="C1243" s="199"/>
      <c r="D1243" s="248"/>
      <c r="E1243" s="248"/>
      <c r="F1243" s="248"/>
      <c r="G1243" s="248"/>
      <c r="H1243" s="283"/>
      <c r="I1243" s="199"/>
      <c r="J1243" s="199"/>
      <c r="K1243" s="199"/>
      <c r="L1243" s="248"/>
      <c r="M1243" s="248"/>
      <c r="N1243" s="248"/>
      <c r="O1243" s="248"/>
    </row>
    <row r="1244">
      <c r="A1244" s="199"/>
      <c r="B1244" s="199"/>
      <c r="C1244" s="199"/>
      <c r="D1244" s="248"/>
      <c r="E1244" s="248"/>
      <c r="F1244" s="248"/>
      <c r="G1244" s="248"/>
      <c r="H1244" s="283"/>
      <c r="I1244" s="199"/>
      <c r="J1244" s="199"/>
      <c r="K1244" s="199"/>
      <c r="L1244" s="248"/>
      <c r="M1244" s="248"/>
      <c r="N1244" s="248"/>
      <c r="O1244" s="248"/>
    </row>
    <row r="1245">
      <c r="A1245" s="199"/>
      <c r="B1245" s="199"/>
      <c r="C1245" s="199"/>
      <c r="D1245" s="248"/>
      <c r="E1245" s="248"/>
      <c r="F1245" s="248"/>
      <c r="G1245" s="248"/>
      <c r="H1245" s="283"/>
      <c r="I1245" s="199"/>
      <c r="J1245" s="199"/>
      <c r="K1245" s="199"/>
      <c r="L1245" s="248"/>
      <c r="M1245" s="248"/>
      <c r="N1245" s="248"/>
      <c r="O1245" s="248"/>
    </row>
    <row r="1246">
      <c r="A1246" s="199"/>
      <c r="B1246" s="199"/>
      <c r="C1246" s="199"/>
      <c r="D1246" s="248"/>
      <c r="E1246" s="248"/>
      <c r="F1246" s="248"/>
      <c r="G1246" s="248"/>
      <c r="H1246" s="283"/>
      <c r="I1246" s="199"/>
      <c r="J1246" s="199"/>
      <c r="K1246" s="199"/>
      <c r="L1246" s="248"/>
      <c r="M1246" s="248"/>
      <c r="N1246" s="248"/>
      <c r="O1246" s="248"/>
    </row>
    <row r="1247">
      <c r="A1247" s="199"/>
      <c r="B1247" s="199"/>
      <c r="C1247" s="199"/>
      <c r="D1247" s="248"/>
      <c r="E1247" s="248"/>
      <c r="F1247" s="248"/>
      <c r="G1247" s="248"/>
      <c r="H1247" s="283"/>
      <c r="I1247" s="199"/>
      <c r="J1247" s="199"/>
      <c r="K1247" s="199"/>
      <c r="L1247" s="248"/>
      <c r="M1247" s="248"/>
      <c r="N1247" s="248"/>
      <c r="O1247" s="248"/>
    </row>
    <row r="1248">
      <c r="A1248" s="199"/>
      <c r="B1248" s="199"/>
      <c r="C1248" s="199"/>
      <c r="D1248" s="248"/>
      <c r="E1248" s="248"/>
      <c r="F1248" s="248"/>
      <c r="G1248" s="248"/>
      <c r="H1248" s="283"/>
      <c r="I1248" s="199"/>
      <c r="J1248" s="199"/>
      <c r="K1248" s="199"/>
      <c r="L1248" s="248"/>
      <c r="M1248" s="248"/>
      <c r="N1248" s="248"/>
      <c r="O1248" s="248"/>
    </row>
    <row r="1249">
      <c r="A1249" s="199"/>
      <c r="B1249" s="199"/>
      <c r="C1249" s="199"/>
      <c r="D1249" s="248"/>
      <c r="E1249" s="248"/>
      <c r="F1249" s="248"/>
      <c r="G1249" s="248"/>
      <c r="H1249" s="283"/>
      <c r="I1249" s="199"/>
      <c r="J1249" s="199"/>
      <c r="K1249" s="199"/>
      <c r="L1249" s="248"/>
      <c r="M1249" s="248"/>
      <c r="N1249" s="248"/>
      <c r="O1249" s="248"/>
    </row>
    <row r="1250">
      <c r="A1250" s="199"/>
      <c r="B1250" s="199"/>
      <c r="C1250" s="199"/>
      <c r="D1250" s="248"/>
      <c r="E1250" s="248"/>
      <c r="F1250" s="248"/>
      <c r="G1250" s="248"/>
      <c r="H1250" s="283"/>
      <c r="I1250" s="199"/>
      <c r="J1250" s="199"/>
      <c r="K1250" s="199"/>
      <c r="L1250" s="248"/>
      <c r="M1250" s="248"/>
      <c r="N1250" s="248"/>
      <c r="O1250" s="248"/>
    </row>
    <row r="1251">
      <c r="A1251" s="199"/>
      <c r="B1251" s="199"/>
      <c r="C1251" s="199"/>
      <c r="D1251" s="248"/>
      <c r="E1251" s="248"/>
      <c r="F1251" s="248"/>
      <c r="G1251" s="248"/>
      <c r="H1251" s="283"/>
      <c r="I1251" s="199"/>
      <c r="J1251" s="199"/>
      <c r="K1251" s="199"/>
      <c r="L1251" s="248"/>
      <c r="M1251" s="248"/>
      <c r="N1251" s="248"/>
      <c r="O1251" s="248"/>
    </row>
    <row r="1252">
      <c r="A1252" s="199"/>
      <c r="B1252" s="199"/>
      <c r="C1252" s="199"/>
      <c r="D1252" s="248"/>
      <c r="E1252" s="248"/>
      <c r="F1252" s="248"/>
      <c r="G1252" s="248"/>
      <c r="H1252" s="283"/>
      <c r="I1252" s="199"/>
      <c r="J1252" s="199"/>
      <c r="K1252" s="199"/>
      <c r="L1252" s="248"/>
      <c r="M1252" s="248"/>
      <c r="N1252" s="248"/>
      <c r="O1252" s="248"/>
    </row>
    <row r="1253">
      <c r="A1253" s="199"/>
      <c r="B1253" s="199"/>
      <c r="C1253" s="199"/>
      <c r="D1253" s="248"/>
      <c r="E1253" s="248"/>
      <c r="F1253" s="248"/>
      <c r="G1253" s="248"/>
      <c r="H1253" s="283"/>
      <c r="I1253" s="199"/>
      <c r="J1253" s="199"/>
      <c r="K1253" s="199"/>
      <c r="L1253" s="248"/>
      <c r="M1253" s="248"/>
      <c r="N1253" s="248"/>
      <c r="O1253" s="248"/>
    </row>
    <row r="1254">
      <c r="A1254" s="199"/>
      <c r="B1254" s="199"/>
      <c r="C1254" s="199"/>
      <c r="D1254" s="248"/>
      <c r="E1254" s="248"/>
      <c r="F1254" s="248"/>
      <c r="G1254" s="248"/>
      <c r="H1254" s="283"/>
      <c r="I1254" s="199"/>
      <c r="J1254" s="199"/>
      <c r="K1254" s="199"/>
      <c r="L1254" s="248"/>
      <c r="M1254" s="248"/>
      <c r="N1254" s="248"/>
      <c r="O1254" s="248"/>
    </row>
    <row r="1255">
      <c r="A1255" s="199"/>
      <c r="B1255" s="199"/>
      <c r="C1255" s="199"/>
      <c r="D1255" s="248"/>
      <c r="E1255" s="248"/>
      <c r="F1255" s="248"/>
      <c r="G1255" s="248"/>
      <c r="H1255" s="283"/>
      <c r="I1255" s="199"/>
      <c r="J1255" s="199"/>
      <c r="K1255" s="199"/>
      <c r="L1255" s="248"/>
      <c r="M1255" s="248"/>
      <c r="N1255" s="248"/>
      <c r="O1255" s="248"/>
    </row>
    <row r="1256">
      <c r="A1256" s="199"/>
      <c r="B1256" s="199"/>
      <c r="C1256" s="199"/>
      <c r="D1256" s="248"/>
      <c r="E1256" s="248"/>
      <c r="F1256" s="248"/>
      <c r="G1256" s="248"/>
      <c r="H1256" s="283"/>
      <c r="I1256" s="199"/>
      <c r="J1256" s="199"/>
      <c r="K1256" s="199"/>
      <c r="L1256" s="248"/>
      <c r="M1256" s="248"/>
      <c r="N1256" s="248"/>
      <c r="O1256" s="248"/>
    </row>
    <row r="1257">
      <c r="A1257" s="199"/>
      <c r="B1257" s="199"/>
      <c r="C1257" s="199"/>
      <c r="D1257" s="248"/>
      <c r="E1257" s="248"/>
      <c r="F1257" s="248"/>
      <c r="G1257" s="248"/>
      <c r="H1257" s="283"/>
      <c r="I1257" s="199"/>
      <c r="J1257" s="199"/>
      <c r="K1257" s="199"/>
      <c r="L1257" s="248"/>
      <c r="M1257" s="248"/>
      <c r="N1257" s="248"/>
      <c r="O1257" s="248"/>
    </row>
    <row r="1258">
      <c r="A1258" s="199"/>
      <c r="B1258" s="199"/>
      <c r="C1258" s="199"/>
      <c r="D1258" s="248"/>
      <c r="E1258" s="248"/>
      <c r="F1258" s="248"/>
      <c r="G1258" s="248"/>
      <c r="H1258" s="283"/>
      <c r="I1258" s="199"/>
      <c r="J1258" s="199"/>
      <c r="K1258" s="199"/>
      <c r="L1258" s="248"/>
      <c r="M1258" s="248"/>
      <c r="N1258" s="248"/>
      <c r="O1258" s="248"/>
    </row>
    <row r="1259">
      <c r="A1259" s="199"/>
      <c r="B1259" s="199"/>
      <c r="C1259" s="199"/>
      <c r="D1259" s="248"/>
      <c r="E1259" s="248"/>
      <c r="F1259" s="248"/>
      <c r="G1259" s="248"/>
      <c r="H1259" s="283"/>
      <c r="I1259" s="199"/>
      <c r="J1259" s="199"/>
      <c r="K1259" s="199"/>
      <c r="L1259" s="248"/>
      <c r="M1259" s="248"/>
      <c r="N1259" s="248"/>
      <c r="O1259" s="248"/>
    </row>
    <row r="1260">
      <c r="A1260" s="199"/>
      <c r="B1260" s="199"/>
      <c r="C1260" s="199"/>
      <c r="D1260" s="248"/>
      <c r="E1260" s="248"/>
      <c r="F1260" s="248"/>
      <c r="G1260" s="248"/>
      <c r="H1260" s="283"/>
      <c r="I1260" s="199"/>
      <c r="J1260" s="199"/>
      <c r="K1260" s="199"/>
      <c r="L1260" s="248"/>
      <c r="M1260" s="248"/>
      <c r="N1260" s="248"/>
      <c r="O1260" s="248"/>
    </row>
    <row r="1261">
      <c r="A1261" s="199"/>
      <c r="B1261" s="199"/>
      <c r="C1261" s="199"/>
      <c r="D1261" s="248"/>
      <c r="E1261" s="248"/>
      <c r="F1261" s="248"/>
      <c r="G1261" s="248"/>
      <c r="H1261" s="283"/>
      <c r="I1261" s="199"/>
      <c r="J1261" s="199"/>
      <c r="K1261" s="199"/>
      <c r="L1261" s="248"/>
      <c r="M1261" s="248"/>
      <c r="N1261" s="248"/>
      <c r="O1261" s="248"/>
    </row>
    <row r="1262">
      <c r="A1262" s="199"/>
      <c r="B1262" s="199"/>
      <c r="C1262" s="199"/>
      <c r="D1262" s="248"/>
      <c r="E1262" s="248"/>
      <c r="F1262" s="248"/>
      <c r="G1262" s="248"/>
      <c r="H1262" s="283"/>
      <c r="I1262" s="199"/>
      <c r="J1262" s="199"/>
      <c r="K1262" s="199"/>
      <c r="L1262" s="248"/>
      <c r="M1262" s="248"/>
      <c r="N1262" s="248"/>
      <c r="O1262" s="248"/>
    </row>
    <row r="1263">
      <c r="A1263" s="199"/>
      <c r="B1263" s="199"/>
      <c r="C1263" s="199"/>
      <c r="D1263" s="248"/>
      <c r="E1263" s="248"/>
      <c r="F1263" s="248"/>
      <c r="G1263" s="248"/>
      <c r="H1263" s="283"/>
      <c r="I1263" s="199"/>
      <c r="J1263" s="199"/>
      <c r="K1263" s="199"/>
      <c r="L1263" s="248"/>
      <c r="M1263" s="248"/>
      <c r="N1263" s="248"/>
      <c r="O1263" s="248"/>
    </row>
    <row r="1264">
      <c r="A1264" s="199"/>
      <c r="B1264" s="199"/>
      <c r="C1264" s="199"/>
      <c r="D1264" s="248"/>
      <c r="E1264" s="248"/>
      <c r="F1264" s="248"/>
      <c r="G1264" s="248"/>
      <c r="H1264" s="283"/>
      <c r="I1264" s="199"/>
      <c r="J1264" s="199"/>
      <c r="K1264" s="199"/>
      <c r="L1264" s="248"/>
      <c r="M1264" s="248"/>
      <c r="N1264" s="248"/>
      <c r="O1264" s="248"/>
    </row>
    <row r="1265">
      <c r="A1265" s="199"/>
      <c r="B1265" s="199"/>
      <c r="C1265" s="199"/>
      <c r="D1265" s="248"/>
      <c r="E1265" s="248"/>
      <c r="F1265" s="248"/>
      <c r="G1265" s="248"/>
      <c r="H1265" s="283"/>
      <c r="I1265" s="199"/>
      <c r="J1265" s="199"/>
      <c r="K1265" s="199"/>
      <c r="L1265" s="248"/>
      <c r="M1265" s="248"/>
      <c r="N1265" s="248"/>
      <c r="O1265" s="248"/>
    </row>
    <row r="1266">
      <c r="A1266" s="199"/>
      <c r="B1266" s="199"/>
      <c r="C1266" s="199"/>
      <c r="D1266" s="248"/>
      <c r="E1266" s="248"/>
      <c r="F1266" s="248"/>
      <c r="G1266" s="248"/>
      <c r="H1266" s="283"/>
      <c r="I1266" s="199"/>
      <c r="J1266" s="199"/>
      <c r="K1266" s="199"/>
      <c r="L1266" s="248"/>
      <c r="M1266" s="248"/>
      <c r="N1266" s="248"/>
      <c r="O1266" s="248"/>
    </row>
    <row r="1267">
      <c r="A1267" s="199"/>
      <c r="B1267" s="199"/>
      <c r="C1267" s="199"/>
      <c r="D1267" s="248"/>
      <c r="E1267" s="248"/>
      <c r="F1267" s="248"/>
      <c r="G1267" s="248"/>
      <c r="H1267" s="283"/>
      <c r="I1267" s="199"/>
      <c r="J1267" s="199"/>
      <c r="K1267" s="199"/>
      <c r="L1267" s="248"/>
      <c r="M1267" s="248"/>
      <c r="N1267" s="248"/>
      <c r="O1267" s="248"/>
    </row>
    <row r="1268">
      <c r="A1268" s="199"/>
      <c r="B1268" s="199"/>
      <c r="C1268" s="199"/>
      <c r="D1268" s="248"/>
      <c r="E1268" s="248"/>
      <c r="F1268" s="248"/>
      <c r="G1268" s="248"/>
      <c r="H1268" s="283"/>
      <c r="I1268" s="199"/>
      <c r="J1268" s="199"/>
      <c r="K1268" s="199"/>
      <c r="L1268" s="248"/>
      <c r="M1268" s="248"/>
      <c r="N1268" s="248"/>
      <c r="O1268" s="248"/>
    </row>
    <row r="1269">
      <c r="A1269" s="199"/>
      <c r="B1269" s="199"/>
      <c r="C1269" s="199"/>
      <c r="D1269" s="248"/>
      <c r="E1269" s="248"/>
      <c r="F1269" s="248"/>
      <c r="G1269" s="248"/>
      <c r="H1269" s="283"/>
      <c r="I1269" s="199"/>
      <c r="J1269" s="199"/>
      <c r="K1269" s="199"/>
      <c r="L1269" s="248"/>
      <c r="M1269" s="248"/>
      <c r="N1269" s="248"/>
      <c r="O1269" s="248"/>
    </row>
    <row r="1270">
      <c r="A1270" s="199"/>
      <c r="B1270" s="199"/>
      <c r="C1270" s="199"/>
      <c r="D1270" s="248"/>
      <c r="E1270" s="248"/>
      <c r="F1270" s="248"/>
      <c r="G1270" s="248"/>
      <c r="H1270" s="283"/>
      <c r="I1270" s="199"/>
      <c r="J1270" s="199"/>
      <c r="K1270" s="199"/>
      <c r="L1270" s="248"/>
      <c r="M1270" s="248"/>
      <c r="N1270" s="248"/>
      <c r="O1270" s="248"/>
    </row>
    <row r="1271">
      <c r="A1271" s="199"/>
      <c r="B1271" s="199"/>
      <c r="C1271" s="199"/>
      <c r="D1271" s="248"/>
      <c r="E1271" s="248"/>
      <c r="F1271" s="248"/>
      <c r="G1271" s="248"/>
      <c r="H1271" s="283"/>
      <c r="I1271" s="199"/>
      <c r="J1271" s="199"/>
      <c r="K1271" s="199"/>
      <c r="L1271" s="248"/>
      <c r="M1271" s="248"/>
      <c r="N1271" s="248"/>
      <c r="O1271" s="248"/>
    </row>
    <row r="1272">
      <c r="A1272" s="199"/>
      <c r="B1272" s="199"/>
      <c r="C1272" s="199"/>
      <c r="D1272" s="248"/>
      <c r="E1272" s="248"/>
      <c r="F1272" s="248"/>
      <c r="G1272" s="248"/>
      <c r="H1272" s="283"/>
      <c r="I1272" s="199"/>
      <c r="J1272" s="199"/>
      <c r="K1272" s="199"/>
      <c r="L1272" s="248"/>
      <c r="M1272" s="248"/>
      <c r="N1272" s="248"/>
      <c r="O1272" s="248"/>
    </row>
    <row r="1273">
      <c r="A1273" s="199"/>
      <c r="B1273" s="199"/>
      <c r="C1273" s="199"/>
      <c r="D1273" s="248"/>
      <c r="E1273" s="248"/>
      <c r="F1273" s="248"/>
      <c r="G1273" s="248"/>
      <c r="H1273" s="283"/>
      <c r="I1273" s="199"/>
      <c r="J1273" s="199"/>
      <c r="K1273" s="199"/>
      <c r="L1273" s="248"/>
      <c r="M1273" s="248"/>
      <c r="N1273" s="248"/>
      <c r="O1273" s="248"/>
    </row>
    <row r="1274">
      <c r="A1274" s="199"/>
      <c r="B1274" s="199"/>
      <c r="C1274" s="199"/>
      <c r="D1274" s="248"/>
      <c r="E1274" s="248"/>
      <c r="F1274" s="248"/>
      <c r="G1274" s="248"/>
      <c r="H1274" s="283"/>
      <c r="I1274" s="199"/>
      <c r="J1274" s="199"/>
      <c r="K1274" s="199"/>
      <c r="L1274" s="248"/>
      <c r="M1274" s="248"/>
      <c r="N1274" s="248"/>
      <c r="O1274" s="248"/>
    </row>
    <row r="1275">
      <c r="A1275" s="199"/>
      <c r="B1275" s="199"/>
      <c r="C1275" s="199"/>
      <c r="D1275" s="248"/>
      <c r="E1275" s="248"/>
      <c r="F1275" s="248"/>
      <c r="G1275" s="248"/>
      <c r="H1275" s="283"/>
      <c r="I1275" s="199"/>
      <c r="J1275" s="199"/>
      <c r="K1275" s="199"/>
      <c r="L1275" s="248"/>
      <c r="M1275" s="248"/>
      <c r="N1275" s="248"/>
      <c r="O1275" s="248"/>
    </row>
    <row r="1276">
      <c r="A1276" s="199"/>
      <c r="B1276" s="199"/>
      <c r="C1276" s="199"/>
      <c r="D1276" s="248"/>
      <c r="E1276" s="248"/>
      <c r="F1276" s="248"/>
      <c r="G1276" s="248"/>
      <c r="H1276" s="283"/>
      <c r="I1276" s="199"/>
      <c r="J1276" s="199"/>
      <c r="K1276" s="199"/>
      <c r="L1276" s="248"/>
      <c r="M1276" s="248"/>
      <c r="N1276" s="248"/>
      <c r="O1276" s="248"/>
    </row>
    <row r="1277">
      <c r="A1277" s="199"/>
      <c r="B1277" s="199"/>
      <c r="C1277" s="199"/>
      <c r="D1277" s="248"/>
      <c r="E1277" s="248"/>
      <c r="F1277" s="248"/>
      <c r="G1277" s="248"/>
      <c r="H1277" s="283"/>
      <c r="I1277" s="199"/>
      <c r="J1277" s="199"/>
      <c r="K1277" s="199"/>
      <c r="L1277" s="248"/>
      <c r="M1277" s="248"/>
      <c r="N1277" s="248"/>
      <c r="O1277" s="248"/>
    </row>
    <row r="1278">
      <c r="A1278" s="199"/>
      <c r="B1278" s="199"/>
      <c r="C1278" s="199"/>
      <c r="D1278" s="248"/>
      <c r="E1278" s="248"/>
      <c r="F1278" s="248"/>
      <c r="G1278" s="248"/>
      <c r="H1278" s="283"/>
      <c r="I1278" s="199"/>
      <c r="J1278" s="199"/>
      <c r="K1278" s="199"/>
      <c r="L1278" s="248"/>
      <c r="M1278" s="248"/>
      <c r="N1278" s="248"/>
      <c r="O1278" s="248"/>
    </row>
    <row r="1279">
      <c r="A1279" s="199"/>
      <c r="B1279" s="199"/>
      <c r="C1279" s="199"/>
      <c r="D1279" s="248"/>
      <c r="E1279" s="248"/>
      <c r="F1279" s="248"/>
      <c r="G1279" s="248"/>
      <c r="H1279" s="283"/>
      <c r="I1279" s="199"/>
      <c r="J1279" s="199"/>
      <c r="K1279" s="199"/>
      <c r="L1279" s="248"/>
      <c r="M1279" s="248"/>
      <c r="N1279" s="248"/>
      <c r="O1279" s="248"/>
    </row>
    <row r="1280">
      <c r="A1280" s="199"/>
      <c r="B1280" s="199"/>
      <c r="C1280" s="199"/>
      <c r="D1280" s="248"/>
      <c r="E1280" s="248"/>
      <c r="F1280" s="248"/>
      <c r="G1280" s="248"/>
      <c r="H1280" s="283"/>
      <c r="I1280" s="199"/>
      <c r="J1280" s="199"/>
      <c r="K1280" s="199"/>
      <c r="L1280" s="248"/>
      <c r="M1280" s="248"/>
      <c r="N1280" s="248"/>
      <c r="O1280" s="248"/>
    </row>
    <row r="1281">
      <c r="A1281" s="199"/>
      <c r="B1281" s="199"/>
      <c r="C1281" s="199"/>
      <c r="D1281" s="248"/>
      <c r="E1281" s="248"/>
      <c r="F1281" s="248"/>
      <c r="G1281" s="248"/>
      <c r="H1281" s="283"/>
      <c r="I1281" s="199"/>
      <c r="J1281" s="199"/>
      <c r="K1281" s="199"/>
      <c r="L1281" s="248"/>
      <c r="M1281" s="248"/>
      <c r="N1281" s="248"/>
      <c r="O1281" s="248"/>
    </row>
    <row r="1282">
      <c r="A1282" s="199"/>
      <c r="B1282" s="199"/>
      <c r="C1282" s="199"/>
      <c r="D1282" s="248"/>
      <c r="E1282" s="248"/>
      <c r="F1282" s="248"/>
      <c r="G1282" s="248"/>
      <c r="H1282" s="283"/>
      <c r="I1282" s="199"/>
      <c r="J1282" s="199"/>
      <c r="K1282" s="199"/>
      <c r="L1282" s="248"/>
      <c r="M1282" s="248"/>
      <c r="N1282" s="248"/>
      <c r="O1282" s="248"/>
    </row>
    <row r="1283">
      <c r="A1283" s="199"/>
      <c r="B1283" s="199"/>
      <c r="C1283" s="199"/>
      <c r="D1283" s="248"/>
      <c r="E1283" s="248"/>
      <c r="F1283" s="248"/>
      <c r="G1283" s="248"/>
      <c r="H1283" s="283"/>
      <c r="I1283" s="199"/>
      <c r="J1283" s="199"/>
      <c r="K1283" s="199"/>
      <c r="L1283" s="248"/>
      <c r="M1283" s="248"/>
      <c r="N1283" s="248"/>
      <c r="O1283" s="248"/>
    </row>
    <row r="1284">
      <c r="A1284" s="199"/>
      <c r="B1284" s="199"/>
      <c r="C1284" s="199"/>
      <c r="D1284" s="248"/>
      <c r="E1284" s="248"/>
      <c r="F1284" s="248"/>
      <c r="G1284" s="248"/>
      <c r="H1284" s="283"/>
      <c r="I1284" s="199"/>
      <c r="J1284" s="199"/>
      <c r="K1284" s="199"/>
      <c r="L1284" s="248"/>
      <c r="M1284" s="248"/>
      <c r="N1284" s="248"/>
      <c r="O1284" s="248"/>
    </row>
    <row r="1285">
      <c r="A1285" s="199"/>
      <c r="B1285" s="199"/>
      <c r="C1285" s="199"/>
      <c r="D1285" s="248"/>
      <c r="E1285" s="248"/>
      <c r="F1285" s="248"/>
      <c r="G1285" s="248"/>
      <c r="H1285" s="283"/>
      <c r="I1285" s="199"/>
      <c r="J1285" s="199"/>
      <c r="K1285" s="199"/>
      <c r="L1285" s="248"/>
      <c r="M1285" s="248"/>
      <c r="N1285" s="248"/>
      <c r="O1285" s="248"/>
    </row>
    <row r="1286">
      <c r="A1286" s="199"/>
      <c r="B1286" s="199"/>
      <c r="C1286" s="199"/>
      <c r="D1286" s="248"/>
      <c r="E1286" s="248"/>
      <c r="F1286" s="248"/>
      <c r="G1286" s="248"/>
      <c r="H1286" s="283"/>
      <c r="I1286" s="199"/>
      <c r="J1286" s="199"/>
      <c r="K1286" s="199"/>
      <c r="L1286" s="248"/>
      <c r="M1286" s="248"/>
      <c r="N1286" s="248"/>
      <c r="O1286" s="248"/>
    </row>
    <row r="1287">
      <c r="A1287" s="199"/>
      <c r="B1287" s="199"/>
      <c r="C1287" s="199"/>
      <c r="D1287" s="248"/>
      <c r="E1287" s="248"/>
      <c r="F1287" s="248"/>
      <c r="G1287" s="248"/>
      <c r="H1287" s="283"/>
      <c r="I1287" s="199"/>
      <c r="J1287" s="199"/>
      <c r="K1287" s="199"/>
      <c r="L1287" s="248"/>
      <c r="M1287" s="248"/>
      <c r="N1287" s="248"/>
      <c r="O1287" s="248"/>
    </row>
    <row r="1288">
      <c r="A1288" s="199"/>
      <c r="B1288" s="199"/>
      <c r="C1288" s="199"/>
      <c r="D1288" s="248"/>
      <c r="E1288" s="248"/>
      <c r="F1288" s="248"/>
      <c r="G1288" s="248"/>
      <c r="H1288" s="283"/>
      <c r="I1288" s="199"/>
      <c r="J1288" s="199"/>
      <c r="K1288" s="199"/>
      <c r="L1288" s="248"/>
      <c r="M1288" s="248"/>
      <c r="N1288" s="248"/>
      <c r="O1288" s="248"/>
    </row>
    <row r="1289">
      <c r="A1289" s="199"/>
      <c r="B1289" s="199"/>
      <c r="C1289" s="199"/>
      <c r="D1289" s="248"/>
      <c r="E1289" s="248"/>
      <c r="F1289" s="248"/>
      <c r="G1289" s="248"/>
      <c r="H1289" s="283"/>
      <c r="I1289" s="199"/>
      <c r="J1289" s="199"/>
      <c r="K1289" s="199"/>
      <c r="L1289" s="248"/>
      <c r="M1289" s="248"/>
      <c r="N1289" s="248"/>
      <c r="O1289" s="248"/>
    </row>
    <row r="1290">
      <c r="A1290" s="199"/>
      <c r="B1290" s="199"/>
      <c r="C1290" s="199"/>
      <c r="D1290" s="248"/>
      <c r="E1290" s="248"/>
      <c r="F1290" s="248"/>
      <c r="G1290" s="248"/>
      <c r="H1290" s="283"/>
      <c r="I1290" s="199"/>
      <c r="J1290" s="199"/>
      <c r="K1290" s="199"/>
      <c r="L1290" s="248"/>
      <c r="M1290" s="248"/>
      <c r="N1290" s="248"/>
      <c r="O1290" s="248"/>
    </row>
    <row r="1291">
      <c r="A1291" s="199"/>
      <c r="B1291" s="199"/>
      <c r="C1291" s="199"/>
      <c r="D1291" s="248"/>
      <c r="E1291" s="248"/>
      <c r="F1291" s="248"/>
      <c r="G1291" s="248"/>
      <c r="H1291" s="283"/>
      <c r="I1291" s="199"/>
      <c r="J1291" s="199"/>
      <c r="K1291" s="199"/>
      <c r="L1291" s="248"/>
      <c r="M1291" s="248"/>
      <c r="N1291" s="248"/>
      <c r="O1291" s="248"/>
    </row>
    <row r="1292">
      <c r="A1292" s="199"/>
      <c r="B1292" s="199"/>
      <c r="C1292" s="199"/>
      <c r="D1292" s="248"/>
      <c r="E1292" s="248"/>
      <c r="F1292" s="248"/>
      <c r="G1292" s="248"/>
      <c r="H1292" s="283"/>
      <c r="I1292" s="199"/>
      <c r="J1292" s="199"/>
      <c r="K1292" s="199"/>
      <c r="L1292" s="248"/>
      <c r="M1292" s="248"/>
      <c r="N1292" s="248"/>
      <c r="O1292" s="248"/>
    </row>
    <row r="1293">
      <c r="A1293" s="199"/>
      <c r="B1293" s="199"/>
      <c r="C1293" s="199"/>
      <c r="D1293" s="248"/>
      <c r="E1293" s="248"/>
      <c r="F1293" s="248"/>
      <c r="G1293" s="248"/>
      <c r="H1293" s="283"/>
      <c r="I1293" s="199"/>
      <c r="J1293" s="199"/>
      <c r="K1293" s="199"/>
      <c r="L1293" s="248"/>
      <c r="M1293" s="248"/>
      <c r="N1293" s="248"/>
      <c r="O1293" s="248"/>
    </row>
    <row r="1294">
      <c r="A1294" s="199"/>
      <c r="B1294" s="199"/>
      <c r="C1294" s="199"/>
      <c r="D1294" s="248"/>
      <c r="E1294" s="248"/>
      <c r="F1294" s="248"/>
      <c r="G1294" s="248"/>
      <c r="H1294" s="283"/>
      <c r="I1294" s="199"/>
      <c r="J1294" s="199"/>
      <c r="K1294" s="199"/>
      <c r="L1294" s="248"/>
      <c r="M1294" s="248"/>
      <c r="N1294" s="248"/>
      <c r="O1294" s="248"/>
    </row>
    <row r="1295">
      <c r="A1295" s="199"/>
      <c r="B1295" s="199"/>
      <c r="C1295" s="199"/>
      <c r="D1295" s="248"/>
      <c r="E1295" s="248"/>
      <c r="F1295" s="248"/>
      <c r="G1295" s="248"/>
      <c r="H1295" s="283"/>
      <c r="I1295" s="199"/>
      <c r="J1295" s="199"/>
      <c r="K1295" s="199"/>
      <c r="L1295" s="248"/>
      <c r="M1295" s="248"/>
      <c r="N1295" s="248"/>
      <c r="O1295" s="248"/>
    </row>
    <row r="1296">
      <c r="A1296" s="199"/>
      <c r="B1296" s="199"/>
      <c r="C1296" s="199"/>
      <c r="D1296" s="248"/>
      <c r="E1296" s="248"/>
      <c r="F1296" s="248"/>
      <c r="G1296" s="248"/>
      <c r="H1296" s="283"/>
      <c r="I1296" s="199"/>
      <c r="J1296" s="199"/>
      <c r="K1296" s="199"/>
      <c r="L1296" s="248"/>
      <c r="M1296" s="248"/>
      <c r="N1296" s="248"/>
      <c r="O1296" s="248"/>
    </row>
    <row r="1297">
      <c r="A1297" s="199"/>
      <c r="B1297" s="199"/>
      <c r="C1297" s="199"/>
      <c r="D1297" s="248"/>
      <c r="E1297" s="248"/>
      <c r="F1297" s="248"/>
      <c r="G1297" s="248"/>
      <c r="H1297" s="283"/>
      <c r="I1297" s="199"/>
      <c r="J1297" s="199"/>
      <c r="K1297" s="199"/>
      <c r="L1297" s="248"/>
      <c r="M1297" s="248"/>
      <c r="N1297" s="248"/>
      <c r="O1297" s="248"/>
    </row>
    <row r="1298">
      <c r="A1298" s="199"/>
      <c r="B1298" s="199"/>
      <c r="C1298" s="199"/>
      <c r="D1298" s="248"/>
      <c r="E1298" s="248"/>
      <c r="F1298" s="248"/>
      <c r="G1298" s="248"/>
      <c r="H1298" s="283"/>
      <c r="I1298" s="199"/>
      <c r="J1298" s="199"/>
      <c r="K1298" s="199"/>
      <c r="L1298" s="248"/>
      <c r="M1298" s="248"/>
      <c r="N1298" s="248"/>
      <c r="O1298" s="248"/>
    </row>
    <row r="1299">
      <c r="A1299" s="199"/>
      <c r="B1299" s="199"/>
      <c r="C1299" s="199"/>
      <c r="D1299" s="248"/>
      <c r="E1299" s="248"/>
      <c r="F1299" s="248"/>
      <c r="G1299" s="248"/>
      <c r="H1299" s="283"/>
      <c r="I1299" s="199"/>
      <c r="J1299" s="199"/>
      <c r="K1299" s="199"/>
      <c r="L1299" s="248"/>
      <c r="M1299" s="248"/>
      <c r="N1299" s="248"/>
      <c r="O1299" s="248"/>
    </row>
    <row r="1300">
      <c r="A1300" s="199"/>
      <c r="B1300" s="199"/>
      <c r="C1300" s="199"/>
      <c r="D1300" s="248"/>
      <c r="E1300" s="248"/>
      <c r="F1300" s="248"/>
      <c r="G1300" s="248"/>
      <c r="H1300" s="283"/>
      <c r="I1300" s="199"/>
      <c r="J1300" s="199"/>
      <c r="K1300" s="199"/>
      <c r="L1300" s="248"/>
      <c r="M1300" s="248"/>
      <c r="N1300" s="248"/>
      <c r="O1300" s="248"/>
    </row>
    <row r="1301">
      <c r="A1301" s="199"/>
      <c r="B1301" s="199"/>
      <c r="C1301" s="199"/>
      <c r="D1301" s="248"/>
      <c r="E1301" s="248"/>
      <c r="F1301" s="248"/>
      <c r="G1301" s="248"/>
      <c r="H1301" s="283"/>
      <c r="I1301" s="199"/>
      <c r="J1301" s="199"/>
      <c r="K1301" s="199"/>
      <c r="L1301" s="248"/>
      <c r="M1301" s="248"/>
      <c r="N1301" s="248"/>
      <c r="O1301" s="248"/>
    </row>
    <row r="1302">
      <c r="A1302" s="199"/>
      <c r="B1302" s="199"/>
      <c r="C1302" s="199"/>
      <c r="D1302" s="248"/>
      <c r="E1302" s="248"/>
      <c r="F1302" s="248"/>
      <c r="G1302" s="248"/>
      <c r="H1302" s="283"/>
      <c r="I1302" s="199"/>
      <c r="J1302" s="199"/>
      <c r="K1302" s="199"/>
      <c r="L1302" s="248"/>
      <c r="M1302" s="248"/>
      <c r="N1302" s="248"/>
      <c r="O1302" s="248"/>
    </row>
    <row r="1303">
      <c r="A1303" s="199"/>
      <c r="B1303" s="199"/>
      <c r="C1303" s="199"/>
      <c r="D1303" s="248"/>
      <c r="E1303" s="248"/>
      <c r="F1303" s="248"/>
      <c r="G1303" s="248"/>
      <c r="H1303" s="283"/>
      <c r="I1303" s="199"/>
      <c r="J1303" s="199"/>
      <c r="K1303" s="199"/>
      <c r="L1303" s="248"/>
      <c r="M1303" s="248"/>
      <c r="N1303" s="248"/>
      <c r="O1303" s="248"/>
    </row>
    <row r="1304">
      <c r="A1304" s="199"/>
      <c r="B1304" s="199"/>
      <c r="C1304" s="199"/>
      <c r="D1304" s="248"/>
      <c r="E1304" s="248"/>
      <c r="F1304" s="248"/>
      <c r="G1304" s="248"/>
      <c r="H1304" s="283"/>
      <c r="I1304" s="199"/>
      <c r="J1304" s="199"/>
      <c r="K1304" s="199"/>
      <c r="L1304" s="248"/>
      <c r="M1304" s="248"/>
      <c r="N1304" s="248"/>
      <c r="O1304" s="248"/>
    </row>
    <row r="1305">
      <c r="A1305" s="199"/>
      <c r="B1305" s="199"/>
      <c r="C1305" s="199"/>
      <c r="D1305" s="248"/>
      <c r="E1305" s="248"/>
      <c r="F1305" s="248"/>
      <c r="G1305" s="248"/>
      <c r="H1305" s="283"/>
      <c r="I1305" s="199"/>
      <c r="J1305" s="199"/>
      <c r="K1305" s="199"/>
      <c r="L1305" s="248"/>
      <c r="M1305" s="248"/>
      <c r="N1305" s="248"/>
      <c r="O1305" s="248"/>
    </row>
    <row r="1306">
      <c r="A1306" s="199"/>
      <c r="B1306" s="199"/>
      <c r="C1306" s="199"/>
      <c r="D1306" s="248"/>
      <c r="E1306" s="248"/>
      <c r="F1306" s="248"/>
      <c r="G1306" s="248"/>
      <c r="H1306" s="283"/>
      <c r="I1306" s="199"/>
      <c r="J1306" s="199"/>
      <c r="K1306" s="199"/>
      <c r="L1306" s="248"/>
      <c r="M1306" s="248"/>
      <c r="N1306" s="248"/>
      <c r="O1306" s="248"/>
    </row>
    <row r="1307">
      <c r="A1307" s="199"/>
      <c r="B1307" s="199"/>
      <c r="C1307" s="199"/>
      <c r="D1307" s="248"/>
      <c r="E1307" s="248"/>
      <c r="F1307" s="248"/>
      <c r="G1307" s="248"/>
      <c r="H1307" s="283"/>
      <c r="I1307" s="199"/>
      <c r="J1307" s="199"/>
      <c r="K1307" s="199"/>
      <c r="L1307" s="248"/>
      <c r="M1307" s="248"/>
      <c r="N1307" s="248"/>
      <c r="O1307" s="248"/>
    </row>
    <row r="1308">
      <c r="A1308" s="199"/>
      <c r="B1308" s="199"/>
      <c r="C1308" s="199"/>
      <c r="D1308" s="248"/>
      <c r="E1308" s="248"/>
      <c r="F1308" s="248"/>
      <c r="G1308" s="248"/>
      <c r="H1308" s="283"/>
      <c r="I1308" s="199"/>
      <c r="J1308" s="199"/>
      <c r="K1308" s="199"/>
      <c r="L1308" s="248"/>
      <c r="M1308" s="248"/>
      <c r="N1308" s="248"/>
      <c r="O1308" s="248"/>
    </row>
    <row r="1309">
      <c r="A1309" s="199"/>
      <c r="B1309" s="199"/>
      <c r="C1309" s="199"/>
      <c r="D1309" s="248"/>
      <c r="E1309" s="248"/>
      <c r="F1309" s="248"/>
      <c r="G1309" s="248"/>
      <c r="H1309" s="283"/>
      <c r="I1309" s="199"/>
      <c r="J1309" s="199"/>
      <c r="K1309" s="199"/>
      <c r="L1309" s="248"/>
      <c r="M1309" s="248"/>
      <c r="N1309" s="248"/>
      <c r="O1309" s="248"/>
    </row>
    <row r="1310">
      <c r="A1310" s="199"/>
      <c r="B1310" s="199"/>
      <c r="C1310" s="199"/>
      <c r="D1310" s="248"/>
      <c r="E1310" s="248"/>
      <c r="F1310" s="248"/>
      <c r="G1310" s="248"/>
      <c r="H1310" s="283"/>
      <c r="I1310" s="199"/>
      <c r="J1310" s="199"/>
      <c r="K1310" s="199"/>
      <c r="L1310" s="248"/>
      <c r="M1310" s="248"/>
      <c r="N1310" s="248"/>
      <c r="O1310" s="248"/>
    </row>
    <row r="1311">
      <c r="A1311" s="199"/>
      <c r="B1311" s="199"/>
      <c r="C1311" s="199"/>
      <c r="D1311" s="248"/>
      <c r="E1311" s="248"/>
      <c r="F1311" s="248"/>
      <c r="G1311" s="248"/>
      <c r="H1311" s="283"/>
      <c r="I1311" s="199"/>
      <c r="J1311" s="199"/>
      <c r="K1311" s="199"/>
      <c r="L1311" s="248"/>
      <c r="M1311" s="248"/>
      <c r="N1311" s="248"/>
      <c r="O1311" s="248"/>
    </row>
    <row r="1312">
      <c r="A1312" s="199"/>
      <c r="B1312" s="199"/>
      <c r="C1312" s="199"/>
      <c r="D1312" s="248"/>
      <c r="E1312" s="248"/>
      <c r="F1312" s="248"/>
      <c r="G1312" s="248"/>
      <c r="H1312" s="283"/>
      <c r="I1312" s="199"/>
      <c r="J1312" s="199"/>
      <c r="K1312" s="199"/>
      <c r="L1312" s="248"/>
      <c r="M1312" s="248"/>
      <c r="N1312" s="248"/>
      <c r="O1312" s="248"/>
    </row>
    <row r="1313">
      <c r="A1313" s="199"/>
      <c r="B1313" s="199"/>
      <c r="C1313" s="199"/>
      <c r="D1313" s="248"/>
      <c r="E1313" s="248"/>
      <c r="F1313" s="248"/>
      <c r="G1313" s="248"/>
      <c r="H1313" s="283"/>
      <c r="I1313" s="199"/>
      <c r="J1313" s="199"/>
      <c r="K1313" s="199"/>
      <c r="L1313" s="248"/>
      <c r="M1313" s="248"/>
      <c r="N1313" s="248"/>
      <c r="O1313" s="248"/>
    </row>
    <row r="1314">
      <c r="A1314" s="199"/>
      <c r="B1314" s="199"/>
      <c r="C1314" s="199"/>
      <c r="D1314" s="248"/>
      <c r="E1314" s="248"/>
      <c r="F1314" s="248"/>
      <c r="G1314" s="248"/>
      <c r="H1314" s="283"/>
      <c r="I1314" s="199"/>
      <c r="J1314" s="199"/>
      <c r="K1314" s="199"/>
      <c r="L1314" s="248"/>
      <c r="M1314" s="248"/>
      <c r="N1314" s="248"/>
      <c r="O1314" s="248"/>
    </row>
    <row r="1315">
      <c r="A1315" s="199"/>
      <c r="B1315" s="199"/>
      <c r="C1315" s="199"/>
      <c r="D1315" s="248"/>
      <c r="E1315" s="248"/>
      <c r="F1315" s="248"/>
      <c r="G1315" s="248"/>
      <c r="H1315" s="283"/>
      <c r="I1315" s="199"/>
      <c r="J1315" s="199"/>
      <c r="K1315" s="199"/>
      <c r="L1315" s="248"/>
      <c r="M1315" s="248"/>
      <c r="N1315" s="248"/>
      <c r="O1315" s="248"/>
    </row>
    <row r="1316">
      <c r="A1316" s="199"/>
      <c r="B1316" s="199"/>
      <c r="C1316" s="199"/>
      <c r="D1316" s="248"/>
      <c r="E1316" s="248"/>
      <c r="F1316" s="248"/>
      <c r="G1316" s="248"/>
      <c r="H1316" s="283"/>
      <c r="I1316" s="199"/>
      <c r="J1316" s="199"/>
      <c r="K1316" s="199"/>
      <c r="L1316" s="248"/>
      <c r="M1316" s="248"/>
      <c r="N1316" s="248"/>
      <c r="O1316" s="248"/>
    </row>
    <row r="1317">
      <c r="A1317" s="199"/>
      <c r="B1317" s="199"/>
      <c r="C1317" s="199"/>
      <c r="D1317" s="248"/>
      <c r="E1317" s="248"/>
      <c r="F1317" s="248"/>
      <c r="G1317" s="248"/>
      <c r="H1317" s="283"/>
      <c r="I1317" s="199"/>
      <c r="J1317" s="199"/>
      <c r="K1317" s="199"/>
      <c r="L1317" s="248"/>
      <c r="M1317" s="248"/>
      <c r="N1317" s="248"/>
      <c r="O1317" s="248"/>
    </row>
    <row r="1318">
      <c r="A1318" s="199"/>
      <c r="B1318" s="199"/>
      <c r="C1318" s="199"/>
      <c r="D1318" s="248"/>
      <c r="E1318" s="248"/>
      <c r="F1318" s="248"/>
      <c r="G1318" s="248"/>
      <c r="H1318" s="283"/>
      <c r="I1318" s="199"/>
      <c r="J1318" s="199"/>
      <c r="K1318" s="199"/>
      <c r="L1318" s="248"/>
      <c r="M1318" s="248"/>
      <c r="N1318" s="248"/>
      <c r="O1318" s="248"/>
    </row>
    <row r="1319">
      <c r="A1319" s="199"/>
      <c r="B1319" s="199"/>
      <c r="C1319" s="199"/>
      <c r="D1319" s="248"/>
      <c r="E1319" s="248"/>
      <c r="F1319" s="248"/>
      <c r="G1319" s="248"/>
      <c r="H1319" s="283"/>
      <c r="I1319" s="199"/>
      <c r="J1319" s="199"/>
      <c r="K1319" s="199"/>
      <c r="L1319" s="248"/>
      <c r="M1319" s="248"/>
      <c r="N1319" s="248"/>
      <c r="O1319" s="248"/>
    </row>
    <row r="1320">
      <c r="A1320" s="199"/>
      <c r="B1320" s="199"/>
      <c r="C1320" s="199"/>
      <c r="D1320" s="248"/>
      <c r="E1320" s="248"/>
      <c r="F1320" s="248"/>
      <c r="G1320" s="248"/>
      <c r="H1320" s="283"/>
      <c r="I1320" s="199"/>
      <c r="J1320" s="199"/>
      <c r="K1320" s="199"/>
      <c r="L1320" s="248"/>
      <c r="M1320" s="248"/>
      <c r="N1320" s="248"/>
      <c r="O1320" s="248"/>
    </row>
    <row r="1321">
      <c r="A1321" s="199"/>
      <c r="B1321" s="199"/>
      <c r="C1321" s="199"/>
      <c r="D1321" s="248"/>
      <c r="E1321" s="248"/>
      <c r="F1321" s="248"/>
      <c r="G1321" s="248"/>
      <c r="H1321" s="283"/>
      <c r="I1321" s="199"/>
      <c r="J1321" s="199"/>
      <c r="K1321" s="199"/>
      <c r="L1321" s="248"/>
      <c r="M1321" s="248"/>
      <c r="N1321" s="248"/>
      <c r="O1321" s="248"/>
    </row>
    <row r="1322">
      <c r="A1322" s="199"/>
      <c r="B1322" s="199"/>
      <c r="C1322" s="199"/>
      <c r="D1322" s="248"/>
      <c r="E1322" s="248"/>
      <c r="F1322" s="248"/>
      <c r="G1322" s="248"/>
      <c r="H1322" s="283"/>
      <c r="I1322" s="199"/>
      <c r="J1322" s="199"/>
      <c r="K1322" s="199"/>
      <c r="L1322" s="248"/>
      <c r="M1322" s="248"/>
      <c r="N1322" s="248"/>
      <c r="O1322" s="248"/>
    </row>
    <row r="1323">
      <c r="A1323" s="199"/>
      <c r="B1323" s="199"/>
      <c r="C1323" s="199"/>
      <c r="D1323" s="248"/>
      <c r="E1323" s="248"/>
      <c r="F1323" s="248"/>
      <c r="G1323" s="248"/>
      <c r="H1323" s="283"/>
      <c r="I1323" s="199"/>
      <c r="J1323" s="199"/>
      <c r="K1323" s="199"/>
      <c r="L1323" s="248"/>
      <c r="M1323" s="248"/>
      <c r="N1323" s="248"/>
      <c r="O1323" s="248"/>
    </row>
    <row r="1324">
      <c r="A1324" s="199"/>
      <c r="B1324" s="199"/>
      <c r="C1324" s="199"/>
      <c r="D1324" s="248"/>
      <c r="E1324" s="248"/>
      <c r="F1324" s="248"/>
      <c r="G1324" s="248"/>
      <c r="H1324" s="283"/>
      <c r="I1324" s="199"/>
      <c r="J1324" s="199"/>
      <c r="K1324" s="199"/>
      <c r="L1324" s="248"/>
      <c r="M1324" s="248"/>
      <c r="N1324" s="248"/>
      <c r="O1324" s="248"/>
    </row>
    <row r="1325">
      <c r="A1325" s="199"/>
      <c r="B1325" s="199"/>
      <c r="C1325" s="199"/>
      <c r="D1325" s="248"/>
      <c r="E1325" s="248"/>
      <c r="F1325" s="248"/>
      <c r="G1325" s="248"/>
      <c r="H1325" s="283"/>
      <c r="I1325" s="199"/>
      <c r="J1325" s="199"/>
      <c r="K1325" s="199"/>
      <c r="L1325" s="248"/>
      <c r="M1325" s="248"/>
      <c r="N1325" s="248"/>
      <c r="O1325" s="248"/>
    </row>
    <row r="1326">
      <c r="A1326" s="199"/>
      <c r="B1326" s="199"/>
      <c r="C1326" s="199"/>
      <c r="D1326" s="248"/>
      <c r="E1326" s="248"/>
      <c r="F1326" s="248"/>
      <c r="G1326" s="248"/>
      <c r="H1326" s="283"/>
      <c r="I1326" s="199"/>
      <c r="J1326" s="199"/>
      <c r="K1326" s="199"/>
      <c r="L1326" s="248"/>
      <c r="M1326" s="248"/>
      <c r="N1326" s="248"/>
      <c r="O1326" s="248"/>
    </row>
    <row r="1327">
      <c r="A1327" s="199"/>
      <c r="B1327" s="199"/>
      <c r="C1327" s="199"/>
      <c r="D1327" s="248"/>
      <c r="E1327" s="248"/>
      <c r="F1327" s="248"/>
      <c r="G1327" s="248"/>
      <c r="H1327" s="283"/>
      <c r="I1327" s="199"/>
      <c r="J1327" s="199"/>
      <c r="K1327" s="199"/>
      <c r="L1327" s="248"/>
      <c r="M1327" s="248"/>
      <c r="N1327" s="248"/>
      <c r="O1327" s="248"/>
    </row>
    <row r="1328">
      <c r="A1328" s="199"/>
      <c r="B1328" s="199"/>
      <c r="C1328" s="199"/>
      <c r="D1328" s="248"/>
      <c r="E1328" s="248"/>
      <c r="F1328" s="248"/>
      <c r="G1328" s="248"/>
      <c r="H1328" s="283"/>
      <c r="I1328" s="199"/>
      <c r="J1328" s="199"/>
      <c r="K1328" s="199"/>
      <c r="L1328" s="248"/>
      <c r="M1328" s="248"/>
      <c r="N1328" s="248"/>
      <c r="O1328" s="248"/>
    </row>
    <row r="1329">
      <c r="A1329" s="199"/>
      <c r="B1329" s="199"/>
      <c r="C1329" s="199"/>
      <c r="D1329" s="248"/>
      <c r="E1329" s="248"/>
      <c r="F1329" s="248"/>
      <c r="G1329" s="248"/>
      <c r="H1329" s="283"/>
      <c r="I1329" s="199"/>
      <c r="J1329" s="199"/>
      <c r="K1329" s="199"/>
      <c r="L1329" s="248"/>
      <c r="M1329" s="248"/>
      <c r="N1329" s="248"/>
      <c r="O1329" s="248"/>
    </row>
    <row r="1330">
      <c r="A1330" s="199"/>
      <c r="B1330" s="199"/>
      <c r="C1330" s="199"/>
      <c r="D1330" s="248"/>
      <c r="E1330" s="248"/>
      <c r="F1330" s="248"/>
      <c r="G1330" s="248"/>
      <c r="H1330" s="283"/>
      <c r="I1330" s="199"/>
      <c r="J1330" s="199"/>
      <c r="K1330" s="199"/>
      <c r="L1330" s="248"/>
      <c r="M1330" s="248"/>
      <c r="N1330" s="248"/>
      <c r="O1330" s="248"/>
    </row>
    <row r="1331">
      <c r="A1331" s="199"/>
      <c r="B1331" s="199"/>
      <c r="C1331" s="199"/>
      <c r="D1331" s="248"/>
      <c r="E1331" s="248"/>
      <c r="F1331" s="248"/>
      <c r="G1331" s="248"/>
      <c r="H1331" s="283"/>
      <c r="I1331" s="199"/>
      <c r="J1331" s="199"/>
      <c r="K1331" s="199"/>
      <c r="L1331" s="248"/>
      <c r="M1331" s="248"/>
      <c r="N1331" s="248"/>
      <c r="O1331" s="248"/>
    </row>
    <row r="1332">
      <c r="A1332" s="199"/>
      <c r="B1332" s="199"/>
      <c r="C1332" s="199"/>
      <c r="D1332" s="248"/>
      <c r="E1332" s="248"/>
      <c r="F1332" s="248"/>
      <c r="G1332" s="248"/>
      <c r="H1332" s="283"/>
      <c r="I1332" s="199"/>
      <c r="J1332" s="199"/>
      <c r="K1332" s="199"/>
      <c r="L1332" s="248"/>
      <c r="M1332" s="248"/>
      <c r="N1332" s="248"/>
      <c r="O1332" s="248"/>
    </row>
    <row r="1333">
      <c r="A1333" s="199"/>
      <c r="B1333" s="199"/>
      <c r="C1333" s="199"/>
      <c r="D1333" s="248"/>
      <c r="E1333" s="248"/>
      <c r="F1333" s="248"/>
      <c r="G1333" s="248"/>
      <c r="H1333" s="283"/>
      <c r="I1333" s="199"/>
      <c r="J1333" s="199"/>
      <c r="K1333" s="199"/>
      <c r="L1333" s="248"/>
      <c r="M1333" s="248"/>
      <c r="N1333" s="248"/>
      <c r="O1333" s="248"/>
    </row>
    <row r="1334">
      <c r="A1334" s="199"/>
      <c r="B1334" s="199"/>
      <c r="C1334" s="199"/>
      <c r="D1334" s="248"/>
      <c r="E1334" s="248"/>
      <c r="F1334" s="248"/>
      <c r="G1334" s="248"/>
      <c r="H1334" s="283"/>
      <c r="I1334" s="199"/>
      <c r="J1334" s="199"/>
      <c r="K1334" s="199"/>
      <c r="L1334" s="248"/>
      <c r="M1334" s="248"/>
      <c r="N1334" s="248"/>
      <c r="O1334" s="248"/>
    </row>
    <row r="1335">
      <c r="A1335" s="199"/>
      <c r="B1335" s="199"/>
      <c r="C1335" s="199"/>
      <c r="D1335" s="248"/>
      <c r="E1335" s="248"/>
      <c r="F1335" s="248"/>
      <c r="G1335" s="248"/>
      <c r="H1335" s="283"/>
      <c r="I1335" s="199"/>
      <c r="J1335" s="199"/>
      <c r="K1335" s="199"/>
      <c r="L1335" s="248"/>
      <c r="M1335" s="248"/>
      <c r="N1335" s="248"/>
      <c r="O1335" s="248"/>
    </row>
    <row r="1336">
      <c r="A1336" s="199"/>
      <c r="B1336" s="199"/>
      <c r="C1336" s="199"/>
      <c r="D1336" s="248"/>
      <c r="E1336" s="248"/>
      <c r="F1336" s="248"/>
      <c r="G1336" s="248"/>
      <c r="H1336" s="283"/>
      <c r="I1336" s="199"/>
      <c r="J1336" s="199"/>
      <c r="K1336" s="199"/>
      <c r="L1336" s="248"/>
      <c r="M1336" s="248"/>
      <c r="N1336" s="248"/>
      <c r="O1336" s="248"/>
    </row>
    <row r="1337">
      <c r="A1337" s="199"/>
      <c r="B1337" s="199"/>
      <c r="C1337" s="199"/>
      <c r="D1337" s="248"/>
      <c r="E1337" s="248"/>
      <c r="F1337" s="248"/>
      <c r="G1337" s="248"/>
      <c r="H1337" s="283"/>
      <c r="I1337" s="199"/>
      <c r="J1337" s="199"/>
      <c r="K1337" s="199"/>
      <c r="L1337" s="248"/>
      <c r="M1337" s="248"/>
      <c r="N1337" s="248"/>
      <c r="O1337" s="248"/>
    </row>
    <row r="1338">
      <c r="A1338" s="199"/>
      <c r="B1338" s="199"/>
      <c r="C1338" s="199"/>
      <c r="D1338" s="248"/>
      <c r="E1338" s="248"/>
      <c r="F1338" s="248"/>
      <c r="G1338" s="248"/>
      <c r="H1338" s="283"/>
      <c r="I1338" s="199"/>
      <c r="J1338" s="199"/>
      <c r="K1338" s="199"/>
      <c r="L1338" s="248"/>
      <c r="M1338" s="248"/>
      <c r="N1338" s="248"/>
      <c r="O1338" s="248"/>
    </row>
    <row r="1339">
      <c r="A1339" s="199"/>
      <c r="B1339" s="199"/>
      <c r="C1339" s="199"/>
      <c r="D1339" s="248"/>
      <c r="E1339" s="248"/>
      <c r="F1339" s="248"/>
      <c r="G1339" s="248"/>
      <c r="H1339" s="283"/>
      <c r="I1339" s="199"/>
      <c r="J1339" s="199"/>
      <c r="K1339" s="199"/>
      <c r="L1339" s="248"/>
      <c r="M1339" s="248"/>
      <c r="N1339" s="248"/>
      <c r="O1339" s="248"/>
    </row>
    <row r="1340">
      <c r="A1340" s="199"/>
      <c r="B1340" s="199"/>
      <c r="C1340" s="199"/>
      <c r="D1340" s="248"/>
      <c r="E1340" s="248"/>
      <c r="F1340" s="248"/>
      <c r="G1340" s="248"/>
      <c r="H1340" s="283"/>
      <c r="I1340" s="199"/>
      <c r="J1340" s="199"/>
      <c r="K1340" s="199"/>
      <c r="L1340" s="248"/>
      <c r="M1340" s="248"/>
      <c r="N1340" s="248"/>
      <c r="O1340" s="248"/>
    </row>
    <row r="1341">
      <c r="A1341" s="199"/>
      <c r="B1341" s="199"/>
      <c r="C1341" s="199"/>
      <c r="D1341" s="248"/>
      <c r="E1341" s="248"/>
      <c r="F1341" s="248"/>
      <c r="G1341" s="248"/>
      <c r="H1341" s="283"/>
      <c r="I1341" s="199"/>
      <c r="J1341" s="199"/>
      <c r="K1341" s="199"/>
      <c r="L1341" s="248"/>
      <c r="M1341" s="248"/>
      <c r="N1341" s="248"/>
      <c r="O1341" s="248"/>
    </row>
    <row r="1342">
      <c r="A1342" s="199"/>
      <c r="B1342" s="199"/>
      <c r="C1342" s="199"/>
      <c r="D1342" s="248"/>
      <c r="E1342" s="248"/>
      <c r="F1342" s="248"/>
      <c r="G1342" s="248"/>
      <c r="H1342" s="283"/>
      <c r="I1342" s="199"/>
      <c r="J1342" s="199"/>
      <c r="K1342" s="199"/>
      <c r="L1342" s="248"/>
      <c r="M1342" s="248"/>
      <c r="N1342" s="248"/>
      <c r="O1342" s="248"/>
    </row>
    <row r="1343">
      <c r="A1343" s="199"/>
      <c r="B1343" s="199"/>
      <c r="C1343" s="199"/>
      <c r="D1343" s="248"/>
      <c r="E1343" s="248"/>
      <c r="F1343" s="248"/>
      <c r="G1343" s="248"/>
      <c r="H1343" s="283"/>
      <c r="I1343" s="199"/>
      <c r="J1343" s="199"/>
      <c r="K1343" s="199"/>
      <c r="L1343" s="248"/>
      <c r="M1343" s="248"/>
      <c r="N1343" s="248"/>
      <c r="O1343" s="248"/>
    </row>
    <row r="1344">
      <c r="A1344" s="199"/>
      <c r="B1344" s="199"/>
      <c r="C1344" s="199"/>
      <c r="D1344" s="248"/>
      <c r="E1344" s="248"/>
      <c r="F1344" s="248"/>
      <c r="G1344" s="248"/>
      <c r="H1344" s="283"/>
      <c r="I1344" s="199"/>
      <c r="J1344" s="199"/>
      <c r="K1344" s="199"/>
      <c r="L1344" s="248"/>
      <c r="M1344" s="248"/>
      <c r="N1344" s="248"/>
      <c r="O1344" s="248"/>
    </row>
    <row r="1345">
      <c r="A1345" s="199"/>
      <c r="B1345" s="199"/>
      <c r="C1345" s="199"/>
      <c r="D1345" s="248"/>
      <c r="E1345" s="248"/>
      <c r="F1345" s="248"/>
      <c r="G1345" s="248"/>
      <c r="H1345" s="283"/>
      <c r="I1345" s="199"/>
      <c r="J1345" s="199"/>
      <c r="K1345" s="199"/>
      <c r="L1345" s="248"/>
      <c r="M1345" s="248"/>
      <c r="N1345" s="248"/>
      <c r="O1345" s="248"/>
    </row>
    <row r="1346">
      <c r="A1346" s="199"/>
      <c r="B1346" s="199"/>
      <c r="C1346" s="199"/>
      <c r="D1346" s="248"/>
      <c r="E1346" s="248"/>
      <c r="F1346" s="248"/>
      <c r="G1346" s="248"/>
      <c r="H1346" s="283"/>
      <c r="I1346" s="199"/>
      <c r="J1346" s="199"/>
      <c r="K1346" s="199"/>
      <c r="L1346" s="248"/>
      <c r="M1346" s="248"/>
      <c r="N1346" s="248"/>
      <c r="O1346" s="248"/>
    </row>
    <row r="1347">
      <c r="A1347" s="199"/>
      <c r="B1347" s="199"/>
      <c r="C1347" s="199"/>
      <c r="D1347" s="248"/>
      <c r="E1347" s="248"/>
      <c r="F1347" s="248"/>
      <c r="G1347" s="248"/>
      <c r="H1347" s="283"/>
      <c r="I1347" s="199"/>
      <c r="J1347" s="199"/>
      <c r="K1347" s="199"/>
      <c r="L1347" s="248"/>
      <c r="M1347" s="248"/>
      <c r="N1347" s="248"/>
      <c r="O1347" s="248"/>
    </row>
    <row r="1348">
      <c r="A1348" s="199"/>
      <c r="B1348" s="199"/>
      <c r="C1348" s="199"/>
      <c r="D1348" s="248"/>
      <c r="E1348" s="248"/>
      <c r="F1348" s="248"/>
      <c r="G1348" s="248"/>
      <c r="H1348" s="283"/>
      <c r="I1348" s="199"/>
      <c r="J1348" s="199"/>
      <c r="K1348" s="199"/>
      <c r="L1348" s="248"/>
      <c r="M1348" s="248"/>
      <c r="N1348" s="248"/>
      <c r="O1348" s="248"/>
    </row>
    <row r="1349">
      <c r="A1349" s="199"/>
      <c r="B1349" s="199"/>
      <c r="C1349" s="199"/>
      <c r="D1349" s="248"/>
      <c r="E1349" s="248"/>
      <c r="F1349" s="248"/>
      <c r="G1349" s="248"/>
      <c r="H1349" s="283"/>
      <c r="I1349" s="199"/>
      <c r="J1349" s="199"/>
      <c r="K1349" s="199"/>
      <c r="L1349" s="248"/>
      <c r="M1349" s="248"/>
      <c r="N1349" s="248"/>
      <c r="O1349" s="248"/>
    </row>
    <row r="1350">
      <c r="A1350" s="199"/>
      <c r="B1350" s="199"/>
      <c r="C1350" s="199"/>
      <c r="D1350" s="248"/>
      <c r="E1350" s="248"/>
      <c r="F1350" s="248"/>
      <c r="G1350" s="248"/>
      <c r="H1350" s="283"/>
      <c r="I1350" s="199"/>
      <c r="J1350" s="199"/>
      <c r="K1350" s="199"/>
      <c r="L1350" s="248"/>
      <c r="M1350" s="248"/>
      <c r="N1350" s="248"/>
      <c r="O1350" s="248"/>
    </row>
    <row r="1351">
      <c r="A1351" s="199"/>
      <c r="B1351" s="199"/>
      <c r="C1351" s="199"/>
      <c r="D1351" s="248"/>
      <c r="E1351" s="248"/>
      <c r="F1351" s="248"/>
      <c r="G1351" s="248"/>
      <c r="H1351" s="283"/>
      <c r="I1351" s="199"/>
      <c r="J1351" s="199"/>
      <c r="K1351" s="199"/>
      <c r="L1351" s="248"/>
      <c r="M1351" s="248"/>
      <c r="N1351" s="248"/>
      <c r="O1351" s="248"/>
    </row>
    <row r="1352">
      <c r="A1352" s="199"/>
      <c r="B1352" s="199"/>
      <c r="C1352" s="199"/>
      <c r="D1352" s="248"/>
      <c r="E1352" s="248"/>
      <c r="F1352" s="248"/>
      <c r="G1352" s="248"/>
      <c r="H1352" s="283"/>
      <c r="I1352" s="199"/>
      <c r="J1352" s="199"/>
      <c r="K1352" s="199"/>
      <c r="L1352" s="248"/>
      <c r="M1352" s="248"/>
      <c r="N1352" s="248"/>
      <c r="O1352" s="248"/>
    </row>
    <row r="1353">
      <c r="A1353" s="199"/>
      <c r="B1353" s="199"/>
      <c r="C1353" s="199"/>
      <c r="D1353" s="248"/>
      <c r="E1353" s="248"/>
      <c r="F1353" s="248"/>
      <c r="G1353" s="248"/>
      <c r="H1353" s="283"/>
      <c r="I1353" s="199"/>
      <c r="J1353" s="199"/>
      <c r="K1353" s="199"/>
      <c r="L1353" s="248"/>
      <c r="M1353" s="248"/>
      <c r="N1353" s="248"/>
      <c r="O1353" s="248"/>
    </row>
    <row r="1354">
      <c r="A1354" s="199"/>
      <c r="B1354" s="199"/>
      <c r="C1354" s="199"/>
      <c r="D1354" s="248"/>
      <c r="E1354" s="248"/>
      <c r="F1354" s="248"/>
      <c r="G1354" s="248"/>
      <c r="H1354" s="283"/>
      <c r="I1354" s="199"/>
      <c r="J1354" s="199"/>
      <c r="K1354" s="199"/>
      <c r="L1354" s="248"/>
      <c r="M1354" s="248"/>
      <c r="N1354" s="248"/>
      <c r="O1354" s="248"/>
    </row>
    <row r="1355">
      <c r="A1355" s="199"/>
      <c r="B1355" s="199"/>
      <c r="C1355" s="199"/>
      <c r="D1355" s="248"/>
      <c r="E1355" s="248"/>
      <c r="F1355" s="248"/>
      <c r="G1355" s="248"/>
      <c r="H1355" s="283"/>
      <c r="I1355" s="199"/>
      <c r="J1355" s="199"/>
      <c r="K1355" s="199"/>
      <c r="L1355" s="248"/>
      <c r="M1355" s="248"/>
      <c r="N1355" s="248"/>
      <c r="O1355" s="248"/>
    </row>
    <row r="1356">
      <c r="A1356" s="199"/>
      <c r="B1356" s="199"/>
      <c r="C1356" s="199"/>
      <c r="D1356" s="248"/>
      <c r="E1356" s="248"/>
      <c r="F1356" s="248"/>
      <c r="G1356" s="248"/>
      <c r="H1356" s="283"/>
      <c r="I1356" s="199"/>
      <c r="J1356" s="199"/>
      <c r="K1356" s="199"/>
      <c r="L1356" s="248"/>
      <c r="M1356" s="248"/>
      <c r="N1356" s="248"/>
      <c r="O1356" s="248"/>
    </row>
    <row r="1357">
      <c r="A1357" s="199"/>
      <c r="B1357" s="199"/>
      <c r="C1357" s="199"/>
      <c r="D1357" s="248"/>
      <c r="E1357" s="248"/>
      <c r="F1357" s="248"/>
      <c r="G1357" s="248"/>
      <c r="H1357" s="283"/>
      <c r="I1357" s="199"/>
      <c r="J1357" s="199"/>
      <c r="K1357" s="199"/>
      <c r="L1357" s="248"/>
      <c r="M1357" s="248"/>
      <c r="N1357" s="248"/>
      <c r="O1357" s="248"/>
    </row>
    <row r="1358">
      <c r="A1358" s="199"/>
      <c r="B1358" s="199"/>
      <c r="C1358" s="199"/>
      <c r="D1358" s="248"/>
      <c r="E1358" s="248"/>
      <c r="F1358" s="248"/>
      <c r="G1358" s="248"/>
      <c r="H1358" s="283"/>
      <c r="I1358" s="199"/>
      <c r="J1358" s="199"/>
      <c r="K1358" s="199"/>
      <c r="L1358" s="248"/>
      <c r="M1358" s="248"/>
      <c r="N1358" s="248"/>
      <c r="O1358" s="248"/>
    </row>
    <row r="1359">
      <c r="A1359" s="199"/>
      <c r="B1359" s="199"/>
      <c r="C1359" s="199"/>
      <c r="D1359" s="248"/>
      <c r="E1359" s="248"/>
      <c r="F1359" s="248"/>
      <c r="G1359" s="248"/>
      <c r="H1359" s="283"/>
      <c r="I1359" s="199"/>
      <c r="J1359" s="199"/>
      <c r="K1359" s="199"/>
      <c r="L1359" s="248"/>
      <c r="M1359" s="248"/>
      <c r="N1359" s="248"/>
      <c r="O1359" s="248"/>
    </row>
    <row r="1360">
      <c r="A1360" s="199"/>
      <c r="B1360" s="199"/>
      <c r="C1360" s="199"/>
      <c r="D1360" s="248"/>
      <c r="E1360" s="248"/>
      <c r="F1360" s="248"/>
      <c r="G1360" s="248"/>
      <c r="H1360" s="283"/>
      <c r="I1360" s="199"/>
      <c r="J1360" s="199"/>
      <c r="K1360" s="199"/>
      <c r="L1360" s="248"/>
      <c r="M1360" s="248"/>
      <c r="N1360" s="248"/>
      <c r="O1360" s="248"/>
    </row>
    <row r="1361">
      <c r="A1361" s="199"/>
      <c r="B1361" s="199"/>
      <c r="C1361" s="199"/>
      <c r="D1361" s="248"/>
      <c r="E1361" s="248"/>
      <c r="F1361" s="248"/>
      <c r="G1361" s="248"/>
      <c r="H1361" s="283"/>
      <c r="I1361" s="199"/>
      <c r="J1361" s="199"/>
      <c r="K1361" s="199"/>
      <c r="L1361" s="248"/>
      <c r="M1361" s="248"/>
      <c r="N1361" s="248"/>
      <c r="O1361" s="248"/>
    </row>
    <row r="1362">
      <c r="A1362" s="199"/>
      <c r="B1362" s="199"/>
      <c r="C1362" s="199"/>
      <c r="D1362" s="248"/>
      <c r="E1362" s="248"/>
      <c r="F1362" s="248"/>
      <c r="G1362" s="248"/>
      <c r="H1362" s="283"/>
      <c r="I1362" s="199"/>
      <c r="J1362" s="199"/>
      <c r="K1362" s="199"/>
      <c r="L1362" s="248"/>
      <c r="M1362" s="248"/>
      <c r="N1362" s="248"/>
      <c r="O1362" s="248"/>
    </row>
    <row r="1363">
      <c r="A1363" s="199"/>
      <c r="B1363" s="199"/>
      <c r="C1363" s="199"/>
      <c r="D1363" s="248"/>
      <c r="E1363" s="248"/>
      <c r="F1363" s="248"/>
      <c r="G1363" s="248"/>
      <c r="H1363" s="283"/>
      <c r="I1363" s="199"/>
      <c r="J1363" s="199"/>
      <c r="K1363" s="199"/>
      <c r="L1363" s="248"/>
      <c r="M1363" s="248"/>
      <c r="N1363" s="248"/>
      <c r="O1363" s="248"/>
    </row>
    <row r="1364">
      <c r="A1364" s="199"/>
      <c r="B1364" s="199"/>
      <c r="C1364" s="199"/>
      <c r="D1364" s="248"/>
      <c r="E1364" s="248"/>
      <c r="F1364" s="248"/>
      <c r="G1364" s="248"/>
      <c r="H1364" s="283"/>
      <c r="I1364" s="199"/>
      <c r="J1364" s="199"/>
      <c r="K1364" s="199"/>
      <c r="L1364" s="248"/>
      <c r="M1364" s="248"/>
      <c r="N1364" s="248"/>
      <c r="O1364" s="248"/>
    </row>
    <row r="1365">
      <c r="A1365" s="199"/>
      <c r="B1365" s="199"/>
      <c r="C1365" s="199"/>
      <c r="D1365" s="248"/>
      <c r="E1365" s="248"/>
      <c r="F1365" s="248"/>
      <c r="G1365" s="248"/>
      <c r="H1365" s="283"/>
      <c r="I1365" s="199"/>
      <c r="J1365" s="199"/>
      <c r="K1365" s="199"/>
      <c r="L1365" s="248"/>
      <c r="M1365" s="248"/>
      <c r="N1365" s="248"/>
      <c r="O1365" s="248"/>
    </row>
    <row r="1366">
      <c r="A1366" s="199"/>
      <c r="B1366" s="199"/>
      <c r="C1366" s="199"/>
      <c r="D1366" s="248"/>
      <c r="E1366" s="248"/>
      <c r="F1366" s="248"/>
      <c r="G1366" s="248"/>
      <c r="H1366" s="283"/>
      <c r="I1366" s="199"/>
      <c r="J1366" s="199"/>
      <c r="K1366" s="199"/>
      <c r="L1366" s="248"/>
      <c r="M1366" s="248"/>
      <c r="N1366" s="248"/>
      <c r="O1366" s="248"/>
    </row>
    <row r="1367">
      <c r="A1367" s="199"/>
      <c r="B1367" s="199"/>
      <c r="C1367" s="199"/>
      <c r="D1367" s="248"/>
      <c r="E1367" s="248"/>
      <c r="F1367" s="248"/>
      <c r="G1367" s="248"/>
      <c r="H1367" s="283"/>
      <c r="I1367" s="199"/>
      <c r="J1367" s="199"/>
      <c r="K1367" s="199"/>
      <c r="L1367" s="248"/>
      <c r="M1367" s="248"/>
      <c r="N1367" s="248"/>
      <c r="O1367" s="248"/>
    </row>
    <row r="1368">
      <c r="A1368" s="199"/>
      <c r="B1368" s="199"/>
      <c r="C1368" s="199"/>
      <c r="D1368" s="248"/>
      <c r="E1368" s="248"/>
      <c r="F1368" s="248"/>
      <c r="G1368" s="248"/>
      <c r="H1368" s="283"/>
      <c r="I1368" s="199"/>
      <c r="J1368" s="199"/>
      <c r="K1368" s="199"/>
      <c r="L1368" s="248"/>
      <c r="M1368" s="248"/>
      <c r="N1368" s="248"/>
      <c r="O1368" s="248"/>
    </row>
    <row r="1369">
      <c r="A1369" s="199"/>
      <c r="B1369" s="199"/>
      <c r="C1369" s="199"/>
      <c r="D1369" s="248"/>
      <c r="E1369" s="248"/>
      <c r="F1369" s="248"/>
      <c r="G1369" s="248"/>
      <c r="H1369" s="283"/>
      <c r="I1369" s="199"/>
      <c r="J1369" s="199"/>
      <c r="K1369" s="199"/>
      <c r="L1369" s="248"/>
      <c r="M1369" s="248"/>
      <c r="N1369" s="248"/>
      <c r="O1369" s="248"/>
    </row>
    <row r="1370">
      <c r="A1370" s="199"/>
      <c r="B1370" s="199"/>
      <c r="C1370" s="199"/>
      <c r="D1370" s="248"/>
      <c r="E1370" s="248"/>
      <c r="F1370" s="248"/>
      <c r="G1370" s="248"/>
      <c r="H1370" s="283"/>
      <c r="I1370" s="199"/>
      <c r="J1370" s="199"/>
      <c r="K1370" s="199"/>
      <c r="L1370" s="248"/>
      <c r="M1370" s="248"/>
      <c r="N1370" s="248"/>
      <c r="O1370" s="248"/>
    </row>
    <row r="1371">
      <c r="A1371" s="199"/>
      <c r="B1371" s="199"/>
      <c r="C1371" s="199"/>
      <c r="D1371" s="248"/>
      <c r="E1371" s="248"/>
      <c r="F1371" s="248"/>
      <c r="G1371" s="248"/>
      <c r="H1371" s="283"/>
      <c r="I1371" s="199"/>
      <c r="J1371" s="199"/>
      <c r="K1371" s="199"/>
      <c r="L1371" s="248"/>
      <c r="M1371" s="248"/>
      <c r="N1371" s="248"/>
      <c r="O1371" s="248"/>
    </row>
    <row r="1372">
      <c r="A1372" s="199"/>
      <c r="B1372" s="199"/>
      <c r="C1372" s="199"/>
      <c r="D1372" s="248"/>
      <c r="E1372" s="248"/>
      <c r="F1372" s="248"/>
      <c r="G1372" s="248"/>
      <c r="H1372" s="283"/>
      <c r="I1372" s="199"/>
      <c r="J1372" s="199"/>
      <c r="K1372" s="199"/>
      <c r="L1372" s="248"/>
      <c r="M1372" s="248"/>
      <c r="N1372" s="248"/>
      <c r="O1372" s="248"/>
    </row>
    <row r="1373">
      <c r="A1373" s="199"/>
      <c r="B1373" s="199"/>
      <c r="C1373" s="199"/>
      <c r="D1373" s="248"/>
      <c r="E1373" s="248"/>
      <c r="F1373" s="248"/>
      <c r="G1373" s="248"/>
      <c r="H1373" s="283"/>
      <c r="I1373" s="199"/>
      <c r="J1373" s="199"/>
      <c r="K1373" s="199"/>
      <c r="L1373" s="248"/>
      <c r="M1373" s="248"/>
      <c r="N1373" s="248"/>
      <c r="O1373" s="248"/>
    </row>
    <row r="1374">
      <c r="A1374" s="199"/>
      <c r="B1374" s="199"/>
      <c r="C1374" s="199"/>
      <c r="D1374" s="248"/>
      <c r="E1374" s="248"/>
      <c r="F1374" s="248"/>
      <c r="G1374" s="248"/>
      <c r="H1374" s="283"/>
      <c r="I1374" s="199"/>
      <c r="J1374" s="199"/>
      <c r="K1374" s="199"/>
      <c r="L1374" s="248"/>
      <c r="M1374" s="248"/>
      <c r="N1374" s="248"/>
      <c r="O1374" s="248"/>
    </row>
    <row r="1375">
      <c r="A1375" s="199"/>
      <c r="B1375" s="199"/>
      <c r="C1375" s="199"/>
      <c r="D1375" s="248"/>
      <c r="E1375" s="248"/>
      <c r="F1375" s="248"/>
      <c r="G1375" s="248"/>
      <c r="H1375" s="283"/>
      <c r="I1375" s="199"/>
      <c r="J1375" s="199"/>
      <c r="K1375" s="199"/>
      <c r="L1375" s="248"/>
      <c r="M1375" s="248"/>
      <c r="N1375" s="248"/>
      <c r="O1375" s="248"/>
    </row>
    <row r="1376">
      <c r="A1376" s="199"/>
      <c r="B1376" s="199"/>
      <c r="C1376" s="199"/>
      <c r="D1376" s="248"/>
      <c r="E1376" s="248"/>
      <c r="F1376" s="248"/>
      <c r="G1376" s="248"/>
      <c r="H1376" s="283"/>
      <c r="I1376" s="199"/>
      <c r="J1376" s="199"/>
      <c r="K1376" s="199"/>
      <c r="L1376" s="248"/>
      <c r="M1376" s="248"/>
      <c r="N1376" s="248"/>
      <c r="O1376" s="248"/>
    </row>
    <row r="1377">
      <c r="A1377" s="199"/>
      <c r="B1377" s="199"/>
      <c r="C1377" s="199"/>
      <c r="D1377" s="248"/>
      <c r="E1377" s="248"/>
      <c r="F1377" s="248"/>
      <c r="G1377" s="248"/>
      <c r="H1377" s="283"/>
      <c r="I1377" s="199"/>
      <c r="J1377" s="199"/>
      <c r="K1377" s="199"/>
      <c r="L1377" s="248"/>
      <c r="M1377" s="248"/>
      <c r="N1377" s="248"/>
      <c r="O1377" s="248"/>
    </row>
    <row r="1378">
      <c r="A1378" s="199"/>
      <c r="B1378" s="199"/>
      <c r="C1378" s="199"/>
      <c r="D1378" s="248"/>
      <c r="E1378" s="248"/>
      <c r="F1378" s="248"/>
      <c r="G1378" s="248"/>
      <c r="H1378" s="283"/>
      <c r="I1378" s="199"/>
      <c r="J1378" s="199"/>
      <c r="K1378" s="199"/>
      <c r="L1378" s="248"/>
      <c r="M1378" s="248"/>
      <c r="N1378" s="248"/>
      <c r="O1378" s="248"/>
    </row>
    <row r="1379">
      <c r="A1379" s="199"/>
      <c r="B1379" s="199"/>
      <c r="C1379" s="199"/>
      <c r="D1379" s="248"/>
      <c r="E1379" s="248"/>
      <c r="F1379" s="248"/>
      <c r="G1379" s="248"/>
      <c r="H1379" s="283"/>
      <c r="I1379" s="199"/>
      <c r="J1379" s="199"/>
      <c r="K1379" s="199"/>
      <c r="L1379" s="248"/>
      <c r="M1379" s="248"/>
      <c r="N1379" s="248"/>
      <c r="O1379" s="248"/>
    </row>
    <row r="1380">
      <c r="A1380" s="199"/>
      <c r="B1380" s="199"/>
      <c r="C1380" s="199"/>
      <c r="D1380" s="248"/>
      <c r="E1380" s="248"/>
      <c r="F1380" s="248"/>
      <c r="G1380" s="248"/>
      <c r="H1380" s="283"/>
      <c r="I1380" s="199"/>
      <c r="J1380" s="199"/>
      <c r="K1380" s="199"/>
      <c r="L1380" s="248"/>
      <c r="M1380" s="248"/>
      <c r="N1380" s="248"/>
      <c r="O1380" s="248"/>
    </row>
    <row r="1381">
      <c r="A1381" s="199"/>
      <c r="B1381" s="199"/>
      <c r="C1381" s="199"/>
      <c r="D1381" s="248"/>
      <c r="E1381" s="248"/>
      <c r="F1381" s="248"/>
      <c r="G1381" s="248"/>
      <c r="H1381" s="283"/>
      <c r="I1381" s="199"/>
      <c r="J1381" s="199"/>
      <c r="K1381" s="199"/>
      <c r="L1381" s="248"/>
      <c r="M1381" s="248"/>
      <c r="N1381" s="248"/>
      <c r="O1381" s="248"/>
    </row>
    <row r="1382">
      <c r="A1382" s="199"/>
      <c r="B1382" s="199"/>
      <c r="C1382" s="199"/>
      <c r="D1382" s="248"/>
      <c r="E1382" s="248"/>
      <c r="F1382" s="248"/>
      <c r="G1382" s="248"/>
      <c r="H1382" s="283"/>
      <c r="I1382" s="199"/>
      <c r="J1382" s="199"/>
      <c r="K1382" s="199"/>
      <c r="L1382" s="248"/>
      <c r="M1382" s="248"/>
      <c r="N1382" s="248"/>
      <c r="O1382" s="248"/>
    </row>
    <row r="1383">
      <c r="A1383" s="199"/>
      <c r="B1383" s="199"/>
      <c r="C1383" s="199"/>
      <c r="D1383" s="248"/>
      <c r="E1383" s="248"/>
      <c r="F1383" s="248"/>
      <c r="G1383" s="248"/>
      <c r="H1383" s="283"/>
      <c r="I1383" s="199"/>
      <c r="J1383" s="199"/>
      <c r="K1383" s="199"/>
      <c r="L1383" s="248"/>
      <c r="M1383" s="248"/>
      <c r="N1383" s="248"/>
      <c r="O1383" s="248"/>
    </row>
    <row r="1384">
      <c r="A1384" s="199"/>
      <c r="B1384" s="199"/>
      <c r="C1384" s="199"/>
      <c r="D1384" s="248"/>
      <c r="E1384" s="248"/>
      <c r="F1384" s="248"/>
      <c r="G1384" s="248"/>
      <c r="H1384" s="283"/>
      <c r="I1384" s="199"/>
      <c r="J1384" s="199"/>
      <c r="K1384" s="199"/>
      <c r="L1384" s="248"/>
      <c r="M1384" s="248"/>
      <c r="N1384" s="248"/>
      <c r="O1384" s="248"/>
    </row>
    <row r="1385">
      <c r="A1385" s="199"/>
      <c r="B1385" s="199"/>
      <c r="C1385" s="199"/>
      <c r="D1385" s="248"/>
      <c r="E1385" s="248"/>
      <c r="F1385" s="248"/>
      <c r="G1385" s="248"/>
      <c r="H1385" s="283"/>
      <c r="I1385" s="199"/>
      <c r="J1385" s="199"/>
      <c r="K1385" s="199"/>
      <c r="L1385" s="248"/>
      <c r="M1385" s="248"/>
      <c r="N1385" s="248"/>
      <c r="O1385" s="248"/>
    </row>
    <row r="1386">
      <c r="A1386" s="199"/>
      <c r="B1386" s="199"/>
      <c r="C1386" s="199"/>
      <c r="D1386" s="248"/>
      <c r="E1386" s="248"/>
      <c r="F1386" s="248"/>
      <c r="G1386" s="248"/>
      <c r="H1386" s="283"/>
      <c r="I1386" s="199"/>
      <c r="J1386" s="199"/>
      <c r="K1386" s="199"/>
      <c r="L1386" s="248"/>
      <c r="M1386" s="248"/>
      <c r="N1386" s="248"/>
      <c r="O1386" s="248"/>
    </row>
    <row r="1387">
      <c r="A1387" s="199"/>
      <c r="B1387" s="199"/>
      <c r="C1387" s="199"/>
      <c r="D1387" s="248"/>
      <c r="E1387" s="248"/>
      <c r="F1387" s="248"/>
      <c r="G1387" s="248"/>
      <c r="H1387" s="283"/>
      <c r="I1387" s="199"/>
      <c r="J1387" s="199"/>
      <c r="K1387" s="199"/>
      <c r="L1387" s="248"/>
      <c r="M1387" s="248"/>
      <c r="N1387" s="248"/>
      <c r="O1387" s="248"/>
    </row>
    <row r="1388">
      <c r="A1388" s="199"/>
      <c r="B1388" s="199"/>
      <c r="C1388" s="199"/>
      <c r="D1388" s="248"/>
      <c r="E1388" s="248"/>
      <c r="F1388" s="248"/>
      <c r="G1388" s="248"/>
      <c r="H1388" s="283"/>
      <c r="I1388" s="199"/>
      <c r="J1388" s="199"/>
      <c r="K1388" s="199"/>
      <c r="L1388" s="248"/>
      <c r="M1388" s="248"/>
      <c r="N1388" s="248"/>
      <c r="O1388" s="248"/>
    </row>
    <row r="1389">
      <c r="A1389" s="199"/>
      <c r="B1389" s="199"/>
      <c r="C1389" s="199"/>
      <c r="D1389" s="248"/>
      <c r="E1389" s="248"/>
      <c r="F1389" s="248"/>
      <c r="G1389" s="248"/>
      <c r="H1389" s="283"/>
      <c r="I1389" s="199"/>
      <c r="J1389" s="199"/>
      <c r="K1389" s="199"/>
      <c r="L1389" s="248"/>
      <c r="M1389" s="248"/>
      <c r="N1389" s="248"/>
      <c r="O1389" s="248"/>
    </row>
    <row r="1390">
      <c r="A1390" s="199"/>
      <c r="B1390" s="199"/>
      <c r="C1390" s="199"/>
      <c r="D1390" s="248"/>
      <c r="E1390" s="248"/>
      <c r="F1390" s="248"/>
      <c r="G1390" s="248"/>
      <c r="H1390" s="283"/>
      <c r="I1390" s="199"/>
      <c r="J1390" s="199"/>
      <c r="K1390" s="199"/>
      <c r="L1390" s="248"/>
      <c r="M1390" s="248"/>
      <c r="N1390" s="248"/>
      <c r="O1390" s="248"/>
    </row>
    <row r="1391">
      <c r="A1391" s="199"/>
      <c r="B1391" s="199"/>
      <c r="C1391" s="199"/>
      <c r="D1391" s="248"/>
      <c r="E1391" s="248"/>
      <c r="F1391" s="248"/>
      <c r="G1391" s="248"/>
      <c r="H1391" s="283"/>
      <c r="I1391" s="199"/>
      <c r="J1391" s="199"/>
      <c r="K1391" s="199"/>
      <c r="L1391" s="248"/>
      <c r="M1391" s="248"/>
      <c r="N1391" s="248"/>
      <c r="O1391" s="248"/>
    </row>
    <row r="1392">
      <c r="A1392" s="199"/>
      <c r="B1392" s="199"/>
      <c r="C1392" s="199"/>
      <c r="D1392" s="248"/>
      <c r="E1392" s="248"/>
      <c r="F1392" s="248"/>
      <c r="G1392" s="248"/>
      <c r="H1392" s="283"/>
      <c r="I1392" s="199"/>
      <c r="J1392" s="199"/>
      <c r="K1392" s="199"/>
      <c r="L1392" s="248"/>
      <c r="M1392" s="248"/>
      <c r="N1392" s="248"/>
      <c r="O1392" s="248"/>
    </row>
    <row r="1393">
      <c r="A1393" s="199"/>
      <c r="B1393" s="199"/>
      <c r="C1393" s="199"/>
      <c r="D1393" s="248"/>
      <c r="E1393" s="248"/>
      <c r="F1393" s="248"/>
      <c r="G1393" s="248"/>
      <c r="H1393" s="283"/>
      <c r="I1393" s="199"/>
      <c r="J1393" s="199"/>
      <c r="K1393" s="199"/>
      <c r="L1393" s="248"/>
      <c r="M1393" s="248"/>
      <c r="N1393" s="248"/>
      <c r="O1393" s="248"/>
    </row>
    <row r="1394">
      <c r="A1394" s="199"/>
      <c r="B1394" s="199"/>
      <c r="C1394" s="199"/>
      <c r="D1394" s="248"/>
      <c r="E1394" s="248"/>
      <c r="F1394" s="248"/>
      <c r="G1394" s="248"/>
      <c r="H1394" s="283"/>
      <c r="I1394" s="199"/>
      <c r="J1394" s="199"/>
      <c r="K1394" s="199"/>
      <c r="L1394" s="248"/>
      <c r="M1394" s="248"/>
      <c r="N1394" s="248"/>
      <c r="O1394" s="248"/>
    </row>
    <row r="1395">
      <c r="A1395" s="199"/>
      <c r="B1395" s="199"/>
      <c r="C1395" s="199"/>
      <c r="D1395" s="248"/>
      <c r="E1395" s="248"/>
      <c r="F1395" s="248"/>
      <c r="G1395" s="248"/>
      <c r="H1395" s="283"/>
      <c r="I1395" s="199"/>
      <c r="J1395" s="199"/>
      <c r="K1395" s="199"/>
      <c r="L1395" s="248"/>
      <c r="M1395" s="248"/>
      <c r="N1395" s="248"/>
      <c r="O1395" s="248"/>
    </row>
    <row r="1396">
      <c r="A1396" s="199"/>
      <c r="B1396" s="199"/>
      <c r="C1396" s="199"/>
      <c r="D1396" s="248"/>
      <c r="E1396" s="248"/>
      <c r="F1396" s="248"/>
      <c r="G1396" s="248"/>
      <c r="H1396" s="283"/>
      <c r="I1396" s="199"/>
      <c r="J1396" s="199"/>
      <c r="K1396" s="199"/>
      <c r="L1396" s="248"/>
      <c r="M1396" s="248"/>
      <c r="N1396" s="248"/>
      <c r="O1396" s="248"/>
    </row>
    <row r="1397">
      <c r="A1397" s="199"/>
      <c r="B1397" s="199"/>
      <c r="C1397" s="199"/>
      <c r="D1397" s="248"/>
      <c r="E1397" s="248"/>
      <c r="F1397" s="248"/>
      <c r="G1397" s="248"/>
      <c r="H1397" s="283"/>
      <c r="I1397" s="199"/>
      <c r="J1397" s="199"/>
      <c r="K1397" s="199"/>
      <c r="L1397" s="248"/>
      <c r="M1397" s="248"/>
      <c r="N1397" s="248"/>
      <c r="O1397" s="248"/>
    </row>
    <row r="1398">
      <c r="A1398" s="199"/>
      <c r="B1398" s="199"/>
      <c r="C1398" s="199"/>
      <c r="D1398" s="248"/>
      <c r="E1398" s="248"/>
      <c r="F1398" s="248"/>
      <c r="G1398" s="248"/>
      <c r="H1398" s="283"/>
      <c r="I1398" s="199"/>
      <c r="J1398" s="199"/>
      <c r="K1398" s="199"/>
      <c r="L1398" s="248"/>
      <c r="M1398" s="248"/>
      <c r="N1398" s="248"/>
      <c r="O1398" s="248"/>
    </row>
    <row r="1399">
      <c r="A1399" s="199"/>
      <c r="B1399" s="199"/>
      <c r="C1399" s="199"/>
      <c r="D1399" s="248"/>
      <c r="E1399" s="248"/>
      <c r="F1399" s="248"/>
      <c r="G1399" s="248"/>
      <c r="H1399" s="283"/>
      <c r="I1399" s="199"/>
      <c r="J1399" s="199"/>
      <c r="K1399" s="199"/>
      <c r="L1399" s="248"/>
      <c r="M1399" s="248"/>
      <c r="N1399" s="248"/>
      <c r="O1399" s="248"/>
    </row>
    <row r="1400">
      <c r="A1400" s="199"/>
      <c r="B1400" s="199"/>
      <c r="C1400" s="199"/>
      <c r="D1400" s="248"/>
      <c r="E1400" s="248"/>
      <c r="F1400" s="248"/>
      <c r="G1400" s="248"/>
      <c r="H1400" s="283"/>
      <c r="I1400" s="199"/>
      <c r="J1400" s="199"/>
      <c r="K1400" s="199"/>
      <c r="L1400" s="248"/>
      <c r="M1400" s="248"/>
      <c r="N1400" s="248"/>
      <c r="O1400" s="248"/>
    </row>
    <row r="1401">
      <c r="A1401" s="199"/>
      <c r="B1401" s="199"/>
      <c r="C1401" s="199"/>
      <c r="D1401" s="248"/>
      <c r="E1401" s="248"/>
      <c r="F1401" s="248"/>
      <c r="G1401" s="248"/>
      <c r="H1401" s="283"/>
      <c r="I1401" s="199"/>
      <c r="J1401" s="199"/>
      <c r="K1401" s="199"/>
      <c r="L1401" s="248"/>
      <c r="M1401" s="248"/>
      <c r="N1401" s="248"/>
      <c r="O1401" s="248"/>
    </row>
    <row r="1402">
      <c r="A1402" s="199"/>
      <c r="B1402" s="199"/>
      <c r="C1402" s="199"/>
      <c r="D1402" s="248"/>
      <c r="E1402" s="248"/>
      <c r="F1402" s="248"/>
      <c r="G1402" s="248"/>
      <c r="H1402" s="283"/>
      <c r="I1402" s="199"/>
      <c r="J1402" s="199"/>
      <c r="K1402" s="199"/>
      <c r="L1402" s="248"/>
      <c r="M1402" s="248"/>
      <c r="N1402" s="248"/>
      <c r="O1402" s="248"/>
    </row>
    <row r="1403">
      <c r="A1403" s="199"/>
      <c r="B1403" s="199"/>
      <c r="C1403" s="199"/>
      <c r="D1403" s="248"/>
      <c r="E1403" s="248"/>
      <c r="F1403" s="248"/>
      <c r="G1403" s="248"/>
      <c r="H1403" s="283"/>
      <c r="I1403" s="199"/>
      <c r="J1403" s="199"/>
      <c r="K1403" s="199"/>
      <c r="L1403" s="248"/>
      <c r="M1403" s="248"/>
      <c r="N1403" s="248"/>
      <c r="O1403" s="248"/>
    </row>
    <row r="1404">
      <c r="A1404" s="199"/>
      <c r="B1404" s="199"/>
      <c r="C1404" s="199"/>
      <c r="D1404" s="248"/>
      <c r="E1404" s="248"/>
      <c r="F1404" s="248"/>
      <c r="G1404" s="248"/>
      <c r="H1404" s="283"/>
      <c r="I1404" s="199"/>
      <c r="J1404" s="199"/>
      <c r="K1404" s="199"/>
      <c r="L1404" s="248"/>
      <c r="M1404" s="248"/>
      <c r="N1404" s="248"/>
      <c r="O1404" s="248"/>
    </row>
    <row r="1405">
      <c r="A1405" s="199"/>
      <c r="B1405" s="199"/>
      <c r="C1405" s="199"/>
      <c r="D1405" s="248"/>
      <c r="E1405" s="248"/>
      <c r="F1405" s="248"/>
      <c r="G1405" s="248"/>
      <c r="H1405" s="283"/>
      <c r="I1405" s="199"/>
      <c r="J1405" s="199"/>
      <c r="K1405" s="199"/>
      <c r="L1405" s="248"/>
      <c r="M1405" s="248"/>
      <c r="N1405" s="248"/>
      <c r="O1405" s="248"/>
    </row>
    <row r="1406">
      <c r="A1406" s="199"/>
      <c r="B1406" s="199"/>
      <c r="C1406" s="199"/>
      <c r="D1406" s="248"/>
      <c r="E1406" s="248"/>
      <c r="F1406" s="248"/>
      <c r="G1406" s="248"/>
      <c r="H1406" s="283"/>
      <c r="I1406" s="199"/>
      <c r="J1406" s="199"/>
      <c r="K1406" s="199"/>
      <c r="L1406" s="248"/>
      <c r="M1406" s="248"/>
      <c r="N1406" s="248"/>
      <c r="O1406" s="248"/>
    </row>
    <row r="1407">
      <c r="A1407" s="199"/>
      <c r="B1407" s="199"/>
      <c r="C1407" s="199"/>
      <c r="D1407" s="248"/>
      <c r="E1407" s="248"/>
      <c r="F1407" s="248"/>
      <c r="G1407" s="248"/>
      <c r="H1407" s="283"/>
      <c r="I1407" s="199"/>
      <c r="J1407" s="199"/>
      <c r="K1407" s="199"/>
      <c r="L1407" s="248"/>
      <c r="M1407" s="248"/>
      <c r="N1407" s="248"/>
      <c r="O1407" s="248"/>
    </row>
    <row r="1408">
      <c r="A1408" s="199"/>
      <c r="B1408" s="199"/>
      <c r="C1408" s="199"/>
      <c r="D1408" s="248"/>
      <c r="E1408" s="248"/>
      <c r="F1408" s="248"/>
      <c r="G1408" s="248"/>
      <c r="H1408" s="283"/>
      <c r="I1408" s="199"/>
      <c r="J1408" s="199"/>
      <c r="K1408" s="199"/>
      <c r="L1408" s="248"/>
      <c r="M1408" s="248"/>
      <c r="N1408" s="248"/>
      <c r="O1408" s="248"/>
    </row>
    <row r="1409">
      <c r="A1409" s="199"/>
      <c r="B1409" s="199"/>
      <c r="C1409" s="199"/>
      <c r="D1409" s="248"/>
      <c r="E1409" s="248"/>
      <c r="F1409" s="248"/>
      <c r="G1409" s="248"/>
      <c r="H1409" s="283"/>
      <c r="I1409" s="199"/>
      <c r="J1409" s="199"/>
      <c r="K1409" s="199"/>
      <c r="L1409" s="248"/>
      <c r="M1409" s="248"/>
      <c r="N1409" s="248"/>
      <c r="O1409" s="248"/>
    </row>
    <row r="1410">
      <c r="A1410" s="199"/>
      <c r="B1410" s="199"/>
      <c r="C1410" s="199"/>
      <c r="D1410" s="248"/>
      <c r="E1410" s="248"/>
      <c r="F1410" s="248"/>
      <c r="G1410" s="248"/>
      <c r="H1410" s="283"/>
      <c r="I1410" s="199"/>
      <c r="J1410" s="199"/>
      <c r="K1410" s="199"/>
      <c r="L1410" s="248"/>
      <c r="M1410" s="248"/>
      <c r="N1410" s="248"/>
      <c r="O1410" s="248"/>
    </row>
    <row r="1411">
      <c r="A1411" s="199"/>
      <c r="B1411" s="199"/>
      <c r="C1411" s="199"/>
      <c r="D1411" s="248"/>
      <c r="E1411" s="248"/>
      <c r="F1411" s="248"/>
      <c r="G1411" s="248"/>
      <c r="H1411" s="283"/>
      <c r="I1411" s="199"/>
      <c r="J1411" s="199"/>
      <c r="K1411" s="199"/>
      <c r="L1411" s="248"/>
      <c r="M1411" s="248"/>
      <c r="N1411" s="248"/>
      <c r="O1411" s="248"/>
    </row>
    <row r="1412">
      <c r="A1412" s="199"/>
      <c r="B1412" s="199"/>
      <c r="C1412" s="199"/>
      <c r="D1412" s="248"/>
      <c r="E1412" s="248"/>
      <c r="F1412" s="248"/>
      <c r="G1412" s="248"/>
      <c r="H1412" s="283"/>
      <c r="I1412" s="199"/>
      <c r="J1412" s="199"/>
      <c r="K1412" s="199"/>
      <c r="L1412" s="248"/>
      <c r="M1412" s="248"/>
      <c r="N1412" s="248"/>
      <c r="O1412" s="248"/>
    </row>
    <row r="1413">
      <c r="A1413" s="199"/>
      <c r="B1413" s="199"/>
      <c r="C1413" s="199"/>
      <c r="D1413" s="248"/>
      <c r="E1413" s="248"/>
      <c r="F1413" s="248"/>
      <c r="G1413" s="248"/>
      <c r="H1413" s="283"/>
      <c r="I1413" s="199"/>
      <c r="J1413" s="199"/>
      <c r="K1413" s="199"/>
      <c r="L1413" s="248"/>
      <c r="M1413" s="248"/>
      <c r="N1413" s="248"/>
      <c r="O1413" s="248"/>
    </row>
    <row r="1414">
      <c r="A1414" s="199"/>
      <c r="B1414" s="199"/>
      <c r="C1414" s="199"/>
      <c r="D1414" s="248"/>
      <c r="E1414" s="248"/>
      <c r="F1414" s="248"/>
      <c r="G1414" s="248"/>
      <c r="H1414" s="283"/>
      <c r="I1414" s="199"/>
      <c r="J1414" s="199"/>
      <c r="K1414" s="199"/>
      <c r="L1414" s="248"/>
      <c r="M1414" s="248"/>
      <c r="N1414" s="248"/>
      <c r="O1414" s="248"/>
    </row>
    <row r="1415">
      <c r="A1415" s="199"/>
      <c r="B1415" s="199"/>
      <c r="C1415" s="199"/>
      <c r="D1415" s="248"/>
      <c r="E1415" s="248"/>
      <c r="F1415" s="248"/>
      <c r="G1415" s="248"/>
      <c r="H1415" s="283"/>
      <c r="I1415" s="199"/>
      <c r="J1415" s="199"/>
      <c r="K1415" s="199"/>
      <c r="L1415" s="248"/>
      <c r="M1415" s="248"/>
      <c r="N1415" s="248"/>
      <c r="O1415" s="248"/>
    </row>
    <row r="1416">
      <c r="A1416" s="199"/>
      <c r="B1416" s="199"/>
      <c r="C1416" s="199"/>
      <c r="D1416" s="248"/>
      <c r="E1416" s="248"/>
      <c r="F1416" s="248"/>
      <c r="G1416" s="248"/>
      <c r="H1416" s="283"/>
      <c r="I1416" s="199"/>
      <c r="J1416" s="199"/>
      <c r="K1416" s="199"/>
      <c r="L1416" s="248"/>
      <c r="M1416" s="248"/>
      <c r="N1416" s="248"/>
      <c r="O1416" s="248"/>
    </row>
    <row r="1417">
      <c r="A1417" s="199"/>
      <c r="B1417" s="199"/>
      <c r="C1417" s="199"/>
      <c r="D1417" s="248"/>
      <c r="E1417" s="248"/>
      <c r="F1417" s="248"/>
      <c r="G1417" s="248"/>
      <c r="H1417" s="283"/>
      <c r="I1417" s="199"/>
      <c r="J1417" s="199"/>
      <c r="K1417" s="199"/>
      <c r="L1417" s="248"/>
      <c r="M1417" s="248"/>
      <c r="N1417" s="248"/>
      <c r="O1417" s="248"/>
    </row>
    <row r="1418">
      <c r="A1418" s="199"/>
      <c r="B1418" s="199"/>
      <c r="C1418" s="199"/>
      <c r="D1418" s="248"/>
      <c r="E1418" s="248"/>
      <c r="F1418" s="248"/>
      <c r="G1418" s="248"/>
      <c r="H1418" s="283"/>
      <c r="I1418" s="199"/>
      <c r="J1418" s="199"/>
      <c r="K1418" s="199"/>
      <c r="L1418" s="248"/>
      <c r="M1418" s="248"/>
      <c r="N1418" s="248"/>
      <c r="O1418" s="248"/>
    </row>
    <row r="1419">
      <c r="A1419" s="199"/>
      <c r="B1419" s="199"/>
      <c r="C1419" s="199"/>
      <c r="D1419" s="248"/>
      <c r="E1419" s="248"/>
      <c r="F1419" s="248"/>
      <c r="G1419" s="248"/>
      <c r="H1419" s="283"/>
      <c r="I1419" s="199"/>
      <c r="J1419" s="199"/>
      <c r="K1419" s="199"/>
      <c r="L1419" s="248"/>
      <c r="M1419" s="248"/>
      <c r="N1419" s="248"/>
      <c r="O1419" s="248"/>
    </row>
    <row r="1420">
      <c r="A1420" s="199"/>
      <c r="B1420" s="199"/>
      <c r="C1420" s="199"/>
      <c r="D1420" s="248"/>
      <c r="E1420" s="248"/>
      <c r="F1420" s="248"/>
      <c r="G1420" s="248"/>
      <c r="H1420" s="283"/>
      <c r="I1420" s="199"/>
      <c r="J1420" s="199"/>
      <c r="K1420" s="199"/>
      <c r="L1420" s="248"/>
      <c r="M1420" s="248"/>
      <c r="N1420" s="248"/>
      <c r="O1420" s="248"/>
    </row>
    <row r="1421">
      <c r="A1421" s="199"/>
      <c r="B1421" s="199"/>
      <c r="C1421" s="199"/>
      <c r="D1421" s="248"/>
      <c r="E1421" s="248"/>
      <c r="F1421" s="248"/>
      <c r="G1421" s="248"/>
      <c r="H1421" s="283"/>
      <c r="I1421" s="199"/>
      <c r="J1421" s="199"/>
      <c r="K1421" s="199"/>
      <c r="L1421" s="248"/>
      <c r="M1421" s="248"/>
      <c r="N1421" s="248"/>
      <c r="O1421" s="248"/>
    </row>
    <row r="1422">
      <c r="A1422" s="199"/>
      <c r="B1422" s="199"/>
      <c r="C1422" s="199"/>
      <c r="D1422" s="248"/>
      <c r="E1422" s="248"/>
      <c r="F1422" s="248"/>
      <c r="G1422" s="248"/>
      <c r="H1422" s="283"/>
      <c r="I1422" s="199"/>
      <c r="J1422" s="199"/>
      <c r="K1422" s="199"/>
      <c r="L1422" s="248"/>
      <c r="M1422" s="248"/>
      <c r="N1422" s="248"/>
      <c r="O1422" s="248"/>
    </row>
    <row r="1423">
      <c r="A1423" s="199"/>
      <c r="B1423" s="199"/>
      <c r="C1423" s="199"/>
      <c r="D1423" s="248"/>
      <c r="E1423" s="248"/>
      <c r="F1423" s="248"/>
      <c r="G1423" s="248"/>
      <c r="H1423" s="283"/>
      <c r="I1423" s="199"/>
      <c r="J1423" s="199"/>
      <c r="K1423" s="199"/>
      <c r="L1423" s="248"/>
      <c r="M1423" s="248"/>
      <c r="N1423" s="248"/>
      <c r="O1423" s="248"/>
    </row>
    <row r="1424">
      <c r="A1424" s="199"/>
      <c r="B1424" s="199"/>
      <c r="C1424" s="199"/>
      <c r="D1424" s="248"/>
      <c r="E1424" s="248"/>
      <c r="F1424" s="248"/>
      <c r="G1424" s="248"/>
      <c r="H1424" s="283"/>
      <c r="I1424" s="199"/>
      <c r="J1424" s="199"/>
      <c r="K1424" s="199"/>
      <c r="L1424" s="248"/>
      <c r="M1424" s="248"/>
      <c r="N1424" s="248"/>
      <c r="O1424" s="248"/>
    </row>
    <row r="1425">
      <c r="A1425" s="199"/>
      <c r="B1425" s="199"/>
      <c r="C1425" s="199"/>
      <c r="D1425" s="248"/>
      <c r="E1425" s="248"/>
      <c r="F1425" s="248"/>
      <c r="G1425" s="248"/>
      <c r="H1425" s="283"/>
      <c r="I1425" s="199"/>
      <c r="J1425" s="199"/>
      <c r="K1425" s="199"/>
      <c r="L1425" s="248"/>
      <c r="M1425" s="248"/>
      <c r="N1425" s="248"/>
      <c r="O1425" s="248"/>
    </row>
    <row r="1426">
      <c r="A1426" s="199"/>
      <c r="B1426" s="199"/>
      <c r="C1426" s="199"/>
      <c r="D1426" s="248"/>
      <c r="E1426" s="248"/>
      <c r="F1426" s="248"/>
      <c r="G1426" s="248"/>
      <c r="H1426" s="283"/>
      <c r="I1426" s="199"/>
      <c r="J1426" s="199"/>
      <c r="K1426" s="199"/>
      <c r="L1426" s="248"/>
      <c r="M1426" s="248"/>
      <c r="N1426" s="248"/>
      <c r="O1426" s="248"/>
    </row>
    <row r="1427">
      <c r="A1427" s="199"/>
      <c r="B1427" s="199"/>
      <c r="C1427" s="199"/>
      <c r="D1427" s="248"/>
      <c r="E1427" s="248"/>
      <c r="F1427" s="248"/>
      <c r="G1427" s="248"/>
      <c r="H1427" s="283"/>
      <c r="I1427" s="199"/>
      <c r="J1427" s="199"/>
      <c r="K1427" s="199"/>
      <c r="L1427" s="248"/>
      <c r="M1427" s="248"/>
      <c r="N1427" s="248"/>
      <c r="O1427" s="248"/>
    </row>
    <row r="1428">
      <c r="A1428" s="199"/>
      <c r="B1428" s="199"/>
      <c r="C1428" s="199"/>
      <c r="D1428" s="248"/>
      <c r="E1428" s="248"/>
      <c r="F1428" s="248"/>
      <c r="G1428" s="248"/>
      <c r="H1428" s="283"/>
      <c r="I1428" s="199"/>
      <c r="J1428" s="199"/>
      <c r="K1428" s="199"/>
      <c r="L1428" s="248"/>
      <c r="M1428" s="248"/>
      <c r="N1428" s="248"/>
      <c r="O1428" s="248"/>
    </row>
    <row r="1429">
      <c r="A1429" s="199"/>
      <c r="B1429" s="199"/>
      <c r="C1429" s="199"/>
      <c r="D1429" s="248"/>
      <c r="E1429" s="248"/>
      <c r="F1429" s="248"/>
      <c r="G1429" s="248"/>
      <c r="H1429" s="283"/>
      <c r="I1429" s="199"/>
      <c r="J1429" s="199"/>
      <c r="K1429" s="199"/>
      <c r="L1429" s="248"/>
      <c r="M1429" s="248"/>
      <c r="N1429" s="248"/>
      <c r="O1429" s="248"/>
    </row>
    <row r="1430">
      <c r="A1430" s="199"/>
      <c r="B1430" s="199"/>
      <c r="C1430" s="199"/>
      <c r="D1430" s="248"/>
      <c r="E1430" s="248"/>
      <c r="F1430" s="248"/>
      <c r="G1430" s="248"/>
      <c r="H1430" s="283"/>
      <c r="I1430" s="199"/>
      <c r="J1430" s="199"/>
      <c r="K1430" s="199"/>
      <c r="L1430" s="248"/>
      <c r="M1430" s="248"/>
      <c r="N1430" s="248"/>
      <c r="O1430" s="248"/>
    </row>
    <row r="1431">
      <c r="A1431" s="199"/>
      <c r="B1431" s="199"/>
      <c r="C1431" s="199"/>
      <c r="D1431" s="248"/>
      <c r="E1431" s="248"/>
      <c r="F1431" s="248"/>
      <c r="G1431" s="248"/>
      <c r="H1431" s="283"/>
      <c r="I1431" s="199"/>
      <c r="J1431" s="199"/>
      <c r="K1431" s="199"/>
      <c r="L1431" s="248"/>
      <c r="M1431" s="248"/>
      <c r="N1431" s="248"/>
      <c r="O1431" s="248"/>
    </row>
    <row r="1432">
      <c r="A1432" s="199"/>
      <c r="B1432" s="199"/>
      <c r="C1432" s="199"/>
      <c r="D1432" s="248"/>
      <c r="E1432" s="248"/>
      <c r="F1432" s="248"/>
      <c r="G1432" s="248"/>
      <c r="H1432" s="283"/>
      <c r="I1432" s="199"/>
      <c r="J1432" s="199"/>
      <c r="K1432" s="199"/>
      <c r="L1432" s="248"/>
      <c r="M1432" s="248"/>
      <c r="N1432" s="248"/>
      <c r="O1432" s="248"/>
    </row>
    <row r="1433">
      <c r="A1433" s="199"/>
      <c r="B1433" s="199"/>
      <c r="C1433" s="199"/>
      <c r="D1433" s="248"/>
      <c r="E1433" s="248"/>
      <c r="F1433" s="248"/>
      <c r="G1433" s="248"/>
      <c r="H1433" s="283"/>
      <c r="I1433" s="199"/>
      <c r="J1433" s="199"/>
      <c r="K1433" s="199"/>
      <c r="L1433" s="248"/>
      <c r="M1433" s="248"/>
      <c r="N1433" s="248"/>
      <c r="O1433" s="248"/>
    </row>
    <row r="1434">
      <c r="A1434" s="199"/>
      <c r="B1434" s="199"/>
      <c r="C1434" s="199"/>
      <c r="D1434" s="248"/>
      <c r="E1434" s="248"/>
      <c r="F1434" s="248"/>
      <c r="G1434" s="248"/>
      <c r="H1434" s="283"/>
      <c r="I1434" s="199"/>
      <c r="J1434" s="199"/>
      <c r="K1434" s="199"/>
      <c r="L1434" s="248"/>
      <c r="M1434" s="248"/>
      <c r="N1434" s="248"/>
      <c r="O1434" s="248"/>
    </row>
    <row r="1435">
      <c r="A1435" s="199"/>
      <c r="B1435" s="199"/>
      <c r="C1435" s="199"/>
      <c r="D1435" s="248"/>
      <c r="E1435" s="248"/>
      <c r="F1435" s="248"/>
      <c r="G1435" s="248"/>
      <c r="H1435" s="283"/>
      <c r="I1435" s="199"/>
      <c r="J1435" s="199"/>
      <c r="K1435" s="199"/>
      <c r="L1435" s="248"/>
      <c r="M1435" s="248"/>
      <c r="N1435" s="248"/>
      <c r="O1435" s="248"/>
    </row>
    <row r="1436">
      <c r="A1436" s="199"/>
      <c r="B1436" s="199"/>
      <c r="C1436" s="199"/>
      <c r="D1436" s="248"/>
      <c r="E1436" s="248"/>
      <c r="F1436" s="248"/>
      <c r="G1436" s="248"/>
      <c r="H1436" s="283"/>
      <c r="I1436" s="199"/>
      <c r="J1436" s="199"/>
      <c r="K1436" s="199"/>
      <c r="L1436" s="248"/>
      <c r="M1436" s="248"/>
      <c r="N1436" s="248"/>
      <c r="O1436" s="248"/>
    </row>
    <row r="1437">
      <c r="A1437" s="199"/>
      <c r="B1437" s="199"/>
      <c r="C1437" s="199"/>
      <c r="D1437" s="248"/>
      <c r="E1437" s="248"/>
      <c r="F1437" s="248"/>
      <c r="G1437" s="248"/>
      <c r="H1437" s="283"/>
      <c r="I1437" s="199"/>
      <c r="J1437" s="199"/>
      <c r="K1437" s="199"/>
      <c r="L1437" s="248"/>
      <c r="M1437" s="248"/>
      <c r="N1437" s="248"/>
      <c r="O1437" s="248"/>
    </row>
    <row r="1438">
      <c r="A1438" s="199"/>
      <c r="B1438" s="199"/>
      <c r="C1438" s="199"/>
      <c r="D1438" s="248"/>
      <c r="E1438" s="248"/>
      <c r="F1438" s="248"/>
      <c r="G1438" s="248"/>
      <c r="H1438" s="283"/>
      <c r="I1438" s="199"/>
      <c r="J1438" s="199"/>
      <c r="K1438" s="199"/>
      <c r="L1438" s="248"/>
      <c r="M1438" s="248"/>
      <c r="N1438" s="248"/>
      <c r="O1438" s="248"/>
    </row>
    <row r="1439">
      <c r="A1439" s="199"/>
      <c r="B1439" s="199"/>
      <c r="C1439" s="199"/>
      <c r="D1439" s="248"/>
      <c r="E1439" s="248"/>
      <c r="F1439" s="248"/>
      <c r="G1439" s="248"/>
      <c r="H1439" s="283"/>
      <c r="I1439" s="199"/>
      <c r="J1439" s="199"/>
      <c r="K1439" s="199"/>
      <c r="L1439" s="248"/>
      <c r="M1439" s="248"/>
      <c r="N1439" s="248"/>
      <c r="O1439" s="248"/>
    </row>
    <row r="1440">
      <c r="A1440" s="199"/>
      <c r="B1440" s="199"/>
      <c r="C1440" s="199"/>
      <c r="D1440" s="248"/>
      <c r="E1440" s="248"/>
      <c r="F1440" s="248"/>
      <c r="G1440" s="248"/>
      <c r="H1440" s="283"/>
      <c r="I1440" s="199"/>
      <c r="J1440" s="199"/>
      <c r="K1440" s="199"/>
      <c r="L1440" s="248"/>
      <c r="M1440" s="248"/>
      <c r="N1440" s="248"/>
      <c r="O1440" s="248"/>
    </row>
    <row r="1441">
      <c r="A1441" s="199"/>
      <c r="B1441" s="199"/>
      <c r="C1441" s="199"/>
      <c r="D1441" s="248"/>
      <c r="E1441" s="248"/>
      <c r="F1441" s="248"/>
      <c r="G1441" s="248"/>
      <c r="H1441" s="283"/>
      <c r="I1441" s="199"/>
      <c r="J1441" s="199"/>
      <c r="K1441" s="199"/>
      <c r="L1441" s="248"/>
      <c r="M1441" s="248"/>
      <c r="N1441" s="248"/>
      <c r="O1441" s="248"/>
    </row>
    <row r="1442">
      <c r="A1442" s="199"/>
      <c r="B1442" s="199"/>
      <c r="C1442" s="199"/>
      <c r="D1442" s="248"/>
      <c r="E1442" s="248"/>
      <c r="F1442" s="248"/>
      <c r="G1442" s="248"/>
      <c r="H1442" s="283"/>
      <c r="I1442" s="199"/>
      <c r="J1442" s="199"/>
      <c r="K1442" s="199"/>
      <c r="L1442" s="248"/>
      <c r="M1442" s="248"/>
      <c r="N1442" s="248"/>
      <c r="O1442" s="248"/>
    </row>
    <row r="1443">
      <c r="A1443" s="199"/>
      <c r="B1443" s="199"/>
      <c r="C1443" s="199"/>
      <c r="D1443" s="248"/>
      <c r="E1443" s="248"/>
      <c r="F1443" s="248"/>
      <c r="G1443" s="248"/>
      <c r="H1443" s="283"/>
      <c r="I1443" s="199"/>
      <c r="J1443" s="199"/>
      <c r="K1443" s="199"/>
      <c r="L1443" s="248"/>
      <c r="M1443" s="248"/>
      <c r="N1443" s="248"/>
      <c r="O1443" s="248"/>
    </row>
    <row r="1444">
      <c r="A1444" s="199"/>
      <c r="B1444" s="199"/>
      <c r="C1444" s="199"/>
      <c r="D1444" s="248"/>
      <c r="E1444" s="248"/>
      <c r="F1444" s="248"/>
      <c r="G1444" s="248"/>
      <c r="H1444" s="283"/>
      <c r="I1444" s="199"/>
      <c r="J1444" s="199"/>
      <c r="K1444" s="199"/>
      <c r="L1444" s="248"/>
      <c r="M1444" s="248"/>
      <c r="N1444" s="248"/>
      <c r="O1444" s="248"/>
    </row>
    <row r="1445">
      <c r="A1445" s="199"/>
      <c r="B1445" s="199"/>
      <c r="C1445" s="199"/>
      <c r="D1445" s="248"/>
      <c r="E1445" s="248"/>
      <c r="F1445" s="248"/>
      <c r="G1445" s="248"/>
      <c r="H1445" s="283"/>
      <c r="I1445" s="199"/>
      <c r="J1445" s="199"/>
      <c r="K1445" s="199"/>
      <c r="L1445" s="248"/>
      <c r="M1445" s="248"/>
      <c r="N1445" s="248"/>
      <c r="O1445" s="248"/>
    </row>
    <row r="1446">
      <c r="A1446" s="199"/>
      <c r="B1446" s="199"/>
      <c r="C1446" s="199"/>
      <c r="D1446" s="248"/>
      <c r="E1446" s="248"/>
      <c r="F1446" s="248"/>
      <c r="G1446" s="248"/>
      <c r="H1446" s="283"/>
      <c r="I1446" s="199"/>
      <c r="J1446" s="199"/>
      <c r="K1446" s="199"/>
      <c r="L1446" s="248"/>
      <c r="M1446" s="248"/>
      <c r="N1446" s="248"/>
      <c r="O1446" s="248"/>
    </row>
    <row r="1447">
      <c r="A1447" s="199"/>
      <c r="B1447" s="199"/>
      <c r="C1447" s="199"/>
      <c r="D1447" s="248"/>
      <c r="E1447" s="248"/>
      <c r="F1447" s="248"/>
      <c r="G1447" s="248"/>
      <c r="H1447" s="283"/>
      <c r="I1447" s="199"/>
      <c r="J1447" s="199"/>
      <c r="K1447" s="199"/>
      <c r="L1447" s="248"/>
      <c r="M1447" s="248"/>
      <c r="N1447" s="248"/>
      <c r="O1447" s="248"/>
    </row>
    <row r="1448">
      <c r="A1448" s="199"/>
      <c r="B1448" s="199"/>
      <c r="C1448" s="199"/>
      <c r="D1448" s="248"/>
      <c r="E1448" s="248"/>
      <c r="F1448" s="248"/>
      <c r="G1448" s="248"/>
      <c r="H1448" s="283"/>
      <c r="I1448" s="199"/>
      <c r="J1448" s="199"/>
      <c r="K1448" s="199"/>
      <c r="L1448" s="248"/>
      <c r="M1448" s="248"/>
      <c r="N1448" s="248"/>
      <c r="O1448" s="248"/>
    </row>
    <row r="1449">
      <c r="A1449" s="199"/>
      <c r="B1449" s="199"/>
      <c r="C1449" s="199"/>
      <c r="D1449" s="248"/>
      <c r="E1449" s="248"/>
      <c r="F1449" s="248"/>
      <c r="G1449" s="248"/>
      <c r="H1449" s="283"/>
      <c r="I1449" s="199"/>
      <c r="J1449" s="199"/>
      <c r="K1449" s="199"/>
      <c r="L1449" s="248"/>
      <c r="M1449" s="248"/>
      <c r="N1449" s="248"/>
      <c r="O1449" s="248"/>
    </row>
    <row r="1450">
      <c r="A1450" s="199"/>
      <c r="B1450" s="199"/>
      <c r="C1450" s="199"/>
      <c r="D1450" s="248"/>
      <c r="E1450" s="248"/>
      <c r="F1450" s="248"/>
      <c r="G1450" s="248"/>
      <c r="H1450" s="283"/>
      <c r="I1450" s="199"/>
      <c r="J1450" s="199"/>
      <c r="K1450" s="199"/>
      <c r="L1450" s="248"/>
      <c r="M1450" s="248"/>
      <c r="N1450" s="248"/>
      <c r="O1450" s="248"/>
    </row>
    <row r="1451">
      <c r="A1451" s="199"/>
      <c r="B1451" s="199"/>
      <c r="C1451" s="199"/>
      <c r="D1451" s="248"/>
      <c r="E1451" s="248"/>
      <c r="F1451" s="248"/>
      <c r="G1451" s="248"/>
      <c r="H1451" s="283"/>
      <c r="I1451" s="199"/>
      <c r="J1451" s="199"/>
      <c r="K1451" s="199"/>
      <c r="L1451" s="248"/>
      <c r="M1451" s="248"/>
      <c r="N1451" s="248"/>
      <c r="O1451" s="248"/>
    </row>
    <row r="1452">
      <c r="A1452" s="199"/>
      <c r="B1452" s="199"/>
      <c r="C1452" s="199"/>
      <c r="D1452" s="248"/>
      <c r="E1452" s="248"/>
      <c r="F1452" s="248"/>
      <c r="G1452" s="248"/>
      <c r="H1452" s="283"/>
      <c r="I1452" s="199"/>
      <c r="J1452" s="199"/>
      <c r="K1452" s="199"/>
      <c r="L1452" s="248"/>
      <c r="M1452" s="248"/>
      <c r="N1452" s="248"/>
      <c r="O1452" s="248"/>
    </row>
    <row r="1453">
      <c r="A1453" s="199"/>
      <c r="B1453" s="199"/>
      <c r="C1453" s="199"/>
      <c r="D1453" s="248"/>
      <c r="E1453" s="248"/>
      <c r="F1453" s="248"/>
      <c r="G1453" s="248"/>
      <c r="H1453" s="283"/>
      <c r="I1453" s="199"/>
      <c r="J1453" s="199"/>
      <c r="K1453" s="199"/>
      <c r="L1453" s="248"/>
      <c r="M1453" s="248"/>
      <c r="N1453" s="248"/>
      <c r="O1453" s="248"/>
    </row>
    <row r="1454">
      <c r="A1454" s="199"/>
      <c r="B1454" s="199"/>
      <c r="C1454" s="199"/>
      <c r="D1454" s="248"/>
      <c r="E1454" s="248"/>
      <c r="F1454" s="248"/>
      <c r="G1454" s="248"/>
      <c r="H1454" s="283"/>
      <c r="I1454" s="199"/>
      <c r="J1454" s="199"/>
      <c r="K1454" s="199"/>
      <c r="L1454" s="248"/>
      <c r="M1454" s="248"/>
      <c r="N1454" s="248"/>
      <c r="O1454" s="248"/>
    </row>
    <row r="1455">
      <c r="A1455" s="199"/>
      <c r="B1455" s="199"/>
      <c r="C1455" s="199"/>
      <c r="D1455" s="248"/>
      <c r="E1455" s="248"/>
      <c r="F1455" s="248"/>
      <c r="G1455" s="248"/>
      <c r="H1455" s="283"/>
      <c r="I1455" s="199"/>
      <c r="J1455" s="199"/>
      <c r="K1455" s="199"/>
      <c r="L1455" s="248"/>
      <c r="M1455" s="248"/>
      <c r="N1455" s="248"/>
      <c r="O1455" s="248"/>
    </row>
    <row r="1456">
      <c r="A1456" s="199"/>
      <c r="B1456" s="199"/>
      <c r="C1456" s="199"/>
      <c r="D1456" s="248"/>
      <c r="E1456" s="248"/>
      <c r="F1456" s="248"/>
      <c r="G1456" s="248"/>
      <c r="H1456" s="283"/>
      <c r="I1456" s="199"/>
      <c r="J1456" s="199"/>
      <c r="K1456" s="199"/>
      <c r="L1456" s="248"/>
      <c r="M1456" s="248"/>
      <c r="N1456" s="248"/>
      <c r="O1456" s="248"/>
    </row>
    <row r="1457">
      <c r="A1457" s="199"/>
      <c r="B1457" s="199"/>
      <c r="C1457" s="199"/>
      <c r="D1457" s="248"/>
      <c r="E1457" s="248"/>
      <c r="F1457" s="248"/>
      <c r="G1457" s="248"/>
      <c r="H1457" s="283"/>
      <c r="I1457" s="199"/>
      <c r="J1457" s="199"/>
      <c r="K1457" s="199"/>
      <c r="L1457" s="248"/>
      <c r="M1457" s="248"/>
      <c r="N1457" s="248"/>
      <c r="O1457" s="248"/>
    </row>
    <row r="1458">
      <c r="A1458" s="199"/>
      <c r="B1458" s="199"/>
      <c r="C1458" s="199"/>
      <c r="D1458" s="248"/>
      <c r="E1458" s="248"/>
      <c r="F1458" s="248"/>
      <c r="G1458" s="248"/>
      <c r="H1458" s="283"/>
      <c r="I1458" s="199"/>
      <c r="J1458" s="199"/>
      <c r="K1458" s="199"/>
      <c r="L1458" s="248"/>
      <c r="M1458" s="248"/>
      <c r="N1458" s="248"/>
      <c r="O1458" s="248"/>
    </row>
    <row r="1459">
      <c r="A1459" s="199"/>
      <c r="B1459" s="199"/>
      <c r="C1459" s="199"/>
      <c r="D1459" s="248"/>
      <c r="E1459" s="248"/>
      <c r="F1459" s="248"/>
      <c r="G1459" s="248"/>
      <c r="H1459" s="283"/>
      <c r="I1459" s="199"/>
      <c r="J1459" s="199"/>
      <c r="K1459" s="199"/>
      <c r="L1459" s="248"/>
      <c r="M1459" s="248"/>
      <c r="N1459" s="248"/>
      <c r="O1459" s="248"/>
    </row>
    <row r="1460">
      <c r="A1460" s="199"/>
      <c r="B1460" s="199"/>
      <c r="C1460" s="199"/>
      <c r="D1460" s="248"/>
      <c r="E1460" s="248"/>
      <c r="F1460" s="248"/>
      <c r="G1460" s="248"/>
      <c r="H1460" s="283"/>
      <c r="I1460" s="199"/>
      <c r="J1460" s="199"/>
      <c r="K1460" s="199"/>
      <c r="L1460" s="248"/>
      <c r="M1460" s="248"/>
      <c r="N1460" s="248"/>
      <c r="O1460" s="248"/>
    </row>
    <row r="1461">
      <c r="A1461" s="199"/>
      <c r="B1461" s="199"/>
      <c r="C1461" s="199"/>
      <c r="D1461" s="248"/>
      <c r="E1461" s="248"/>
      <c r="F1461" s="248"/>
      <c r="G1461" s="248"/>
      <c r="H1461" s="283"/>
      <c r="I1461" s="199"/>
      <c r="J1461" s="199"/>
      <c r="K1461" s="199"/>
      <c r="L1461" s="248"/>
      <c r="M1461" s="248"/>
      <c r="N1461" s="248"/>
      <c r="O1461" s="248"/>
    </row>
    <row r="1462">
      <c r="A1462" s="199"/>
      <c r="B1462" s="199"/>
      <c r="C1462" s="199"/>
      <c r="D1462" s="248"/>
      <c r="E1462" s="248"/>
      <c r="F1462" s="248"/>
      <c r="G1462" s="248"/>
      <c r="H1462" s="283"/>
      <c r="I1462" s="199"/>
      <c r="J1462" s="199"/>
      <c r="K1462" s="199"/>
      <c r="L1462" s="248"/>
      <c r="M1462" s="248"/>
      <c r="N1462" s="248"/>
      <c r="O1462" s="248"/>
    </row>
    <row r="1463">
      <c r="A1463" s="199"/>
      <c r="B1463" s="199"/>
      <c r="C1463" s="199"/>
      <c r="D1463" s="248"/>
      <c r="E1463" s="248"/>
      <c r="F1463" s="248"/>
      <c r="G1463" s="248"/>
      <c r="H1463" s="283"/>
      <c r="I1463" s="199"/>
      <c r="J1463" s="199"/>
      <c r="K1463" s="199"/>
      <c r="L1463" s="248"/>
      <c r="M1463" s="248"/>
      <c r="N1463" s="248"/>
      <c r="O1463" s="248"/>
    </row>
    <row r="1464">
      <c r="A1464" s="199"/>
      <c r="B1464" s="199"/>
      <c r="C1464" s="199"/>
      <c r="D1464" s="248"/>
      <c r="E1464" s="248"/>
      <c r="F1464" s="248"/>
      <c r="G1464" s="248"/>
      <c r="H1464" s="283"/>
      <c r="I1464" s="199"/>
      <c r="J1464" s="199"/>
      <c r="K1464" s="199"/>
      <c r="L1464" s="248"/>
      <c r="M1464" s="248"/>
      <c r="N1464" s="248"/>
      <c r="O1464" s="248"/>
    </row>
    <row r="1465">
      <c r="A1465" s="199"/>
      <c r="B1465" s="199"/>
      <c r="C1465" s="199"/>
      <c r="D1465" s="248"/>
      <c r="E1465" s="248"/>
      <c r="F1465" s="248"/>
      <c r="G1465" s="248"/>
      <c r="H1465" s="283"/>
      <c r="I1465" s="199"/>
      <c r="J1465" s="199"/>
      <c r="K1465" s="199"/>
      <c r="L1465" s="248"/>
      <c r="M1465" s="248"/>
      <c r="N1465" s="248"/>
      <c r="O1465" s="248"/>
    </row>
    <row r="1466">
      <c r="A1466" s="199"/>
      <c r="B1466" s="199"/>
      <c r="C1466" s="199"/>
      <c r="D1466" s="248"/>
      <c r="E1466" s="248"/>
      <c r="F1466" s="248"/>
      <c r="G1466" s="248"/>
      <c r="H1466" s="283"/>
      <c r="I1466" s="199"/>
      <c r="J1466" s="199"/>
      <c r="K1466" s="199"/>
      <c r="L1466" s="248"/>
      <c r="M1466" s="248"/>
      <c r="N1466" s="248"/>
      <c r="O1466" s="248"/>
    </row>
    <row r="1467">
      <c r="A1467" s="199"/>
      <c r="B1467" s="199"/>
      <c r="C1467" s="199"/>
      <c r="D1467" s="248"/>
      <c r="E1467" s="248"/>
      <c r="F1467" s="248"/>
      <c r="G1467" s="248"/>
      <c r="H1467" s="283"/>
      <c r="I1467" s="199"/>
      <c r="J1467" s="199"/>
      <c r="K1467" s="199"/>
      <c r="L1467" s="248"/>
      <c r="M1467" s="248"/>
      <c r="N1467" s="248"/>
      <c r="O1467" s="248"/>
    </row>
    <row r="1468">
      <c r="A1468" s="199"/>
      <c r="B1468" s="199"/>
      <c r="C1468" s="199"/>
      <c r="D1468" s="248"/>
      <c r="E1468" s="248"/>
      <c r="F1468" s="248"/>
      <c r="G1468" s="248"/>
      <c r="H1468" s="283"/>
      <c r="I1468" s="199"/>
      <c r="J1468" s="199"/>
      <c r="K1468" s="199"/>
      <c r="L1468" s="248"/>
      <c r="M1468" s="248"/>
      <c r="N1468" s="248"/>
      <c r="O1468" s="248"/>
    </row>
    <row r="1469">
      <c r="A1469" s="199"/>
      <c r="B1469" s="199"/>
      <c r="C1469" s="199"/>
      <c r="D1469" s="248"/>
      <c r="E1469" s="248"/>
      <c r="F1469" s="248"/>
      <c r="G1469" s="248"/>
      <c r="H1469" s="283"/>
      <c r="I1469" s="199"/>
      <c r="J1469" s="199"/>
      <c r="K1469" s="199"/>
      <c r="L1469" s="248"/>
      <c r="M1469" s="248"/>
      <c r="N1469" s="248"/>
      <c r="O1469" s="248"/>
    </row>
    <row r="1470">
      <c r="A1470" s="199"/>
      <c r="B1470" s="199"/>
      <c r="C1470" s="199"/>
      <c r="D1470" s="248"/>
      <c r="E1470" s="248"/>
      <c r="F1470" s="248"/>
      <c r="G1470" s="248"/>
      <c r="H1470" s="283"/>
      <c r="I1470" s="199"/>
      <c r="J1470" s="199"/>
      <c r="K1470" s="199"/>
      <c r="L1470" s="248"/>
      <c r="M1470" s="248"/>
      <c r="N1470" s="248"/>
      <c r="O1470" s="248"/>
    </row>
    <row r="1471">
      <c r="A1471" s="199"/>
      <c r="B1471" s="199"/>
      <c r="C1471" s="199"/>
      <c r="D1471" s="248"/>
      <c r="E1471" s="248"/>
      <c r="F1471" s="248"/>
      <c r="G1471" s="248"/>
      <c r="H1471" s="283"/>
      <c r="I1471" s="199"/>
      <c r="J1471" s="199"/>
      <c r="K1471" s="199"/>
      <c r="L1471" s="248"/>
      <c r="M1471" s="248"/>
      <c r="N1471" s="248"/>
      <c r="O1471" s="248"/>
    </row>
    <row r="1472">
      <c r="A1472" s="199"/>
      <c r="B1472" s="199"/>
      <c r="C1472" s="199"/>
      <c r="D1472" s="248"/>
      <c r="E1472" s="248"/>
      <c r="F1472" s="248"/>
      <c r="G1472" s="248"/>
      <c r="H1472" s="283"/>
      <c r="I1472" s="199"/>
      <c r="J1472" s="199"/>
      <c r="K1472" s="199"/>
      <c r="L1472" s="248"/>
      <c r="M1472" s="248"/>
      <c r="N1472" s="248"/>
      <c r="O1472" s="248"/>
    </row>
    <row r="1473">
      <c r="A1473" s="199"/>
      <c r="B1473" s="199"/>
      <c r="C1473" s="199"/>
      <c r="D1473" s="248"/>
      <c r="E1473" s="248"/>
      <c r="F1473" s="248"/>
      <c r="G1473" s="248"/>
      <c r="H1473" s="283"/>
      <c r="I1473" s="199"/>
      <c r="J1473" s="199"/>
      <c r="K1473" s="199"/>
      <c r="L1473" s="248"/>
      <c r="M1473" s="248"/>
      <c r="N1473" s="248"/>
      <c r="O1473" s="248"/>
    </row>
    <row r="1474">
      <c r="A1474" s="199"/>
      <c r="B1474" s="199"/>
      <c r="C1474" s="199"/>
      <c r="D1474" s="248"/>
      <c r="E1474" s="248"/>
      <c r="F1474" s="248"/>
      <c r="G1474" s="248"/>
      <c r="H1474" s="283"/>
      <c r="I1474" s="199"/>
      <c r="J1474" s="199"/>
      <c r="K1474" s="199"/>
      <c r="L1474" s="248"/>
      <c r="M1474" s="248"/>
      <c r="N1474" s="248"/>
      <c r="O1474" s="248"/>
    </row>
    <row r="1475">
      <c r="A1475" s="199"/>
      <c r="B1475" s="199"/>
      <c r="C1475" s="199"/>
      <c r="D1475" s="248"/>
      <c r="E1475" s="248"/>
      <c r="F1475" s="248"/>
      <c r="G1475" s="248"/>
      <c r="H1475" s="283"/>
      <c r="I1475" s="199"/>
      <c r="J1475" s="199"/>
      <c r="K1475" s="199"/>
      <c r="L1475" s="248"/>
      <c r="M1475" s="248"/>
      <c r="N1475" s="248"/>
      <c r="O1475" s="248"/>
    </row>
    <row r="1476">
      <c r="A1476" s="199"/>
      <c r="B1476" s="199"/>
      <c r="C1476" s="199"/>
      <c r="D1476" s="248"/>
      <c r="E1476" s="248"/>
      <c r="F1476" s="248"/>
      <c r="G1476" s="248"/>
      <c r="H1476" s="283"/>
      <c r="I1476" s="199"/>
      <c r="J1476" s="199"/>
      <c r="K1476" s="199"/>
      <c r="L1476" s="248"/>
      <c r="M1476" s="248"/>
      <c r="N1476" s="248"/>
      <c r="O1476" s="248"/>
    </row>
    <row r="1477">
      <c r="A1477" s="199"/>
      <c r="B1477" s="199"/>
      <c r="C1477" s="199"/>
      <c r="D1477" s="248"/>
      <c r="E1477" s="248"/>
      <c r="F1477" s="248"/>
      <c r="G1477" s="248"/>
      <c r="H1477" s="283"/>
      <c r="I1477" s="199"/>
      <c r="J1477" s="199"/>
      <c r="K1477" s="199"/>
      <c r="L1477" s="248"/>
      <c r="M1477" s="248"/>
      <c r="N1477" s="248"/>
      <c r="O1477" s="248"/>
    </row>
    <row r="1478">
      <c r="A1478" s="199"/>
      <c r="B1478" s="199"/>
      <c r="C1478" s="199"/>
      <c r="D1478" s="248"/>
      <c r="E1478" s="248"/>
      <c r="F1478" s="248"/>
      <c r="G1478" s="248"/>
      <c r="H1478" s="283"/>
      <c r="I1478" s="199"/>
      <c r="J1478" s="199"/>
      <c r="K1478" s="199"/>
      <c r="L1478" s="248"/>
      <c r="M1478" s="248"/>
      <c r="N1478" s="248"/>
      <c r="O1478" s="248"/>
    </row>
    <row r="1479">
      <c r="A1479" s="199"/>
      <c r="B1479" s="199"/>
      <c r="C1479" s="199"/>
      <c r="D1479" s="248"/>
      <c r="E1479" s="248"/>
      <c r="F1479" s="248"/>
      <c r="G1479" s="248"/>
      <c r="H1479" s="283"/>
      <c r="I1479" s="199"/>
      <c r="J1479" s="199"/>
      <c r="K1479" s="199"/>
      <c r="L1479" s="248"/>
      <c r="M1479" s="248"/>
      <c r="N1479" s="248"/>
      <c r="O1479" s="248"/>
    </row>
    <row r="1480">
      <c r="A1480" s="199"/>
      <c r="B1480" s="199"/>
      <c r="C1480" s="199"/>
      <c r="D1480" s="248"/>
      <c r="E1480" s="248"/>
      <c r="F1480" s="248"/>
      <c r="G1480" s="248"/>
      <c r="H1480" s="283"/>
      <c r="I1480" s="199"/>
      <c r="J1480" s="199"/>
      <c r="K1480" s="199"/>
      <c r="L1480" s="248"/>
      <c r="M1480" s="248"/>
      <c r="N1480" s="248"/>
      <c r="O1480" s="248"/>
    </row>
    <row r="1481">
      <c r="A1481" s="199"/>
      <c r="B1481" s="199"/>
      <c r="C1481" s="199"/>
      <c r="D1481" s="248"/>
      <c r="E1481" s="248"/>
      <c r="F1481" s="248"/>
      <c r="G1481" s="248"/>
      <c r="H1481" s="283"/>
      <c r="I1481" s="199"/>
      <c r="J1481" s="199"/>
      <c r="K1481" s="199"/>
      <c r="L1481" s="248"/>
      <c r="M1481" s="248"/>
      <c r="N1481" s="248"/>
      <c r="O1481" s="248"/>
    </row>
    <row r="1482">
      <c r="A1482" s="199"/>
      <c r="B1482" s="199"/>
      <c r="C1482" s="199"/>
      <c r="D1482" s="248"/>
      <c r="E1482" s="248"/>
      <c r="F1482" s="248"/>
      <c r="G1482" s="248"/>
      <c r="H1482" s="283"/>
      <c r="I1482" s="199"/>
      <c r="J1482" s="199"/>
      <c r="K1482" s="199"/>
      <c r="L1482" s="248"/>
      <c r="M1482" s="248"/>
      <c r="N1482" s="248"/>
      <c r="O1482" s="248"/>
    </row>
    <row r="1483">
      <c r="A1483" s="199"/>
      <c r="B1483" s="199"/>
      <c r="C1483" s="199"/>
      <c r="D1483" s="248"/>
      <c r="E1483" s="248"/>
      <c r="F1483" s="248"/>
      <c r="G1483" s="248"/>
      <c r="H1483" s="283"/>
      <c r="I1483" s="199"/>
      <c r="J1483" s="199"/>
      <c r="K1483" s="199"/>
      <c r="L1483" s="248"/>
      <c r="M1483" s="248"/>
      <c r="N1483" s="248"/>
      <c r="O1483" s="248"/>
    </row>
    <row r="1484">
      <c r="A1484" s="199"/>
      <c r="B1484" s="199"/>
      <c r="C1484" s="199"/>
      <c r="D1484" s="248"/>
      <c r="E1484" s="248"/>
      <c r="F1484" s="248"/>
      <c r="G1484" s="248"/>
      <c r="H1484" s="283"/>
      <c r="I1484" s="199"/>
      <c r="J1484" s="199"/>
      <c r="K1484" s="199"/>
      <c r="L1484" s="248"/>
      <c r="M1484" s="248"/>
      <c r="N1484" s="248"/>
      <c r="O1484" s="248"/>
    </row>
    <row r="1485">
      <c r="A1485" s="199"/>
      <c r="B1485" s="199"/>
      <c r="C1485" s="199"/>
      <c r="D1485" s="248"/>
      <c r="E1485" s="248"/>
      <c r="F1485" s="248"/>
      <c r="G1485" s="248"/>
      <c r="H1485" s="283"/>
      <c r="I1485" s="199"/>
      <c r="J1485" s="199"/>
      <c r="K1485" s="199"/>
      <c r="L1485" s="248"/>
      <c r="M1485" s="248"/>
      <c r="N1485" s="248"/>
      <c r="O1485" s="248"/>
    </row>
    <row r="1486">
      <c r="A1486" s="199"/>
      <c r="B1486" s="199"/>
      <c r="C1486" s="199"/>
      <c r="D1486" s="248"/>
      <c r="E1486" s="248"/>
      <c r="F1486" s="248"/>
      <c r="G1486" s="248"/>
      <c r="H1486" s="283"/>
      <c r="I1486" s="199"/>
      <c r="J1486" s="199"/>
      <c r="K1486" s="199"/>
      <c r="L1486" s="248"/>
      <c r="M1486" s="248"/>
      <c r="N1486" s="248"/>
      <c r="O1486" s="248"/>
    </row>
    <row r="1487">
      <c r="A1487" s="199"/>
      <c r="B1487" s="199"/>
      <c r="C1487" s="199"/>
      <c r="D1487" s="248"/>
      <c r="E1487" s="248"/>
      <c r="F1487" s="248"/>
      <c r="G1487" s="248"/>
      <c r="H1487" s="283"/>
      <c r="I1487" s="199"/>
      <c r="J1487" s="199"/>
      <c r="K1487" s="199"/>
      <c r="L1487" s="248"/>
      <c r="M1487" s="248"/>
      <c r="N1487" s="248"/>
      <c r="O1487" s="248"/>
    </row>
    <row r="1488">
      <c r="A1488" s="199"/>
      <c r="B1488" s="199"/>
      <c r="C1488" s="199"/>
      <c r="D1488" s="248"/>
      <c r="E1488" s="248"/>
      <c r="F1488" s="248"/>
      <c r="G1488" s="248"/>
      <c r="H1488" s="283"/>
      <c r="I1488" s="199"/>
      <c r="J1488" s="199"/>
      <c r="K1488" s="199"/>
      <c r="L1488" s="248"/>
      <c r="M1488" s="248"/>
      <c r="N1488" s="248"/>
      <c r="O1488" s="248"/>
    </row>
    <row r="1489">
      <c r="A1489" s="199"/>
      <c r="B1489" s="199"/>
      <c r="C1489" s="199"/>
      <c r="D1489" s="248"/>
      <c r="E1489" s="248"/>
      <c r="F1489" s="248"/>
      <c r="G1489" s="248"/>
      <c r="H1489" s="283"/>
      <c r="I1489" s="199"/>
      <c r="J1489" s="199"/>
      <c r="K1489" s="199"/>
      <c r="L1489" s="248"/>
      <c r="M1489" s="248"/>
      <c r="N1489" s="248"/>
      <c r="O1489" s="248"/>
    </row>
    <row r="1490">
      <c r="A1490" s="199"/>
      <c r="B1490" s="199"/>
      <c r="C1490" s="199"/>
      <c r="D1490" s="248"/>
      <c r="E1490" s="248"/>
      <c r="F1490" s="248"/>
      <c r="G1490" s="248"/>
      <c r="H1490" s="283"/>
      <c r="I1490" s="199"/>
      <c r="J1490" s="199"/>
      <c r="K1490" s="199"/>
      <c r="L1490" s="248"/>
      <c r="M1490" s="248"/>
      <c r="N1490" s="248"/>
      <c r="O1490" s="248"/>
    </row>
    <row r="1491">
      <c r="A1491" s="199"/>
      <c r="B1491" s="199"/>
      <c r="C1491" s="199"/>
      <c r="D1491" s="248"/>
      <c r="E1491" s="248"/>
      <c r="F1491" s="248"/>
      <c r="G1491" s="248"/>
      <c r="H1491" s="283"/>
      <c r="I1491" s="199"/>
      <c r="J1491" s="199"/>
      <c r="K1491" s="199"/>
      <c r="L1491" s="248"/>
      <c r="M1491" s="248"/>
      <c r="N1491" s="248"/>
      <c r="O1491" s="248"/>
    </row>
    <row r="1492">
      <c r="A1492" s="199"/>
      <c r="B1492" s="199"/>
      <c r="C1492" s="199"/>
      <c r="D1492" s="248"/>
      <c r="E1492" s="248"/>
      <c r="F1492" s="248"/>
      <c r="G1492" s="248"/>
      <c r="H1492" s="283"/>
      <c r="I1492" s="199"/>
      <c r="J1492" s="199"/>
      <c r="K1492" s="199"/>
      <c r="L1492" s="248"/>
      <c r="M1492" s="248"/>
      <c r="N1492" s="248"/>
      <c r="O1492" s="248"/>
    </row>
    <row r="1493">
      <c r="A1493" s="199"/>
      <c r="B1493" s="199"/>
      <c r="C1493" s="199"/>
      <c r="D1493" s="248"/>
      <c r="E1493" s="248"/>
      <c r="F1493" s="248"/>
      <c r="G1493" s="248"/>
      <c r="H1493" s="283"/>
      <c r="I1493" s="199"/>
      <c r="J1493" s="199"/>
      <c r="K1493" s="199"/>
      <c r="L1493" s="248"/>
      <c r="M1493" s="248"/>
      <c r="N1493" s="248"/>
      <c r="O1493" s="248"/>
    </row>
    <row r="1494">
      <c r="A1494" s="199"/>
      <c r="B1494" s="199"/>
      <c r="C1494" s="199"/>
      <c r="D1494" s="248"/>
      <c r="E1494" s="248"/>
      <c r="F1494" s="248"/>
      <c r="G1494" s="248"/>
      <c r="H1494" s="283"/>
      <c r="I1494" s="199"/>
      <c r="J1494" s="199"/>
      <c r="K1494" s="199"/>
      <c r="L1494" s="248"/>
      <c r="M1494" s="248"/>
      <c r="N1494" s="248"/>
      <c r="O1494" s="248"/>
    </row>
    <row r="1495">
      <c r="A1495" s="199"/>
      <c r="B1495" s="199"/>
      <c r="C1495" s="199"/>
      <c r="D1495" s="248"/>
      <c r="E1495" s="248"/>
      <c r="F1495" s="248"/>
      <c r="G1495" s="248"/>
      <c r="H1495" s="283"/>
      <c r="I1495" s="199"/>
      <c r="J1495" s="199"/>
      <c r="K1495" s="199"/>
      <c r="L1495" s="248"/>
      <c r="M1495" s="248"/>
      <c r="N1495" s="248"/>
      <c r="O1495" s="248"/>
    </row>
    <row r="1496">
      <c r="A1496" s="199"/>
      <c r="B1496" s="199"/>
      <c r="C1496" s="199"/>
      <c r="D1496" s="248"/>
      <c r="E1496" s="248"/>
      <c r="F1496" s="248"/>
      <c r="G1496" s="248"/>
      <c r="H1496" s="283"/>
      <c r="I1496" s="199"/>
      <c r="J1496" s="199"/>
      <c r="K1496" s="199"/>
      <c r="L1496" s="248"/>
      <c r="M1496" s="248"/>
      <c r="N1496" s="248"/>
      <c r="O1496" s="248"/>
    </row>
    <row r="1497">
      <c r="A1497" s="199"/>
      <c r="B1497" s="199"/>
      <c r="C1497" s="199"/>
      <c r="D1497" s="248"/>
      <c r="E1497" s="248"/>
      <c r="F1497" s="248"/>
      <c r="G1497" s="248"/>
      <c r="H1497" s="283"/>
      <c r="I1497" s="199"/>
      <c r="J1497" s="199"/>
      <c r="K1497" s="199"/>
      <c r="L1497" s="248"/>
      <c r="M1497" s="248"/>
      <c r="N1497" s="248"/>
      <c r="O1497" s="248"/>
    </row>
    <row r="1498">
      <c r="A1498" s="199"/>
      <c r="B1498" s="199"/>
      <c r="C1498" s="199"/>
      <c r="D1498" s="248"/>
      <c r="E1498" s="248"/>
      <c r="F1498" s="248"/>
      <c r="G1498" s="248"/>
      <c r="H1498" s="283"/>
      <c r="I1498" s="199"/>
      <c r="J1498" s="199"/>
      <c r="K1498" s="199"/>
      <c r="L1498" s="248"/>
      <c r="M1498" s="248"/>
      <c r="N1498" s="248"/>
      <c r="O1498" s="248"/>
    </row>
    <row r="1499">
      <c r="A1499" s="199"/>
      <c r="B1499" s="199"/>
      <c r="C1499" s="199"/>
      <c r="D1499" s="248"/>
      <c r="E1499" s="248"/>
      <c r="F1499" s="248"/>
      <c r="G1499" s="248"/>
      <c r="H1499" s="283"/>
      <c r="I1499" s="199"/>
      <c r="J1499" s="199"/>
      <c r="K1499" s="199"/>
      <c r="L1499" s="248"/>
      <c r="M1499" s="248"/>
      <c r="N1499" s="248"/>
      <c r="O1499" s="248"/>
    </row>
    <row r="1500">
      <c r="A1500" s="199"/>
      <c r="B1500" s="199"/>
      <c r="C1500" s="199"/>
      <c r="D1500" s="248"/>
      <c r="E1500" s="248"/>
      <c r="F1500" s="248"/>
      <c r="G1500" s="248"/>
      <c r="H1500" s="283"/>
      <c r="I1500" s="199"/>
      <c r="J1500" s="199"/>
      <c r="K1500" s="199"/>
      <c r="L1500" s="248"/>
      <c r="M1500" s="248"/>
      <c r="N1500" s="248"/>
      <c r="O1500" s="248"/>
    </row>
    <row r="1501">
      <c r="A1501" s="199"/>
      <c r="B1501" s="199"/>
      <c r="C1501" s="199"/>
      <c r="D1501" s="248"/>
      <c r="E1501" s="248"/>
      <c r="F1501" s="248"/>
      <c r="G1501" s="248"/>
      <c r="H1501" s="283"/>
      <c r="I1501" s="199"/>
      <c r="J1501" s="199"/>
      <c r="K1501" s="199"/>
      <c r="L1501" s="248"/>
      <c r="M1501" s="248"/>
      <c r="N1501" s="248"/>
      <c r="O1501" s="248"/>
    </row>
    <row r="1502">
      <c r="A1502" s="199"/>
      <c r="B1502" s="199"/>
      <c r="C1502" s="199"/>
      <c r="D1502" s="248"/>
      <c r="E1502" s="248"/>
      <c r="F1502" s="248"/>
      <c r="G1502" s="248"/>
      <c r="H1502" s="283"/>
      <c r="I1502" s="199"/>
      <c r="J1502" s="199"/>
      <c r="K1502" s="199"/>
      <c r="L1502" s="248"/>
      <c r="M1502" s="248"/>
      <c r="N1502" s="248"/>
      <c r="O1502" s="248"/>
    </row>
    <row r="1503">
      <c r="A1503" s="199"/>
      <c r="B1503" s="199"/>
      <c r="C1503" s="199"/>
      <c r="D1503" s="248"/>
      <c r="E1503" s="248"/>
      <c r="F1503" s="248"/>
      <c r="G1503" s="248"/>
      <c r="H1503" s="283"/>
      <c r="I1503" s="199"/>
      <c r="J1503" s="199"/>
      <c r="K1503" s="199"/>
      <c r="L1503" s="248"/>
      <c r="M1503" s="248"/>
      <c r="N1503" s="248"/>
      <c r="O1503" s="248"/>
    </row>
    <row r="1504">
      <c r="A1504" s="199"/>
      <c r="B1504" s="199"/>
      <c r="C1504" s="199"/>
      <c r="D1504" s="248"/>
      <c r="E1504" s="248"/>
      <c r="F1504" s="248"/>
      <c r="G1504" s="248"/>
      <c r="H1504" s="283"/>
      <c r="I1504" s="199"/>
      <c r="J1504" s="199"/>
      <c r="K1504" s="199"/>
      <c r="L1504" s="248"/>
      <c r="M1504" s="248"/>
      <c r="N1504" s="248"/>
      <c r="O1504" s="248"/>
    </row>
    <row r="1505">
      <c r="A1505" s="199"/>
      <c r="B1505" s="199"/>
      <c r="C1505" s="199"/>
      <c r="D1505" s="248"/>
      <c r="E1505" s="248"/>
      <c r="F1505" s="248"/>
      <c r="G1505" s="248"/>
      <c r="H1505" s="283"/>
      <c r="I1505" s="199"/>
      <c r="J1505" s="199"/>
      <c r="K1505" s="199"/>
      <c r="L1505" s="248"/>
      <c r="M1505" s="248"/>
      <c r="N1505" s="248"/>
      <c r="O1505" s="248"/>
    </row>
    <row r="1506">
      <c r="A1506" s="199"/>
      <c r="B1506" s="199"/>
      <c r="C1506" s="199"/>
      <c r="D1506" s="248"/>
      <c r="E1506" s="248"/>
      <c r="F1506" s="248"/>
      <c r="G1506" s="248"/>
      <c r="H1506" s="283"/>
      <c r="I1506" s="199"/>
      <c r="J1506" s="199"/>
      <c r="K1506" s="199"/>
      <c r="L1506" s="248"/>
      <c r="M1506" s="248"/>
      <c r="N1506" s="248"/>
      <c r="O1506" s="248"/>
    </row>
    <row r="1507">
      <c r="A1507" s="199"/>
      <c r="B1507" s="199"/>
      <c r="C1507" s="199"/>
      <c r="D1507" s="248"/>
      <c r="E1507" s="248"/>
      <c r="F1507" s="248"/>
      <c r="G1507" s="248"/>
      <c r="H1507" s="283"/>
      <c r="I1507" s="199"/>
      <c r="J1507" s="199"/>
      <c r="K1507" s="199"/>
      <c r="L1507" s="248"/>
      <c r="M1507" s="248"/>
      <c r="N1507" s="248"/>
      <c r="O1507" s="248"/>
    </row>
    <row r="1508">
      <c r="A1508" s="199"/>
      <c r="B1508" s="199"/>
      <c r="C1508" s="199"/>
      <c r="D1508" s="248"/>
      <c r="E1508" s="248"/>
      <c r="F1508" s="248"/>
      <c r="G1508" s="248"/>
      <c r="H1508" s="283"/>
      <c r="I1508" s="199"/>
      <c r="J1508" s="199"/>
      <c r="K1508" s="199"/>
      <c r="L1508" s="248"/>
      <c r="M1508" s="248"/>
      <c r="N1508" s="248"/>
      <c r="O1508" s="248"/>
    </row>
    <row r="1509">
      <c r="A1509" s="199"/>
      <c r="B1509" s="199"/>
      <c r="C1509" s="199"/>
      <c r="D1509" s="248"/>
      <c r="E1509" s="248"/>
      <c r="F1509" s="248"/>
      <c r="G1509" s="248"/>
      <c r="H1509" s="283"/>
      <c r="I1509" s="199"/>
      <c r="J1509" s="199"/>
      <c r="K1509" s="199"/>
      <c r="L1509" s="248"/>
      <c r="M1509" s="248"/>
      <c r="N1509" s="248"/>
      <c r="O1509" s="248"/>
    </row>
    <row r="1510">
      <c r="A1510" s="199"/>
      <c r="B1510" s="199"/>
      <c r="C1510" s="199"/>
      <c r="D1510" s="248"/>
      <c r="E1510" s="248"/>
      <c r="F1510" s="248"/>
      <c r="G1510" s="248"/>
      <c r="H1510" s="283"/>
      <c r="I1510" s="199"/>
      <c r="J1510" s="199"/>
      <c r="K1510" s="199"/>
      <c r="L1510" s="248"/>
      <c r="M1510" s="248"/>
      <c r="N1510" s="248"/>
      <c r="O1510" s="248"/>
    </row>
    <row r="1511">
      <c r="A1511" s="199"/>
      <c r="B1511" s="199"/>
      <c r="C1511" s="199"/>
      <c r="D1511" s="248"/>
      <c r="E1511" s="248"/>
      <c r="F1511" s="248"/>
      <c r="G1511" s="248"/>
      <c r="H1511" s="283"/>
      <c r="I1511" s="199"/>
      <c r="J1511" s="199"/>
      <c r="K1511" s="199"/>
      <c r="L1511" s="248"/>
      <c r="M1511" s="248"/>
      <c r="N1511" s="248"/>
      <c r="O1511" s="248"/>
    </row>
    <row r="1512">
      <c r="A1512" s="199"/>
      <c r="B1512" s="199"/>
      <c r="C1512" s="199"/>
      <c r="D1512" s="248"/>
      <c r="E1512" s="248"/>
      <c r="F1512" s="248"/>
      <c r="G1512" s="248"/>
      <c r="H1512" s="283"/>
      <c r="I1512" s="199"/>
      <c r="J1512" s="199"/>
      <c r="K1512" s="199"/>
      <c r="L1512" s="248"/>
      <c r="M1512" s="248"/>
      <c r="N1512" s="248"/>
      <c r="O1512" s="248"/>
    </row>
    <row r="1513">
      <c r="A1513" s="199"/>
      <c r="B1513" s="199"/>
      <c r="C1513" s="199"/>
      <c r="D1513" s="248"/>
      <c r="E1513" s="248"/>
      <c r="F1513" s="248"/>
      <c r="G1513" s="248"/>
      <c r="H1513" s="283"/>
      <c r="I1513" s="199"/>
      <c r="J1513" s="199"/>
      <c r="K1513" s="199"/>
      <c r="L1513" s="248"/>
      <c r="M1513" s="248"/>
      <c r="N1513" s="248"/>
      <c r="O1513" s="248"/>
    </row>
    <row r="1514">
      <c r="A1514" s="199"/>
      <c r="B1514" s="199"/>
      <c r="C1514" s="199"/>
      <c r="D1514" s="248"/>
      <c r="E1514" s="248"/>
      <c r="F1514" s="248"/>
      <c r="G1514" s="248"/>
      <c r="H1514" s="283"/>
      <c r="I1514" s="199"/>
      <c r="J1514" s="199"/>
      <c r="K1514" s="199"/>
      <c r="L1514" s="248"/>
      <c r="M1514" s="248"/>
      <c r="N1514" s="248"/>
      <c r="O1514" s="248"/>
    </row>
    <row r="1515">
      <c r="A1515" s="199"/>
      <c r="B1515" s="199"/>
      <c r="C1515" s="199"/>
      <c r="D1515" s="248"/>
      <c r="E1515" s="248"/>
      <c r="F1515" s="248"/>
      <c r="G1515" s="248"/>
      <c r="H1515" s="283"/>
      <c r="I1515" s="199"/>
      <c r="J1515" s="199"/>
      <c r="K1515" s="199"/>
      <c r="L1515" s="248"/>
      <c r="M1515" s="248"/>
      <c r="N1515" s="248"/>
      <c r="O1515" s="248"/>
    </row>
    <row r="1516">
      <c r="A1516" s="199"/>
      <c r="B1516" s="199"/>
      <c r="C1516" s="199"/>
      <c r="D1516" s="248"/>
      <c r="E1516" s="248"/>
      <c r="F1516" s="248"/>
      <c r="G1516" s="248"/>
      <c r="H1516" s="283"/>
      <c r="I1516" s="199"/>
      <c r="J1516" s="199"/>
      <c r="K1516" s="199"/>
      <c r="L1516" s="248"/>
      <c r="M1516" s="248"/>
      <c r="N1516" s="248"/>
      <c r="O1516" s="248"/>
    </row>
    <row r="1517">
      <c r="A1517" s="199"/>
      <c r="B1517" s="199"/>
      <c r="C1517" s="199"/>
      <c r="D1517" s="248"/>
      <c r="E1517" s="248"/>
      <c r="F1517" s="248"/>
      <c r="G1517" s="248"/>
      <c r="H1517" s="283"/>
      <c r="I1517" s="199"/>
      <c r="J1517" s="199"/>
      <c r="K1517" s="199"/>
      <c r="L1517" s="248"/>
      <c r="M1517" s="248"/>
      <c r="N1517" s="248"/>
      <c r="O1517" s="248"/>
    </row>
    <row r="1518">
      <c r="A1518" s="199"/>
      <c r="B1518" s="199"/>
      <c r="C1518" s="199"/>
      <c r="D1518" s="248"/>
      <c r="E1518" s="248"/>
      <c r="F1518" s="248"/>
      <c r="G1518" s="248"/>
      <c r="H1518" s="283"/>
      <c r="I1518" s="199"/>
      <c r="J1518" s="199"/>
      <c r="K1518" s="199"/>
      <c r="L1518" s="248"/>
      <c r="M1518" s="248"/>
      <c r="N1518" s="248"/>
      <c r="O1518" s="248"/>
    </row>
    <row r="1519">
      <c r="A1519" s="199"/>
      <c r="B1519" s="199"/>
      <c r="C1519" s="199"/>
      <c r="D1519" s="248"/>
      <c r="E1519" s="248"/>
      <c r="F1519" s="248"/>
      <c r="G1519" s="248"/>
      <c r="H1519" s="283"/>
      <c r="I1519" s="199"/>
      <c r="J1519" s="199"/>
      <c r="K1519" s="199"/>
      <c r="L1519" s="248"/>
      <c r="M1519" s="248"/>
      <c r="N1519" s="248"/>
      <c r="O1519" s="248"/>
    </row>
    <row r="1520">
      <c r="A1520" s="199"/>
      <c r="B1520" s="199"/>
      <c r="C1520" s="199"/>
      <c r="D1520" s="248"/>
      <c r="E1520" s="248"/>
      <c r="F1520" s="248"/>
      <c r="G1520" s="248"/>
      <c r="H1520" s="283"/>
      <c r="I1520" s="199"/>
      <c r="J1520" s="199"/>
      <c r="K1520" s="199"/>
      <c r="L1520" s="248"/>
      <c r="M1520" s="248"/>
      <c r="N1520" s="248"/>
      <c r="O1520" s="248"/>
    </row>
    <row r="1521">
      <c r="A1521" s="199"/>
      <c r="B1521" s="199"/>
      <c r="C1521" s="199"/>
      <c r="D1521" s="248"/>
      <c r="E1521" s="248"/>
      <c r="F1521" s="248"/>
      <c r="G1521" s="248"/>
      <c r="H1521" s="283"/>
      <c r="I1521" s="199"/>
      <c r="J1521" s="199"/>
      <c r="K1521" s="199"/>
      <c r="L1521" s="248"/>
      <c r="M1521" s="248"/>
      <c r="N1521" s="248"/>
      <c r="O1521" s="248"/>
    </row>
    <row r="1522">
      <c r="A1522" s="199"/>
      <c r="B1522" s="199"/>
      <c r="C1522" s="199"/>
      <c r="D1522" s="248"/>
      <c r="E1522" s="248"/>
      <c r="F1522" s="248"/>
      <c r="G1522" s="248"/>
      <c r="H1522" s="283"/>
      <c r="I1522" s="199"/>
      <c r="J1522" s="199"/>
      <c r="K1522" s="199"/>
      <c r="L1522" s="248"/>
      <c r="M1522" s="248"/>
      <c r="N1522" s="248"/>
      <c r="O1522" s="248"/>
    </row>
    <row r="1523">
      <c r="A1523" s="199"/>
      <c r="B1523" s="199"/>
      <c r="C1523" s="199"/>
      <c r="D1523" s="248"/>
      <c r="E1523" s="248"/>
      <c r="F1523" s="248"/>
      <c r="G1523" s="248"/>
      <c r="H1523" s="283"/>
      <c r="I1523" s="199"/>
      <c r="J1523" s="199"/>
      <c r="K1523" s="199"/>
      <c r="L1523" s="248"/>
      <c r="M1523" s="248"/>
      <c r="N1523" s="248"/>
      <c r="O1523" s="248"/>
    </row>
    <row r="1524">
      <c r="A1524" s="199"/>
      <c r="B1524" s="199"/>
      <c r="C1524" s="199"/>
      <c r="D1524" s="248"/>
      <c r="E1524" s="248"/>
      <c r="F1524" s="248"/>
      <c r="G1524" s="248"/>
      <c r="H1524" s="283"/>
      <c r="I1524" s="199"/>
      <c r="J1524" s="199"/>
      <c r="K1524" s="199"/>
      <c r="L1524" s="248"/>
      <c r="M1524" s="248"/>
      <c r="N1524" s="248"/>
      <c r="O1524" s="248"/>
    </row>
    <row r="1525">
      <c r="A1525" s="199"/>
      <c r="B1525" s="199"/>
      <c r="C1525" s="199"/>
      <c r="D1525" s="248"/>
      <c r="E1525" s="248"/>
      <c r="F1525" s="248"/>
      <c r="G1525" s="248"/>
      <c r="H1525" s="283"/>
      <c r="I1525" s="199"/>
      <c r="J1525" s="199"/>
      <c r="K1525" s="199"/>
      <c r="L1525" s="248"/>
      <c r="M1525" s="248"/>
      <c r="N1525" s="248"/>
      <c r="O1525" s="248"/>
    </row>
    <row r="1526">
      <c r="A1526" s="199"/>
      <c r="B1526" s="199"/>
      <c r="C1526" s="199"/>
      <c r="D1526" s="248"/>
      <c r="E1526" s="248"/>
      <c r="F1526" s="248"/>
      <c r="G1526" s="248"/>
      <c r="H1526" s="283"/>
      <c r="I1526" s="199"/>
      <c r="J1526" s="199"/>
      <c r="K1526" s="199"/>
      <c r="L1526" s="248"/>
      <c r="M1526" s="248"/>
      <c r="N1526" s="248"/>
      <c r="O1526" s="248"/>
    </row>
    <row r="1527">
      <c r="A1527" s="199"/>
      <c r="B1527" s="199"/>
      <c r="C1527" s="199"/>
      <c r="D1527" s="248"/>
      <c r="E1527" s="248"/>
      <c r="F1527" s="248"/>
      <c r="G1527" s="248"/>
      <c r="H1527" s="283"/>
      <c r="I1527" s="199"/>
      <c r="J1527" s="199"/>
      <c r="K1527" s="199"/>
      <c r="L1527" s="248"/>
      <c r="M1527" s="248"/>
      <c r="N1527" s="248"/>
      <c r="O1527" s="248"/>
    </row>
    <row r="1528">
      <c r="A1528" s="199"/>
      <c r="B1528" s="199"/>
      <c r="C1528" s="199"/>
      <c r="D1528" s="248"/>
      <c r="E1528" s="248"/>
      <c r="F1528" s="248"/>
      <c r="G1528" s="248"/>
      <c r="H1528" s="283"/>
      <c r="I1528" s="199"/>
      <c r="J1528" s="199"/>
      <c r="K1528" s="199"/>
      <c r="L1528" s="248"/>
      <c r="M1528" s="248"/>
      <c r="N1528" s="248"/>
      <c r="O1528" s="248"/>
    </row>
    <row r="1529">
      <c r="A1529" s="199"/>
      <c r="B1529" s="199"/>
      <c r="C1529" s="199"/>
      <c r="D1529" s="248"/>
      <c r="E1529" s="248"/>
      <c r="F1529" s="248"/>
      <c r="G1529" s="248"/>
      <c r="H1529" s="283"/>
      <c r="I1529" s="199"/>
      <c r="J1529" s="199"/>
      <c r="K1529" s="199"/>
      <c r="L1529" s="248"/>
      <c r="M1529" s="248"/>
      <c r="N1529" s="248"/>
      <c r="O1529" s="248"/>
    </row>
    <row r="1530">
      <c r="A1530" s="199"/>
      <c r="B1530" s="199"/>
      <c r="C1530" s="199"/>
      <c r="D1530" s="248"/>
      <c r="E1530" s="248"/>
      <c r="F1530" s="248"/>
      <c r="G1530" s="248"/>
      <c r="H1530" s="283"/>
      <c r="I1530" s="199"/>
      <c r="J1530" s="199"/>
      <c r="K1530" s="199"/>
      <c r="L1530" s="248"/>
      <c r="M1530" s="248"/>
      <c r="N1530" s="248"/>
      <c r="O1530" s="248"/>
    </row>
    <row r="1531">
      <c r="A1531" s="199"/>
      <c r="B1531" s="199"/>
      <c r="C1531" s="199"/>
      <c r="D1531" s="248"/>
      <c r="E1531" s="248"/>
      <c r="F1531" s="248"/>
      <c r="G1531" s="248"/>
      <c r="H1531" s="283"/>
      <c r="I1531" s="199"/>
      <c r="J1531" s="199"/>
      <c r="K1531" s="199"/>
      <c r="L1531" s="248"/>
      <c r="M1531" s="248"/>
      <c r="N1531" s="248"/>
      <c r="O1531" s="248"/>
    </row>
    <row r="1532">
      <c r="A1532" s="199"/>
      <c r="B1532" s="199"/>
      <c r="C1532" s="199"/>
      <c r="D1532" s="248"/>
      <c r="E1532" s="248"/>
      <c r="F1532" s="248"/>
      <c r="G1532" s="248"/>
      <c r="H1532" s="283"/>
      <c r="I1532" s="199"/>
      <c r="J1532" s="199"/>
      <c r="K1532" s="199"/>
      <c r="L1532" s="248"/>
      <c r="M1532" s="248"/>
      <c r="N1532" s="248"/>
      <c r="O1532" s="248"/>
    </row>
    <row r="1533">
      <c r="A1533" s="199"/>
      <c r="B1533" s="199"/>
      <c r="C1533" s="199"/>
      <c r="D1533" s="248"/>
      <c r="E1533" s="248"/>
      <c r="F1533" s="248"/>
      <c r="G1533" s="248"/>
      <c r="H1533" s="283"/>
      <c r="I1533" s="199"/>
      <c r="J1533" s="199"/>
      <c r="K1533" s="199"/>
      <c r="L1533" s="248"/>
      <c r="M1533" s="248"/>
      <c r="N1533" s="248"/>
      <c r="O1533" s="248"/>
    </row>
    <row r="1534">
      <c r="A1534" s="199"/>
      <c r="B1534" s="199"/>
      <c r="C1534" s="199"/>
      <c r="D1534" s="248"/>
      <c r="E1534" s="248"/>
      <c r="F1534" s="248"/>
      <c r="G1534" s="248"/>
      <c r="H1534" s="283"/>
      <c r="I1534" s="199"/>
      <c r="J1534" s="199"/>
      <c r="K1534" s="199"/>
      <c r="L1534" s="248"/>
      <c r="M1534" s="248"/>
      <c r="N1534" s="248"/>
      <c r="O1534" s="248"/>
    </row>
    <row r="1535">
      <c r="A1535" s="199"/>
      <c r="B1535" s="199"/>
      <c r="C1535" s="199"/>
      <c r="D1535" s="248"/>
      <c r="E1535" s="248"/>
      <c r="F1535" s="248"/>
      <c r="G1535" s="248"/>
      <c r="H1535" s="283"/>
      <c r="I1535" s="199"/>
      <c r="J1535" s="199"/>
      <c r="K1535" s="199"/>
      <c r="L1535" s="248"/>
      <c r="M1535" s="248"/>
      <c r="N1535" s="248"/>
      <c r="O1535" s="248"/>
    </row>
    <row r="1536">
      <c r="A1536" s="199"/>
      <c r="B1536" s="199"/>
      <c r="C1536" s="199"/>
      <c r="D1536" s="248"/>
      <c r="E1536" s="248"/>
      <c r="F1536" s="248"/>
      <c r="G1536" s="248"/>
      <c r="H1536" s="283"/>
      <c r="I1536" s="199"/>
      <c r="J1536" s="199"/>
      <c r="K1536" s="199"/>
      <c r="L1536" s="248"/>
      <c r="M1536" s="248"/>
      <c r="N1536" s="248"/>
      <c r="O1536" s="248"/>
    </row>
    <row r="1537">
      <c r="A1537" s="199"/>
      <c r="B1537" s="199"/>
      <c r="C1537" s="199"/>
      <c r="D1537" s="248"/>
      <c r="E1537" s="248"/>
      <c r="F1537" s="248"/>
      <c r="G1537" s="248"/>
      <c r="H1537" s="283"/>
      <c r="I1537" s="199"/>
      <c r="J1537" s="199"/>
      <c r="K1537" s="199"/>
      <c r="L1537" s="248"/>
      <c r="M1537" s="248"/>
      <c r="N1537" s="248"/>
      <c r="O1537" s="248"/>
    </row>
    <row r="1538">
      <c r="A1538" s="199"/>
      <c r="B1538" s="199"/>
      <c r="C1538" s="199"/>
      <c r="D1538" s="248"/>
      <c r="E1538" s="248"/>
      <c r="F1538" s="248"/>
      <c r="G1538" s="248"/>
      <c r="H1538" s="283"/>
      <c r="I1538" s="199"/>
      <c r="J1538" s="199"/>
      <c r="K1538" s="199"/>
      <c r="L1538" s="248"/>
      <c r="M1538" s="248"/>
      <c r="N1538" s="248"/>
      <c r="O1538" s="248"/>
    </row>
    <row r="1539">
      <c r="A1539" s="199"/>
      <c r="B1539" s="199"/>
      <c r="C1539" s="199"/>
      <c r="D1539" s="248"/>
      <c r="E1539" s="248"/>
      <c r="F1539" s="248"/>
      <c r="G1539" s="248"/>
      <c r="H1539" s="283"/>
      <c r="I1539" s="199"/>
      <c r="J1539" s="199"/>
      <c r="K1539" s="199"/>
      <c r="L1539" s="248"/>
      <c r="M1539" s="248"/>
      <c r="N1539" s="248"/>
      <c r="O1539" s="248"/>
    </row>
    <row r="1540">
      <c r="A1540" s="199"/>
      <c r="B1540" s="199"/>
      <c r="C1540" s="199"/>
      <c r="D1540" s="248"/>
      <c r="E1540" s="248"/>
      <c r="F1540" s="248"/>
      <c r="G1540" s="248"/>
      <c r="H1540" s="283"/>
      <c r="I1540" s="199"/>
      <c r="J1540" s="199"/>
      <c r="K1540" s="199"/>
      <c r="L1540" s="248"/>
      <c r="M1540" s="248"/>
      <c r="N1540" s="248"/>
      <c r="O1540" s="248"/>
    </row>
    <row r="1541">
      <c r="A1541" s="199"/>
      <c r="B1541" s="199"/>
      <c r="C1541" s="199"/>
      <c r="D1541" s="248"/>
      <c r="E1541" s="248"/>
      <c r="F1541" s="248"/>
      <c r="G1541" s="248"/>
      <c r="H1541" s="283"/>
      <c r="I1541" s="199"/>
      <c r="J1541" s="199"/>
      <c r="K1541" s="199"/>
      <c r="L1541" s="248"/>
      <c r="M1541" s="248"/>
      <c r="N1541" s="248"/>
      <c r="O1541" s="248"/>
    </row>
    <row r="1542">
      <c r="A1542" s="199"/>
      <c r="B1542" s="199"/>
      <c r="C1542" s="199"/>
      <c r="D1542" s="248"/>
      <c r="E1542" s="248"/>
      <c r="F1542" s="248"/>
      <c r="G1542" s="248"/>
      <c r="H1542" s="283"/>
      <c r="I1542" s="199"/>
      <c r="J1542" s="199"/>
      <c r="K1542" s="199"/>
      <c r="L1542" s="248"/>
      <c r="M1542" s="248"/>
      <c r="N1542" s="248"/>
      <c r="O1542" s="248"/>
    </row>
    <row r="1543">
      <c r="A1543" s="199"/>
      <c r="B1543" s="199"/>
      <c r="C1543" s="199"/>
      <c r="D1543" s="248"/>
      <c r="E1543" s="248"/>
      <c r="F1543" s="248"/>
      <c r="G1543" s="248"/>
      <c r="H1543" s="283"/>
      <c r="I1543" s="199"/>
      <c r="J1543" s="199"/>
      <c r="K1543" s="199"/>
      <c r="L1543" s="248"/>
      <c r="M1543" s="248"/>
      <c r="N1543" s="248"/>
      <c r="O1543" s="248"/>
    </row>
    <row r="1544">
      <c r="A1544" s="199"/>
      <c r="B1544" s="199"/>
      <c r="C1544" s="199"/>
      <c r="D1544" s="248"/>
      <c r="E1544" s="248"/>
      <c r="F1544" s="248"/>
      <c r="G1544" s="248"/>
      <c r="H1544" s="283"/>
      <c r="I1544" s="199"/>
      <c r="J1544" s="199"/>
      <c r="K1544" s="199"/>
      <c r="L1544" s="248"/>
      <c r="M1544" s="248"/>
      <c r="N1544" s="248"/>
      <c r="O1544" s="248"/>
    </row>
    <row r="1545">
      <c r="A1545" s="199"/>
      <c r="B1545" s="199"/>
      <c r="C1545" s="199"/>
      <c r="D1545" s="248"/>
      <c r="E1545" s="248"/>
      <c r="F1545" s="248"/>
      <c r="G1545" s="248"/>
      <c r="H1545" s="283"/>
      <c r="I1545" s="199"/>
      <c r="J1545" s="199"/>
      <c r="K1545" s="199"/>
      <c r="L1545" s="248"/>
      <c r="M1545" s="248"/>
      <c r="N1545" s="248"/>
      <c r="O1545" s="248"/>
    </row>
    <row r="1546">
      <c r="A1546" s="199"/>
      <c r="B1546" s="199"/>
      <c r="C1546" s="199"/>
      <c r="D1546" s="248"/>
      <c r="E1546" s="248"/>
      <c r="F1546" s="248"/>
      <c r="G1546" s="248"/>
      <c r="H1546" s="283"/>
      <c r="I1546" s="199"/>
      <c r="J1546" s="199"/>
      <c r="K1546" s="199"/>
      <c r="L1546" s="248"/>
      <c r="M1546" s="248"/>
      <c r="N1546" s="248"/>
      <c r="O1546" s="248"/>
    </row>
    <row r="1547">
      <c r="A1547" s="199"/>
      <c r="B1547" s="199"/>
      <c r="C1547" s="199"/>
      <c r="D1547" s="248"/>
      <c r="E1547" s="248"/>
      <c r="F1547" s="248"/>
      <c r="G1547" s="248"/>
      <c r="H1547" s="283"/>
      <c r="I1547" s="199"/>
      <c r="J1547" s="199"/>
      <c r="K1547" s="199"/>
      <c r="L1547" s="248"/>
      <c r="M1547" s="248"/>
      <c r="N1547" s="248"/>
      <c r="O1547" s="248"/>
    </row>
    <row r="1548">
      <c r="A1548" s="199"/>
      <c r="B1548" s="199"/>
      <c r="C1548" s="199"/>
      <c r="D1548" s="248"/>
      <c r="E1548" s="248"/>
      <c r="F1548" s="248"/>
      <c r="G1548" s="248"/>
      <c r="H1548" s="283"/>
      <c r="I1548" s="199"/>
      <c r="J1548" s="199"/>
      <c r="K1548" s="199"/>
      <c r="L1548" s="248"/>
      <c r="M1548" s="248"/>
      <c r="N1548" s="248"/>
      <c r="O1548" s="248"/>
    </row>
    <row r="1549">
      <c r="A1549" s="199"/>
      <c r="B1549" s="199"/>
      <c r="C1549" s="199"/>
      <c r="D1549" s="248"/>
      <c r="E1549" s="248"/>
      <c r="F1549" s="248"/>
      <c r="G1549" s="248"/>
      <c r="H1549" s="283"/>
      <c r="I1549" s="199"/>
      <c r="J1549" s="199"/>
      <c r="K1549" s="199"/>
      <c r="L1549" s="248"/>
      <c r="M1549" s="248"/>
      <c r="N1549" s="248"/>
      <c r="O1549" s="248"/>
    </row>
    <row r="1550">
      <c r="A1550" s="199"/>
      <c r="B1550" s="199"/>
      <c r="C1550" s="199"/>
      <c r="D1550" s="248"/>
      <c r="E1550" s="248"/>
      <c r="F1550" s="248"/>
      <c r="G1550" s="248"/>
      <c r="H1550" s="283"/>
      <c r="I1550" s="199"/>
      <c r="J1550" s="199"/>
      <c r="K1550" s="199"/>
      <c r="L1550" s="248"/>
      <c r="M1550" s="248"/>
      <c r="N1550" s="248"/>
      <c r="O1550" s="248"/>
    </row>
    <row r="1551">
      <c r="A1551" s="199"/>
      <c r="B1551" s="199"/>
      <c r="C1551" s="199"/>
      <c r="D1551" s="248"/>
      <c r="E1551" s="248"/>
      <c r="F1551" s="248"/>
      <c r="G1551" s="248"/>
      <c r="H1551" s="283"/>
      <c r="I1551" s="199"/>
      <c r="J1551" s="199"/>
      <c r="K1551" s="199"/>
      <c r="L1551" s="248"/>
      <c r="M1551" s="248"/>
      <c r="N1551" s="248"/>
      <c r="O1551" s="248"/>
    </row>
    <row r="1552">
      <c r="A1552" s="199"/>
      <c r="B1552" s="199"/>
      <c r="C1552" s="199"/>
      <c r="D1552" s="248"/>
      <c r="E1552" s="248"/>
      <c r="F1552" s="248"/>
      <c r="G1552" s="248"/>
      <c r="H1552" s="283"/>
      <c r="I1552" s="199"/>
      <c r="J1552" s="199"/>
      <c r="K1552" s="199"/>
      <c r="L1552" s="248"/>
      <c r="M1552" s="248"/>
      <c r="N1552" s="248"/>
      <c r="O1552" s="248"/>
    </row>
    <row r="1553">
      <c r="A1553" s="199"/>
      <c r="B1553" s="199"/>
      <c r="C1553" s="199"/>
      <c r="D1553" s="248"/>
      <c r="E1553" s="248"/>
      <c r="F1553" s="248"/>
      <c r="G1553" s="248"/>
      <c r="H1553" s="283"/>
      <c r="I1553" s="199"/>
      <c r="J1553" s="199"/>
      <c r="K1553" s="199"/>
      <c r="L1553" s="248"/>
      <c r="M1553" s="248"/>
      <c r="N1553" s="248"/>
      <c r="O1553" s="248"/>
    </row>
    <row r="1554">
      <c r="A1554" s="199"/>
      <c r="B1554" s="199"/>
      <c r="C1554" s="199"/>
      <c r="D1554" s="248"/>
      <c r="E1554" s="248"/>
      <c r="F1554" s="248"/>
      <c r="G1554" s="248"/>
      <c r="H1554" s="283"/>
      <c r="I1554" s="199"/>
      <c r="J1554" s="199"/>
      <c r="K1554" s="199"/>
      <c r="L1554" s="248"/>
      <c r="M1554" s="248"/>
      <c r="N1554" s="248"/>
      <c r="O1554" s="248"/>
    </row>
    <row r="1555">
      <c r="A1555" s="199"/>
      <c r="B1555" s="199"/>
      <c r="C1555" s="199"/>
      <c r="D1555" s="248"/>
      <c r="E1555" s="248"/>
      <c r="F1555" s="248"/>
      <c r="G1555" s="248"/>
      <c r="H1555" s="283"/>
      <c r="I1555" s="199"/>
      <c r="J1555" s="199"/>
      <c r="K1555" s="199"/>
      <c r="L1555" s="248"/>
      <c r="M1555" s="248"/>
      <c r="N1555" s="248"/>
      <c r="O1555" s="248"/>
    </row>
    <row r="1556">
      <c r="A1556" s="199"/>
      <c r="B1556" s="199"/>
      <c r="C1556" s="199"/>
      <c r="D1556" s="248"/>
      <c r="E1556" s="248"/>
      <c r="F1556" s="248"/>
      <c r="G1556" s="248"/>
      <c r="H1556" s="283"/>
      <c r="I1556" s="199"/>
      <c r="J1556" s="199"/>
      <c r="K1556" s="199"/>
      <c r="L1556" s="248"/>
      <c r="M1556" s="248"/>
      <c r="N1556" s="248"/>
      <c r="O1556" s="248"/>
    </row>
    <row r="1557">
      <c r="A1557" s="199"/>
      <c r="B1557" s="199"/>
      <c r="C1557" s="199"/>
      <c r="D1557" s="248"/>
      <c r="E1557" s="248"/>
      <c r="F1557" s="248"/>
      <c r="G1557" s="248"/>
      <c r="H1557" s="283"/>
      <c r="I1557" s="199"/>
      <c r="J1557" s="199"/>
      <c r="K1557" s="199"/>
      <c r="L1557" s="248"/>
      <c r="M1557" s="248"/>
      <c r="N1557" s="248"/>
      <c r="O1557" s="248"/>
    </row>
    <row r="1558">
      <c r="A1558" s="199"/>
      <c r="B1558" s="199"/>
      <c r="C1558" s="199"/>
      <c r="D1558" s="248"/>
      <c r="E1558" s="248"/>
      <c r="F1558" s="248"/>
      <c r="G1558" s="248"/>
      <c r="H1558" s="283"/>
      <c r="I1558" s="199"/>
      <c r="J1558" s="199"/>
      <c r="K1558" s="199"/>
      <c r="L1558" s="248"/>
      <c r="M1558" s="248"/>
      <c r="N1558" s="248"/>
      <c r="O1558" s="248"/>
    </row>
    <row r="1559">
      <c r="A1559" s="199"/>
      <c r="B1559" s="199"/>
      <c r="C1559" s="199"/>
      <c r="D1559" s="248"/>
      <c r="E1559" s="248"/>
      <c r="F1559" s="248"/>
      <c r="G1559" s="248"/>
      <c r="H1559" s="283"/>
      <c r="I1559" s="199"/>
      <c r="J1559" s="199"/>
      <c r="K1559" s="199"/>
      <c r="L1559" s="248"/>
      <c r="M1559" s="248"/>
      <c r="N1559" s="248"/>
      <c r="O1559" s="248"/>
    </row>
    <row r="1560">
      <c r="A1560" s="199"/>
      <c r="B1560" s="199"/>
      <c r="C1560" s="199"/>
      <c r="D1560" s="248"/>
      <c r="E1560" s="248"/>
      <c r="F1560" s="248"/>
      <c r="G1560" s="248"/>
      <c r="H1560" s="283"/>
      <c r="I1560" s="199"/>
      <c r="J1560" s="199"/>
      <c r="K1560" s="199"/>
      <c r="L1560" s="248"/>
      <c r="M1560" s="248"/>
      <c r="N1560" s="248"/>
      <c r="O1560" s="248"/>
    </row>
    <row r="1561">
      <c r="A1561" s="199"/>
      <c r="B1561" s="199"/>
      <c r="C1561" s="199"/>
      <c r="D1561" s="248"/>
      <c r="E1561" s="248"/>
      <c r="F1561" s="248"/>
      <c r="G1561" s="248"/>
      <c r="H1561" s="283"/>
      <c r="I1561" s="199"/>
      <c r="J1561" s="199"/>
      <c r="K1561" s="199"/>
      <c r="L1561" s="248"/>
      <c r="M1561" s="248"/>
      <c r="N1561" s="248"/>
      <c r="O1561" s="248"/>
    </row>
    <row r="1562">
      <c r="A1562" s="199"/>
      <c r="B1562" s="199"/>
      <c r="C1562" s="199"/>
      <c r="D1562" s="248"/>
      <c r="E1562" s="248"/>
      <c r="F1562" s="248"/>
      <c r="G1562" s="248"/>
      <c r="H1562" s="283"/>
      <c r="I1562" s="199"/>
      <c r="J1562" s="199"/>
      <c r="K1562" s="199"/>
      <c r="L1562" s="248"/>
      <c r="M1562" s="248"/>
      <c r="N1562" s="248"/>
      <c r="O1562" s="248"/>
    </row>
    <row r="1563">
      <c r="A1563" s="199"/>
      <c r="B1563" s="199"/>
      <c r="C1563" s="199"/>
      <c r="D1563" s="248"/>
      <c r="E1563" s="248"/>
      <c r="F1563" s="248"/>
      <c r="G1563" s="248"/>
      <c r="H1563" s="283"/>
      <c r="I1563" s="199"/>
      <c r="J1563" s="199"/>
      <c r="K1563" s="199"/>
      <c r="L1563" s="248"/>
      <c r="M1563" s="248"/>
      <c r="N1563" s="248"/>
      <c r="O1563" s="248"/>
    </row>
    <row r="1564">
      <c r="A1564" s="199"/>
      <c r="B1564" s="199"/>
      <c r="C1564" s="199"/>
      <c r="D1564" s="248"/>
      <c r="E1564" s="248"/>
      <c r="F1564" s="248"/>
      <c r="G1564" s="248"/>
      <c r="H1564" s="283"/>
      <c r="I1564" s="199"/>
      <c r="J1564" s="199"/>
      <c r="K1564" s="199"/>
      <c r="L1564" s="248"/>
      <c r="M1564" s="248"/>
      <c r="N1564" s="248"/>
      <c r="O1564" s="248"/>
    </row>
    <row r="1565">
      <c r="A1565" s="199"/>
      <c r="B1565" s="199"/>
      <c r="C1565" s="199"/>
      <c r="D1565" s="248"/>
      <c r="E1565" s="248"/>
      <c r="F1565" s="248"/>
      <c r="G1565" s="248"/>
      <c r="H1565" s="283"/>
      <c r="I1565" s="199"/>
      <c r="J1565" s="199"/>
      <c r="K1565" s="199"/>
      <c r="L1565" s="248"/>
      <c r="M1565" s="248"/>
      <c r="N1565" s="248"/>
      <c r="O1565" s="248"/>
    </row>
    <row r="1566">
      <c r="A1566" s="199"/>
      <c r="B1566" s="199"/>
      <c r="C1566" s="199"/>
      <c r="D1566" s="248"/>
      <c r="E1566" s="248"/>
      <c r="F1566" s="248"/>
      <c r="G1566" s="248"/>
      <c r="H1566" s="283"/>
      <c r="I1566" s="199"/>
      <c r="J1566" s="199"/>
      <c r="K1566" s="199"/>
      <c r="L1566" s="248"/>
      <c r="M1566" s="248"/>
      <c r="N1566" s="248"/>
      <c r="O1566" s="248"/>
    </row>
    <row r="1567">
      <c r="A1567" s="199"/>
      <c r="B1567" s="199"/>
      <c r="C1567" s="199"/>
      <c r="D1567" s="248"/>
      <c r="E1567" s="248"/>
      <c r="F1567" s="248"/>
      <c r="G1567" s="248"/>
      <c r="H1567" s="283"/>
      <c r="I1567" s="199"/>
      <c r="J1567" s="199"/>
      <c r="K1567" s="199"/>
      <c r="L1567" s="248"/>
      <c r="M1567" s="248"/>
      <c r="N1567" s="248"/>
      <c r="O1567" s="248"/>
    </row>
    <row r="1568">
      <c r="A1568" s="199"/>
      <c r="B1568" s="199"/>
      <c r="C1568" s="199"/>
      <c r="D1568" s="248"/>
      <c r="E1568" s="248"/>
      <c r="F1568" s="248"/>
      <c r="G1568" s="248"/>
      <c r="H1568" s="283"/>
      <c r="I1568" s="199"/>
      <c r="J1568" s="199"/>
      <c r="K1568" s="199"/>
      <c r="L1568" s="248"/>
      <c r="M1568" s="248"/>
      <c r="N1568" s="248"/>
      <c r="O1568" s="248"/>
    </row>
    <row r="1569">
      <c r="A1569" s="199"/>
      <c r="B1569" s="199"/>
      <c r="C1569" s="199"/>
      <c r="D1569" s="248"/>
      <c r="E1569" s="248"/>
      <c r="F1569" s="248"/>
      <c r="G1569" s="248"/>
      <c r="H1569" s="283"/>
      <c r="I1569" s="199"/>
      <c r="J1569" s="199"/>
      <c r="K1569" s="199"/>
      <c r="L1569" s="248"/>
      <c r="M1569" s="248"/>
      <c r="N1569" s="248"/>
      <c r="O1569" s="248"/>
    </row>
    <row r="1570">
      <c r="A1570" s="199"/>
      <c r="B1570" s="199"/>
      <c r="C1570" s="199"/>
      <c r="D1570" s="248"/>
      <c r="E1570" s="248"/>
      <c r="F1570" s="248"/>
      <c r="G1570" s="248"/>
      <c r="H1570" s="283"/>
      <c r="I1570" s="199"/>
      <c r="J1570" s="199"/>
      <c r="K1570" s="199"/>
      <c r="L1570" s="248"/>
      <c r="M1570" s="248"/>
      <c r="N1570" s="248"/>
      <c r="O1570" s="248"/>
    </row>
    <row r="1571">
      <c r="A1571" s="199"/>
      <c r="B1571" s="199"/>
      <c r="C1571" s="199"/>
      <c r="D1571" s="248"/>
      <c r="E1571" s="248"/>
      <c r="F1571" s="248"/>
      <c r="G1571" s="248"/>
      <c r="H1571" s="283"/>
      <c r="I1571" s="199"/>
      <c r="J1571" s="199"/>
      <c r="K1571" s="199"/>
      <c r="L1571" s="248"/>
      <c r="M1571" s="248"/>
      <c r="N1571" s="248"/>
      <c r="O1571" s="248"/>
    </row>
    <row r="1572">
      <c r="A1572" s="199"/>
      <c r="B1572" s="199"/>
      <c r="C1572" s="199"/>
      <c r="D1572" s="248"/>
      <c r="E1572" s="248"/>
      <c r="F1572" s="248"/>
      <c r="G1572" s="248"/>
      <c r="H1572" s="283"/>
      <c r="I1572" s="199"/>
      <c r="J1572" s="199"/>
      <c r="K1572" s="199"/>
      <c r="L1572" s="248"/>
      <c r="M1572" s="248"/>
      <c r="N1572" s="248"/>
      <c r="O1572" s="248"/>
    </row>
    <row r="1573">
      <c r="A1573" s="199"/>
      <c r="B1573" s="199"/>
      <c r="C1573" s="199"/>
      <c r="D1573" s="248"/>
      <c r="E1573" s="248"/>
      <c r="F1573" s="248"/>
      <c r="G1573" s="248"/>
      <c r="H1573" s="283"/>
      <c r="I1573" s="199"/>
      <c r="J1573" s="199"/>
      <c r="K1573" s="199"/>
      <c r="L1573" s="248"/>
      <c r="M1573" s="248"/>
      <c r="N1573" s="248"/>
      <c r="O1573" s="248"/>
    </row>
    <row r="1574">
      <c r="A1574" s="199"/>
      <c r="B1574" s="199"/>
      <c r="C1574" s="199"/>
      <c r="D1574" s="248"/>
      <c r="E1574" s="248"/>
      <c r="F1574" s="248"/>
      <c r="G1574" s="248"/>
      <c r="H1574" s="283"/>
      <c r="I1574" s="199"/>
      <c r="J1574" s="199"/>
      <c r="K1574" s="199"/>
      <c r="L1574" s="248"/>
      <c r="M1574" s="248"/>
      <c r="N1574" s="248"/>
      <c r="O1574" s="248"/>
    </row>
    <row r="1575">
      <c r="A1575" s="199"/>
      <c r="B1575" s="199"/>
      <c r="C1575" s="199"/>
      <c r="D1575" s="248"/>
      <c r="E1575" s="248"/>
      <c r="F1575" s="248"/>
      <c r="G1575" s="248"/>
      <c r="H1575" s="283"/>
      <c r="I1575" s="199"/>
      <c r="J1575" s="199"/>
      <c r="K1575" s="199"/>
      <c r="L1575" s="248"/>
      <c r="M1575" s="248"/>
      <c r="N1575" s="248"/>
      <c r="O1575" s="248"/>
    </row>
    <row r="1576">
      <c r="A1576" s="199"/>
      <c r="B1576" s="199"/>
      <c r="C1576" s="199"/>
      <c r="D1576" s="248"/>
      <c r="E1576" s="248"/>
      <c r="F1576" s="248"/>
      <c r="G1576" s="248"/>
      <c r="H1576" s="283"/>
      <c r="I1576" s="199"/>
      <c r="J1576" s="199"/>
      <c r="K1576" s="199"/>
      <c r="L1576" s="248"/>
      <c r="M1576" s="248"/>
      <c r="N1576" s="248"/>
      <c r="O1576" s="248"/>
    </row>
    <row r="1577">
      <c r="A1577" s="199"/>
      <c r="B1577" s="199"/>
      <c r="C1577" s="199"/>
      <c r="D1577" s="248"/>
      <c r="E1577" s="248"/>
      <c r="F1577" s="248"/>
      <c r="G1577" s="248"/>
      <c r="H1577" s="283"/>
      <c r="I1577" s="199"/>
      <c r="J1577" s="199"/>
      <c r="K1577" s="199"/>
      <c r="L1577" s="248"/>
      <c r="M1577" s="248"/>
      <c r="N1577" s="248"/>
      <c r="O1577" s="248"/>
    </row>
    <row r="1578">
      <c r="A1578" s="199"/>
      <c r="B1578" s="199"/>
      <c r="C1578" s="199"/>
      <c r="D1578" s="248"/>
      <c r="E1578" s="248"/>
      <c r="F1578" s="248"/>
      <c r="G1578" s="248"/>
      <c r="H1578" s="283"/>
      <c r="I1578" s="199"/>
      <c r="J1578" s="199"/>
      <c r="K1578" s="199"/>
      <c r="L1578" s="248"/>
      <c r="M1578" s="248"/>
      <c r="N1578" s="248"/>
      <c r="O1578" s="248"/>
    </row>
    <row r="1579">
      <c r="A1579" s="199"/>
      <c r="B1579" s="199"/>
      <c r="C1579" s="199"/>
      <c r="D1579" s="248"/>
      <c r="E1579" s="248"/>
      <c r="F1579" s="248"/>
      <c r="G1579" s="248"/>
      <c r="H1579" s="283"/>
      <c r="I1579" s="199"/>
      <c r="J1579" s="199"/>
      <c r="K1579" s="199"/>
      <c r="L1579" s="248"/>
      <c r="M1579" s="248"/>
      <c r="N1579" s="248"/>
      <c r="O1579" s="248"/>
    </row>
    <row r="1580">
      <c r="A1580" s="199"/>
      <c r="B1580" s="199"/>
      <c r="C1580" s="199"/>
      <c r="D1580" s="248"/>
      <c r="E1580" s="248"/>
      <c r="F1580" s="248"/>
      <c r="G1580" s="248"/>
      <c r="H1580" s="283"/>
      <c r="I1580" s="199"/>
      <c r="J1580" s="199"/>
      <c r="K1580" s="199"/>
      <c r="L1580" s="248"/>
      <c r="M1580" s="248"/>
      <c r="N1580" s="248"/>
      <c r="O1580" s="248"/>
    </row>
    <row r="1581">
      <c r="A1581" s="199"/>
      <c r="B1581" s="199"/>
      <c r="C1581" s="199"/>
      <c r="D1581" s="248"/>
      <c r="E1581" s="248"/>
      <c r="F1581" s="248"/>
      <c r="G1581" s="248"/>
      <c r="H1581" s="283"/>
      <c r="I1581" s="199"/>
      <c r="J1581" s="199"/>
      <c r="K1581" s="199"/>
      <c r="L1581" s="248"/>
      <c r="M1581" s="248"/>
      <c r="N1581" s="248"/>
      <c r="O1581" s="248"/>
    </row>
    <row r="1582">
      <c r="A1582" s="199"/>
      <c r="B1582" s="199"/>
      <c r="C1582" s="199"/>
      <c r="D1582" s="248"/>
      <c r="E1582" s="248"/>
      <c r="F1582" s="248"/>
      <c r="G1582" s="248"/>
      <c r="H1582" s="283"/>
      <c r="I1582" s="199"/>
      <c r="J1582" s="199"/>
      <c r="K1582" s="199"/>
      <c r="L1582" s="248"/>
      <c r="M1582" s="248"/>
      <c r="N1582" s="248"/>
      <c r="O1582" s="248"/>
    </row>
    <row r="1583">
      <c r="A1583" s="199"/>
      <c r="B1583" s="199"/>
      <c r="C1583" s="199"/>
      <c r="D1583" s="248"/>
      <c r="E1583" s="248"/>
      <c r="F1583" s="248"/>
      <c r="G1583" s="248"/>
      <c r="H1583" s="283"/>
      <c r="I1583" s="199"/>
      <c r="J1583" s="199"/>
      <c r="K1583" s="199"/>
      <c r="L1583" s="248"/>
      <c r="M1583" s="248"/>
      <c r="N1583" s="248"/>
      <c r="O1583" s="248"/>
    </row>
    <row r="1584">
      <c r="A1584" s="199"/>
      <c r="B1584" s="199"/>
      <c r="C1584" s="199"/>
      <c r="D1584" s="248"/>
      <c r="E1584" s="248"/>
      <c r="F1584" s="248"/>
      <c r="G1584" s="248"/>
      <c r="H1584" s="283"/>
      <c r="I1584" s="199"/>
      <c r="J1584" s="199"/>
      <c r="K1584" s="199"/>
      <c r="L1584" s="248"/>
      <c r="M1584" s="248"/>
      <c r="N1584" s="248"/>
      <c r="O1584" s="248"/>
    </row>
    <row r="1585">
      <c r="A1585" s="199"/>
      <c r="B1585" s="199"/>
      <c r="C1585" s="199"/>
      <c r="D1585" s="248"/>
      <c r="E1585" s="248"/>
      <c r="F1585" s="248"/>
      <c r="G1585" s="248"/>
      <c r="H1585" s="283"/>
      <c r="I1585" s="199"/>
      <c r="J1585" s="199"/>
      <c r="K1585" s="199"/>
      <c r="L1585" s="248"/>
      <c r="M1585" s="248"/>
      <c r="N1585" s="248"/>
      <c r="O1585" s="248"/>
    </row>
    <row r="1586">
      <c r="A1586" s="199"/>
      <c r="B1586" s="199"/>
      <c r="C1586" s="199"/>
      <c r="D1586" s="248"/>
      <c r="E1586" s="248"/>
      <c r="F1586" s="248"/>
      <c r="G1586" s="248"/>
      <c r="H1586" s="283"/>
      <c r="I1586" s="199"/>
      <c r="J1586" s="199"/>
      <c r="K1586" s="199"/>
      <c r="L1586" s="248"/>
      <c r="M1586" s="248"/>
      <c r="N1586" s="248"/>
      <c r="O1586" s="248"/>
    </row>
    <row r="1587">
      <c r="A1587" s="199"/>
      <c r="B1587" s="199"/>
      <c r="C1587" s="199"/>
      <c r="D1587" s="248"/>
      <c r="E1587" s="248"/>
      <c r="F1587" s="248"/>
      <c r="G1587" s="248"/>
      <c r="H1587" s="283"/>
      <c r="I1587" s="199"/>
      <c r="J1587" s="199"/>
      <c r="K1587" s="199"/>
      <c r="L1587" s="248"/>
      <c r="M1587" s="248"/>
      <c r="N1587" s="248"/>
      <c r="O1587" s="248"/>
    </row>
    <row r="1588">
      <c r="A1588" s="199"/>
      <c r="B1588" s="199"/>
      <c r="C1588" s="199"/>
      <c r="D1588" s="248"/>
      <c r="E1588" s="248"/>
      <c r="F1588" s="248"/>
      <c r="G1588" s="248"/>
      <c r="H1588" s="283"/>
      <c r="I1588" s="199"/>
      <c r="J1588" s="199"/>
      <c r="K1588" s="199"/>
      <c r="L1588" s="248"/>
      <c r="M1588" s="248"/>
      <c r="N1588" s="248"/>
      <c r="O1588" s="248"/>
    </row>
    <row r="1589">
      <c r="A1589" s="199"/>
      <c r="B1589" s="199"/>
      <c r="C1589" s="199"/>
      <c r="D1589" s="248"/>
      <c r="E1589" s="248"/>
      <c r="F1589" s="248"/>
      <c r="G1589" s="248"/>
      <c r="H1589" s="283"/>
      <c r="I1589" s="199"/>
      <c r="J1589" s="199"/>
      <c r="K1589" s="199"/>
      <c r="L1589" s="248"/>
      <c r="M1589" s="248"/>
      <c r="N1589" s="248"/>
      <c r="O1589" s="248"/>
    </row>
    <row r="1590">
      <c r="A1590" s="199"/>
      <c r="B1590" s="199"/>
      <c r="C1590" s="199"/>
      <c r="D1590" s="248"/>
      <c r="E1590" s="248"/>
      <c r="F1590" s="248"/>
      <c r="G1590" s="248"/>
      <c r="H1590" s="283"/>
      <c r="I1590" s="199"/>
      <c r="J1590" s="199"/>
      <c r="K1590" s="199"/>
      <c r="L1590" s="248"/>
      <c r="M1590" s="248"/>
      <c r="N1590" s="248"/>
      <c r="O1590" s="248"/>
    </row>
    <row r="1591">
      <c r="A1591" s="199"/>
      <c r="B1591" s="199"/>
      <c r="C1591" s="199"/>
      <c r="D1591" s="248"/>
      <c r="E1591" s="248"/>
      <c r="F1591" s="248"/>
      <c r="G1591" s="248"/>
      <c r="H1591" s="283"/>
      <c r="I1591" s="199"/>
      <c r="J1591" s="199"/>
      <c r="K1591" s="199"/>
      <c r="L1591" s="248"/>
      <c r="M1591" s="248"/>
      <c r="N1591" s="248"/>
      <c r="O1591" s="248"/>
    </row>
    <row r="1592">
      <c r="A1592" s="199"/>
      <c r="B1592" s="199"/>
      <c r="C1592" s="199"/>
      <c r="D1592" s="248"/>
      <c r="E1592" s="248"/>
      <c r="F1592" s="248"/>
      <c r="G1592" s="248"/>
      <c r="H1592" s="283"/>
      <c r="I1592" s="199"/>
      <c r="J1592" s="199"/>
      <c r="K1592" s="199"/>
      <c r="L1592" s="248"/>
      <c r="M1592" s="248"/>
      <c r="N1592" s="248"/>
      <c r="O1592" s="248"/>
    </row>
    <row r="1593">
      <c r="A1593" s="199"/>
      <c r="B1593" s="199"/>
      <c r="C1593" s="199"/>
      <c r="D1593" s="248"/>
      <c r="E1593" s="248"/>
      <c r="F1593" s="248"/>
      <c r="G1593" s="248"/>
      <c r="H1593" s="283"/>
      <c r="I1593" s="199"/>
      <c r="J1593" s="199"/>
      <c r="K1593" s="199"/>
      <c r="L1593" s="248"/>
      <c r="M1593" s="248"/>
      <c r="N1593" s="248"/>
      <c r="O1593" s="248"/>
    </row>
    <row r="1594">
      <c r="A1594" s="199"/>
      <c r="B1594" s="199"/>
      <c r="C1594" s="199"/>
      <c r="D1594" s="248"/>
      <c r="E1594" s="248"/>
      <c r="F1594" s="248"/>
      <c r="G1594" s="248"/>
      <c r="H1594" s="283"/>
      <c r="I1594" s="199"/>
      <c r="J1594" s="199"/>
      <c r="K1594" s="199"/>
      <c r="L1594" s="248"/>
      <c r="M1594" s="248"/>
      <c r="N1594" s="248"/>
      <c r="O1594" s="248"/>
    </row>
    <row r="1595">
      <c r="A1595" s="199"/>
      <c r="B1595" s="199"/>
      <c r="C1595" s="199"/>
      <c r="D1595" s="248"/>
      <c r="E1595" s="248"/>
      <c r="F1595" s="248"/>
      <c r="G1595" s="248"/>
      <c r="H1595" s="283"/>
      <c r="I1595" s="199"/>
      <c r="J1595" s="199"/>
      <c r="K1595" s="199"/>
      <c r="L1595" s="248"/>
      <c r="M1595" s="248"/>
      <c r="N1595" s="248"/>
      <c r="O1595" s="248"/>
    </row>
    <row r="1596">
      <c r="A1596" s="199"/>
      <c r="B1596" s="199"/>
      <c r="C1596" s="199"/>
      <c r="D1596" s="248"/>
      <c r="E1596" s="248"/>
      <c r="F1596" s="248"/>
      <c r="G1596" s="248"/>
      <c r="H1596" s="283"/>
      <c r="I1596" s="199"/>
      <c r="J1596" s="199"/>
      <c r="K1596" s="199"/>
      <c r="L1596" s="248"/>
      <c r="M1596" s="248"/>
      <c r="N1596" s="248"/>
      <c r="O1596" s="248"/>
    </row>
    <row r="1597">
      <c r="A1597" s="199"/>
      <c r="B1597" s="199"/>
      <c r="C1597" s="199"/>
      <c r="D1597" s="248"/>
      <c r="E1597" s="248"/>
      <c r="F1597" s="248"/>
      <c r="G1597" s="248"/>
      <c r="H1597" s="283"/>
      <c r="I1597" s="199"/>
      <c r="J1597" s="199"/>
      <c r="K1597" s="199"/>
      <c r="L1597" s="248"/>
      <c r="M1597" s="248"/>
      <c r="N1597" s="248"/>
      <c r="O1597" s="248"/>
    </row>
    <row r="1598">
      <c r="A1598" s="199"/>
      <c r="B1598" s="199"/>
      <c r="C1598" s="199"/>
      <c r="D1598" s="248"/>
      <c r="E1598" s="248"/>
      <c r="F1598" s="248"/>
      <c r="G1598" s="248"/>
      <c r="H1598" s="283"/>
      <c r="I1598" s="199"/>
      <c r="J1598" s="199"/>
      <c r="K1598" s="199"/>
      <c r="L1598" s="248"/>
      <c r="M1598" s="248"/>
      <c r="N1598" s="248"/>
      <c r="O1598" s="248"/>
    </row>
    <row r="1599">
      <c r="A1599" s="199"/>
      <c r="B1599" s="199"/>
      <c r="C1599" s="199"/>
      <c r="D1599" s="248"/>
      <c r="E1599" s="248"/>
      <c r="F1599" s="248"/>
      <c r="G1599" s="248"/>
      <c r="H1599" s="283"/>
      <c r="I1599" s="199"/>
      <c r="J1599" s="199"/>
      <c r="K1599" s="199"/>
      <c r="L1599" s="248"/>
      <c r="M1599" s="248"/>
      <c r="N1599" s="248"/>
      <c r="O1599" s="248"/>
    </row>
    <row r="1600">
      <c r="A1600" s="199"/>
      <c r="B1600" s="199"/>
      <c r="C1600" s="199"/>
      <c r="D1600" s="248"/>
      <c r="E1600" s="248"/>
      <c r="F1600" s="248"/>
      <c r="G1600" s="248"/>
      <c r="H1600" s="283"/>
      <c r="I1600" s="199"/>
      <c r="J1600" s="199"/>
      <c r="K1600" s="199"/>
      <c r="L1600" s="248"/>
      <c r="M1600" s="248"/>
      <c r="N1600" s="248"/>
      <c r="O1600" s="248"/>
    </row>
    <row r="1601">
      <c r="A1601" s="199"/>
      <c r="B1601" s="199"/>
      <c r="C1601" s="199"/>
      <c r="D1601" s="248"/>
      <c r="E1601" s="248"/>
      <c r="F1601" s="248"/>
      <c r="G1601" s="248"/>
      <c r="H1601" s="283"/>
      <c r="I1601" s="199"/>
      <c r="J1601" s="199"/>
      <c r="K1601" s="199"/>
      <c r="L1601" s="248"/>
      <c r="M1601" s="248"/>
      <c r="N1601" s="248"/>
      <c r="O1601" s="248"/>
    </row>
    <row r="1602">
      <c r="A1602" s="199"/>
      <c r="B1602" s="199"/>
      <c r="C1602" s="199"/>
      <c r="D1602" s="248"/>
      <c r="E1602" s="248"/>
      <c r="F1602" s="248"/>
      <c r="G1602" s="248"/>
      <c r="H1602" s="283"/>
      <c r="I1602" s="199"/>
      <c r="J1602" s="199"/>
      <c r="K1602" s="199"/>
      <c r="L1602" s="248"/>
      <c r="M1602" s="248"/>
      <c r="N1602" s="248"/>
      <c r="O1602" s="248"/>
    </row>
    <row r="1603">
      <c r="A1603" s="199"/>
      <c r="B1603" s="199"/>
      <c r="C1603" s="199"/>
      <c r="D1603" s="248"/>
      <c r="E1603" s="248"/>
      <c r="F1603" s="248"/>
      <c r="G1603" s="248"/>
      <c r="H1603" s="283"/>
      <c r="I1603" s="199"/>
      <c r="J1603" s="199"/>
      <c r="K1603" s="199"/>
      <c r="L1603" s="248"/>
      <c r="M1603" s="248"/>
      <c r="N1603" s="248"/>
      <c r="O1603" s="248"/>
    </row>
    <row r="1604">
      <c r="A1604" s="199"/>
      <c r="B1604" s="199"/>
      <c r="C1604" s="199"/>
      <c r="D1604" s="248"/>
      <c r="E1604" s="248"/>
      <c r="F1604" s="248"/>
      <c r="G1604" s="248"/>
      <c r="H1604" s="283"/>
      <c r="I1604" s="199"/>
      <c r="J1604" s="199"/>
      <c r="K1604" s="199"/>
      <c r="L1604" s="248"/>
      <c r="M1604" s="248"/>
      <c r="N1604" s="248"/>
      <c r="O1604" s="248"/>
    </row>
    <row r="1605">
      <c r="A1605" s="199"/>
      <c r="B1605" s="199"/>
      <c r="C1605" s="199"/>
      <c r="D1605" s="248"/>
      <c r="E1605" s="248"/>
      <c r="F1605" s="248"/>
      <c r="G1605" s="248"/>
      <c r="H1605" s="283"/>
      <c r="I1605" s="199"/>
      <c r="J1605" s="199"/>
      <c r="K1605" s="199"/>
      <c r="L1605" s="248"/>
      <c r="M1605" s="248"/>
      <c r="N1605" s="248"/>
      <c r="O1605" s="248"/>
    </row>
    <row r="1606">
      <c r="A1606" s="199"/>
      <c r="B1606" s="199"/>
      <c r="C1606" s="199"/>
      <c r="D1606" s="248"/>
      <c r="E1606" s="248"/>
      <c r="F1606" s="248"/>
      <c r="G1606" s="248"/>
      <c r="H1606" s="283"/>
      <c r="I1606" s="199"/>
      <c r="J1606" s="199"/>
      <c r="K1606" s="199"/>
      <c r="L1606" s="248"/>
      <c r="M1606" s="248"/>
      <c r="N1606" s="248"/>
      <c r="O1606" s="248"/>
    </row>
    <row r="1607">
      <c r="A1607" s="199"/>
      <c r="B1607" s="199"/>
      <c r="C1607" s="199"/>
      <c r="D1607" s="248"/>
      <c r="E1607" s="248"/>
      <c r="F1607" s="248"/>
      <c r="G1607" s="248"/>
      <c r="H1607" s="283"/>
      <c r="I1607" s="199"/>
      <c r="J1607" s="199"/>
      <c r="K1607" s="199"/>
      <c r="L1607" s="248"/>
      <c r="M1607" s="248"/>
      <c r="N1607" s="248"/>
      <c r="O1607" s="248"/>
    </row>
    <row r="1608">
      <c r="A1608" s="199"/>
      <c r="B1608" s="199"/>
      <c r="C1608" s="199"/>
      <c r="D1608" s="248"/>
      <c r="E1608" s="248"/>
      <c r="F1608" s="248"/>
      <c r="G1608" s="248"/>
      <c r="H1608" s="283"/>
      <c r="I1608" s="199"/>
      <c r="J1608" s="199"/>
      <c r="K1608" s="199"/>
      <c r="L1608" s="248"/>
      <c r="M1608" s="248"/>
      <c r="N1608" s="248"/>
      <c r="O1608" s="248"/>
    </row>
    <row r="1609">
      <c r="A1609" s="199"/>
      <c r="B1609" s="199"/>
      <c r="C1609" s="199"/>
      <c r="D1609" s="248"/>
      <c r="E1609" s="248"/>
      <c r="F1609" s="248"/>
      <c r="G1609" s="248"/>
      <c r="H1609" s="283"/>
      <c r="I1609" s="199"/>
      <c r="J1609" s="199"/>
      <c r="K1609" s="199"/>
      <c r="L1609" s="248"/>
      <c r="M1609" s="248"/>
      <c r="N1609" s="248"/>
      <c r="O1609" s="248"/>
    </row>
    <row r="1610">
      <c r="A1610" s="199"/>
      <c r="B1610" s="199"/>
      <c r="C1610" s="199"/>
      <c r="D1610" s="248"/>
      <c r="E1610" s="248"/>
      <c r="F1610" s="248"/>
      <c r="G1610" s="248"/>
      <c r="H1610" s="283"/>
      <c r="I1610" s="199"/>
      <c r="J1610" s="199"/>
      <c r="K1610" s="199"/>
      <c r="L1610" s="248"/>
      <c r="M1610" s="248"/>
      <c r="N1610" s="248"/>
      <c r="O1610" s="248"/>
    </row>
    <row r="1611">
      <c r="A1611" s="199"/>
      <c r="B1611" s="199"/>
      <c r="C1611" s="199"/>
      <c r="D1611" s="248"/>
      <c r="E1611" s="248"/>
      <c r="F1611" s="248"/>
      <c r="G1611" s="248"/>
      <c r="H1611" s="283"/>
      <c r="I1611" s="199"/>
      <c r="J1611" s="199"/>
      <c r="K1611" s="199"/>
      <c r="L1611" s="248"/>
      <c r="M1611" s="248"/>
      <c r="N1611" s="248"/>
      <c r="O1611" s="248"/>
    </row>
    <row r="1612">
      <c r="A1612" s="199"/>
      <c r="B1612" s="199"/>
      <c r="C1612" s="199"/>
      <c r="D1612" s="248"/>
      <c r="E1612" s="248"/>
      <c r="F1612" s="248"/>
      <c r="G1612" s="248"/>
      <c r="H1612" s="283"/>
      <c r="I1612" s="199"/>
      <c r="J1612" s="199"/>
      <c r="K1612" s="199"/>
      <c r="L1612" s="248"/>
      <c r="M1612" s="248"/>
      <c r="N1612" s="248"/>
      <c r="O1612" s="248"/>
    </row>
    <row r="1613">
      <c r="A1613" s="199"/>
      <c r="B1613" s="199"/>
      <c r="C1613" s="199"/>
      <c r="D1613" s="248"/>
      <c r="E1613" s="248"/>
      <c r="F1613" s="248"/>
      <c r="G1613" s="248"/>
      <c r="H1613" s="283"/>
      <c r="I1613" s="199"/>
      <c r="J1613" s="199"/>
      <c r="K1613" s="199"/>
      <c r="L1613" s="248"/>
      <c r="M1613" s="248"/>
      <c r="N1613" s="248"/>
      <c r="O1613" s="248"/>
    </row>
    <row r="1614">
      <c r="A1614" s="199"/>
      <c r="B1614" s="199"/>
      <c r="C1614" s="199"/>
      <c r="D1614" s="248"/>
      <c r="E1614" s="248"/>
      <c r="F1614" s="248"/>
      <c r="G1614" s="248"/>
      <c r="H1614" s="283"/>
      <c r="I1614" s="199"/>
      <c r="J1614" s="199"/>
      <c r="K1614" s="199"/>
      <c r="L1614" s="248"/>
      <c r="M1614" s="248"/>
      <c r="N1614" s="248"/>
      <c r="O1614" s="248"/>
    </row>
    <row r="1615">
      <c r="A1615" s="199"/>
      <c r="B1615" s="199"/>
      <c r="C1615" s="199"/>
      <c r="D1615" s="248"/>
      <c r="E1615" s="248"/>
      <c r="F1615" s="248"/>
      <c r="G1615" s="248"/>
      <c r="H1615" s="283"/>
      <c r="I1615" s="199"/>
      <c r="J1615" s="199"/>
      <c r="K1615" s="199"/>
      <c r="L1615" s="248"/>
      <c r="M1615" s="248"/>
      <c r="N1615" s="248"/>
      <c r="O1615" s="248"/>
    </row>
    <row r="1616">
      <c r="A1616" s="199"/>
      <c r="B1616" s="199"/>
      <c r="C1616" s="199"/>
      <c r="D1616" s="248"/>
      <c r="E1616" s="248"/>
      <c r="F1616" s="248"/>
      <c r="G1616" s="248"/>
      <c r="H1616" s="283"/>
      <c r="I1616" s="199"/>
      <c r="J1616" s="199"/>
      <c r="K1616" s="199"/>
      <c r="L1616" s="248"/>
      <c r="M1616" s="248"/>
      <c r="N1616" s="248"/>
      <c r="O1616" s="248"/>
    </row>
    <row r="1617">
      <c r="A1617" s="199"/>
      <c r="B1617" s="199"/>
      <c r="C1617" s="199"/>
      <c r="D1617" s="248"/>
      <c r="E1617" s="248"/>
      <c r="F1617" s="248"/>
      <c r="G1617" s="248"/>
      <c r="H1617" s="283"/>
      <c r="I1617" s="199"/>
      <c r="J1617" s="199"/>
      <c r="K1617" s="199"/>
      <c r="L1617" s="248"/>
      <c r="M1617" s="248"/>
      <c r="N1617" s="248"/>
      <c r="O1617" s="248"/>
    </row>
    <row r="1618">
      <c r="A1618" s="199"/>
      <c r="B1618" s="199"/>
      <c r="C1618" s="199"/>
      <c r="D1618" s="248"/>
      <c r="E1618" s="248"/>
      <c r="F1618" s="248"/>
      <c r="G1618" s="248"/>
      <c r="H1618" s="283"/>
      <c r="I1618" s="199"/>
      <c r="J1618" s="199"/>
      <c r="K1618" s="199"/>
      <c r="L1618" s="248"/>
      <c r="M1618" s="248"/>
      <c r="N1618" s="248"/>
      <c r="O1618" s="248"/>
    </row>
    <row r="1619">
      <c r="A1619" s="199"/>
      <c r="B1619" s="199"/>
      <c r="C1619" s="199"/>
      <c r="D1619" s="248"/>
      <c r="E1619" s="248"/>
      <c r="F1619" s="248"/>
      <c r="G1619" s="248"/>
      <c r="H1619" s="283"/>
      <c r="I1619" s="199"/>
      <c r="J1619" s="199"/>
      <c r="K1619" s="199"/>
      <c r="L1619" s="248"/>
      <c r="M1619" s="248"/>
      <c r="N1619" s="248"/>
      <c r="O1619" s="248"/>
    </row>
    <row r="1620">
      <c r="A1620" s="199"/>
      <c r="B1620" s="199"/>
      <c r="C1620" s="199"/>
      <c r="D1620" s="248"/>
      <c r="E1620" s="248"/>
      <c r="F1620" s="248"/>
      <c r="G1620" s="248"/>
      <c r="H1620" s="283"/>
      <c r="I1620" s="199"/>
      <c r="J1620" s="199"/>
      <c r="K1620" s="199"/>
      <c r="L1620" s="248"/>
      <c r="M1620" s="248"/>
      <c r="N1620" s="248"/>
      <c r="O1620" s="248"/>
    </row>
    <row r="1621">
      <c r="A1621" s="199"/>
      <c r="B1621" s="199"/>
      <c r="C1621" s="199"/>
      <c r="D1621" s="248"/>
      <c r="E1621" s="248"/>
      <c r="F1621" s="248"/>
      <c r="G1621" s="248"/>
      <c r="H1621" s="283"/>
      <c r="I1621" s="199"/>
      <c r="J1621" s="199"/>
      <c r="K1621" s="199"/>
      <c r="L1621" s="248"/>
      <c r="M1621" s="248"/>
      <c r="N1621" s="248"/>
      <c r="O1621" s="248"/>
    </row>
    <row r="1622">
      <c r="A1622" s="199"/>
      <c r="B1622" s="199"/>
      <c r="C1622" s="199"/>
      <c r="D1622" s="248"/>
      <c r="E1622" s="248"/>
      <c r="F1622" s="248"/>
      <c r="G1622" s="248"/>
      <c r="H1622" s="283"/>
      <c r="I1622" s="199"/>
      <c r="J1622" s="199"/>
      <c r="K1622" s="199"/>
      <c r="L1622" s="248"/>
      <c r="M1622" s="248"/>
      <c r="N1622" s="248"/>
      <c r="O1622" s="248"/>
    </row>
    <row r="1623">
      <c r="A1623" s="199"/>
      <c r="B1623" s="199"/>
      <c r="C1623" s="199"/>
      <c r="D1623" s="248"/>
      <c r="E1623" s="248"/>
      <c r="F1623" s="248"/>
      <c r="G1623" s="248"/>
      <c r="H1623" s="283"/>
      <c r="I1623" s="199"/>
      <c r="J1623" s="199"/>
      <c r="K1623" s="199"/>
      <c r="L1623" s="248"/>
      <c r="M1623" s="248"/>
      <c r="N1623" s="248"/>
      <c r="O1623" s="248"/>
    </row>
    <row r="1624">
      <c r="A1624" s="199"/>
      <c r="B1624" s="199"/>
      <c r="C1624" s="199"/>
      <c r="D1624" s="248"/>
      <c r="E1624" s="248"/>
      <c r="F1624" s="248"/>
      <c r="G1624" s="248"/>
      <c r="H1624" s="283"/>
      <c r="I1624" s="199"/>
      <c r="J1624" s="199"/>
      <c r="K1624" s="199"/>
      <c r="L1624" s="248"/>
      <c r="M1624" s="248"/>
      <c r="N1624" s="248"/>
      <c r="O1624" s="248"/>
    </row>
    <row r="1625">
      <c r="A1625" s="199"/>
      <c r="B1625" s="199"/>
      <c r="C1625" s="199"/>
      <c r="D1625" s="248"/>
      <c r="E1625" s="248"/>
      <c r="F1625" s="248"/>
      <c r="G1625" s="248"/>
      <c r="H1625" s="283"/>
      <c r="I1625" s="199"/>
      <c r="J1625" s="199"/>
      <c r="K1625" s="199"/>
      <c r="L1625" s="248"/>
      <c r="M1625" s="248"/>
      <c r="N1625" s="248"/>
      <c r="O1625" s="248"/>
    </row>
    <row r="1626">
      <c r="A1626" s="199"/>
      <c r="B1626" s="199"/>
      <c r="C1626" s="199"/>
      <c r="D1626" s="248"/>
      <c r="E1626" s="248"/>
      <c r="F1626" s="248"/>
      <c r="G1626" s="248"/>
      <c r="H1626" s="283"/>
      <c r="I1626" s="199"/>
      <c r="J1626" s="199"/>
      <c r="K1626" s="199"/>
      <c r="L1626" s="248"/>
      <c r="M1626" s="248"/>
      <c r="N1626" s="248"/>
      <c r="O1626" s="248"/>
    </row>
    <row r="1627">
      <c r="A1627" s="199"/>
      <c r="B1627" s="199"/>
      <c r="C1627" s="199"/>
      <c r="D1627" s="248"/>
      <c r="E1627" s="248"/>
      <c r="F1627" s="248"/>
      <c r="G1627" s="248"/>
      <c r="H1627" s="283"/>
      <c r="I1627" s="199"/>
      <c r="J1627" s="199"/>
      <c r="K1627" s="199"/>
      <c r="L1627" s="248"/>
      <c r="M1627" s="248"/>
      <c r="N1627" s="248"/>
      <c r="O1627" s="248"/>
    </row>
    <row r="1628">
      <c r="A1628" s="199"/>
      <c r="B1628" s="199"/>
      <c r="C1628" s="199"/>
      <c r="D1628" s="248"/>
      <c r="E1628" s="248"/>
      <c r="F1628" s="248"/>
      <c r="G1628" s="248"/>
      <c r="H1628" s="283"/>
      <c r="I1628" s="199"/>
      <c r="J1628" s="199"/>
      <c r="K1628" s="199"/>
      <c r="L1628" s="248"/>
      <c r="M1628" s="248"/>
      <c r="N1628" s="248"/>
      <c r="O1628" s="248"/>
    </row>
    <row r="1629">
      <c r="A1629" s="199"/>
      <c r="B1629" s="199"/>
      <c r="C1629" s="199"/>
      <c r="D1629" s="248"/>
      <c r="E1629" s="248"/>
      <c r="F1629" s="248"/>
      <c r="G1629" s="248"/>
      <c r="H1629" s="283"/>
      <c r="I1629" s="199"/>
      <c r="J1629" s="199"/>
      <c r="K1629" s="199"/>
      <c r="L1629" s="248"/>
      <c r="M1629" s="248"/>
      <c r="N1629" s="248"/>
      <c r="O1629" s="248"/>
    </row>
    <row r="1630">
      <c r="A1630" s="199"/>
      <c r="B1630" s="199"/>
      <c r="C1630" s="199"/>
      <c r="D1630" s="248"/>
      <c r="E1630" s="248"/>
      <c r="F1630" s="248"/>
      <c r="G1630" s="248"/>
      <c r="H1630" s="283"/>
      <c r="I1630" s="199"/>
      <c r="J1630" s="199"/>
      <c r="K1630" s="199"/>
      <c r="L1630" s="248"/>
      <c r="M1630" s="248"/>
      <c r="N1630" s="248"/>
      <c r="O1630" s="248"/>
    </row>
    <row r="1631">
      <c r="A1631" s="199"/>
      <c r="B1631" s="199"/>
      <c r="C1631" s="199"/>
      <c r="D1631" s="248"/>
      <c r="E1631" s="248"/>
      <c r="F1631" s="248"/>
      <c r="G1631" s="248"/>
      <c r="H1631" s="283"/>
      <c r="I1631" s="199"/>
      <c r="J1631" s="199"/>
      <c r="K1631" s="199"/>
      <c r="L1631" s="248"/>
      <c r="M1631" s="248"/>
      <c r="N1631" s="248"/>
      <c r="O1631" s="248"/>
    </row>
    <row r="1632">
      <c r="A1632" s="199"/>
      <c r="B1632" s="199"/>
      <c r="C1632" s="199"/>
      <c r="D1632" s="248"/>
      <c r="E1632" s="248"/>
      <c r="F1632" s="248"/>
      <c r="G1632" s="248"/>
      <c r="H1632" s="283"/>
      <c r="I1632" s="199"/>
      <c r="J1632" s="199"/>
      <c r="K1632" s="199"/>
      <c r="L1632" s="248"/>
      <c r="M1632" s="248"/>
      <c r="N1632" s="248"/>
      <c r="O1632" s="248"/>
    </row>
    <row r="1633">
      <c r="A1633" s="199"/>
      <c r="B1633" s="199"/>
      <c r="C1633" s="199"/>
      <c r="D1633" s="248"/>
      <c r="E1633" s="248"/>
      <c r="F1633" s="248"/>
      <c r="G1633" s="248"/>
      <c r="H1633" s="283"/>
      <c r="I1633" s="199"/>
      <c r="J1633" s="199"/>
      <c r="K1633" s="199"/>
      <c r="L1633" s="248"/>
      <c r="M1633" s="248"/>
      <c r="N1633" s="248"/>
      <c r="O1633" s="248"/>
    </row>
    <row r="1634">
      <c r="A1634" s="199"/>
      <c r="B1634" s="199"/>
      <c r="C1634" s="199"/>
      <c r="D1634" s="248"/>
      <c r="E1634" s="248"/>
      <c r="F1634" s="248"/>
      <c r="G1634" s="248"/>
      <c r="H1634" s="283"/>
      <c r="I1634" s="199"/>
      <c r="J1634" s="199"/>
      <c r="K1634" s="199"/>
      <c r="L1634" s="248"/>
      <c r="M1634" s="248"/>
      <c r="N1634" s="248"/>
      <c r="O1634" s="248"/>
    </row>
    <row r="1635">
      <c r="A1635" s="199"/>
      <c r="B1635" s="199"/>
      <c r="C1635" s="199"/>
      <c r="D1635" s="248"/>
      <c r="E1635" s="248"/>
      <c r="F1635" s="248"/>
      <c r="G1635" s="248"/>
      <c r="H1635" s="283"/>
      <c r="I1635" s="199"/>
      <c r="J1635" s="199"/>
      <c r="K1635" s="199"/>
      <c r="L1635" s="248"/>
      <c r="M1635" s="248"/>
      <c r="N1635" s="248"/>
      <c r="O1635" s="248"/>
    </row>
    <row r="1636">
      <c r="A1636" s="199"/>
      <c r="B1636" s="199"/>
      <c r="C1636" s="199"/>
      <c r="D1636" s="248"/>
      <c r="E1636" s="248"/>
      <c r="F1636" s="248"/>
      <c r="G1636" s="248"/>
      <c r="H1636" s="283"/>
      <c r="I1636" s="199"/>
      <c r="J1636" s="199"/>
      <c r="K1636" s="199"/>
      <c r="L1636" s="248"/>
      <c r="M1636" s="248"/>
      <c r="N1636" s="248"/>
      <c r="O1636" s="248"/>
    </row>
    <row r="1637">
      <c r="A1637" s="199"/>
      <c r="B1637" s="199"/>
      <c r="C1637" s="199"/>
      <c r="D1637" s="248"/>
      <c r="E1637" s="248"/>
      <c r="F1637" s="248"/>
      <c r="G1637" s="248"/>
      <c r="H1637" s="283"/>
      <c r="I1637" s="199"/>
      <c r="J1637" s="199"/>
      <c r="K1637" s="199"/>
      <c r="L1637" s="248"/>
      <c r="M1637" s="248"/>
      <c r="N1637" s="248"/>
      <c r="O1637" s="248"/>
    </row>
    <row r="1638">
      <c r="A1638" s="199"/>
      <c r="B1638" s="199"/>
      <c r="C1638" s="199"/>
      <c r="D1638" s="248"/>
      <c r="E1638" s="248"/>
      <c r="F1638" s="248"/>
      <c r="G1638" s="248"/>
      <c r="H1638" s="283"/>
      <c r="I1638" s="199"/>
      <c r="J1638" s="199"/>
      <c r="K1638" s="199"/>
      <c r="L1638" s="248"/>
      <c r="M1638" s="248"/>
      <c r="N1638" s="248"/>
      <c r="O1638" s="248"/>
    </row>
    <row r="1639">
      <c r="A1639" s="199"/>
      <c r="B1639" s="199"/>
      <c r="C1639" s="199"/>
      <c r="D1639" s="248"/>
      <c r="E1639" s="248"/>
      <c r="F1639" s="248"/>
      <c r="G1639" s="248"/>
      <c r="H1639" s="283"/>
      <c r="I1639" s="199"/>
      <c r="J1639" s="199"/>
      <c r="K1639" s="199"/>
      <c r="L1639" s="248"/>
      <c r="M1639" s="248"/>
      <c r="N1639" s="248"/>
      <c r="O1639" s="248"/>
    </row>
    <row r="1640">
      <c r="A1640" s="199"/>
      <c r="B1640" s="199"/>
      <c r="C1640" s="199"/>
      <c r="D1640" s="248"/>
      <c r="E1640" s="248"/>
      <c r="F1640" s="248"/>
      <c r="G1640" s="248"/>
      <c r="H1640" s="283"/>
      <c r="I1640" s="199"/>
      <c r="J1640" s="199"/>
      <c r="K1640" s="199"/>
      <c r="L1640" s="248"/>
      <c r="M1640" s="248"/>
      <c r="N1640" s="248"/>
      <c r="O1640" s="248"/>
    </row>
    <row r="1641">
      <c r="A1641" s="199"/>
      <c r="B1641" s="199"/>
      <c r="C1641" s="199"/>
      <c r="D1641" s="248"/>
      <c r="E1641" s="248"/>
      <c r="F1641" s="248"/>
      <c r="G1641" s="248"/>
      <c r="H1641" s="283"/>
      <c r="I1641" s="199"/>
      <c r="J1641" s="199"/>
      <c r="K1641" s="199"/>
      <c r="L1641" s="248"/>
      <c r="M1641" s="248"/>
      <c r="N1641" s="248"/>
      <c r="O1641" s="248"/>
    </row>
    <row r="1642">
      <c r="A1642" s="199"/>
      <c r="B1642" s="199"/>
      <c r="C1642" s="199"/>
      <c r="D1642" s="248"/>
      <c r="E1642" s="248"/>
      <c r="F1642" s="248"/>
      <c r="G1642" s="248"/>
      <c r="H1642" s="283"/>
      <c r="I1642" s="199"/>
      <c r="J1642" s="199"/>
      <c r="K1642" s="199"/>
      <c r="L1642" s="248"/>
      <c r="M1642" s="248"/>
      <c r="N1642" s="248"/>
      <c r="O1642" s="248"/>
    </row>
    <row r="1643">
      <c r="A1643" s="199"/>
      <c r="B1643" s="199"/>
      <c r="C1643" s="199"/>
      <c r="D1643" s="248"/>
      <c r="E1643" s="248"/>
      <c r="F1643" s="248"/>
      <c r="G1643" s="248"/>
      <c r="H1643" s="283"/>
      <c r="I1643" s="199"/>
      <c r="J1643" s="199"/>
      <c r="K1643" s="199"/>
      <c r="L1643" s="248"/>
      <c r="M1643" s="248"/>
      <c r="N1643" s="248"/>
      <c r="O1643" s="248"/>
    </row>
    <row r="1644">
      <c r="A1644" s="199"/>
      <c r="B1644" s="199"/>
      <c r="C1644" s="199"/>
      <c r="D1644" s="248"/>
      <c r="E1644" s="248"/>
      <c r="F1644" s="248"/>
      <c r="G1644" s="248"/>
      <c r="H1644" s="283"/>
      <c r="I1644" s="199"/>
      <c r="J1644" s="199"/>
      <c r="K1644" s="199"/>
      <c r="L1644" s="248"/>
      <c r="M1644" s="248"/>
      <c r="N1644" s="248"/>
      <c r="O1644" s="248"/>
    </row>
    <row r="1645">
      <c r="A1645" s="199"/>
      <c r="B1645" s="199"/>
      <c r="C1645" s="199"/>
      <c r="D1645" s="248"/>
      <c r="E1645" s="248"/>
      <c r="F1645" s="248"/>
      <c r="G1645" s="248"/>
      <c r="H1645" s="283"/>
      <c r="I1645" s="199"/>
      <c r="J1645" s="199"/>
      <c r="K1645" s="199"/>
      <c r="L1645" s="248"/>
      <c r="M1645" s="248"/>
      <c r="N1645" s="248"/>
      <c r="O1645" s="248"/>
    </row>
    <row r="1646">
      <c r="A1646" s="199"/>
      <c r="B1646" s="199"/>
      <c r="C1646" s="199"/>
      <c r="D1646" s="248"/>
      <c r="E1646" s="248"/>
      <c r="F1646" s="248"/>
      <c r="G1646" s="248"/>
      <c r="H1646" s="283"/>
      <c r="I1646" s="199"/>
      <c r="J1646" s="199"/>
      <c r="K1646" s="199"/>
      <c r="L1646" s="248"/>
      <c r="M1646" s="248"/>
      <c r="N1646" s="248"/>
      <c r="O1646" s="248"/>
    </row>
    <row r="1647">
      <c r="A1647" s="199"/>
      <c r="B1647" s="199"/>
      <c r="C1647" s="199"/>
      <c r="D1647" s="248"/>
      <c r="E1647" s="248"/>
      <c r="F1647" s="248"/>
      <c r="G1647" s="248"/>
      <c r="H1647" s="283"/>
      <c r="I1647" s="199"/>
      <c r="J1647" s="199"/>
      <c r="K1647" s="199"/>
      <c r="L1647" s="248"/>
      <c r="M1647" s="248"/>
      <c r="N1647" s="248"/>
      <c r="O1647" s="248"/>
    </row>
    <row r="1648">
      <c r="A1648" s="199"/>
      <c r="B1648" s="199"/>
      <c r="C1648" s="199"/>
      <c r="D1648" s="248"/>
      <c r="E1648" s="248"/>
      <c r="F1648" s="248"/>
      <c r="G1648" s="248"/>
      <c r="H1648" s="283"/>
      <c r="I1648" s="199"/>
      <c r="J1648" s="199"/>
      <c r="K1648" s="199"/>
      <c r="L1648" s="248"/>
      <c r="M1648" s="248"/>
      <c r="N1648" s="248"/>
      <c r="O1648" s="248"/>
    </row>
    <row r="1649">
      <c r="A1649" s="199"/>
      <c r="B1649" s="199"/>
      <c r="C1649" s="199"/>
      <c r="D1649" s="248"/>
      <c r="E1649" s="248"/>
      <c r="F1649" s="248"/>
      <c r="G1649" s="248"/>
      <c r="H1649" s="283"/>
      <c r="I1649" s="199"/>
      <c r="J1649" s="199"/>
      <c r="K1649" s="199"/>
      <c r="L1649" s="248"/>
      <c r="M1649" s="248"/>
      <c r="N1649" s="248"/>
      <c r="O1649" s="248"/>
    </row>
    <row r="1650">
      <c r="A1650" s="199"/>
      <c r="B1650" s="199"/>
      <c r="C1650" s="199"/>
      <c r="D1650" s="248"/>
      <c r="E1650" s="248"/>
      <c r="F1650" s="248"/>
      <c r="G1650" s="248"/>
      <c r="H1650" s="283"/>
      <c r="I1650" s="199"/>
      <c r="J1650" s="199"/>
      <c r="K1650" s="199"/>
      <c r="L1650" s="248"/>
      <c r="M1650" s="248"/>
      <c r="N1650" s="248"/>
      <c r="O1650" s="248"/>
    </row>
    <row r="1651">
      <c r="A1651" s="199"/>
      <c r="B1651" s="199"/>
      <c r="C1651" s="199"/>
      <c r="D1651" s="248"/>
      <c r="E1651" s="248"/>
      <c r="F1651" s="248"/>
      <c r="G1651" s="248"/>
      <c r="H1651" s="283"/>
      <c r="I1651" s="199"/>
      <c r="J1651" s="199"/>
      <c r="K1651" s="199"/>
      <c r="L1651" s="248"/>
      <c r="M1651" s="248"/>
      <c r="N1651" s="248"/>
      <c r="O1651" s="248"/>
    </row>
    <row r="1652">
      <c r="A1652" s="199"/>
      <c r="B1652" s="199"/>
      <c r="C1652" s="199"/>
      <c r="D1652" s="248"/>
      <c r="E1652" s="248"/>
      <c r="F1652" s="248"/>
      <c r="G1652" s="248"/>
      <c r="H1652" s="283"/>
      <c r="I1652" s="199"/>
      <c r="J1652" s="199"/>
      <c r="K1652" s="199"/>
      <c r="L1652" s="248"/>
      <c r="M1652" s="248"/>
      <c r="N1652" s="248"/>
      <c r="O1652" s="248"/>
    </row>
    <row r="1653">
      <c r="A1653" s="199"/>
      <c r="B1653" s="199"/>
      <c r="C1653" s="199"/>
      <c r="D1653" s="248"/>
      <c r="E1653" s="248"/>
      <c r="F1653" s="248"/>
      <c r="G1653" s="248"/>
      <c r="H1653" s="283"/>
      <c r="I1653" s="199"/>
      <c r="J1653" s="199"/>
      <c r="K1653" s="199"/>
      <c r="L1653" s="248"/>
      <c r="M1653" s="248"/>
      <c r="N1653" s="248"/>
      <c r="O1653" s="248"/>
    </row>
    <row r="1654">
      <c r="A1654" s="199"/>
      <c r="B1654" s="199"/>
      <c r="C1654" s="199"/>
      <c r="D1654" s="248"/>
      <c r="E1654" s="248"/>
      <c r="F1654" s="248"/>
      <c r="G1654" s="248"/>
      <c r="H1654" s="283"/>
      <c r="I1654" s="199"/>
      <c r="J1654" s="199"/>
      <c r="K1654" s="199"/>
      <c r="L1654" s="248"/>
      <c r="M1654" s="248"/>
      <c r="N1654" s="248"/>
      <c r="O1654" s="248"/>
    </row>
    <row r="1655">
      <c r="A1655" s="199"/>
      <c r="B1655" s="199"/>
      <c r="C1655" s="199"/>
      <c r="D1655" s="248"/>
      <c r="E1655" s="248"/>
      <c r="F1655" s="248"/>
      <c r="G1655" s="248"/>
      <c r="H1655" s="283"/>
      <c r="I1655" s="199"/>
      <c r="J1655" s="199"/>
      <c r="K1655" s="199"/>
      <c r="L1655" s="248"/>
      <c r="M1655" s="248"/>
      <c r="N1655" s="248"/>
      <c r="O1655" s="248"/>
    </row>
    <row r="1656">
      <c r="A1656" s="199"/>
      <c r="B1656" s="199"/>
      <c r="C1656" s="199"/>
      <c r="D1656" s="248"/>
      <c r="E1656" s="248"/>
      <c r="F1656" s="248"/>
      <c r="G1656" s="248"/>
      <c r="H1656" s="283"/>
      <c r="I1656" s="199"/>
      <c r="J1656" s="199"/>
      <c r="K1656" s="199"/>
      <c r="L1656" s="248"/>
      <c r="M1656" s="248"/>
      <c r="N1656" s="248"/>
      <c r="O1656" s="248"/>
    </row>
    <row r="1657">
      <c r="A1657" s="199"/>
      <c r="B1657" s="199"/>
      <c r="C1657" s="199"/>
      <c r="D1657" s="248"/>
      <c r="E1657" s="248"/>
      <c r="F1657" s="248"/>
      <c r="G1657" s="248"/>
      <c r="H1657" s="283"/>
      <c r="I1657" s="199"/>
      <c r="J1657" s="199"/>
      <c r="K1657" s="199"/>
      <c r="L1657" s="248"/>
      <c r="M1657" s="248"/>
      <c r="N1657" s="248"/>
      <c r="O1657" s="248"/>
    </row>
    <row r="1658">
      <c r="A1658" s="199"/>
      <c r="B1658" s="199"/>
      <c r="C1658" s="199"/>
      <c r="D1658" s="248"/>
      <c r="E1658" s="248"/>
      <c r="F1658" s="248"/>
      <c r="G1658" s="248"/>
      <c r="H1658" s="283"/>
      <c r="I1658" s="199"/>
      <c r="J1658" s="199"/>
      <c r="K1658" s="199"/>
      <c r="L1658" s="248"/>
      <c r="M1658" s="248"/>
      <c r="N1658" s="248"/>
      <c r="O1658" s="248"/>
    </row>
    <row r="1659">
      <c r="A1659" s="199"/>
      <c r="B1659" s="199"/>
      <c r="C1659" s="199"/>
      <c r="D1659" s="248"/>
      <c r="E1659" s="248"/>
      <c r="F1659" s="248"/>
      <c r="G1659" s="248"/>
      <c r="H1659" s="283"/>
      <c r="I1659" s="199"/>
      <c r="J1659" s="199"/>
      <c r="K1659" s="199"/>
      <c r="L1659" s="248"/>
      <c r="M1659" s="248"/>
      <c r="N1659" s="248"/>
      <c r="O1659" s="248"/>
    </row>
    <row r="1660">
      <c r="A1660" s="199"/>
      <c r="B1660" s="199"/>
      <c r="C1660" s="199"/>
      <c r="D1660" s="248"/>
      <c r="E1660" s="248"/>
      <c r="F1660" s="248"/>
      <c r="G1660" s="248"/>
      <c r="H1660" s="283"/>
      <c r="I1660" s="199"/>
      <c r="J1660" s="199"/>
      <c r="K1660" s="199"/>
      <c r="L1660" s="248"/>
      <c r="M1660" s="248"/>
      <c r="N1660" s="248"/>
      <c r="O1660" s="248"/>
    </row>
    <row r="1661">
      <c r="A1661" s="199"/>
      <c r="B1661" s="199"/>
      <c r="C1661" s="199"/>
      <c r="D1661" s="248"/>
      <c r="E1661" s="248"/>
      <c r="F1661" s="248"/>
      <c r="G1661" s="248"/>
      <c r="H1661" s="283"/>
      <c r="I1661" s="199"/>
      <c r="J1661" s="199"/>
      <c r="K1661" s="199"/>
      <c r="L1661" s="248"/>
      <c r="M1661" s="248"/>
      <c r="N1661" s="248"/>
      <c r="O1661" s="248"/>
    </row>
    <row r="1662">
      <c r="A1662" s="199"/>
      <c r="B1662" s="199"/>
      <c r="C1662" s="199"/>
      <c r="D1662" s="248"/>
      <c r="E1662" s="248"/>
      <c r="F1662" s="248"/>
      <c r="G1662" s="248"/>
      <c r="H1662" s="283"/>
      <c r="I1662" s="199"/>
      <c r="J1662" s="199"/>
      <c r="K1662" s="199"/>
      <c r="L1662" s="248"/>
      <c r="M1662" s="248"/>
      <c r="N1662" s="248"/>
      <c r="O1662" s="248"/>
    </row>
    <row r="1663">
      <c r="A1663" s="199"/>
      <c r="B1663" s="199"/>
      <c r="C1663" s="199"/>
      <c r="D1663" s="248"/>
      <c r="E1663" s="248"/>
      <c r="F1663" s="248"/>
      <c r="G1663" s="248"/>
      <c r="H1663" s="283"/>
      <c r="I1663" s="199"/>
      <c r="J1663" s="199"/>
      <c r="K1663" s="199"/>
      <c r="L1663" s="248"/>
      <c r="M1663" s="248"/>
      <c r="N1663" s="248"/>
      <c r="O1663" s="248"/>
    </row>
    <row r="1664">
      <c r="A1664" s="199"/>
      <c r="B1664" s="199"/>
      <c r="C1664" s="199"/>
      <c r="D1664" s="248"/>
      <c r="E1664" s="248"/>
      <c r="F1664" s="248"/>
      <c r="G1664" s="248"/>
      <c r="H1664" s="283"/>
      <c r="I1664" s="199"/>
      <c r="J1664" s="199"/>
      <c r="K1664" s="199"/>
      <c r="L1664" s="248"/>
      <c r="M1664" s="248"/>
      <c r="N1664" s="248"/>
      <c r="O1664" s="248"/>
    </row>
    <row r="1665">
      <c r="A1665" s="199"/>
      <c r="B1665" s="199"/>
      <c r="C1665" s="199"/>
      <c r="D1665" s="248"/>
      <c r="E1665" s="248"/>
      <c r="F1665" s="248"/>
      <c r="G1665" s="248"/>
      <c r="H1665" s="283"/>
      <c r="I1665" s="199"/>
      <c r="J1665" s="199"/>
      <c r="K1665" s="199"/>
      <c r="L1665" s="248"/>
      <c r="M1665" s="248"/>
      <c r="N1665" s="248"/>
      <c r="O1665" s="248"/>
    </row>
    <row r="1666">
      <c r="A1666" s="199"/>
      <c r="B1666" s="199"/>
      <c r="C1666" s="199"/>
      <c r="D1666" s="248"/>
      <c r="E1666" s="248"/>
      <c r="F1666" s="248"/>
      <c r="G1666" s="248"/>
      <c r="H1666" s="283"/>
      <c r="I1666" s="199"/>
      <c r="J1666" s="199"/>
      <c r="K1666" s="199"/>
      <c r="L1666" s="248"/>
      <c r="M1666" s="248"/>
      <c r="N1666" s="248"/>
      <c r="O1666" s="248"/>
    </row>
    <row r="1667">
      <c r="A1667" s="199"/>
      <c r="B1667" s="199"/>
      <c r="C1667" s="199"/>
      <c r="D1667" s="248"/>
      <c r="E1667" s="248"/>
      <c r="F1667" s="248"/>
      <c r="G1667" s="248"/>
      <c r="H1667" s="283"/>
      <c r="I1667" s="199"/>
      <c r="J1667" s="199"/>
      <c r="K1667" s="199"/>
      <c r="L1667" s="248"/>
      <c r="M1667" s="248"/>
      <c r="N1667" s="248"/>
      <c r="O1667" s="248"/>
    </row>
    <row r="1668">
      <c r="A1668" s="199"/>
      <c r="B1668" s="199"/>
      <c r="C1668" s="199"/>
      <c r="D1668" s="248"/>
      <c r="E1668" s="248"/>
      <c r="F1668" s="248"/>
      <c r="G1668" s="248"/>
      <c r="H1668" s="283"/>
      <c r="I1668" s="199"/>
      <c r="J1668" s="199"/>
      <c r="K1668" s="199"/>
      <c r="L1668" s="248"/>
      <c r="M1668" s="248"/>
      <c r="N1668" s="248"/>
      <c r="O1668" s="248"/>
    </row>
    <row r="1669">
      <c r="A1669" s="199"/>
      <c r="B1669" s="199"/>
      <c r="C1669" s="199"/>
      <c r="D1669" s="248"/>
      <c r="E1669" s="248"/>
      <c r="F1669" s="248"/>
      <c r="G1669" s="248"/>
      <c r="H1669" s="283"/>
      <c r="I1669" s="199"/>
      <c r="J1669" s="199"/>
      <c r="K1669" s="199"/>
      <c r="L1669" s="248"/>
      <c r="M1669" s="248"/>
      <c r="N1669" s="248"/>
      <c r="O1669" s="248"/>
    </row>
    <row r="1670">
      <c r="A1670" s="199"/>
      <c r="B1670" s="199"/>
      <c r="C1670" s="199"/>
      <c r="D1670" s="248"/>
      <c r="E1670" s="248"/>
      <c r="F1670" s="248"/>
      <c r="G1670" s="248"/>
      <c r="H1670" s="283"/>
      <c r="I1670" s="199"/>
      <c r="J1670" s="199"/>
      <c r="K1670" s="199"/>
      <c r="L1670" s="248"/>
      <c r="M1670" s="248"/>
      <c r="N1670" s="248"/>
      <c r="O1670" s="248"/>
    </row>
    <row r="1671">
      <c r="A1671" s="199"/>
      <c r="B1671" s="199"/>
      <c r="C1671" s="199"/>
      <c r="D1671" s="248"/>
      <c r="E1671" s="248"/>
      <c r="F1671" s="248"/>
      <c r="G1671" s="248"/>
      <c r="H1671" s="283"/>
      <c r="I1671" s="199"/>
      <c r="J1671" s="199"/>
      <c r="K1671" s="199"/>
      <c r="L1671" s="248"/>
      <c r="M1671" s="248"/>
      <c r="N1671" s="248"/>
      <c r="O1671" s="248"/>
    </row>
    <row r="1672">
      <c r="A1672" s="199"/>
      <c r="B1672" s="199"/>
      <c r="C1672" s="199"/>
      <c r="D1672" s="248"/>
      <c r="E1672" s="248"/>
      <c r="F1672" s="248"/>
      <c r="G1672" s="248"/>
      <c r="H1672" s="283"/>
      <c r="I1672" s="199"/>
      <c r="J1672" s="199"/>
      <c r="K1672" s="199"/>
      <c r="L1672" s="248"/>
      <c r="M1672" s="248"/>
      <c r="N1672" s="248"/>
      <c r="O1672" s="248"/>
    </row>
    <row r="1673">
      <c r="A1673" s="199"/>
      <c r="B1673" s="199"/>
      <c r="C1673" s="199"/>
      <c r="D1673" s="248"/>
      <c r="E1673" s="248"/>
      <c r="F1673" s="248"/>
      <c r="G1673" s="248"/>
      <c r="H1673" s="283"/>
      <c r="I1673" s="199"/>
      <c r="J1673" s="199"/>
      <c r="K1673" s="199"/>
      <c r="L1673" s="248"/>
      <c r="M1673" s="248"/>
      <c r="N1673" s="248"/>
      <c r="O1673" s="248"/>
    </row>
    <row r="1674">
      <c r="A1674" s="199"/>
      <c r="B1674" s="199"/>
      <c r="C1674" s="199"/>
      <c r="D1674" s="248"/>
      <c r="E1674" s="248"/>
      <c r="F1674" s="248"/>
      <c r="G1674" s="248"/>
      <c r="H1674" s="283"/>
      <c r="I1674" s="199"/>
      <c r="J1674" s="199"/>
      <c r="K1674" s="199"/>
      <c r="L1674" s="248"/>
      <c r="M1674" s="248"/>
      <c r="N1674" s="248"/>
      <c r="O1674" s="248"/>
    </row>
    <row r="1675">
      <c r="A1675" s="199"/>
      <c r="B1675" s="199"/>
      <c r="C1675" s="199"/>
      <c r="D1675" s="248"/>
      <c r="E1675" s="248"/>
      <c r="F1675" s="248"/>
      <c r="G1675" s="248"/>
      <c r="H1675" s="283"/>
      <c r="I1675" s="199"/>
      <c r="J1675" s="199"/>
      <c r="K1675" s="199"/>
      <c r="L1675" s="248"/>
      <c r="M1675" s="248"/>
      <c r="N1675" s="248"/>
      <c r="O1675" s="248"/>
    </row>
    <row r="1676">
      <c r="A1676" s="199"/>
      <c r="B1676" s="199"/>
      <c r="C1676" s="199"/>
      <c r="D1676" s="248"/>
      <c r="E1676" s="248"/>
      <c r="F1676" s="248"/>
      <c r="G1676" s="248"/>
      <c r="H1676" s="283"/>
      <c r="I1676" s="199"/>
      <c r="J1676" s="199"/>
      <c r="K1676" s="199"/>
      <c r="L1676" s="248"/>
      <c r="M1676" s="248"/>
      <c r="N1676" s="248"/>
      <c r="O1676" s="248"/>
    </row>
    <row r="1677">
      <c r="A1677" s="199"/>
      <c r="B1677" s="199"/>
      <c r="C1677" s="199"/>
      <c r="D1677" s="248"/>
      <c r="E1677" s="248"/>
      <c r="F1677" s="248"/>
      <c r="G1677" s="248"/>
      <c r="H1677" s="283"/>
      <c r="I1677" s="199"/>
      <c r="J1677" s="199"/>
      <c r="K1677" s="199"/>
      <c r="L1677" s="248"/>
      <c r="M1677" s="248"/>
      <c r="N1677" s="248"/>
      <c r="O1677" s="248"/>
    </row>
    <row r="1678">
      <c r="A1678" s="199"/>
      <c r="B1678" s="199"/>
      <c r="C1678" s="199"/>
      <c r="D1678" s="248"/>
      <c r="E1678" s="248"/>
      <c r="F1678" s="248"/>
      <c r="G1678" s="248"/>
      <c r="H1678" s="283"/>
      <c r="I1678" s="199"/>
      <c r="J1678" s="199"/>
      <c r="K1678" s="199"/>
      <c r="L1678" s="248"/>
      <c r="M1678" s="248"/>
      <c r="N1678" s="248"/>
      <c r="O1678" s="248"/>
    </row>
    <row r="1679">
      <c r="A1679" s="199"/>
      <c r="B1679" s="199"/>
      <c r="C1679" s="199"/>
      <c r="D1679" s="248"/>
      <c r="E1679" s="248"/>
      <c r="F1679" s="248"/>
      <c r="G1679" s="248"/>
      <c r="H1679" s="283"/>
      <c r="I1679" s="199"/>
      <c r="J1679" s="199"/>
      <c r="K1679" s="199"/>
      <c r="L1679" s="248"/>
      <c r="M1679" s="248"/>
      <c r="N1679" s="248"/>
      <c r="O1679" s="248"/>
    </row>
    <row r="1680">
      <c r="A1680" s="199"/>
      <c r="B1680" s="199"/>
      <c r="C1680" s="199"/>
      <c r="D1680" s="248"/>
      <c r="E1680" s="248"/>
      <c r="F1680" s="248"/>
      <c r="G1680" s="248"/>
      <c r="H1680" s="283"/>
      <c r="I1680" s="199"/>
      <c r="J1680" s="199"/>
      <c r="K1680" s="199"/>
      <c r="L1680" s="248"/>
      <c r="M1680" s="248"/>
      <c r="N1680" s="248"/>
      <c r="O1680" s="248"/>
    </row>
    <row r="1681">
      <c r="A1681" s="199"/>
      <c r="B1681" s="199"/>
      <c r="C1681" s="199"/>
      <c r="D1681" s="248"/>
      <c r="E1681" s="248"/>
      <c r="F1681" s="248"/>
      <c r="G1681" s="248"/>
      <c r="H1681" s="283"/>
      <c r="I1681" s="199"/>
      <c r="J1681" s="199"/>
      <c r="K1681" s="199"/>
      <c r="L1681" s="248"/>
      <c r="M1681" s="248"/>
      <c r="N1681" s="248"/>
      <c r="O1681" s="248"/>
    </row>
    <row r="1682">
      <c r="A1682" s="199"/>
      <c r="B1682" s="199"/>
      <c r="C1682" s="199"/>
      <c r="D1682" s="248"/>
      <c r="E1682" s="248"/>
      <c r="F1682" s="248"/>
      <c r="G1682" s="248"/>
      <c r="H1682" s="283"/>
      <c r="I1682" s="199"/>
      <c r="J1682" s="199"/>
      <c r="K1682" s="199"/>
      <c r="L1682" s="248"/>
      <c r="M1682" s="248"/>
      <c r="N1682" s="248"/>
      <c r="O1682" s="248"/>
    </row>
    <row r="1683">
      <c r="A1683" s="199"/>
      <c r="B1683" s="199"/>
      <c r="C1683" s="199"/>
      <c r="D1683" s="248"/>
      <c r="E1683" s="248"/>
      <c r="F1683" s="248"/>
      <c r="G1683" s="248"/>
      <c r="H1683" s="283"/>
      <c r="I1683" s="199"/>
      <c r="J1683" s="199"/>
      <c r="K1683" s="199"/>
      <c r="L1683" s="248"/>
      <c r="M1683" s="248"/>
      <c r="N1683" s="248"/>
      <c r="O1683" s="248"/>
    </row>
    <row r="1684">
      <c r="A1684" s="199"/>
      <c r="B1684" s="199"/>
      <c r="C1684" s="199"/>
      <c r="D1684" s="248"/>
      <c r="E1684" s="248"/>
      <c r="F1684" s="248"/>
      <c r="G1684" s="248"/>
      <c r="H1684" s="283"/>
      <c r="I1684" s="199"/>
      <c r="J1684" s="199"/>
      <c r="K1684" s="199"/>
      <c r="L1684" s="248"/>
      <c r="M1684" s="248"/>
      <c r="N1684" s="248"/>
      <c r="O1684" s="248"/>
    </row>
    <row r="1685">
      <c r="A1685" s="199"/>
      <c r="B1685" s="199"/>
      <c r="C1685" s="199"/>
      <c r="D1685" s="248"/>
      <c r="E1685" s="248"/>
      <c r="F1685" s="248"/>
      <c r="G1685" s="248"/>
      <c r="H1685" s="283"/>
      <c r="I1685" s="199"/>
      <c r="J1685" s="199"/>
      <c r="K1685" s="199"/>
      <c r="L1685" s="248"/>
      <c r="M1685" s="248"/>
      <c r="N1685" s="248"/>
      <c r="O1685" s="248"/>
    </row>
    <row r="1686">
      <c r="A1686" s="199"/>
      <c r="B1686" s="199"/>
      <c r="C1686" s="199"/>
      <c r="D1686" s="248"/>
      <c r="E1686" s="248"/>
      <c r="F1686" s="248"/>
      <c r="G1686" s="248"/>
      <c r="H1686" s="283"/>
      <c r="I1686" s="199"/>
      <c r="J1686" s="199"/>
      <c r="K1686" s="199"/>
      <c r="L1686" s="248"/>
      <c r="M1686" s="248"/>
      <c r="N1686" s="248"/>
      <c r="O1686" s="248"/>
    </row>
    <row r="1687">
      <c r="A1687" s="199"/>
      <c r="B1687" s="199"/>
      <c r="C1687" s="199"/>
      <c r="D1687" s="248"/>
      <c r="E1687" s="248"/>
      <c r="F1687" s="248"/>
      <c r="G1687" s="248"/>
      <c r="H1687" s="283"/>
      <c r="I1687" s="199"/>
      <c r="J1687" s="199"/>
      <c r="K1687" s="199"/>
      <c r="L1687" s="248"/>
      <c r="M1687" s="248"/>
      <c r="N1687" s="248"/>
      <c r="O1687" s="248"/>
    </row>
    <row r="1688">
      <c r="A1688" s="199"/>
      <c r="B1688" s="199"/>
      <c r="C1688" s="199"/>
      <c r="D1688" s="248"/>
      <c r="E1688" s="248"/>
      <c r="F1688" s="248"/>
      <c r="G1688" s="248"/>
      <c r="H1688" s="283"/>
      <c r="I1688" s="199"/>
      <c r="J1688" s="199"/>
      <c r="K1688" s="199"/>
      <c r="L1688" s="248"/>
      <c r="M1688" s="248"/>
      <c r="N1688" s="248"/>
      <c r="O1688" s="248"/>
    </row>
    <row r="1689">
      <c r="A1689" s="199"/>
      <c r="B1689" s="199"/>
      <c r="C1689" s="199"/>
      <c r="D1689" s="248"/>
      <c r="E1689" s="248"/>
      <c r="F1689" s="248"/>
      <c r="G1689" s="248"/>
      <c r="H1689" s="283"/>
      <c r="I1689" s="199"/>
      <c r="J1689" s="199"/>
      <c r="K1689" s="199"/>
      <c r="L1689" s="248"/>
      <c r="M1689" s="248"/>
      <c r="N1689" s="248"/>
      <c r="O1689" s="248"/>
    </row>
    <row r="1690">
      <c r="A1690" s="199"/>
      <c r="B1690" s="199"/>
      <c r="C1690" s="199"/>
      <c r="D1690" s="248"/>
      <c r="E1690" s="248"/>
      <c r="F1690" s="248"/>
      <c r="G1690" s="248"/>
      <c r="H1690" s="283"/>
      <c r="I1690" s="199"/>
      <c r="J1690" s="199"/>
      <c r="K1690" s="199"/>
      <c r="L1690" s="248"/>
      <c r="M1690" s="248"/>
      <c r="N1690" s="248"/>
      <c r="O1690" s="248"/>
    </row>
    <row r="1691">
      <c r="A1691" s="199"/>
      <c r="B1691" s="199"/>
      <c r="C1691" s="199"/>
      <c r="D1691" s="248"/>
      <c r="E1691" s="248"/>
      <c r="F1691" s="248"/>
      <c r="G1691" s="248"/>
      <c r="H1691" s="283"/>
      <c r="I1691" s="199"/>
      <c r="J1691" s="199"/>
      <c r="K1691" s="199"/>
      <c r="L1691" s="248"/>
      <c r="M1691" s="248"/>
      <c r="N1691" s="248"/>
      <c r="O1691" s="248"/>
    </row>
    <row r="1692">
      <c r="A1692" s="199"/>
      <c r="B1692" s="199"/>
      <c r="C1692" s="199"/>
      <c r="D1692" s="248"/>
      <c r="E1692" s="248"/>
      <c r="F1692" s="248"/>
      <c r="G1692" s="248"/>
      <c r="H1692" s="283"/>
      <c r="I1692" s="199"/>
      <c r="J1692" s="199"/>
      <c r="K1692" s="199"/>
      <c r="L1692" s="248"/>
      <c r="M1692" s="248"/>
      <c r="N1692" s="248"/>
      <c r="O1692" s="248"/>
    </row>
    <row r="1693">
      <c r="A1693" s="199"/>
      <c r="B1693" s="199"/>
      <c r="C1693" s="199"/>
      <c r="D1693" s="248"/>
      <c r="E1693" s="248"/>
      <c r="F1693" s="248"/>
      <c r="G1693" s="248"/>
      <c r="H1693" s="283"/>
      <c r="I1693" s="199"/>
      <c r="J1693" s="199"/>
      <c r="K1693" s="199"/>
      <c r="L1693" s="248"/>
      <c r="M1693" s="248"/>
      <c r="N1693" s="248"/>
      <c r="O1693" s="248"/>
    </row>
    <row r="1694">
      <c r="A1694" s="199"/>
      <c r="B1694" s="199"/>
      <c r="C1694" s="199"/>
      <c r="D1694" s="248"/>
      <c r="E1694" s="248"/>
      <c r="F1694" s="248"/>
      <c r="G1694" s="248"/>
      <c r="H1694" s="283"/>
      <c r="I1694" s="199"/>
      <c r="J1694" s="199"/>
      <c r="K1694" s="199"/>
      <c r="L1694" s="248"/>
      <c r="M1694" s="248"/>
      <c r="N1694" s="248"/>
      <c r="O1694" s="248"/>
    </row>
    <row r="1695">
      <c r="A1695" s="199"/>
      <c r="B1695" s="199"/>
      <c r="C1695" s="199"/>
      <c r="D1695" s="248"/>
      <c r="E1695" s="248"/>
      <c r="F1695" s="248"/>
      <c r="G1695" s="248"/>
      <c r="H1695" s="283"/>
      <c r="I1695" s="199"/>
      <c r="J1695" s="199"/>
      <c r="K1695" s="199"/>
      <c r="L1695" s="248"/>
      <c r="M1695" s="248"/>
      <c r="N1695" s="248"/>
      <c r="O1695" s="248"/>
    </row>
    <row r="1696">
      <c r="A1696" s="199"/>
      <c r="B1696" s="199"/>
      <c r="C1696" s="199"/>
      <c r="D1696" s="248"/>
      <c r="E1696" s="248"/>
      <c r="F1696" s="248"/>
      <c r="G1696" s="248"/>
      <c r="H1696" s="283"/>
      <c r="I1696" s="199"/>
      <c r="J1696" s="199"/>
      <c r="K1696" s="199"/>
      <c r="L1696" s="248"/>
      <c r="M1696" s="248"/>
      <c r="N1696" s="248"/>
      <c r="O1696" s="248"/>
    </row>
    <row r="1697">
      <c r="A1697" s="199"/>
      <c r="B1697" s="199"/>
      <c r="C1697" s="199"/>
      <c r="D1697" s="248"/>
      <c r="E1697" s="248"/>
      <c r="F1697" s="248"/>
      <c r="G1697" s="248"/>
      <c r="H1697" s="283"/>
      <c r="I1697" s="199"/>
      <c r="J1697" s="199"/>
      <c r="K1697" s="199"/>
      <c r="L1697" s="248"/>
      <c r="M1697" s="248"/>
      <c r="N1697" s="248"/>
      <c r="O1697" s="248"/>
    </row>
    <row r="1698">
      <c r="A1698" s="199"/>
      <c r="B1698" s="199"/>
      <c r="C1698" s="199"/>
      <c r="D1698" s="248"/>
      <c r="E1698" s="248"/>
      <c r="F1698" s="248"/>
      <c r="G1698" s="248"/>
      <c r="H1698" s="283"/>
      <c r="I1698" s="199"/>
      <c r="J1698" s="199"/>
      <c r="K1698" s="199"/>
      <c r="L1698" s="248"/>
      <c r="M1698" s="248"/>
      <c r="N1698" s="248"/>
      <c r="O1698" s="248"/>
    </row>
    <row r="1699">
      <c r="A1699" s="199"/>
      <c r="B1699" s="199"/>
      <c r="C1699" s="199"/>
      <c r="D1699" s="248"/>
      <c r="E1699" s="248"/>
      <c r="F1699" s="248"/>
      <c r="G1699" s="248"/>
      <c r="H1699" s="283"/>
      <c r="I1699" s="199"/>
      <c r="J1699" s="199"/>
      <c r="K1699" s="199"/>
      <c r="L1699" s="248"/>
      <c r="M1699" s="248"/>
      <c r="N1699" s="248"/>
      <c r="O1699" s="248"/>
    </row>
    <row r="1700">
      <c r="A1700" s="199"/>
      <c r="B1700" s="199"/>
      <c r="C1700" s="199"/>
      <c r="D1700" s="248"/>
      <c r="E1700" s="248"/>
      <c r="F1700" s="248"/>
      <c r="G1700" s="248"/>
      <c r="H1700" s="283"/>
      <c r="I1700" s="199"/>
      <c r="J1700" s="199"/>
      <c r="K1700" s="199"/>
      <c r="L1700" s="248"/>
      <c r="M1700" s="248"/>
      <c r="N1700" s="248"/>
      <c r="O1700" s="248"/>
    </row>
    <row r="1701">
      <c r="A1701" s="199"/>
      <c r="B1701" s="199"/>
      <c r="C1701" s="199"/>
      <c r="D1701" s="248"/>
      <c r="E1701" s="248"/>
      <c r="F1701" s="248"/>
      <c r="G1701" s="248"/>
      <c r="H1701" s="283"/>
      <c r="I1701" s="199"/>
      <c r="J1701" s="199"/>
      <c r="K1701" s="199"/>
      <c r="L1701" s="248"/>
      <c r="M1701" s="248"/>
      <c r="N1701" s="248"/>
      <c r="O1701" s="248"/>
    </row>
    <row r="1702">
      <c r="A1702" s="199"/>
      <c r="B1702" s="199"/>
      <c r="C1702" s="199"/>
      <c r="D1702" s="248"/>
      <c r="E1702" s="248"/>
      <c r="F1702" s="248"/>
      <c r="G1702" s="248"/>
      <c r="H1702" s="283"/>
      <c r="I1702" s="199"/>
      <c r="J1702" s="199"/>
      <c r="K1702" s="199"/>
      <c r="L1702" s="248"/>
      <c r="M1702" s="248"/>
      <c r="N1702" s="248"/>
      <c r="O1702" s="248"/>
    </row>
    <row r="1703">
      <c r="A1703" s="199"/>
      <c r="B1703" s="199"/>
      <c r="C1703" s="199"/>
      <c r="D1703" s="248"/>
      <c r="E1703" s="248"/>
      <c r="F1703" s="248"/>
      <c r="G1703" s="248"/>
      <c r="H1703" s="283"/>
      <c r="I1703" s="199"/>
      <c r="J1703" s="199"/>
      <c r="K1703" s="199"/>
      <c r="L1703" s="248"/>
      <c r="M1703" s="248"/>
      <c r="N1703" s="248"/>
      <c r="O1703" s="248"/>
    </row>
    <row r="1704">
      <c r="A1704" s="199"/>
      <c r="B1704" s="199"/>
      <c r="C1704" s="199"/>
      <c r="D1704" s="248"/>
      <c r="E1704" s="248"/>
      <c r="F1704" s="248"/>
      <c r="G1704" s="248"/>
      <c r="H1704" s="283"/>
      <c r="I1704" s="199"/>
      <c r="J1704" s="199"/>
      <c r="K1704" s="199"/>
      <c r="L1704" s="248"/>
      <c r="M1704" s="248"/>
      <c r="N1704" s="248"/>
      <c r="O1704" s="248"/>
    </row>
    <row r="1705">
      <c r="A1705" s="199"/>
      <c r="B1705" s="199"/>
      <c r="C1705" s="199"/>
      <c r="D1705" s="248"/>
      <c r="E1705" s="248"/>
      <c r="F1705" s="248"/>
      <c r="G1705" s="248"/>
      <c r="H1705" s="283"/>
      <c r="I1705" s="199"/>
      <c r="J1705" s="199"/>
      <c r="K1705" s="199"/>
      <c r="L1705" s="248"/>
      <c r="M1705" s="248"/>
      <c r="N1705" s="248"/>
      <c r="O1705" s="248"/>
    </row>
    <row r="1706">
      <c r="A1706" s="199"/>
      <c r="B1706" s="199"/>
      <c r="C1706" s="199"/>
      <c r="D1706" s="248"/>
      <c r="E1706" s="248"/>
      <c r="F1706" s="248"/>
      <c r="G1706" s="248"/>
      <c r="H1706" s="283"/>
      <c r="I1706" s="199"/>
      <c r="J1706" s="199"/>
      <c r="K1706" s="199"/>
      <c r="L1706" s="248"/>
      <c r="M1706" s="248"/>
      <c r="N1706" s="248"/>
      <c r="O1706" s="248"/>
    </row>
    <row r="1707">
      <c r="A1707" s="199"/>
      <c r="B1707" s="199"/>
      <c r="C1707" s="199"/>
      <c r="D1707" s="248"/>
      <c r="E1707" s="248"/>
      <c r="F1707" s="248"/>
      <c r="G1707" s="248"/>
      <c r="H1707" s="283"/>
      <c r="I1707" s="199"/>
      <c r="J1707" s="199"/>
      <c r="K1707" s="199"/>
      <c r="L1707" s="248"/>
      <c r="M1707" s="248"/>
      <c r="N1707" s="248"/>
      <c r="O1707" s="248"/>
    </row>
    <row r="1708">
      <c r="A1708" s="199"/>
      <c r="B1708" s="199"/>
      <c r="C1708" s="199"/>
      <c r="D1708" s="248"/>
      <c r="E1708" s="248"/>
      <c r="F1708" s="248"/>
      <c r="G1708" s="248"/>
      <c r="H1708" s="283"/>
      <c r="I1708" s="199"/>
      <c r="J1708" s="199"/>
      <c r="K1708" s="199"/>
      <c r="L1708" s="248"/>
      <c r="M1708" s="248"/>
      <c r="N1708" s="248"/>
      <c r="O1708" s="248"/>
    </row>
    <row r="1709">
      <c r="A1709" s="199"/>
      <c r="B1709" s="199"/>
      <c r="C1709" s="199"/>
      <c r="D1709" s="248"/>
      <c r="E1709" s="248"/>
      <c r="F1709" s="248"/>
      <c r="G1709" s="248"/>
      <c r="H1709" s="283"/>
      <c r="I1709" s="199"/>
      <c r="J1709" s="199"/>
      <c r="K1709" s="199"/>
      <c r="L1709" s="248"/>
      <c r="M1709" s="248"/>
      <c r="N1709" s="248"/>
      <c r="O1709" s="248"/>
    </row>
    <row r="1710">
      <c r="A1710" s="199"/>
      <c r="B1710" s="199"/>
      <c r="C1710" s="199"/>
      <c r="D1710" s="248"/>
      <c r="E1710" s="248"/>
      <c r="F1710" s="248"/>
      <c r="G1710" s="248"/>
      <c r="H1710" s="283"/>
      <c r="I1710" s="199"/>
      <c r="J1710" s="199"/>
      <c r="K1710" s="199"/>
      <c r="L1710" s="248"/>
      <c r="M1710" s="248"/>
      <c r="N1710" s="248"/>
      <c r="O1710" s="248"/>
    </row>
    <row r="1711">
      <c r="A1711" s="199"/>
      <c r="B1711" s="199"/>
      <c r="C1711" s="199"/>
      <c r="D1711" s="248"/>
      <c r="E1711" s="248"/>
      <c r="F1711" s="248"/>
      <c r="G1711" s="248"/>
      <c r="H1711" s="283"/>
      <c r="I1711" s="199"/>
      <c r="J1711" s="199"/>
      <c r="K1711" s="199"/>
      <c r="L1711" s="248"/>
      <c r="M1711" s="248"/>
      <c r="N1711" s="248"/>
      <c r="O1711" s="248"/>
    </row>
    <row r="1712">
      <c r="A1712" s="199"/>
      <c r="B1712" s="199"/>
      <c r="C1712" s="199"/>
      <c r="D1712" s="248"/>
      <c r="E1712" s="248"/>
      <c r="F1712" s="248"/>
      <c r="G1712" s="248"/>
      <c r="H1712" s="283"/>
      <c r="I1712" s="199"/>
      <c r="J1712" s="199"/>
      <c r="K1712" s="199"/>
      <c r="L1712" s="248"/>
      <c r="M1712" s="248"/>
      <c r="N1712" s="248"/>
      <c r="O1712" s="248"/>
    </row>
    <row r="1713">
      <c r="A1713" s="199"/>
      <c r="B1713" s="199"/>
      <c r="C1713" s="199"/>
      <c r="D1713" s="248"/>
      <c r="E1713" s="248"/>
      <c r="F1713" s="248"/>
      <c r="G1713" s="248"/>
      <c r="H1713" s="283"/>
      <c r="I1713" s="199"/>
      <c r="J1713" s="199"/>
      <c r="K1713" s="199"/>
      <c r="L1713" s="248"/>
      <c r="M1713" s="248"/>
      <c r="N1713" s="248"/>
      <c r="O1713" s="248"/>
    </row>
    <row r="1714">
      <c r="A1714" s="199"/>
      <c r="B1714" s="199"/>
      <c r="C1714" s="199"/>
      <c r="D1714" s="248"/>
      <c r="E1714" s="248"/>
      <c r="F1714" s="248"/>
      <c r="G1714" s="248"/>
      <c r="H1714" s="283"/>
      <c r="I1714" s="199"/>
      <c r="J1714" s="199"/>
      <c r="K1714" s="199"/>
      <c r="L1714" s="248"/>
      <c r="M1714" s="248"/>
      <c r="N1714" s="248"/>
      <c r="O1714" s="248"/>
    </row>
    <row r="1715">
      <c r="A1715" s="199"/>
      <c r="B1715" s="199"/>
      <c r="C1715" s="199"/>
      <c r="D1715" s="248"/>
      <c r="E1715" s="248"/>
      <c r="F1715" s="248"/>
      <c r="G1715" s="248"/>
      <c r="H1715" s="283"/>
      <c r="I1715" s="199"/>
      <c r="J1715" s="199"/>
      <c r="K1715" s="199"/>
      <c r="L1715" s="248"/>
      <c r="M1715" s="248"/>
      <c r="N1715" s="248"/>
      <c r="O1715" s="248"/>
    </row>
    <row r="1716">
      <c r="A1716" s="199"/>
      <c r="B1716" s="199"/>
      <c r="C1716" s="199"/>
      <c r="D1716" s="248"/>
      <c r="E1716" s="248"/>
      <c r="F1716" s="248"/>
      <c r="G1716" s="248"/>
      <c r="H1716" s="283"/>
      <c r="I1716" s="199"/>
      <c r="J1716" s="199"/>
      <c r="K1716" s="199"/>
      <c r="L1716" s="248"/>
      <c r="M1716" s="248"/>
      <c r="N1716" s="248"/>
      <c r="O1716" s="248"/>
    </row>
    <row r="1717">
      <c r="A1717" s="199"/>
      <c r="B1717" s="199"/>
      <c r="C1717" s="199"/>
      <c r="D1717" s="248"/>
      <c r="E1717" s="248"/>
      <c r="F1717" s="248"/>
      <c r="G1717" s="248"/>
      <c r="H1717" s="283"/>
      <c r="I1717" s="199"/>
      <c r="J1717" s="199"/>
      <c r="K1717" s="199"/>
      <c r="L1717" s="248"/>
      <c r="M1717" s="248"/>
      <c r="N1717" s="248"/>
      <c r="O1717" s="248"/>
    </row>
    <row r="1718">
      <c r="A1718" s="199"/>
      <c r="B1718" s="199"/>
      <c r="C1718" s="199"/>
      <c r="D1718" s="248"/>
      <c r="E1718" s="248"/>
      <c r="F1718" s="248"/>
      <c r="G1718" s="248"/>
      <c r="H1718" s="283"/>
      <c r="I1718" s="199"/>
      <c r="J1718" s="199"/>
      <c r="K1718" s="199"/>
      <c r="L1718" s="248"/>
      <c r="M1718" s="248"/>
      <c r="N1718" s="248"/>
      <c r="O1718" s="248"/>
    </row>
    <row r="1719">
      <c r="A1719" s="199"/>
      <c r="B1719" s="199"/>
      <c r="C1719" s="199"/>
      <c r="D1719" s="248"/>
      <c r="E1719" s="248"/>
      <c r="F1719" s="248"/>
      <c r="G1719" s="248"/>
      <c r="H1719" s="283"/>
      <c r="I1719" s="199"/>
      <c r="J1719" s="199"/>
      <c r="K1719" s="199"/>
      <c r="L1719" s="248"/>
      <c r="M1719" s="248"/>
      <c r="N1719" s="248"/>
      <c r="O1719" s="248"/>
    </row>
    <row r="1720">
      <c r="A1720" s="199"/>
      <c r="B1720" s="199"/>
      <c r="C1720" s="199"/>
      <c r="D1720" s="248"/>
      <c r="E1720" s="248"/>
      <c r="F1720" s="248"/>
      <c r="G1720" s="248"/>
      <c r="H1720" s="283"/>
      <c r="I1720" s="199"/>
      <c r="J1720" s="199"/>
      <c r="K1720" s="199"/>
      <c r="L1720" s="248"/>
      <c r="M1720" s="248"/>
      <c r="N1720" s="248"/>
      <c r="O1720" s="248"/>
    </row>
    <row r="1721">
      <c r="A1721" s="199"/>
      <c r="B1721" s="199"/>
      <c r="C1721" s="199"/>
      <c r="D1721" s="248"/>
      <c r="E1721" s="248"/>
      <c r="F1721" s="248"/>
      <c r="G1721" s="248"/>
      <c r="H1721" s="283"/>
      <c r="I1721" s="199"/>
      <c r="J1721" s="199"/>
      <c r="K1721" s="199"/>
      <c r="L1721" s="248"/>
      <c r="M1721" s="248"/>
      <c r="N1721" s="248"/>
      <c r="O1721" s="248"/>
    </row>
    <row r="1722">
      <c r="A1722" s="199"/>
      <c r="B1722" s="199"/>
      <c r="C1722" s="199"/>
      <c r="D1722" s="248"/>
      <c r="E1722" s="248"/>
      <c r="F1722" s="248"/>
      <c r="G1722" s="248"/>
      <c r="H1722" s="283"/>
      <c r="I1722" s="199"/>
      <c r="J1722" s="199"/>
      <c r="K1722" s="199"/>
      <c r="L1722" s="248"/>
      <c r="M1722" s="248"/>
      <c r="N1722" s="248"/>
      <c r="O1722" s="248"/>
    </row>
    <row r="1723">
      <c r="A1723" s="199"/>
      <c r="B1723" s="199"/>
      <c r="C1723" s="199"/>
      <c r="D1723" s="248"/>
      <c r="E1723" s="248"/>
      <c r="F1723" s="248"/>
      <c r="G1723" s="248"/>
      <c r="H1723" s="283"/>
      <c r="I1723" s="199"/>
      <c r="J1723" s="199"/>
      <c r="K1723" s="199"/>
      <c r="L1723" s="248"/>
      <c r="M1723" s="248"/>
      <c r="N1723" s="248"/>
      <c r="O1723" s="248"/>
    </row>
    <row r="1724">
      <c r="A1724" s="199"/>
      <c r="B1724" s="199"/>
      <c r="C1724" s="199"/>
      <c r="D1724" s="248"/>
      <c r="E1724" s="248"/>
      <c r="F1724" s="248"/>
      <c r="G1724" s="248"/>
      <c r="H1724" s="283"/>
      <c r="I1724" s="199"/>
      <c r="J1724" s="199"/>
      <c r="K1724" s="199"/>
      <c r="L1724" s="248"/>
      <c r="M1724" s="248"/>
      <c r="N1724" s="248"/>
      <c r="O1724" s="248"/>
    </row>
    <row r="1725">
      <c r="A1725" s="199"/>
      <c r="B1725" s="199"/>
      <c r="C1725" s="199"/>
      <c r="D1725" s="248"/>
      <c r="E1725" s="248"/>
      <c r="F1725" s="248"/>
      <c r="G1725" s="248"/>
      <c r="H1725" s="283"/>
      <c r="I1725" s="199"/>
      <c r="J1725" s="199"/>
      <c r="K1725" s="199"/>
      <c r="L1725" s="248"/>
      <c r="M1725" s="248"/>
      <c r="N1725" s="248"/>
      <c r="O1725" s="248"/>
    </row>
    <row r="1726">
      <c r="A1726" s="199"/>
      <c r="B1726" s="199"/>
      <c r="C1726" s="199"/>
      <c r="D1726" s="248"/>
      <c r="E1726" s="248"/>
      <c r="F1726" s="248"/>
      <c r="G1726" s="248"/>
      <c r="H1726" s="283"/>
      <c r="I1726" s="199"/>
      <c r="J1726" s="199"/>
      <c r="K1726" s="199"/>
      <c r="L1726" s="248"/>
      <c r="M1726" s="248"/>
      <c r="N1726" s="248"/>
      <c r="O1726" s="248"/>
    </row>
    <row r="1727">
      <c r="A1727" s="199"/>
      <c r="B1727" s="199"/>
      <c r="C1727" s="199"/>
      <c r="D1727" s="248"/>
      <c r="E1727" s="248"/>
      <c r="F1727" s="248"/>
      <c r="G1727" s="248"/>
      <c r="H1727" s="283"/>
      <c r="I1727" s="199"/>
      <c r="J1727" s="199"/>
      <c r="K1727" s="199"/>
      <c r="L1727" s="248"/>
      <c r="M1727" s="248"/>
      <c r="N1727" s="248"/>
      <c r="O1727" s="248"/>
    </row>
    <row r="1728">
      <c r="A1728" s="199"/>
      <c r="B1728" s="199"/>
      <c r="C1728" s="199"/>
      <c r="D1728" s="248"/>
      <c r="E1728" s="248"/>
      <c r="F1728" s="248"/>
      <c r="G1728" s="248"/>
      <c r="H1728" s="283"/>
      <c r="I1728" s="199"/>
      <c r="J1728" s="199"/>
      <c r="K1728" s="199"/>
      <c r="L1728" s="248"/>
      <c r="M1728" s="248"/>
      <c r="N1728" s="248"/>
      <c r="O1728" s="248"/>
    </row>
    <row r="1729">
      <c r="A1729" s="199"/>
      <c r="B1729" s="199"/>
      <c r="C1729" s="199"/>
      <c r="D1729" s="248"/>
      <c r="E1729" s="248"/>
      <c r="F1729" s="248"/>
      <c r="G1729" s="248"/>
      <c r="H1729" s="283"/>
      <c r="I1729" s="199"/>
      <c r="J1729" s="199"/>
      <c r="K1729" s="199"/>
      <c r="L1729" s="248"/>
      <c r="M1729" s="248"/>
      <c r="N1729" s="248"/>
      <c r="O1729" s="248"/>
    </row>
    <row r="1730">
      <c r="A1730" s="199"/>
      <c r="B1730" s="199"/>
      <c r="C1730" s="199"/>
      <c r="D1730" s="248"/>
      <c r="E1730" s="248"/>
      <c r="F1730" s="248"/>
      <c r="G1730" s="248"/>
      <c r="H1730" s="283"/>
      <c r="I1730" s="199"/>
      <c r="J1730" s="199"/>
      <c r="K1730" s="199"/>
      <c r="L1730" s="248"/>
      <c r="M1730" s="248"/>
      <c r="N1730" s="248"/>
      <c r="O1730" s="248"/>
    </row>
    <row r="1731">
      <c r="A1731" s="199"/>
      <c r="B1731" s="199"/>
      <c r="C1731" s="199"/>
      <c r="D1731" s="248"/>
      <c r="E1731" s="248"/>
      <c r="F1731" s="248"/>
      <c r="G1731" s="248"/>
      <c r="H1731" s="283"/>
      <c r="I1731" s="199"/>
      <c r="J1731" s="199"/>
      <c r="K1731" s="199"/>
      <c r="L1731" s="248"/>
      <c r="M1731" s="248"/>
      <c r="N1731" s="248"/>
      <c r="O1731" s="248"/>
    </row>
    <row r="1732">
      <c r="A1732" s="199"/>
      <c r="B1732" s="199"/>
      <c r="C1732" s="199"/>
      <c r="D1732" s="248"/>
      <c r="E1732" s="248"/>
      <c r="F1732" s="248"/>
      <c r="G1732" s="248"/>
      <c r="H1732" s="283"/>
      <c r="I1732" s="199"/>
      <c r="J1732" s="199"/>
      <c r="K1732" s="199"/>
      <c r="L1732" s="248"/>
      <c r="M1732" s="248"/>
      <c r="N1732" s="248"/>
      <c r="O1732" s="248"/>
    </row>
    <row r="1733">
      <c r="A1733" s="199"/>
      <c r="B1733" s="199"/>
      <c r="C1733" s="199"/>
      <c r="D1733" s="248"/>
      <c r="E1733" s="248"/>
      <c r="F1733" s="248"/>
      <c r="G1733" s="248"/>
      <c r="H1733" s="283"/>
      <c r="I1733" s="199"/>
      <c r="J1733" s="199"/>
      <c r="K1733" s="199"/>
      <c r="L1733" s="248"/>
      <c r="M1733" s="248"/>
      <c r="N1733" s="248"/>
      <c r="O1733" s="248"/>
    </row>
    <row r="1734">
      <c r="A1734" s="199"/>
      <c r="B1734" s="199"/>
      <c r="C1734" s="199"/>
      <c r="D1734" s="248"/>
      <c r="E1734" s="248"/>
      <c r="F1734" s="248"/>
      <c r="G1734" s="248"/>
      <c r="H1734" s="283"/>
      <c r="I1734" s="199"/>
      <c r="J1734" s="199"/>
      <c r="K1734" s="199"/>
      <c r="L1734" s="248"/>
      <c r="M1734" s="248"/>
      <c r="N1734" s="248"/>
      <c r="O1734" s="248"/>
    </row>
    <row r="1735">
      <c r="A1735" s="199"/>
      <c r="B1735" s="199"/>
      <c r="C1735" s="199"/>
      <c r="D1735" s="248"/>
      <c r="E1735" s="248"/>
      <c r="F1735" s="248"/>
      <c r="G1735" s="248"/>
      <c r="H1735" s="283"/>
      <c r="I1735" s="199"/>
      <c r="J1735" s="199"/>
      <c r="K1735" s="199"/>
      <c r="L1735" s="248"/>
      <c r="M1735" s="248"/>
      <c r="N1735" s="248"/>
      <c r="O1735" s="248"/>
    </row>
    <row r="1736">
      <c r="A1736" s="199"/>
      <c r="B1736" s="199"/>
      <c r="C1736" s="199"/>
      <c r="D1736" s="248"/>
      <c r="E1736" s="248"/>
      <c r="F1736" s="248"/>
      <c r="G1736" s="248"/>
      <c r="H1736" s="283"/>
      <c r="I1736" s="199"/>
      <c r="J1736" s="199"/>
      <c r="K1736" s="199"/>
      <c r="L1736" s="248"/>
      <c r="M1736" s="248"/>
      <c r="N1736" s="248"/>
      <c r="O1736" s="248"/>
    </row>
    <row r="1737">
      <c r="A1737" s="199"/>
      <c r="B1737" s="199"/>
      <c r="C1737" s="199"/>
      <c r="D1737" s="248"/>
      <c r="E1737" s="248"/>
      <c r="F1737" s="248"/>
      <c r="G1737" s="248"/>
      <c r="H1737" s="283"/>
      <c r="I1737" s="199"/>
      <c r="J1737" s="199"/>
      <c r="K1737" s="199"/>
      <c r="L1737" s="248"/>
      <c r="M1737" s="248"/>
      <c r="N1737" s="248"/>
      <c r="O1737" s="248"/>
    </row>
    <row r="1738">
      <c r="A1738" s="199"/>
      <c r="B1738" s="199"/>
      <c r="C1738" s="199"/>
      <c r="D1738" s="248"/>
      <c r="E1738" s="248"/>
      <c r="F1738" s="248"/>
      <c r="G1738" s="248"/>
      <c r="H1738" s="283"/>
      <c r="I1738" s="199"/>
      <c r="J1738" s="199"/>
      <c r="K1738" s="199"/>
      <c r="L1738" s="248"/>
      <c r="M1738" s="248"/>
      <c r="N1738" s="248"/>
      <c r="O1738" s="248"/>
    </row>
    <row r="1739">
      <c r="A1739" s="199"/>
      <c r="B1739" s="199"/>
      <c r="C1739" s="199"/>
      <c r="D1739" s="248"/>
      <c r="E1739" s="248"/>
      <c r="F1739" s="248"/>
      <c r="G1739" s="248"/>
      <c r="H1739" s="283"/>
      <c r="I1739" s="199"/>
      <c r="J1739" s="199"/>
      <c r="K1739" s="199"/>
      <c r="L1739" s="248"/>
      <c r="M1739" s="248"/>
      <c r="N1739" s="248"/>
      <c r="O1739" s="248"/>
    </row>
    <row r="1740">
      <c r="A1740" s="199"/>
      <c r="B1740" s="199"/>
      <c r="C1740" s="199"/>
      <c r="D1740" s="248"/>
      <c r="E1740" s="248"/>
      <c r="F1740" s="248"/>
      <c r="G1740" s="248"/>
      <c r="H1740" s="283"/>
      <c r="I1740" s="199"/>
      <c r="J1740" s="199"/>
      <c r="K1740" s="199"/>
      <c r="L1740" s="248"/>
      <c r="M1740" s="248"/>
      <c r="N1740" s="248"/>
      <c r="O1740" s="248"/>
    </row>
    <row r="1741">
      <c r="A1741" s="199"/>
      <c r="B1741" s="199"/>
      <c r="C1741" s="199"/>
      <c r="D1741" s="248"/>
      <c r="E1741" s="248"/>
      <c r="F1741" s="248"/>
      <c r="G1741" s="248"/>
      <c r="H1741" s="283"/>
      <c r="I1741" s="199"/>
      <c r="J1741" s="199"/>
      <c r="K1741" s="199"/>
      <c r="L1741" s="248"/>
      <c r="M1741" s="248"/>
      <c r="N1741" s="248"/>
      <c r="O1741" s="248"/>
    </row>
    <row r="1742">
      <c r="A1742" s="199"/>
      <c r="B1742" s="199"/>
      <c r="C1742" s="199"/>
      <c r="D1742" s="248"/>
      <c r="E1742" s="248"/>
      <c r="F1742" s="248"/>
      <c r="G1742" s="248"/>
      <c r="H1742" s="283"/>
      <c r="I1742" s="199"/>
      <c r="J1742" s="199"/>
      <c r="K1742" s="199"/>
      <c r="L1742" s="248"/>
      <c r="M1742" s="248"/>
      <c r="N1742" s="248"/>
      <c r="O1742" s="248"/>
    </row>
    <row r="1743">
      <c r="A1743" s="199"/>
      <c r="B1743" s="199"/>
      <c r="C1743" s="199"/>
      <c r="D1743" s="248"/>
      <c r="E1743" s="248"/>
      <c r="F1743" s="248"/>
      <c r="G1743" s="248"/>
      <c r="H1743" s="283"/>
      <c r="I1743" s="199"/>
      <c r="J1743" s="199"/>
      <c r="K1743" s="199"/>
      <c r="L1743" s="248"/>
      <c r="M1743" s="248"/>
      <c r="N1743" s="248"/>
      <c r="O1743" s="248"/>
    </row>
    <row r="1744">
      <c r="A1744" s="199"/>
      <c r="B1744" s="199"/>
      <c r="C1744" s="199"/>
      <c r="D1744" s="248"/>
      <c r="E1744" s="248"/>
      <c r="F1744" s="248"/>
      <c r="G1744" s="248"/>
      <c r="H1744" s="283"/>
      <c r="I1744" s="199"/>
      <c r="J1744" s="199"/>
      <c r="K1744" s="199"/>
      <c r="L1744" s="248"/>
      <c r="M1744" s="248"/>
      <c r="N1744" s="248"/>
      <c r="O1744" s="248"/>
    </row>
    <row r="1745">
      <c r="A1745" s="199"/>
      <c r="B1745" s="199"/>
      <c r="C1745" s="199"/>
      <c r="D1745" s="248"/>
      <c r="E1745" s="248"/>
      <c r="F1745" s="248"/>
      <c r="G1745" s="248"/>
      <c r="H1745" s="283"/>
      <c r="I1745" s="199"/>
      <c r="J1745" s="199"/>
      <c r="K1745" s="199"/>
      <c r="L1745" s="248"/>
      <c r="M1745" s="248"/>
      <c r="N1745" s="248"/>
      <c r="O1745" s="248"/>
    </row>
    <row r="1746">
      <c r="A1746" s="199"/>
      <c r="B1746" s="199"/>
      <c r="C1746" s="199"/>
      <c r="D1746" s="248"/>
      <c r="E1746" s="248"/>
      <c r="F1746" s="248"/>
      <c r="G1746" s="248"/>
      <c r="H1746" s="283"/>
      <c r="I1746" s="199"/>
      <c r="J1746" s="199"/>
      <c r="K1746" s="199"/>
      <c r="L1746" s="248"/>
      <c r="M1746" s="248"/>
      <c r="N1746" s="248"/>
      <c r="O1746" s="248"/>
    </row>
    <row r="1747">
      <c r="A1747" s="199"/>
      <c r="B1747" s="199"/>
      <c r="C1747" s="199"/>
      <c r="D1747" s="248"/>
      <c r="E1747" s="248"/>
      <c r="F1747" s="248"/>
      <c r="G1747" s="248"/>
      <c r="H1747" s="283"/>
      <c r="I1747" s="199"/>
      <c r="J1747" s="199"/>
      <c r="K1747" s="199"/>
      <c r="L1747" s="248"/>
      <c r="M1747" s="248"/>
      <c r="N1747" s="248"/>
      <c r="O1747" s="248"/>
    </row>
    <row r="1748">
      <c r="A1748" s="199"/>
      <c r="B1748" s="199"/>
      <c r="C1748" s="199"/>
      <c r="D1748" s="248"/>
      <c r="E1748" s="248"/>
      <c r="F1748" s="248"/>
      <c r="G1748" s="248"/>
      <c r="H1748" s="283"/>
      <c r="I1748" s="199"/>
      <c r="J1748" s="199"/>
      <c r="K1748" s="199"/>
      <c r="L1748" s="248"/>
      <c r="M1748" s="248"/>
      <c r="N1748" s="248"/>
      <c r="O1748" s="248"/>
    </row>
    <row r="1749">
      <c r="A1749" s="199"/>
      <c r="B1749" s="199"/>
      <c r="C1749" s="199"/>
      <c r="D1749" s="248"/>
      <c r="E1749" s="248"/>
      <c r="F1749" s="248"/>
      <c r="G1749" s="248"/>
      <c r="H1749" s="283"/>
      <c r="I1749" s="199"/>
      <c r="J1749" s="199"/>
      <c r="K1749" s="199"/>
      <c r="L1749" s="248"/>
      <c r="M1749" s="248"/>
      <c r="N1749" s="248"/>
      <c r="O1749" s="248"/>
    </row>
    <row r="1750">
      <c r="A1750" s="199"/>
      <c r="B1750" s="199"/>
      <c r="C1750" s="199"/>
      <c r="D1750" s="248"/>
      <c r="E1750" s="248"/>
      <c r="F1750" s="248"/>
      <c r="G1750" s="248"/>
      <c r="H1750" s="283"/>
      <c r="I1750" s="199"/>
      <c r="J1750" s="199"/>
      <c r="K1750" s="199"/>
      <c r="L1750" s="248"/>
      <c r="M1750" s="248"/>
      <c r="N1750" s="248"/>
      <c r="O1750" s="248"/>
    </row>
    <row r="1751">
      <c r="A1751" s="199"/>
      <c r="B1751" s="199"/>
      <c r="C1751" s="199"/>
      <c r="D1751" s="248"/>
      <c r="E1751" s="248"/>
      <c r="F1751" s="248"/>
      <c r="G1751" s="248"/>
      <c r="H1751" s="283"/>
      <c r="I1751" s="199"/>
      <c r="J1751" s="199"/>
      <c r="K1751" s="199"/>
      <c r="L1751" s="248"/>
      <c r="M1751" s="248"/>
      <c r="N1751" s="248"/>
      <c r="O1751" s="248"/>
    </row>
    <row r="1752">
      <c r="A1752" s="199"/>
      <c r="B1752" s="199"/>
      <c r="C1752" s="199"/>
      <c r="D1752" s="248"/>
      <c r="E1752" s="248"/>
      <c r="F1752" s="248"/>
      <c r="G1752" s="248"/>
      <c r="H1752" s="283"/>
      <c r="I1752" s="199"/>
      <c r="J1752" s="199"/>
      <c r="K1752" s="199"/>
      <c r="L1752" s="248"/>
      <c r="M1752" s="248"/>
      <c r="N1752" s="248"/>
      <c r="O1752" s="248"/>
    </row>
    <row r="1753">
      <c r="A1753" s="199"/>
      <c r="B1753" s="199"/>
      <c r="C1753" s="199"/>
      <c r="D1753" s="248"/>
      <c r="E1753" s="248"/>
      <c r="F1753" s="248"/>
      <c r="G1753" s="248"/>
      <c r="H1753" s="283"/>
      <c r="I1753" s="199"/>
      <c r="J1753" s="199"/>
      <c r="K1753" s="199"/>
      <c r="L1753" s="248"/>
      <c r="M1753" s="248"/>
      <c r="N1753" s="248"/>
      <c r="O1753" s="248"/>
    </row>
    <row r="1754">
      <c r="A1754" s="199"/>
      <c r="B1754" s="199"/>
      <c r="C1754" s="199"/>
      <c r="D1754" s="248"/>
      <c r="E1754" s="248"/>
      <c r="F1754" s="248"/>
      <c r="G1754" s="248"/>
      <c r="H1754" s="283"/>
      <c r="I1754" s="199"/>
      <c r="J1754" s="199"/>
      <c r="K1754" s="199"/>
      <c r="L1754" s="248"/>
      <c r="M1754" s="248"/>
      <c r="N1754" s="248"/>
      <c r="O1754" s="248"/>
    </row>
    <row r="1755">
      <c r="A1755" s="199"/>
      <c r="B1755" s="199"/>
      <c r="C1755" s="199"/>
      <c r="D1755" s="248"/>
      <c r="E1755" s="248"/>
      <c r="F1755" s="248"/>
      <c r="G1755" s="248"/>
      <c r="H1755" s="283"/>
      <c r="I1755" s="199"/>
      <c r="J1755" s="199"/>
      <c r="K1755" s="199"/>
      <c r="L1755" s="248"/>
      <c r="M1755" s="248"/>
      <c r="N1755" s="248"/>
      <c r="O1755" s="248"/>
    </row>
    <row r="1756">
      <c r="A1756" s="199"/>
      <c r="B1756" s="199"/>
      <c r="C1756" s="199"/>
      <c r="D1756" s="248"/>
      <c r="E1756" s="248"/>
      <c r="F1756" s="248"/>
      <c r="G1756" s="248"/>
      <c r="H1756" s="283"/>
      <c r="I1756" s="199"/>
      <c r="J1756" s="199"/>
      <c r="K1756" s="199"/>
      <c r="L1756" s="248"/>
      <c r="M1756" s="248"/>
      <c r="N1756" s="248"/>
      <c r="O1756" s="248"/>
    </row>
    <row r="1757">
      <c r="A1757" s="199"/>
      <c r="B1757" s="199"/>
      <c r="C1757" s="199"/>
      <c r="D1757" s="248"/>
      <c r="E1757" s="248"/>
      <c r="F1757" s="248"/>
      <c r="G1757" s="248"/>
      <c r="H1757" s="283"/>
      <c r="I1757" s="199"/>
      <c r="J1757" s="199"/>
      <c r="K1757" s="199"/>
      <c r="L1757" s="248"/>
      <c r="M1757" s="248"/>
      <c r="N1757" s="248"/>
      <c r="O1757" s="248"/>
    </row>
    <row r="1758">
      <c r="A1758" s="199"/>
      <c r="B1758" s="199"/>
      <c r="C1758" s="199"/>
      <c r="D1758" s="248"/>
      <c r="E1758" s="248"/>
      <c r="F1758" s="248"/>
      <c r="G1758" s="248"/>
      <c r="H1758" s="283"/>
      <c r="I1758" s="199"/>
      <c r="J1758" s="199"/>
      <c r="K1758" s="199"/>
      <c r="L1758" s="248"/>
      <c r="M1758" s="248"/>
      <c r="N1758" s="248"/>
      <c r="O1758" s="248"/>
    </row>
    <row r="1759">
      <c r="A1759" s="199"/>
      <c r="B1759" s="199"/>
      <c r="C1759" s="199"/>
      <c r="D1759" s="248"/>
      <c r="E1759" s="248"/>
      <c r="F1759" s="248"/>
      <c r="G1759" s="248"/>
      <c r="H1759" s="283"/>
      <c r="I1759" s="199"/>
      <c r="J1759" s="199"/>
      <c r="K1759" s="199"/>
      <c r="L1759" s="248"/>
      <c r="M1759" s="248"/>
      <c r="N1759" s="248"/>
      <c r="O1759" s="248"/>
    </row>
    <row r="1760">
      <c r="A1760" s="199"/>
      <c r="B1760" s="199"/>
      <c r="C1760" s="199"/>
      <c r="D1760" s="248"/>
      <c r="E1760" s="248"/>
      <c r="F1760" s="248"/>
      <c r="G1760" s="248"/>
      <c r="H1760" s="283"/>
      <c r="I1760" s="199"/>
      <c r="J1760" s="199"/>
      <c r="K1760" s="199"/>
      <c r="L1760" s="248"/>
      <c r="M1760" s="248"/>
      <c r="N1760" s="248"/>
      <c r="O1760" s="248"/>
    </row>
    <row r="1761">
      <c r="A1761" s="199"/>
      <c r="B1761" s="199"/>
      <c r="C1761" s="199"/>
      <c r="D1761" s="248"/>
      <c r="E1761" s="248"/>
      <c r="F1761" s="248"/>
      <c r="G1761" s="248"/>
      <c r="H1761" s="283"/>
      <c r="I1761" s="199"/>
      <c r="J1761" s="199"/>
      <c r="K1761" s="199"/>
      <c r="L1761" s="248"/>
      <c r="M1761" s="248"/>
      <c r="N1761" s="248"/>
      <c r="O1761" s="248"/>
    </row>
    <row r="1762">
      <c r="A1762" s="199"/>
      <c r="B1762" s="199"/>
      <c r="C1762" s="199"/>
      <c r="D1762" s="248"/>
      <c r="E1762" s="248"/>
      <c r="F1762" s="248"/>
      <c r="G1762" s="248"/>
      <c r="H1762" s="283"/>
      <c r="I1762" s="199"/>
      <c r="J1762" s="199"/>
      <c r="K1762" s="199"/>
      <c r="L1762" s="248"/>
      <c r="M1762" s="248"/>
      <c r="N1762" s="248"/>
      <c r="O1762" s="248"/>
    </row>
    <row r="1763">
      <c r="A1763" s="199"/>
      <c r="B1763" s="199"/>
      <c r="C1763" s="199"/>
      <c r="D1763" s="248"/>
      <c r="E1763" s="248"/>
      <c r="F1763" s="248"/>
      <c r="G1763" s="248"/>
      <c r="H1763" s="283"/>
      <c r="I1763" s="199"/>
      <c r="J1763" s="199"/>
      <c r="K1763" s="199"/>
      <c r="L1763" s="248"/>
      <c r="M1763" s="248"/>
      <c r="N1763" s="248"/>
      <c r="O1763" s="248"/>
    </row>
    <row r="1764">
      <c r="A1764" s="199"/>
      <c r="B1764" s="199"/>
      <c r="C1764" s="199"/>
      <c r="D1764" s="248"/>
      <c r="E1764" s="248"/>
      <c r="F1764" s="248"/>
      <c r="G1764" s="248"/>
      <c r="H1764" s="283"/>
      <c r="I1764" s="199"/>
      <c r="J1764" s="199"/>
      <c r="K1764" s="199"/>
      <c r="L1764" s="248"/>
      <c r="M1764" s="248"/>
      <c r="N1764" s="248"/>
      <c r="O1764" s="248"/>
    </row>
    <row r="1765">
      <c r="A1765" s="199"/>
      <c r="B1765" s="199"/>
      <c r="C1765" s="199"/>
      <c r="D1765" s="248"/>
      <c r="E1765" s="248"/>
      <c r="F1765" s="248"/>
      <c r="G1765" s="248"/>
      <c r="H1765" s="283"/>
      <c r="I1765" s="199"/>
      <c r="J1765" s="199"/>
      <c r="K1765" s="199"/>
      <c r="L1765" s="248"/>
      <c r="M1765" s="248"/>
      <c r="N1765" s="248"/>
      <c r="O1765" s="248"/>
    </row>
    <row r="1766">
      <c r="A1766" s="199"/>
      <c r="B1766" s="199"/>
      <c r="C1766" s="199"/>
      <c r="D1766" s="248"/>
      <c r="E1766" s="248"/>
      <c r="F1766" s="248"/>
      <c r="G1766" s="248"/>
      <c r="H1766" s="283"/>
      <c r="I1766" s="199"/>
      <c r="J1766" s="199"/>
      <c r="K1766" s="199"/>
      <c r="L1766" s="248"/>
      <c r="M1766" s="248"/>
      <c r="N1766" s="248"/>
      <c r="O1766" s="248"/>
    </row>
    <row r="1767">
      <c r="A1767" s="199"/>
      <c r="B1767" s="199"/>
      <c r="C1767" s="199"/>
      <c r="D1767" s="248"/>
      <c r="E1767" s="248"/>
      <c r="F1767" s="248"/>
      <c r="G1767" s="248"/>
      <c r="H1767" s="283"/>
      <c r="I1767" s="199"/>
      <c r="J1767" s="199"/>
      <c r="K1767" s="199"/>
      <c r="L1767" s="248"/>
      <c r="M1767" s="248"/>
      <c r="N1767" s="248"/>
      <c r="O1767" s="248"/>
    </row>
    <row r="1768">
      <c r="A1768" s="199"/>
      <c r="B1768" s="199"/>
      <c r="C1768" s="199"/>
      <c r="D1768" s="248"/>
      <c r="E1768" s="248"/>
      <c r="F1768" s="248"/>
      <c r="G1768" s="248"/>
      <c r="H1768" s="283"/>
      <c r="I1768" s="199"/>
      <c r="J1768" s="199"/>
      <c r="K1768" s="199"/>
      <c r="L1768" s="248"/>
      <c r="M1768" s="248"/>
      <c r="N1768" s="248"/>
      <c r="O1768" s="248"/>
    </row>
    <row r="1769">
      <c r="A1769" s="199"/>
      <c r="B1769" s="199"/>
      <c r="C1769" s="199"/>
      <c r="D1769" s="248"/>
      <c r="E1769" s="248"/>
      <c r="F1769" s="248"/>
      <c r="G1769" s="248"/>
      <c r="H1769" s="283"/>
      <c r="I1769" s="199"/>
      <c r="J1769" s="199"/>
      <c r="K1769" s="199"/>
      <c r="L1769" s="248"/>
      <c r="M1769" s="248"/>
      <c r="N1769" s="248"/>
      <c r="O1769" s="248"/>
    </row>
    <row r="1770">
      <c r="A1770" s="199"/>
      <c r="B1770" s="199"/>
      <c r="C1770" s="199"/>
      <c r="D1770" s="248"/>
      <c r="E1770" s="248"/>
      <c r="F1770" s="248"/>
      <c r="G1770" s="248"/>
      <c r="H1770" s="283"/>
      <c r="I1770" s="199"/>
      <c r="J1770" s="199"/>
      <c r="K1770" s="199"/>
      <c r="L1770" s="248"/>
      <c r="M1770" s="248"/>
      <c r="N1770" s="248"/>
      <c r="O1770" s="248"/>
    </row>
    <row r="1771">
      <c r="A1771" s="199"/>
      <c r="B1771" s="199"/>
      <c r="C1771" s="199"/>
      <c r="D1771" s="248"/>
      <c r="E1771" s="248"/>
      <c r="F1771" s="248"/>
      <c r="G1771" s="248"/>
      <c r="H1771" s="283"/>
      <c r="I1771" s="199"/>
      <c r="J1771" s="199"/>
      <c r="K1771" s="199"/>
      <c r="L1771" s="248"/>
      <c r="M1771" s="248"/>
      <c r="N1771" s="248"/>
      <c r="O1771" s="248"/>
    </row>
    <row r="1772">
      <c r="A1772" s="199"/>
      <c r="B1772" s="199"/>
      <c r="C1772" s="199"/>
      <c r="D1772" s="248"/>
      <c r="E1772" s="248"/>
      <c r="F1772" s="248"/>
      <c r="G1772" s="248"/>
      <c r="H1772" s="283"/>
      <c r="I1772" s="199"/>
      <c r="J1772" s="199"/>
      <c r="K1772" s="199"/>
      <c r="L1772" s="248"/>
      <c r="M1772" s="248"/>
      <c r="N1772" s="248"/>
      <c r="O1772" s="248"/>
    </row>
    <row r="1773">
      <c r="A1773" s="199"/>
      <c r="B1773" s="199"/>
      <c r="C1773" s="199"/>
      <c r="D1773" s="248"/>
      <c r="E1773" s="248"/>
      <c r="F1773" s="248"/>
      <c r="G1773" s="248"/>
      <c r="H1773" s="283"/>
      <c r="I1773" s="199"/>
      <c r="J1773" s="199"/>
      <c r="K1773" s="199"/>
      <c r="L1773" s="248"/>
      <c r="M1773" s="248"/>
      <c r="N1773" s="248"/>
      <c r="O1773" s="248"/>
    </row>
    <row r="1774">
      <c r="A1774" s="199"/>
      <c r="B1774" s="199"/>
      <c r="C1774" s="199"/>
      <c r="D1774" s="248"/>
      <c r="E1774" s="248"/>
      <c r="F1774" s="248"/>
      <c r="G1774" s="248"/>
      <c r="H1774" s="283"/>
      <c r="I1774" s="199"/>
      <c r="J1774" s="199"/>
      <c r="K1774" s="199"/>
      <c r="L1774" s="248"/>
      <c r="M1774" s="248"/>
      <c r="N1774" s="248"/>
      <c r="O1774" s="248"/>
    </row>
    <row r="1775">
      <c r="A1775" s="199"/>
      <c r="B1775" s="199"/>
      <c r="C1775" s="199"/>
      <c r="D1775" s="248"/>
      <c r="E1775" s="248"/>
      <c r="F1775" s="248"/>
      <c r="G1775" s="248"/>
      <c r="H1775" s="283"/>
      <c r="I1775" s="199"/>
      <c r="J1775" s="199"/>
      <c r="K1775" s="199"/>
      <c r="L1775" s="248"/>
      <c r="M1775" s="248"/>
      <c r="N1775" s="248"/>
      <c r="O1775" s="248"/>
    </row>
    <row r="1776">
      <c r="A1776" s="199"/>
      <c r="B1776" s="199"/>
      <c r="C1776" s="199"/>
      <c r="D1776" s="248"/>
      <c r="E1776" s="248"/>
      <c r="F1776" s="248"/>
      <c r="G1776" s="248"/>
      <c r="H1776" s="283"/>
      <c r="I1776" s="199"/>
      <c r="J1776" s="199"/>
      <c r="K1776" s="199"/>
      <c r="L1776" s="248"/>
      <c r="M1776" s="248"/>
      <c r="N1776" s="248"/>
      <c r="O1776" s="248"/>
    </row>
    <row r="1777">
      <c r="A1777" s="199"/>
      <c r="B1777" s="199"/>
      <c r="C1777" s="199"/>
      <c r="D1777" s="248"/>
      <c r="E1777" s="248"/>
      <c r="F1777" s="248"/>
      <c r="G1777" s="248"/>
      <c r="H1777" s="283"/>
      <c r="I1777" s="199"/>
      <c r="J1777" s="199"/>
      <c r="K1777" s="199"/>
      <c r="L1777" s="248"/>
      <c r="M1777" s="248"/>
      <c r="N1777" s="248"/>
      <c r="O1777" s="248"/>
    </row>
    <row r="1778">
      <c r="A1778" s="199"/>
      <c r="B1778" s="199"/>
      <c r="C1778" s="199"/>
      <c r="D1778" s="248"/>
      <c r="E1778" s="248"/>
      <c r="F1778" s="248"/>
      <c r="G1778" s="248"/>
      <c r="H1778" s="283"/>
      <c r="I1778" s="199"/>
      <c r="J1778" s="199"/>
      <c r="K1778" s="199"/>
      <c r="L1778" s="248"/>
      <c r="M1778" s="248"/>
      <c r="N1778" s="248"/>
      <c r="O1778" s="248"/>
    </row>
    <row r="1779">
      <c r="A1779" s="199"/>
      <c r="B1779" s="199"/>
      <c r="C1779" s="199"/>
      <c r="D1779" s="248"/>
      <c r="E1779" s="248"/>
      <c r="F1779" s="248"/>
      <c r="G1779" s="248"/>
      <c r="H1779" s="283"/>
      <c r="I1779" s="199"/>
      <c r="J1779" s="199"/>
      <c r="K1779" s="199"/>
      <c r="L1779" s="248"/>
      <c r="M1779" s="248"/>
      <c r="N1779" s="248"/>
      <c r="O1779" s="248"/>
    </row>
    <row r="1780">
      <c r="A1780" s="199"/>
      <c r="B1780" s="199"/>
      <c r="C1780" s="199"/>
      <c r="D1780" s="248"/>
      <c r="E1780" s="248"/>
      <c r="F1780" s="248"/>
      <c r="G1780" s="248"/>
      <c r="H1780" s="283"/>
      <c r="I1780" s="199"/>
      <c r="J1780" s="199"/>
      <c r="K1780" s="199"/>
      <c r="L1780" s="248"/>
      <c r="M1780" s="248"/>
      <c r="N1780" s="248"/>
      <c r="O1780" s="248"/>
    </row>
    <row r="1781">
      <c r="A1781" s="199"/>
      <c r="B1781" s="199"/>
      <c r="C1781" s="199"/>
      <c r="D1781" s="248"/>
      <c r="E1781" s="248"/>
      <c r="F1781" s="248"/>
      <c r="G1781" s="248"/>
      <c r="H1781" s="283"/>
      <c r="I1781" s="199"/>
      <c r="J1781" s="199"/>
      <c r="K1781" s="199"/>
      <c r="L1781" s="248"/>
      <c r="M1781" s="248"/>
      <c r="N1781" s="248"/>
      <c r="O1781" s="248"/>
    </row>
    <row r="1782">
      <c r="A1782" s="199"/>
      <c r="B1782" s="199"/>
      <c r="C1782" s="199"/>
      <c r="D1782" s="248"/>
      <c r="E1782" s="248"/>
      <c r="F1782" s="248"/>
      <c r="G1782" s="248"/>
      <c r="H1782" s="283"/>
      <c r="I1782" s="199"/>
      <c r="J1782" s="199"/>
      <c r="K1782" s="199"/>
      <c r="L1782" s="248"/>
      <c r="M1782" s="248"/>
      <c r="N1782" s="248"/>
      <c r="O1782" s="248"/>
    </row>
    <row r="1783">
      <c r="A1783" s="199"/>
      <c r="B1783" s="199"/>
      <c r="C1783" s="199"/>
      <c r="D1783" s="248"/>
      <c r="E1783" s="248"/>
      <c r="F1783" s="248"/>
      <c r="G1783" s="248"/>
      <c r="H1783" s="283"/>
      <c r="I1783" s="199"/>
      <c r="J1783" s="199"/>
      <c r="K1783" s="199"/>
      <c r="L1783" s="248"/>
      <c r="M1783" s="248"/>
      <c r="N1783" s="248"/>
      <c r="O1783" s="248"/>
    </row>
    <row r="1784">
      <c r="A1784" s="199"/>
      <c r="B1784" s="199"/>
      <c r="C1784" s="199"/>
      <c r="D1784" s="248"/>
      <c r="E1784" s="248"/>
      <c r="F1784" s="248"/>
      <c r="G1784" s="248"/>
      <c r="H1784" s="283"/>
      <c r="I1784" s="199"/>
      <c r="J1784" s="199"/>
      <c r="K1784" s="199"/>
      <c r="L1784" s="248"/>
      <c r="M1784" s="248"/>
      <c r="N1784" s="248"/>
      <c r="O1784" s="248"/>
    </row>
    <row r="1785">
      <c r="A1785" s="199"/>
      <c r="B1785" s="199"/>
      <c r="C1785" s="199"/>
      <c r="D1785" s="248"/>
      <c r="E1785" s="248"/>
      <c r="F1785" s="248"/>
      <c r="G1785" s="248"/>
      <c r="H1785" s="283"/>
      <c r="I1785" s="199"/>
      <c r="J1785" s="199"/>
      <c r="K1785" s="199"/>
      <c r="L1785" s="248"/>
      <c r="M1785" s="248"/>
      <c r="N1785" s="248"/>
      <c r="O1785" s="248"/>
    </row>
    <row r="1786">
      <c r="A1786" s="199"/>
      <c r="B1786" s="199"/>
      <c r="C1786" s="199"/>
      <c r="D1786" s="248"/>
      <c r="E1786" s="248"/>
      <c r="F1786" s="248"/>
      <c r="G1786" s="248"/>
      <c r="H1786" s="283"/>
      <c r="I1786" s="199"/>
      <c r="J1786" s="199"/>
      <c r="K1786" s="199"/>
      <c r="L1786" s="248"/>
      <c r="M1786" s="248"/>
      <c r="N1786" s="248"/>
      <c r="O1786" s="248"/>
    </row>
    <row r="1787">
      <c r="A1787" s="199"/>
      <c r="B1787" s="199"/>
      <c r="C1787" s="199"/>
      <c r="D1787" s="248"/>
      <c r="E1787" s="248"/>
      <c r="F1787" s="248"/>
      <c r="G1787" s="248"/>
      <c r="H1787" s="283"/>
      <c r="I1787" s="199"/>
      <c r="J1787" s="199"/>
      <c r="K1787" s="199"/>
      <c r="L1787" s="248"/>
      <c r="M1787" s="248"/>
      <c r="N1787" s="248"/>
      <c r="O1787" s="248"/>
    </row>
    <row r="1788">
      <c r="A1788" s="199"/>
      <c r="B1788" s="199"/>
      <c r="C1788" s="199"/>
      <c r="D1788" s="248"/>
      <c r="E1788" s="248"/>
      <c r="F1788" s="248"/>
      <c r="G1788" s="248"/>
      <c r="H1788" s="283"/>
      <c r="I1788" s="199"/>
      <c r="J1788" s="199"/>
      <c r="K1788" s="199"/>
      <c r="L1788" s="248"/>
      <c r="M1788" s="248"/>
      <c r="N1788" s="248"/>
      <c r="O1788" s="248"/>
    </row>
    <row r="1789">
      <c r="A1789" s="199"/>
      <c r="B1789" s="199"/>
      <c r="C1789" s="199"/>
      <c r="D1789" s="248"/>
      <c r="E1789" s="248"/>
      <c r="F1789" s="248"/>
      <c r="G1789" s="248"/>
      <c r="H1789" s="283"/>
      <c r="I1789" s="199"/>
      <c r="J1789" s="199"/>
      <c r="K1789" s="199"/>
      <c r="L1789" s="248"/>
      <c r="M1789" s="248"/>
      <c r="N1789" s="248"/>
      <c r="O1789" s="248"/>
    </row>
    <row r="1790">
      <c r="A1790" s="199"/>
      <c r="B1790" s="199"/>
      <c r="C1790" s="199"/>
      <c r="D1790" s="248"/>
      <c r="E1790" s="248"/>
      <c r="F1790" s="248"/>
      <c r="G1790" s="248"/>
      <c r="H1790" s="283"/>
      <c r="I1790" s="199"/>
      <c r="J1790" s="199"/>
      <c r="K1790" s="199"/>
      <c r="L1790" s="248"/>
      <c r="M1790" s="248"/>
      <c r="N1790" s="248"/>
      <c r="O1790" s="248"/>
    </row>
    <row r="1791">
      <c r="A1791" s="199"/>
      <c r="B1791" s="199"/>
      <c r="C1791" s="199"/>
      <c r="D1791" s="248"/>
      <c r="E1791" s="248"/>
      <c r="F1791" s="248"/>
      <c r="G1791" s="248"/>
      <c r="H1791" s="283"/>
      <c r="I1791" s="199"/>
      <c r="J1791" s="199"/>
      <c r="K1791" s="199"/>
      <c r="L1791" s="248"/>
      <c r="M1791" s="248"/>
      <c r="N1791" s="248"/>
      <c r="O1791" s="248"/>
    </row>
    <row r="1792">
      <c r="A1792" s="199"/>
      <c r="B1792" s="199"/>
      <c r="C1792" s="199"/>
      <c r="D1792" s="248"/>
      <c r="E1792" s="248"/>
      <c r="F1792" s="248"/>
      <c r="G1792" s="248"/>
      <c r="H1792" s="283"/>
      <c r="I1792" s="199"/>
      <c r="J1792" s="199"/>
      <c r="K1792" s="199"/>
      <c r="L1792" s="248"/>
      <c r="M1792" s="248"/>
      <c r="N1792" s="248"/>
      <c r="O1792" s="248"/>
    </row>
    <row r="1793">
      <c r="A1793" s="199"/>
      <c r="B1793" s="199"/>
      <c r="C1793" s="199"/>
      <c r="D1793" s="248"/>
      <c r="E1793" s="248"/>
      <c r="F1793" s="248"/>
      <c r="G1793" s="248"/>
      <c r="H1793" s="283"/>
      <c r="I1793" s="199"/>
      <c r="J1793" s="199"/>
      <c r="K1793" s="199"/>
      <c r="L1793" s="248"/>
      <c r="M1793" s="248"/>
      <c r="N1793" s="248"/>
      <c r="O1793" s="248"/>
    </row>
    <row r="1794">
      <c r="A1794" s="199"/>
      <c r="B1794" s="199"/>
      <c r="C1794" s="199"/>
      <c r="D1794" s="248"/>
      <c r="E1794" s="248"/>
      <c r="F1794" s="248"/>
      <c r="G1794" s="248"/>
      <c r="H1794" s="283"/>
      <c r="I1794" s="199"/>
      <c r="J1794" s="199"/>
      <c r="K1794" s="199"/>
      <c r="L1794" s="248"/>
      <c r="M1794" s="248"/>
      <c r="N1794" s="248"/>
      <c r="O1794" s="248"/>
    </row>
    <row r="1795">
      <c r="A1795" s="199"/>
      <c r="B1795" s="199"/>
      <c r="C1795" s="199"/>
      <c r="D1795" s="248"/>
      <c r="E1795" s="248"/>
      <c r="F1795" s="248"/>
      <c r="G1795" s="248"/>
      <c r="H1795" s="283"/>
      <c r="I1795" s="199"/>
      <c r="J1795" s="199"/>
      <c r="K1795" s="199"/>
      <c r="L1795" s="248"/>
      <c r="M1795" s="248"/>
      <c r="N1795" s="248"/>
      <c r="O1795" s="248"/>
    </row>
    <row r="1796">
      <c r="A1796" s="199"/>
      <c r="B1796" s="199"/>
      <c r="C1796" s="199"/>
      <c r="D1796" s="248"/>
      <c r="E1796" s="248"/>
      <c r="F1796" s="248"/>
      <c r="G1796" s="248"/>
      <c r="H1796" s="283"/>
      <c r="I1796" s="199"/>
      <c r="J1796" s="199"/>
      <c r="K1796" s="199"/>
      <c r="L1796" s="248"/>
      <c r="M1796" s="248"/>
      <c r="N1796" s="248"/>
      <c r="O1796" s="248"/>
    </row>
    <row r="1797">
      <c r="A1797" s="199"/>
      <c r="B1797" s="199"/>
      <c r="C1797" s="199"/>
      <c r="D1797" s="248"/>
      <c r="E1797" s="248"/>
      <c r="F1797" s="248"/>
      <c r="G1797" s="248"/>
      <c r="H1797" s="283"/>
      <c r="I1797" s="199"/>
      <c r="J1797" s="199"/>
      <c r="K1797" s="199"/>
      <c r="L1797" s="248"/>
      <c r="M1797" s="248"/>
      <c r="N1797" s="248"/>
      <c r="O1797" s="248"/>
    </row>
    <row r="1798">
      <c r="A1798" s="199"/>
      <c r="B1798" s="199"/>
      <c r="C1798" s="199"/>
      <c r="D1798" s="248"/>
      <c r="E1798" s="248"/>
      <c r="F1798" s="248"/>
      <c r="G1798" s="248"/>
      <c r="H1798" s="283"/>
      <c r="I1798" s="199"/>
      <c r="J1798" s="199"/>
      <c r="K1798" s="199"/>
      <c r="L1798" s="248"/>
      <c r="M1798" s="248"/>
      <c r="N1798" s="248"/>
      <c r="O1798" s="248"/>
    </row>
    <row r="1799">
      <c r="A1799" s="199"/>
      <c r="B1799" s="199"/>
      <c r="C1799" s="199"/>
      <c r="D1799" s="248"/>
      <c r="E1799" s="248"/>
      <c r="F1799" s="248"/>
      <c r="G1799" s="248"/>
      <c r="H1799" s="283"/>
      <c r="I1799" s="199"/>
      <c r="J1799" s="199"/>
      <c r="K1799" s="199"/>
      <c r="L1799" s="248"/>
      <c r="M1799" s="248"/>
      <c r="N1799" s="248"/>
      <c r="O1799" s="248"/>
    </row>
    <row r="1800">
      <c r="A1800" s="199"/>
      <c r="B1800" s="199"/>
      <c r="C1800" s="199"/>
      <c r="D1800" s="248"/>
      <c r="E1800" s="248"/>
      <c r="F1800" s="248"/>
      <c r="G1800" s="248"/>
      <c r="H1800" s="283"/>
      <c r="I1800" s="199"/>
      <c r="J1800" s="199"/>
      <c r="K1800" s="199"/>
      <c r="L1800" s="248"/>
      <c r="M1800" s="248"/>
      <c r="N1800" s="248"/>
      <c r="O1800" s="248"/>
    </row>
    <row r="1801">
      <c r="A1801" s="199"/>
      <c r="B1801" s="199"/>
      <c r="C1801" s="199"/>
      <c r="D1801" s="248"/>
      <c r="E1801" s="248"/>
      <c r="F1801" s="248"/>
      <c r="G1801" s="248"/>
      <c r="H1801" s="283"/>
      <c r="I1801" s="199"/>
      <c r="J1801" s="199"/>
      <c r="K1801" s="199"/>
      <c r="L1801" s="248"/>
      <c r="M1801" s="248"/>
      <c r="N1801" s="248"/>
      <c r="O1801" s="248"/>
    </row>
    <row r="1802">
      <c r="A1802" s="199"/>
      <c r="B1802" s="199"/>
      <c r="C1802" s="199"/>
      <c r="D1802" s="248"/>
      <c r="E1802" s="248"/>
      <c r="F1802" s="248"/>
      <c r="G1802" s="248"/>
      <c r="H1802" s="283"/>
      <c r="I1802" s="199"/>
      <c r="J1802" s="199"/>
      <c r="K1802" s="199"/>
      <c r="L1802" s="248"/>
      <c r="M1802" s="248"/>
      <c r="N1802" s="248"/>
      <c r="O1802" s="248"/>
    </row>
    <row r="1803">
      <c r="A1803" s="199"/>
      <c r="B1803" s="199"/>
      <c r="C1803" s="199"/>
      <c r="D1803" s="248"/>
      <c r="E1803" s="248"/>
      <c r="F1803" s="248"/>
      <c r="G1803" s="248"/>
      <c r="H1803" s="283"/>
      <c r="I1803" s="199"/>
      <c r="J1803" s="199"/>
      <c r="K1803" s="199"/>
      <c r="L1803" s="248"/>
      <c r="M1803" s="248"/>
      <c r="N1803" s="248"/>
      <c r="O1803" s="248"/>
    </row>
    <row r="1804">
      <c r="A1804" s="199"/>
      <c r="B1804" s="199"/>
      <c r="C1804" s="199"/>
      <c r="D1804" s="248"/>
      <c r="E1804" s="248"/>
      <c r="F1804" s="248"/>
      <c r="G1804" s="248"/>
      <c r="H1804" s="283"/>
      <c r="I1804" s="199"/>
      <c r="J1804" s="199"/>
      <c r="K1804" s="199"/>
      <c r="L1804" s="248"/>
      <c r="M1804" s="248"/>
      <c r="N1804" s="248"/>
      <c r="O1804" s="248"/>
    </row>
    <row r="1805">
      <c r="A1805" s="199"/>
      <c r="B1805" s="199"/>
      <c r="C1805" s="199"/>
      <c r="D1805" s="248"/>
      <c r="E1805" s="248"/>
      <c r="F1805" s="248"/>
      <c r="G1805" s="248"/>
      <c r="H1805" s="283"/>
      <c r="I1805" s="199"/>
      <c r="J1805" s="199"/>
      <c r="K1805" s="199"/>
      <c r="L1805" s="248"/>
      <c r="M1805" s="248"/>
      <c r="N1805" s="248"/>
      <c r="O1805" s="248"/>
    </row>
    <row r="1806">
      <c r="A1806" s="199"/>
      <c r="B1806" s="199"/>
      <c r="C1806" s="199"/>
      <c r="D1806" s="248"/>
      <c r="E1806" s="248"/>
      <c r="F1806" s="248"/>
      <c r="G1806" s="248"/>
      <c r="H1806" s="283"/>
      <c r="I1806" s="199"/>
      <c r="J1806" s="199"/>
      <c r="K1806" s="199"/>
      <c r="L1806" s="248"/>
      <c r="M1806" s="248"/>
      <c r="N1806" s="248"/>
      <c r="O1806" s="248"/>
    </row>
    <row r="1807">
      <c r="A1807" s="199"/>
      <c r="B1807" s="199"/>
      <c r="C1807" s="199"/>
      <c r="D1807" s="248"/>
      <c r="E1807" s="248"/>
      <c r="F1807" s="248"/>
      <c r="G1807" s="248"/>
      <c r="H1807" s="283"/>
      <c r="I1807" s="199"/>
      <c r="J1807" s="199"/>
      <c r="K1807" s="199"/>
      <c r="L1807" s="248"/>
      <c r="M1807" s="248"/>
      <c r="N1807" s="248"/>
      <c r="O1807" s="248"/>
    </row>
    <row r="1808">
      <c r="A1808" s="199"/>
      <c r="B1808" s="199"/>
      <c r="C1808" s="199"/>
      <c r="D1808" s="248"/>
      <c r="E1808" s="248"/>
      <c r="F1808" s="248"/>
      <c r="G1808" s="248"/>
      <c r="H1808" s="283"/>
      <c r="I1808" s="199"/>
      <c r="J1808" s="199"/>
      <c r="K1808" s="199"/>
      <c r="L1808" s="248"/>
      <c r="M1808" s="248"/>
      <c r="N1808" s="248"/>
      <c r="O1808" s="248"/>
    </row>
    <row r="1809">
      <c r="A1809" s="199"/>
      <c r="B1809" s="199"/>
      <c r="C1809" s="199"/>
      <c r="D1809" s="248"/>
      <c r="E1809" s="248"/>
      <c r="F1809" s="248"/>
      <c r="G1809" s="248"/>
      <c r="H1809" s="283"/>
      <c r="I1809" s="199"/>
      <c r="J1809" s="199"/>
      <c r="K1809" s="199"/>
      <c r="L1809" s="248"/>
      <c r="M1809" s="248"/>
      <c r="N1809" s="248"/>
      <c r="O1809" s="248"/>
    </row>
    <row r="1810">
      <c r="A1810" s="199"/>
      <c r="B1810" s="199"/>
      <c r="C1810" s="199"/>
      <c r="D1810" s="248"/>
      <c r="E1810" s="248"/>
      <c r="F1810" s="248"/>
      <c r="G1810" s="248"/>
      <c r="H1810" s="283"/>
      <c r="I1810" s="199"/>
      <c r="J1810" s="199"/>
      <c r="K1810" s="199"/>
      <c r="L1810" s="248"/>
      <c r="M1810" s="248"/>
      <c r="N1810" s="248"/>
      <c r="O1810" s="248"/>
    </row>
    <row r="1811">
      <c r="A1811" s="199"/>
      <c r="B1811" s="199"/>
      <c r="C1811" s="199"/>
      <c r="D1811" s="248"/>
      <c r="E1811" s="248"/>
      <c r="F1811" s="248"/>
      <c r="G1811" s="248"/>
      <c r="H1811" s="283"/>
      <c r="I1811" s="199"/>
      <c r="J1811" s="199"/>
      <c r="K1811" s="199"/>
      <c r="L1811" s="248"/>
      <c r="M1811" s="248"/>
      <c r="N1811" s="248"/>
      <c r="O1811" s="248"/>
    </row>
    <row r="1812">
      <c r="A1812" s="199"/>
      <c r="B1812" s="199"/>
      <c r="C1812" s="199"/>
      <c r="D1812" s="248"/>
      <c r="E1812" s="248"/>
      <c r="F1812" s="248"/>
      <c r="G1812" s="248"/>
      <c r="H1812" s="283"/>
      <c r="I1812" s="199"/>
      <c r="J1812" s="199"/>
      <c r="K1812" s="199"/>
      <c r="L1812" s="248"/>
      <c r="M1812" s="248"/>
      <c r="N1812" s="248"/>
      <c r="O1812" s="248"/>
    </row>
    <row r="1813">
      <c r="A1813" s="199"/>
      <c r="B1813" s="199"/>
      <c r="C1813" s="199"/>
      <c r="D1813" s="248"/>
      <c r="E1813" s="248"/>
      <c r="F1813" s="248"/>
      <c r="G1813" s="248"/>
      <c r="H1813" s="283"/>
      <c r="I1813" s="199"/>
      <c r="J1813" s="199"/>
      <c r="K1813" s="199"/>
      <c r="L1813" s="248"/>
      <c r="M1813" s="248"/>
      <c r="N1813" s="248"/>
      <c r="O1813" s="248"/>
    </row>
    <row r="1814">
      <c r="A1814" s="199"/>
      <c r="B1814" s="199"/>
      <c r="C1814" s="199"/>
      <c r="D1814" s="248"/>
      <c r="E1814" s="248"/>
      <c r="F1814" s="248"/>
      <c r="G1814" s="248"/>
      <c r="H1814" s="283"/>
      <c r="I1814" s="199"/>
      <c r="J1814" s="199"/>
      <c r="K1814" s="199"/>
      <c r="L1814" s="248"/>
      <c r="M1814" s="248"/>
      <c r="N1814" s="248"/>
      <c r="O1814" s="248"/>
    </row>
    <row r="1815">
      <c r="A1815" s="199"/>
      <c r="B1815" s="199"/>
      <c r="C1815" s="199"/>
      <c r="D1815" s="248"/>
      <c r="E1815" s="248"/>
      <c r="F1815" s="248"/>
      <c r="G1815" s="248"/>
      <c r="H1815" s="283"/>
      <c r="I1815" s="199"/>
      <c r="J1815" s="199"/>
      <c r="K1815" s="199"/>
      <c r="L1815" s="248"/>
      <c r="M1815" s="248"/>
      <c r="N1815" s="248"/>
      <c r="O1815" s="248"/>
    </row>
    <row r="1816">
      <c r="A1816" s="199"/>
      <c r="B1816" s="199"/>
      <c r="C1816" s="199"/>
      <c r="D1816" s="248"/>
      <c r="E1816" s="248"/>
      <c r="F1816" s="248"/>
      <c r="G1816" s="248"/>
      <c r="H1816" s="283"/>
      <c r="I1816" s="199"/>
      <c r="J1816" s="199"/>
      <c r="K1816" s="199"/>
      <c r="L1816" s="248"/>
      <c r="M1816" s="248"/>
      <c r="N1816" s="248"/>
      <c r="O1816" s="248"/>
    </row>
    <row r="1817">
      <c r="A1817" s="199"/>
      <c r="B1817" s="199"/>
      <c r="C1817" s="199"/>
      <c r="D1817" s="248"/>
      <c r="E1817" s="248"/>
      <c r="F1817" s="248"/>
      <c r="G1817" s="248"/>
      <c r="H1817" s="283"/>
      <c r="I1817" s="199"/>
      <c r="J1817" s="199"/>
      <c r="K1817" s="199"/>
      <c r="L1817" s="248"/>
      <c r="M1817" s="248"/>
      <c r="N1817" s="248"/>
      <c r="O1817" s="248"/>
    </row>
    <row r="1818">
      <c r="A1818" s="199"/>
      <c r="B1818" s="199"/>
      <c r="C1818" s="199"/>
      <c r="D1818" s="248"/>
      <c r="E1818" s="248"/>
      <c r="F1818" s="248"/>
      <c r="G1818" s="248"/>
      <c r="H1818" s="283"/>
      <c r="I1818" s="199"/>
      <c r="J1818" s="199"/>
      <c r="K1818" s="199"/>
      <c r="L1818" s="248"/>
      <c r="M1818" s="248"/>
      <c r="N1818" s="248"/>
      <c r="O1818" s="248"/>
    </row>
    <row r="1819">
      <c r="A1819" s="199"/>
      <c r="B1819" s="199"/>
      <c r="C1819" s="199"/>
      <c r="D1819" s="248"/>
      <c r="E1819" s="248"/>
      <c r="F1819" s="248"/>
      <c r="G1819" s="248"/>
      <c r="H1819" s="283"/>
      <c r="I1819" s="199"/>
      <c r="J1819" s="199"/>
      <c r="K1819" s="199"/>
      <c r="L1819" s="248"/>
      <c r="M1819" s="248"/>
      <c r="N1819" s="248"/>
      <c r="O1819" s="248"/>
    </row>
    <row r="1820">
      <c r="A1820" s="199"/>
      <c r="B1820" s="199"/>
      <c r="C1820" s="199"/>
      <c r="D1820" s="248"/>
      <c r="E1820" s="248"/>
      <c r="F1820" s="248"/>
      <c r="G1820" s="248"/>
      <c r="H1820" s="283"/>
      <c r="I1820" s="199"/>
      <c r="J1820" s="199"/>
      <c r="K1820" s="199"/>
      <c r="L1820" s="248"/>
      <c r="M1820" s="248"/>
      <c r="N1820" s="248"/>
      <c r="O1820" s="248"/>
    </row>
    <row r="1821">
      <c r="A1821" s="199"/>
      <c r="B1821" s="199"/>
      <c r="C1821" s="199"/>
      <c r="D1821" s="248"/>
      <c r="E1821" s="248"/>
      <c r="F1821" s="248"/>
      <c r="G1821" s="248"/>
      <c r="H1821" s="283"/>
      <c r="I1821" s="199"/>
      <c r="J1821" s="199"/>
      <c r="K1821" s="199"/>
      <c r="L1821" s="248"/>
      <c r="M1821" s="248"/>
      <c r="N1821" s="248"/>
      <c r="O1821" s="248"/>
    </row>
    <row r="1822">
      <c r="A1822" s="199"/>
      <c r="B1822" s="199"/>
      <c r="C1822" s="199"/>
      <c r="D1822" s="248"/>
      <c r="E1822" s="248"/>
      <c r="F1822" s="248"/>
      <c r="G1822" s="248"/>
      <c r="H1822" s="283"/>
      <c r="I1822" s="199"/>
      <c r="J1822" s="199"/>
      <c r="K1822" s="199"/>
      <c r="L1822" s="248"/>
      <c r="M1822" s="248"/>
      <c r="N1822" s="248"/>
      <c r="O1822" s="248"/>
    </row>
    <row r="1823">
      <c r="A1823" s="199"/>
      <c r="B1823" s="199"/>
      <c r="C1823" s="199"/>
      <c r="D1823" s="248"/>
      <c r="E1823" s="248"/>
      <c r="F1823" s="248"/>
      <c r="G1823" s="248"/>
      <c r="H1823" s="283"/>
      <c r="I1823" s="199"/>
      <c r="J1823" s="199"/>
      <c r="K1823" s="199"/>
      <c r="L1823" s="248"/>
      <c r="M1823" s="248"/>
      <c r="N1823" s="248"/>
      <c r="O1823" s="248"/>
    </row>
    <row r="1824">
      <c r="A1824" s="199"/>
      <c r="B1824" s="199"/>
      <c r="C1824" s="199"/>
      <c r="D1824" s="248"/>
      <c r="E1824" s="248"/>
      <c r="F1824" s="248"/>
      <c r="G1824" s="248"/>
      <c r="H1824" s="283"/>
      <c r="I1824" s="199"/>
      <c r="J1824" s="199"/>
      <c r="K1824" s="199"/>
      <c r="L1824" s="248"/>
      <c r="M1824" s="248"/>
      <c r="N1824" s="248"/>
      <c r="O1824" s="248"/>
    </row>
    <row r="1825">
      <c r="A1825" s="199"/>
      <c r="B1825" s="199"/>
      <c r="C1825" s="199"/>
      <c r="D1825" s="248"/>
      <c r="E1825" s="248"/>
      <c r="F1825" s="248"/>
      <c r="G1825" s="248"/>
      <c r="H1825" s="283"/>
      <c r="I1825" s="199"/>
      <c r="J1825" s="199"/>
      <c r="K1825" s="199"/>
      <c r="L1825" s="248"/>
      <c r="M1825" s="248"/>
      <c r="N1825" s="248"/>
      <c r="O1825" s="248"/>
    </row>
    <row r="1826">
      <c r="A1826" s="199"/>
      <c r="B1826" s="199"/>
      <c r="C1826" s="199"/>
      <c r="D1826" s="248"/>
      <c r="E1826" s="248"/>
      <c r="F1826" s="248"/>
      <c r="G1826" s="248"/>
      <c r="H1826" s="283"/>
      <c r="I1826" s="199"/>
      <c r="J1826" s="199"/>
      <c r="K1826" s="199"/>
      <c r="L1826" s="248"/>
      <c r="M1826" s="248"/>
      <c r="N1826" s="248"/>
      <c r="O1826" s="248"/>
    </row>
    <row r="1827">
      <c r="A1827" s="199"/>
      <c r="B1827" s="199"/>
      <c r="C1827" s="199"/>
      <c r="D1827" s="248"/>
      <c r="E1827" s="248"/>
      <c r="F1827" s="248"/>
      <c r="G1827" s="248"/>
      <c r="H1827" s="283"/>
      <c r="I1827" s="199"/>
      <c r="J1827" s="199"/>
      <c r="K1827" s="199"/>
      <c r="L1827" s="248"/>
      <c r="M1827" s="248"/>
      <c r="N1827" s="248"/>
      <c r="O1827" s="248"/>
    </row>
    <row r="1828">
      <c r="A1828" s="199"/>
      <c r="B1828" s="199"/>
      <c r="C1828" s="199"/>
      <c r="D1828" s="248"/>
      <c r="E1828" s="248"/>
      <c r="F1828" s="248"/>
      <c r="G1828" s="248"/>
      <c r="H1828" s="283"/>
      <c r="I1828" s="199"/>
      <c r="J1828" s="199"/>
      <c r="K1828" s="199"/>
      <c r="L1828" s="248"/>
      <c r="M1828" s="248"/>
      <c r="N1828" s="248"/>
      <c r="O1828" s="248"/>
    </row>
    <row r="1829">
      <c r="A1829" s="199"/>
      <c r="B1829" s="199"/>
      <c r="C1829" s="199"/>
      <c r="D1829" s="248"/>
      <c r="E1829" s="248"/>
      <c r="F1829" s="248"/>
      <c r="G1829" s="248"/>
      <c r="H1829" s="283"/>
      <c r="I1829" s="199"/>
      <c r="J1829" s="199"/>
      <c r="K1829" s="199"/>
      <c r="L1829" s="248"/>
      <c r="M1829" s="248"/>
      <c r="N1829" s="248"/>
      <c r="O1829" s="248"/>
    </row>
    <row r="1830">
      <c r="A1830" s="199"/>
      <c r="B1830" s="199"/>
      <c r="C1830" s="199"/>
      <c r="D1830" s="248"/>
      <c r="E1830" s="248"/>
      <c r="F1830" s="248"/>
      <c r="G1830" s="248"/>
      <c r="H1830" s="283"/>
      <c r="I1830" s="199"/>
      <c r="J1830" s="199"/>
      <c r="K1830" s="199"/>
      <c r="L1830" s="248"/>
      <c r="M1830" s="248"/>
      <c r="N1830" s="248"/>
      <c r="O1830" s="248"/>
    </row>
    <row r="1831">
      <c r="A1831" s="199"/>
      <c r="B1831" s="199"/>
      <c r="C1831" s="199"/>
      <c r="D1831" s="248"/>
      <c r="E1831" s="248"/>
      <c r="F1831" s="248"/>
      <c r="G1831" s="248"/>
      <c r="H1831" s="283"/>
      <c r="I1831" s="199"/>
      <c r="J1831" s="199"/>
      <c r="K1831" s="199"/>
      <c r="L1831" s="248"/>
      <c r="M1831" s="248"/>
      <c r="N1831" s="248"/>
      <c r="O1831" s="248"/>
    </row>
    <row r="1832">
      <c r="A1832" s="199"/>
      <c r="B1832" s="199"/>
      <c r="C1832" s="199"/>
      <c r="D1832" s="248"/>
      <c r="E1832" s="248"/>
      <c r="F1832" s="248"/>
      <c r="G1832" s="248"/>
      <c r="H1832" s="283"/>
      <c r="I1832" s="199"/>
      <c r="J1832" s="199"/>
      <c r="K1832" s="199"/>
      <c r="L1832" s="248"/>
      <c r="M1832" s="248"/>
      <c r="N1832" s="248"/>
      <c r="O1832" s="248"/>
    </row>
    <row r="1833">
      <c r="A1833" s="199"/>
      <c r="B1833" s="199"/>
      <c r="C1833" s="199"/>
      <c r="D1833" s="248"/>
      <c r="E1833" s="248"/>
      <c r="F1833" s="248"/>
      <c r="G1833" s="248"/>
      <c r="H1833" s="283"/>
      <c r="I1833" s="199"/>
      <c r="J1833" s="199"/>
      <c r="K1833" s="199"/>
      <c r="L1833" s="248"/>
      <c r="M1833" s="248"/>
      <c r="N1833" s="248"/>
      <c r="O1833" s="248"/>
    </row>
    <row r="1834">
      <c r="A1834" s="199"/>
      <c r="B1834" s="199"/>
      <c r="C1834" s="199"/>
      <c r="D1834" s="248"/>
      <c r="E1834" s="248"/>
      <c r="F1834" s="248"/>
      <c r="G1834" s="248"/>
      <c r="H1834" s="283"/>
      <c r="I1834" s="199"/>
      <c r="J1834" s="199"/>
      <c r="K1834" s="199"/>
      <c r="L1834" s="248"/>
      <c r="M1834" s="248"/>
      <c r="N1834" s="248"/>
      <c r="O1834" s="248"/>
    </row>
    <row r="1835">
      <c r="A1835" s="199"/>
      <c r="B1835" s="199"/>
      <c r="C1835" s="199"/>
      <c r="D1835" s="248"/>
      <c r="E1835" s="248"/>
      <c r="F1835" s="248"/>
      <c r="G1835" s="248"/>
      <c r="H1835" s="283"/>
      <c r="I1835" s="199"/>
      <c r="J1835" s="199"/>
      <c r="K1835" s="199"/>
      <c r="L1835" s="248"/>
      <c r="M1835" s="248"/>
      <c r="N1835" s="248"/>
      <c r="O1835" s="248"/>
    </row>
    <row r="1836">
      <c r="A1836" s="199"/>
      <c r="B1836" s="199"/>
      <c r="C1836" s="199"/>
      <c r="D1836" s="248"/>
      <c r="E1836" s="248"/>
      <c r="F1836" s="248"/>
      <c r="G1836" s="248"/>
      <c r="H1836" s="283"/>
      <c r="I1836" s="199"/>
      <c r="J1836" s="199"/>
      <c r="K1836" s="199"/>
      <c r="L1836" s="248"/>
      <c r="M1836" s="248"/>
      <c r="N1836" s="248"/>
      <c r="O1836" s="248"/>
    </row>
    <row r="1837">
      <c r="A1837" s="199"/>
      <c r="B1837" s="199"/>
      <c r="C1837" s="199"/>
      <c r="D1837" s="248"/>
      <c r="E1837" s="248"/>
      <c r="F1837" s="248"/>
      <c r="G1837" s="248"/>
      <c r="H1837" s="283"/>
      <c r="I1837" s="199"/>
      <c r="J1837" s="199"/>
      <c r="K1837" s="199"/>
      <c r="L1837" s="248"/>
      <c r="M1837" s="248"/>
      <c r="N1837" s="248"/>
      <c r="O1837" s="248"/>
    </row>
    <row r="1838">
      <c r="A1838" s="199"/>
      <c r="B1838" s="199"/>
      <c r="C1838" s="199"/>
      <c r="D1838" s="248"/>
      <c r="E1838" s="248"/>
      <c r="F1838" s="248"/>
      <c r="G1838" s="248"/>
      <c r="H1838" s="283"/>
      <c r="I1838" s="199"/>
      <c r="J1838" s="199"/>
      <c r="K1838" s="199"/>
      <c r="L1838" s="248"/>
      <c r="M1838" s="248"/>
      <c r="N1838" s="248"/>
      <c r="O1838" s="248"/>
    </row>
    <row r="1839">
      <c r="A1839" s="199"/>
      <c r="B1839" s="199"/>
      <c r="C1839" s="199"/>
      <c r="D1839" s="248"/>
      <c r="E1839" s="248"/>
      <c r="F1839" s="248"/>
      <c r="G1839" s="248"/>
      <c r="H1839" s="283"/>
      <c r="I1839" s="199"/>
      <c r="J1839" s="199"/>
      <c r="K1839" s="199"/>
      <c r="L1839" s="248"/>
      <c r="M1839" s="248"/>
      <c r="N1839" s="248"/>
      <c r="O1839" s="248"/>
    </row>
    <row r="1840">
      <c r="A1840" s="199"/>
      <c r="B1840" s="199"/>
      <c r="C1840" s="199"/>
      <c r="D1840" s="248"/>
      <c r="E1840" s="248"/>
      <c r="F1840" s="248"/>
      <c r="G1840" s="248"/>
      <c r="H1840" s="283"/>
      <c r="I1840" s="199"/>
      <c r="J1840" s="199"/>
      <c r="K1840" s="199"/>
      <c r="L1840" s="248"/>
      <c r="M1840" s="248"/>
      <c r="N1840" s="248"/>
      <c r="O1840" s="248"/>
    </row>
    <row r="1841">
      <c r="A1841" s="199"/>
      <c r="B1841" s="199"/>
      <c r="C1841" s="199"/>
      <c r="D1841" s="248"/>
      <c r="E1841" s="248"/>
      <c r="F1841" s="248"/>
      <c r="G1841" s="248"/>
      <c r="H1841" s="283"/>
      <c r="I1841" s="199"/>
      <c r="J1841" s="199"/>
      <c r="K1841" s="199"/>
      <c r="L1841" s="248"/>
      <c r="M1841" s="248"/>
      <c r="N1841" s="248"/>
      <c r="O1841" s="248"/>
    </row>
    <row r="1842">
      <c r="A1842" s="199"/>
      <c r="B1842" s="199"/>
      <c r="C1842" s="199"/>
      <c r="D1842" s="248"/>
      <c r="E1842" s="248"/>
      <c r="F1842" s="248"/>
      <c r="G1842" s="248"/>
      <c r="H1842" s="283"/>
      <c r="I1842" s="199"/>
      <c r="J1842" s="199"/>
      <c r="K1842" s="199"/>
      <c r="L1842" s="248"/>
      <c r="M1842" s="248"/>
      <c r="N1842" s="248"/>
      <c r="O1842" s="248"/>
    </row>
    <row r="1843">
      <c r="A1843" s="199"/>
      <c r="B1843" s="199"/>
      <c r="C1843" s="199"/>
      <c r="D1843" s="248"/>
      <c r="E1843" s="248"/>
      <c r="F1843" s="248"/>
      <c r="G1843" s="248"/>
      <c r="H1843" s="283"/>
      <c r="I1843" s="199"/>
      <c r="J1843" s="199"/>
      <c r="K1843" s="199"/>
      <c r="L1843" s="248"/>
      <c r="M1843" s="248"/>
      <c r="N1843" s="248"/>
      <c r="O1843" s="248"/>
    </row>
    <row r="1844">
      <c r="A1844" s="199"/>
      <c r="B1844" s="199"/>
      <c r="C1844" s="199"/>
      <c r="D1844" s="248"/>
      <c r="E1844" s="248"/>
      <c r="F1844" s="248"/>
      <c r="G1844" s="248"/>
      <c r="H1844" s="283"/>
      <c r="I1844" s="199"/>
      <c r="J1844" s="199"/>
      <c r="K1844" s="199"/>
      <c r="L1844" s="248"/>
      <c r="M1844" s="248"/>
      <c r="N1844" s="248"/>
      <c r="O1844" s="248"/>
    </row>
    <row r="1845">
      <c r="A1845" s="199"/>
      <c r="B1845" s="199"/>
      <c r="C1845" s="199"/>
      <c r="D1845" s="248"/>
      <c r="E1845" s="248"/>
      <c r="F1845" s="248"/>
      <c r="G1845" s="248"/>
      <c r="H1845" s="283"/>
      <c r="I1845" s="199"/>
      <c r="J1845" s="199"/>
      <c r="K1845" s="199"/>
      <c r="L1845" s="248"/>
      <c r="M1845" s="248"/>
      <c r="N1845" s="248"/>
      <c r="O1845" s="248"/>
    </row>
    <row r="1846">
      <c r="A1846" s="199"/>
      <c r="B1846" s="199"/>
      <c r="C1846" s="199"/>
      <c r="D1846" s="248"/>
      <c r="E1846" s="248"/>
      <c r="F1846" s="248"/>
      <c r="G1846" s="248"/>
      <c r="H1846" s="283"/>
      <c r="I1846" s="199"/>
      <c r="J1846" s="199"/>
      <c r="K1846" s="199"/>
      <c r="L1846" s="248"/>
      <c r="M1846" s="248"/>
      <c r="N1846" s="248"/>
      <c r="O1846" s="248"/>
    </row>
    <row r="1847">
      <c r="A1847" s="199"/>
      <c r="B1847" s="199"/>
      <c r="C1847" s="199"/>
      <c r="D1847" s="248"/>
      <c r="E1847" s="248"/>
      <c r="F1847" s="248"/>
      <c r="G1847" s="248"/>
      <c r="H1847" s="283"/>
      <c r="I1847" s="199"/>
      <c r="J1847" s="199"/>
      <c r="K1847" s="199"/>
      <c r="L1847" s="248"/>
      <c r="M1847" s="248"/>
      <c r="N1847" s="248"/>
      <c r="O1847" s="248"/>
    </row>
    <row r="1848">
      <c r="A1848" s="199"/>
      <c r="B1848" s="199"/>
      <c r="C1848" s="199"/>
      <c r="D1848" s="248"/>
      <c r="E1848" s="248"/>
      <c r="F1848" s="248"/>
      <c r="G1848" s="248"/>
      <c r="H1848" s="283"/>
      <c r="I1848" s="199"/>
      <c r="J1848" s="199"/>
      <c r="K1848" s="199"/>
      <c r="L1848" s="248"/>
      <c r="M1848" s="248"/>
      <c r="N1848" s="248"/>
      <c r="O1848" s="248"/>
    </row>
    <row r="1849">
      <c r="A1849" s="199"/>
      <c r="B1849" s="199"/>
      <c r="C1849" s="199"/>
      <c r="D1849" s="248"/>
      <c r="E1849" s="248"/>
      <c r="F1849" s="248"/>
      <c r="G1849" s="248"/>
      <c r="H1849" s="283"/>
      <c r="I1849" s="199"/>
      <c r="J1849" s="199"/>
      <c r="K1849" s="199"/>
      <c r="L1849" s="248"/>
      <c r="M1849" s="248"/>
      <c r="N1849" s="248"/>
      <c r="O1849" s="248"/>
    </row>
    <row r="1850">
      <c r="A1850" s="199"/>
      <c r="B1850" s="199"/>
      <c r="C1850" s="199"/>
      <c r="D1850" s="248"/>
      <c r="E1850" s="248"/>
      <c r="F1850" s="248"/>
      <c r="G1850" s="248"/>
      <c r="H1850" s="283"/>
      <c r="I1850" s="199"/>
      <c r="J1850" s="199"/>
      <c r="K1850" s="199"/>
      <c r="L1850" s="248"/>
      <c r="M1850" s="248"/>
      <c r="N1850" s="248"/>
      <c r="O1850" s="248"/>
    </row>
    <row r="1851">
      <c r="A1851" s="199"/>
      <c r="B1851" s="199"/>
      <c r="C1851" s="199"/>
      <c r="D1851" s="248"/>
      <c r="E1851" s="248"/>
      <c r="F1851" s="248"/>
      <c r="G1851" s="248"/>
      <c r="H1851" s="283"/>
      <c r="I1851" s="199"/>
      <c r="J1851" s="199"/>
      <c r="K1851" s="199"/>
      <c r="L1851" s="248"/>
      <c r="M1851" s="248"/>
      <c r="N1851" s="248"/>
      <c r="O1851" s="248"/>
    </row>
    <row r="1852">
      <c r="A1852" s="199"/>
      <c r="B1852" s="199"/>
      <c r="C1852" s="199"/>
      <c r="D1852" s="248"/>
      <c r="E1852" s="248"/>
      <c r="F1852" s="248"/>
      <c r="G1852" s="248"/>
      <c r="H1852" s="283"/>
      <c r="I1852" s="199"/>
      <c r="J1852" s="199"/>
      <c r="K1852" s="199"/>
      <c r="L1852" s="248"/>
      <c r="M1852" s="248"/>
      <c r="N1852" s="248"/>
      <c r="O1852" s="248"/>
    </row>
    <row r="1853">
      <c r="A1853" s="199"/>
      <c r="B1853" s="199"/>
      <c r="C1853" s="199"/>
      <c r="D1853" s="248"/>
      <c r="E1853" s="248"/>
      <c r="F1853" s="248"/>
      <c r="G1853" s="248"/>
      <c r="H1853" s="283"/>
      <c r="I1853" s="199"/>
      <c r="J1853" s="199"/>
      <c r="K1853" s="199"/>
      <c r="L1853" s="248"/>
      <c r="M1853" s="248"/>
      <c r="N1853" s="248"/>
      <c r="O1853" s="248"/>
    </row>
    <row r="1854">
      <c r="A1854" s="199"/>
      <c r="B1854" s="199"/>
      <c r="C1854" s="199"/>
      <c r="D1854" s="248"/>
      <c r="E1854" s="248"/>
      <c r="F1854" s="248"/>
      <c r="G1854" s="248"/>
      <c r="H1854" s="283"/>
      <c r="I1854" s="199"/>
      <c r="J1854" s="199"/>
      <c r="K1854" s="199"/>
      <c r="L1854" s="248"/>
      <c r="M1854" s="248"/>
      <c r="N1854" s="248"/>
      <c r="O1854" s="248"/>
    </row>
    <row r="1855">
      <c r="A1855" s="199"/>
      <c r="B1855" s="199"/>
      <c r="C1855" s="199"/>
      <c r="D1855" s="248"/>
      <c r="E1855" s="248"/>
      <c r="F1855" s="248"/>
      <c r="G1855" s="248"/>
      <c r="H1855" s="283"/>
      <c r="I1855" s="199"/>
      <c r="J1855" s="199"/>
      <c r="K1855" s="199"/>
      <c r="L1855" s="248"/>
      <c r="M1855" s="248"/>
      <c r="N1855" s="248"/>
      <c r="O1855" s="248"/>
    </row>
    <row r="1856">
      <c r="A1856" s="199"/>
      <c r="B1856" s="199"/>
      <c r="C1856" s="199"/>
      <c r="D1856" s="248"/>
      <c r="E1856" s="248"/>
      <c r="F1856" s="248"/>
      <c r="G1856" s="248"/>
      <c r="H1856" s="283"/>
      <c r="I1856" s="199"/>
      <c r="J1856" s="199"/>
      <c r="K1856" s="199"/>
      <c r="L1856" s="248"/>
      <c r="M1856" s="248"/>
      <c r="N1856" s="248"/>
      <c r="O1856" s="248"/>
    </row>
    <row r="1857">
      <c r="A1857" s="199"/>
      <c r="B1857" s="199"/>
      <c r="C1857" s="199"/>
      <c r="D1857" s="248"/>
      <c r="E1857" s="248"/>
      <c r="F1857" s="248"/>
      <c r="G1857" s="248"/>
      <c r="H1857" s="283"/>
      <c r="I1857" s="199"/>
      <c r="J1857" s="199"/>
      <c r="K1857" s="199"/>
      <c r="L1857" s="248"/>
      <c r="M1857" s="248"/>
      <c r="N1857" s="248"/>
      <c r="O1857" s="248"/>
    </row>
    <row r="1858">
      <c r="A1858" s="199"/>
      <c r="B1858" s="199"/>
      <c r="C1858" s="199"/>
      <c r="D1858" s="248"/>
      <c r="E1858" s="248"/>
      <c r="F1858" s="248"/>
      <c r="G1858" s="248"/>
      <c r="H1858" s="283"/>
      <c r="I1858" s="199"/>
      <c r="J1858" s="199"/>
      <c r="K1858" s="199"/>
      <c r="L1858" s="248"/>
      <c r="M1858" s="248"/>
      <c r="N1858" s="248"/>
      <c r="O1858" s="248"/>
    </row>
    <row r="1859">
      <c r="A1859" s="199"/>
      <c r="B1859" s="199"/>
      <c r="C1859" s="199"/>
      <c r="D1859" s="248"/>
      <c r="E1859" s="248"/>
      <c r="F1859" s="248"/>
      <c r="G1859" s="248"/>
      <c r="H1859" s="283"/>
      <c r="I1859" s="199"/>
      <c r="J1859" s="199"/>
      <c r="K1859" s="199"/>
      <c r="L1859" s="248"/>
      <c r="M1859" s="248"/>
      <c r="N1859" s="248"/>
      <c r="O1859" s="248"/>
    </row>
    <row r="1860">
      <c r="A1860" s="199"/>
      <c r="B1860" s="199"/>
      <c r="C1860" s="199"/>
      <c r="D1860" s="248"/>
      <c r="E1860" s="248"/>
      <c r="F1860" s="248"/>
      <c r="G1860" s="248"/>
      <c r="H1860" s="283"/>
      <c r="I1860" s="199"/>
      <c r="J1860" s="199"/>
      <c r="K1860" s="199"/>
      <c r="L1860" s="248"/>
      <c r="M1860" s="248"/>
      <c r="N1860" s="248"/>
      <c r="O1860" s="248"/>
    </row>
    <row r="1861">
      <c r="A1861" s="199"/>
      <c r="B1861" s="199"/>
      <c r="C1861" s="199"/>
      <c r="D1861" s="248"/>
      <c r="E1861" s="248"/>
      <c r="F1861" s="248"/>
      <c r="G1861" s="248"/>
      <c r="H1861" s="283"/>
      <c r="I1861" s="199"/>
      <c r="J1861" s="199"/>
      <c r="K1861" s="199"/>
      <c r="L1861" s="248"/>
      <c r="M1861" s="248"/>
      <c r="N1861" s="248"/>
      <c r="O1861" s="248"/>
    </row>
    <row r="1862">
      <c r="A1862" s="199"/>
      <c r="B1862" s="199"/>
      <c r="C1862" s="199"/>
      <c r="D1862" s="248"/>
      <c r="E1862" s="248"/>
      <c r="F1862" s="248"/>
      <c r="G1862" s="248"/>
      <c r="H1862" s="283"/>
      <c r="I1862" s="199"/>
      <c r="J1862" s="199"/>
      <c r="K1862" s="199"/>
      <c r="L1862" s="248"/>
      <c r="M1862" s="248"/>
      <c r="N1862" s="248"/>
      <c r="O1862" s="248"/>
    </row>
    <row r="1863">
      <c r="A1863" s="199"/>
      <c r="B1863" s="199"/>
      <c r="C1863" s="199"/>
      <c r="D1863" s="248"/>
      <c r="E1863" s="248"/>
      <c r="F1863" s="248"/>
      <c r="G1863" s="248"/>
      <c r="H1863" s="283"/>
      <c r="I1863" s="199"/>
      <c r="J1863" s="199"/>
      <c r="K1863" s="199"/>
      <c r="L1863" s="248"/>
      <c r="M1863" s="248"/>
      <c r="N1863" s="248"/>
      <c r="O1863" s="248"/>
    </row>
    <row r="1864">
      <c r="A1864" s="199"/>
      <c r="B1864" s="199"/>
      <c r="C1864" s="199"/>
      <c r="D1864" s="248"/>
      <c r="E1864" s="248"/>
      <c r="F1864" s="248"/>
      <c r="G1864" s="248"/>
      <c r="H1864" s="283"/>
      <c r="I1864" s="199"/>
      <c r="J1864" s="199"/>
      <c r="K1864" s="199"/>
      <c r="L1864" s="248"/>
      <c r="M1864" s="248"/>
      <c r="N1864" s="248"/>
      <c r="O1864" s="248"/>
    </row>
    <row r="1865">
      <c r="A1865" s="199"/>
      <c r="B1865" s="199"/>
      <c r="C1865" s="199"/>
      <c r="D1865" s="248"/>
      <c r="E1865" s="248"/>
      <c r="F1865" s="248"/>
      <c r="G1865" s="248"/>
      <c r="H1865" s="283"/>
      <c r="I1865" s="199"/>
      <c r="J1865" s="199"/>
      <c r="K1865" s="199"/>
      <c r="L1865" s="248"/>
      <c r="M1865" s="248"/>
      <c r="N1865" s="248"/>
      <c r="O1865" s="248"/>
    </row>
    <row r="1866">
      <c r="A1866" s="199"/>
      <c r="B1866" s="199"/>
      <c r="C1866" s="199"/>
      <c r="D1866" s="248"/>
      <c r="E1866" s="248"/>
      <c r="F1866" s="248"/>
      <c r="G1866" s="248"/>
      <c r="H1866" s="283"/>
      <c r="I1866" s="199"/>
      <c r="J1866" s="199"/>
      <c r="K1866" s="199"/>
      <c r="L1866" s="248"/>
      <c r="M1866" s="248"/>
      <c r="N1866" s="248"/>
      <c r="O1866" s="248"/>
    </row>
    <row r="1867">
      <c r="A1867" s="199"/>
      <c r="B1867" s="199"/>
      <c r="C1867" s="199"/>
      <c r="D1867" s="248"/>
      <c r="E1867" s="248"/>
      <c r="F1867" s="248"/>
      <c r="G1867" s="248"/>
      <c r="H1867" s="283"/>
      <c r="I1867" s="199"/>
      <c r="J1867" s="199"/>
      <c r="K1867" s="199"/>
      <c r="L1867" s="248"/>
      <c r="M1867" s="248"/>
      <c r="N1867" s="248"/>
      <c r="O1867" s="248"/>
    </row>
    <row r="1868">
      <c r="A1868" s="199"/>
      <c r="B1868" s="199"/>
      <c r="C1868" s="199"/>
      <c r="D1868" s="248"/>
      <c r="E1868" s="248"/>
      <c r="F1868" s="248"/>
      <c r="G1868" s="248"/>
      <c r="H1868" s="283"/>
      <c r="I1868" s="199"/>
      <c r="J1868" s="199"/>
      <c r="K1868" s="199"/>
      <c r="L1868" s="248"/>
      <c r="M1868" s="248"/>
      <c r="N1868" s="248"/>
      <c r="O1868" s="248"/>
    </row>
    <row r="1869">
      <c r="A1869" s="199"/>
      <c r="B1869" s="199"/>
      <c r="C1869" s="199"/>
      <c r="D1869" s="248"/>
      <c r="E1869" s="248"/>
      <c r="F1869" s="248"/>
      <c r="G1869" s="248"/>
      <c r="H1869" s="283"/>
      <c r="I1869" s="199"/>
      <c r="J1869" s="199"/>
      <c r="K1869" s="199"/>
      <c r="L1869" s="248"/>
      <c r="M1869" s="248"/>
      <c r="N1869" s="248"/>
      <c r="O1869" s="248"/>
    </row>
    <row r="1870">
      <c r="A1870" s="199"/>
      <c r="B1870" s="199"/>
      <c r="C1870" s="199"/>
      <c r="D1870" s="248"/>
      <c r="E1870" s="248"/>
      <c r="F1870" s="248"/>
      <c r="G1870" s="248"/>
      <c r="H1870" s="283"/>
      <c r="I1870" s="199"/>
      <c r="J1870" s="199"/>
      <c r="K1870" s="199"/>
      <c r="L1870" s="248"/>
      <c r="M1870" s="248"/>
      <c r="N1870" s="248"/>
      <c r="O1870" s="248"/>
    </row>
    <row r="1871">
      <c r="A1871" s="199"/>
      <c r="B1871" s="199"/>
      <c r="C1871" s="199"/>
      <c r="D1871" s="248"/>
      <c r="E1871" s="248"/>
      <c r="F1871" s="248"/>
      <c r="G1871" s="248"/>
      <c r="H1871" s="283"/>
      <c r="I1871" s="199"/>
      <c r="J1871" s="199"/>
      <c r="K1871" s="199"/>
      <c r="L1871" s="248"/>
      <c r="M1871" s="248"/>
      <c r="N1871" s="248"/>
      <c r="O1871" s="248"/>
    </row>
    <row r="1872">
      <c r="A1872" s="199"/>
      <c r="B1872" s="199"/>
      <c r="C1872" s="199"/>
      <c r="D1872" s="248"/>
      <c r="E1872" s="248"/>
      <c r="F1872" s="248"/>
      <c r="G1872" s="248"/>
      <c r="H1872" s="283"/>
      <c r="I1872" s="199"/>
      <c r="J1872" s="199"/>
      <c r="K1872" s="199"/>
      <c r="L1872" s="248"/>
      <c r="M1872" s="248"/>
      <c r="N1872" s="248"/>
      <c r="O1872" s="248"/>
    </row>
    <row r="1873">
      <c r="A1873" s="199"/>
      <c r="B1873" s="199"/>
      <c r="C1873" s="199"/>
      <c r="D1873" s="248"/>
      <c r="E1873" s="248"/>
      <c r="F1873" s="248"/>
      <c r="G1873" s="248"/>
      <c r="H1873" s="283"/>
      <c r="I1873" s="199"/>
      <c r="J1873" s="199"/>
      <c r="K1873" s="199"/>
      <c r="L1873" s="248"/>
      <c r="M1873" s="248"/>
      <c r="N1873" s="248"/>
      <c r="O1873" s="248"/>
    </row>
    <row r="1874">
      <c r="A1874" s="199"/>
      <c r="B1874" s="199"/>
      <c r="C1874" s="199"/>
      <c r="D1874" s="248"/>
      <c r="E1874" s="248"/>
      <c r="F1874" s="248"/>
      <c r="G1874" s="248"/>
      <c r="H1874" s="283"/>
      <c r="I1874" s="199"/>
      <c r="J1874" s="199"/>
      <c r="K1874" s="199"/>
      <c r="L1874" s="248"/>
      <c r="M1874" s="248"/>
      <c r="N1874" s="248"/>
      <c r="O1874" s="248"/>
    </row>
    <row r="1875">
      <c r="A1875" s="199"/>
      <c r="B1875" s="199"/>
      <c r="C1875" s="199"/>
      <c r="D1875" s="248"/>
      <c r="E1875" s="248"/>
      <c r="F1875" s="248"/>
      <c r="G1875" s="248"/>
      <c r="H1875" s="283"/>
      <c r="I1875" s="199"/>
      <c r="J1875" s="199"/>
      <c r="K1875" s="199"/>
      <c r="L1875" s="248"/>
      <c r="M1875" s="248"/>
      <c r="N1875" s="248"/>
      <c r="O1875" s="248"/>
    </row>
    <row r="1876">
      <c r="A1876" s="199"/>
      <c r="B1876" s="199"/>
      <c r="C1876" s="199"/>
      <c r="D1876" s="248"/>
      <c r="E1876" s="248"/>
      <c r="F1876" s="248"/>
      <c r="G1876" s="248"/>
      <c r="H1876" s="283"/>
      <c r="I1876" s="199"/>
      <c r="J1876" s="199"/>
      <c r="K1876" s="199"/>
      <c r="L1876" s="248"/>
      <c r="M1876" s="248"/>
      <c r="N1876" s="248"/>
      <c r="O1876" s="248"/>
    </row>
    <row r="1877">
      <c r="A1877" s="199"/>
      <c r="B1877" s="199"/>
      <c r="C1877" s="199"/>
      <c r="D1877" s="248"/>
      <c r="E1877" s="248"/>
      <c r="F1877" s="248"/>
      <c r="G1877" s="248"/>
      <c r="H1877" s="283"/>
      <c r="I1877" s="199"/>
      <c r="J1877" s="199"/>
      <c r="K1877" s="199"/>
      <c r="L1877" s="248"/>
      <c r="M1877" s="248"/>
      <c r="N1877" s="248"/>
      <c r="O1877" s="248"/>
    </row>
    <row r="1878">
      <c r="A1878" s="199"/>
      <c r="B1878" s="199"/>
      <c r="C1878" s="199"/>
      <c r="D1878" s="248"/>
      <c r="E1878" s="248"/>
      <c r="F1878" s="248"/>
      <c r="G1878" s="248"/>
      <c r="H1878" s="283"/>
      <c r="I1878" s="199"/>
      <c r="J1878" s="199"/>
      <c r="K1878" s="199"/>
      <c r="L1878" s="248"/>
      <c r="M1878" s="248"/>
      <c r="N1878" s="248"/>
      <c r="O1878" s="248"/>
    </row>
    <row r="1879">
      <c r="A1879" s="199"/>
      <c r="B1879" s="199"/>
      <c r="C1879" s="199"/>
      <c r="D1879" s="248"/>
      <c r="E1879" s="248"/>
      <c r="F1879" s="248"/>
      <c r="G1879" s="248"/>
      <c r="H1879" s="283"/>
      <c r="I1879" s="199"/>
      <c r="J1879" s="199"/>
      <c r="K1879" s="199"/>
      <c r="L1879" s="248"/>
      <c r="M1879" s="248"/>
      <c r="N1879" s="248"/>
      <c r="O1879" s="248"/>
    </row>
    <row r="1880">
      <c r="A1880" s="199"/>
      <c r="B1880" s="199"/>
      <c r="C1880" s="199"/>
      <c r="D1880" s="248"/>
      <c r="E1880" s="248"/>
      <c r="F1880" s="248"/>
      <c r="G1880" s="248"/>
      <c r="H1880" s="283"/>
      <c r="I1880" s="199"/>
      <c r="J1880" s="199"/>
      <c r="K1880" s="199"/>
      <c r="L1880" s="248"/>
      <c r="M1880" s="248"/>
      <c r="N1880" s="248"/>
      <c r="O1880" s="248"/>
    </row>
    <row r="1881">
      <c r="A1881" s="199"/>
      <c r="B1881" s="199"/>
      <c r="C1881" s="199"/>
      <c r="D1881" s="248"/>
      <c r="E1881" s="248"/>
      <c r="F1881" s="248"/>
      <c r="G1881" s="248"/>
      <c r="H1881" s="283"/>
      <c r="I1881" s="199"/>
      <c r="J1881" s="199"/>
      <c r="K1881" s="199"/>
      <c r="L1881" s="248"/>
      <c r="M1881" s="248"/>
      <c r="N1881" s="248"/>
      <c r="O1881" s="248"/>
    </row>
    <row r="1882">
      <c r="A1882" s="199"/>
      <c r="B1882" s="199"/>
      <c r="C1882" s="199"/>
      <c r="D1882" s="248"/>
      <c r="E1882" s="248"/>
      <c r="F1882" s="248"/>
      <c r="G1882" s="248"/>
      <c r="H1882" s="283"/>
      <c r="I1882" s="199"/>
      <c r="J1882" s="199"/>
      <c r="K1882" s="199"/>
      <c r="L1882" s="248"/>
      <c r="M1882" s="248"/>
      <c r="N1882" s="248"/>
      <c r="O1882" s="248"/>
    </row>
    <row r="1883">
      <c r="A1883" s="199"/>
      <c r="B1883" s="199"/>
      <c r="C1883" s="199"/>
      <c r="D1883" s="248"/>
      <c r="E1883" s="248"/>
      <c r="F1883" s="248"/>
      <c r="G1883" s="248"/>
      <c r="H1883" s="283"/>
      <c r="I1883" s="199"/>
      <c r="J1883" s="199"/>
      <c r="K1883" s="199"/>
      <c r="L1883" s="248"/>
      <c r="M1883" s="248"/>
      <c r="N1883" s="248"/>
      <c r="O1883" s="248"/>
    </row>
    <row r="1884">
      <c r="A1884" s="199"/>
      <c r="B1884" s="199"/>
      <c r="C1884" s="199"/>
      <c r="D1884" s="248"/>
      <c r="E1884" s="248"/>
      <c r="F1884" s="248"/>
      <c r="G1884" s="248"/>
      <c r="H1884" s="283"/>
      <c r="I1884" s="199"/>
      <c r="J1884" s="199"/>
      <c r="K1884" s="199"/>
      <c r="L1884" s="248"/>
      <c r="M1884" s="248"/>
      <c r="N1884" s="248"/>
      <c r="O1884" s="248"/>
    </row>
    <row r="1885">
      <c r="A1885" s="199"/>
      <c r="B1885" s="199"/>
      <c r="C1885" s="199"/>
      <c r="D1885" s="248"/>
      <c r="E1885" s="248"/>
      <c r="F1885" s="248"/>
      <c r="G1885" s="248"/>
      <c r="H1885" s="283"/>
      <c r="I1885" s="199"/>
      <c r="J1885" s="199"/>
      <c r="K1885" s="199"/>
      <c r="L1885" s="248"/>
      <c r="M1885" s="248"/>
      <c r="N1885" s="248"/>
      <c r="O1885" s="248"/>
    </row>
    <row r="1886">
      <c r="A1886" s="199"/>
      <c r="B1886" s="199"/>
      <c r="C1886" s="199"/>
      <c r="D1886" s="248"/>
      <c r="E1886" s="248"/>
      <c r="F1886" s="248"/>
      <c r="G1886" s="248"/>
      <c r="H1886" s="283"/>
      <c r="I1886" s="199"/>
      <c r="J1886" s="199"/>
      <c r="K1886" s="199"/>
      <c r="L1886" s="248"/>
      <c r="M1886" s="248"/>
      <c r="N1886" s="248"/>
      <c r="O1886" s="248"/>
    </row>
    <row r="1887">
      <c r="A1887" s="199"/>
      <c r="B1887" s="199"/>
      <c r="C1887" s="199"/>
      <c r="D1887" s="248"/>
      <c r="E1887" s="248"/>
      <c r="F1887" s="248"/>
      <c r="G1887" s="248"/>
      <c r="H1887" s="283"/>
      <c r="I1887" s="199"/>
      <c r="J1887" s="199"/>
      <c r="K1887" s="199"/>
      <c r="L1887" s="248"/>
      <c r="M1887" s="248"/>
      <c r="N1887" s="248"/>
      <c r="O1887" s="248"/>
    </row>
    <row r="1888">
      <c r="A1888" s="199"/>
      <c r="B1888" s="199"/>
      <c r="C1888" s="199"/>
      <c r="D1888" s="248"/>
      <c r="E1888" s="248"/>
      <c r="F1888" s="248"/>
      <c r="G1888" s="248"/>
      <c r="H1888" s="283"/>
      <c r="I1888" s="199"/>
      <c r="J1888" s="199"/>
      <c r="K1888" s="199"/>
      <c r="L1888" s="248"/>
      <c r="M1888" s="248"/>
      <c r="N1888" s="248"/>
      <c r="O1888" s="248"/>
    </row>
    <row r="1889">
      <c r="A1889" s="199"/>
      <c r="B1889" s="199"/>
      <c r="C1889" s="199"/>
      <c r="D1889" s="248"/>
      <c r="E1889" s="248"/>
      <c r="F1889" s="248"/>
      <c r="G1889" s="248"/>
      <c r="H1889" s="283"/>
      <c r="I1889" s="199"/>
      <c r="J1889" s="199"/>
      <c r="K1889" s="199"/>
      <c r="L1889" s="248"/>
      <c r="M1889" s="248"/>
      <c r="N1889" s="248"/>
      <c r="O1889" s="248"/>
    </row>
    <row r="1890">
      <c r="A1890" s="199"/>
      <c r="B1890" s="199"/>
      <c r="C1890" s="199"/>
      <c r="D1890" s="248"/>
      <c r="E1890" s="248"/>
      <c r="F1890" s="248"/>
      <c r="G1890" s="248"/>
      <c r="H1890" s="283"/>
      <c r="I1890" s="199"/>
      <c r="J1890" s="199"/>
      <c r="K1890" s="199"/>
      <c r="L1890" s="248"/>
      <c r="M1890" s="248"/>
      <c r="N1890" s="248"/>
      <c r="O1890" s="248"/>
    </row>
    <row r="1891">
      <c r="A1891" s="199"/>
      <c r="B1891" s="199"/>
      <c r="C1891" s="199"/>
      <c r="D1891" s="248"/>
      <c r="E1891" s="248"/>
      <c r="F1891" s="248"/>
      <c r="G1891" s="248"/>
      <c r="H1891" s="283"/>
      <c r="I1891" s="199"/>
      <c r="J1891" s="199"/>
      <c r="K1891" s="199"/>
      <c r="L1891" s="248"/>
      <c r="M1891" s="248"/>
      <c r="N1891" s="248"/>
      <c r="O1891" s="248"/>
    </row>
    <row r="1892">
      <c r="A1892" s="199"/>
      <c r="B1892" s="199"/>
      <c r="C1892" s="199"/>
      <c r="D1892" s="248"/>
      <c r="E1892" s="248"/>
      <c r="F1892" s="248"/>
      <c r="G1892" s="248"/>
      <c r="H1892" s="283"/>
      <c r="I1892" s="199"/>
      <c r="J1892" s="199"/>
      <c r="K1892" s="199"/>
      <c r="L1892" s="248"/>
      <c r="M1892" s="248"/>
      <c r="N1892" s="248"/>
      <c r="O1892" s="248"/>
    </row>
    <row r="1893">
      <c r="A1893" s="199"/>
      <c r="B1893" s="199"/>
      <c r="C1893" s="199"/>
      <c r="D1893" s="248"/>
      <c r="E1893" s="248"/>
      <c r="F1893" s="248"/>
      <c r="G1893" s="248"/>
      <c r="H1893" s="283"/>
      <c r="I1893" s="199"/>
      <c r="J1893" s="199"/>
      <c r="K1893" s="199"/>
      <c r="L1893" s="248"/>
      <c r="M1893" s="248"/>
      <c r="N1893" s="248"/>
      <c r="O1893" s="248"/>
    </row>
    <row r="1894">
      <c r="A1894" s="199"/>
      <c r="B1894" s="199"/>
      <c r="C1894" s="199"/>
      <c r="D1894" s="248"/>
      <c r="E1894" s="248"/>
      <c r="F1894" s="248"/>
      <c r="G1894" s="248"/>
      <c r="H1894" s="283"/>
      <c r="I1894" s="199"/>
      <c r="J1894" s="199"/>
      <c r="K1894" s="199"/>
      <c r="L1894" s="248"/>
      <c r="M1894" s="248"/>
      <c r="N1894" s="248"/>
      <c r="O1894" s="248"/>
    </row>
    <row r="1895">
      <c r="A1895" s="199"/>
      <c r="B1895" s="199"/>
      <c r="C1895" s="199"/>
      <c r="D1895" s="248"/>
      <c r="E1895" s="248"/>
      <c r="F1895" s="248"/>
      <c r="G1895" s="248"/>
      <c r="H1895" s="283"/>
      <c r="I1895" s="199"/>
      <c r="J1895" s="199"/>
      <c r="K1895" s="199"/>
      <c r="L1895" s="248"/>
      <c r="M1895" s="248"/>
      <c r="N1895" s="248"/>
      <c r="O1895" s="248"/>
    </row>
    <row r="1896">
      <c r="A1896" s="199"/>
      <c r="B1896" s="199"/>
      <c r="C1896" s="199"/>
      <c r="D1896" s="248"/>
      <c r="E1896" s="248"/>
      <c r="F1896" s="248"/>
      <c r="G1896" s="248"/>
      <c r="H1896" s="283"/>
      <c r="I1896" s="199"/>
      <c r="J1896" s="199"/>
      <c r="K1896" s="199"/>
      <c r="L1896" s="248"/>
      <c r="M1896" s="248"/>
      <c r="N1896" s="248"/>
      <c r="O1896" s="248"/>
    </row>
    <row r="1897">
      <c r="A1897" s="199"/>
      <c r="B1897" s="199"/>
      <c r="C1897" s="199"/>
      <c r="D1897" s="248"/>
      <c r="E1897" s="248"/>
      <c r="F1897" s="248"/>
      <c r="G1897" s="248"/>
      <c r="H1897" s="283"/>
      <c r="I1897" s="199"/>
      <c r="J1897" s="199"/>
      <c r="K1897" s="199"/>
      <c r="L1897" s="248"/>
      <c r="M1897" s="248"/>
      <c r="N1897" s="248"/>
      <c r="O1897" s="248"/>
    </row>
    <row r="1898">
      <c r="A1898" s="199"/>
      <c r="B1898" s="199"/>
      <c r="C1898" s="199"/>
      <c r="D1898" s="248"/>
      <c r="E1898" s="248"/>
      <c r="F1898" s="248"/>
      <c r="G1898" s="248"/>
      <c r="H1898" s="283"/>
      <c r="I1898" s="199"/>
      <c r="J1898" s="199"/>
      <c r="K1898" s="199"/>
      <c r="L1898" s="248"/>
      <c r="M1898" s="248"/>
      <c r="N1898" s="248"/>
      <c r="O1898" s="248"/>
    </row>
    <row r="1899">
      <c r="A1899" s="199"/>
      <c r="B1899" s="199"/>
      <c r="C1899" s="199"/>
      <c r="D1899" s="248"/>
      <c r="E1899" s="248"/>
      <c r="F1899" s="248"/>
      <c r="G1899" s="248"/>
      <c r="H1899" s="283"/>
      <c r="I1899" s="199"/>
      <c r="J1899" s="199"/>
      <c r="K1899" s="199"/>
      <c r="L1899" s="248"/>
      <c r="M1899" s="248"/>
      <c r="N1899" s="248"/>
      <c r="O1899" s="248"/>
    </row>
    <row r="1900">
      <c r="A1900" s="199"/>
      <c r="B1900" s="199"/>
      <c r="C1900" s="199"/>
      <c r="D1900" s="248"/>
      <c r="E1900" s="248"/>
      <c r="F1900" s="248"/>
      <c r="G1900" s="248"/>
      <c r="H1900" s="283"/>
      <c r="I1900" s="199"/>
      <c r="J1900" s="199"/>
      <c r="K1900" s="199"/>
      <c r="L1900" s="248"/>
      <c r="M1900" s="248"/>
      <c r="N1900" s="248"/>
      <c r="O1900" s="248"/>
    </row>
    <row r="1901">
      <c r="A1901" s="199"/>
      <c r="B1901" s="199"/>
      <c r="C1901" s="199"/>
      <c r="D1901" s="248"/>
      <c r="E1901" s="248"/>
      <c r="F1901" s="248"/>
      <c r="G1901" s="248"/>
      <c r="H1901" s="283"/>
      <c r="I1901" s="199"/>
      <c r="J1901" s="199"/>
      <c r="K1901" s="199"/>
      <c r="L1901" s="248"/>
      <c r="M1901" s="248"/>
      <c r="N1901" s="248"/>
      <c r="O1901" s="248"/>
    </row>
    <row r="1902">
      <c r="A1902" s="199"/>
      <c r="B1902" s="199"/>
      <c r="C1902" s="199"/>
      <c r="D1902" s="248"/>
      <c r="E1902" s="248"/>
      <c r="F1902" s="248"/>
      <c r="G1902" s="248"/>
      <c r="H1902" s="283"/>
      <c r="I1902" s="199"/>
      <c r="J1902" s="199"/>
      <c r="K1902" s="199"/>
      <c r="L1902" s="248"/>
      <c r="M1902" s="248"/>
      <c r="N1902" s="248"/>
      <c r="O1902" s="248"/>
    </row>
    <row r="1903">
      <c r="A1903" s="199"/>
      <c r="B1903" s="199"/>
      <c r="C1903" s="199"/>
      <c r="D1903" s="248"/>
      <c r="E1903" s="248"/>
      <c r="F1903" s="248"/>
      <c r="G1903" s="248"/>
      <c r="H1903" s="283"/>
      <c r="I1903" s="199"/>
      <c r="J1903" s="199"/>
      <c r="K1903" s="199"/>
      <c r="L1903" s="248"/>
      <c r="M1903" s="248"/>
      <c r="N1903" s="248"/>
      <c r="O1903" s="248"/>
    </row>
    <row r="1904">
      <c r="A1904" s="199"/>
      <c r="B1904" s="199"/>
      <c r="C1904" s="199"/>
      <c r="D1904" s="248"/>
      <c r="E1904" s="248"/>
      <c r="F1904" s="248"/>
      <c r="G1904" s="248"/>
      <c r="H1904" s="283"/>
      <c r="I1904" s="199"/>
      <c r="J1904" s="199"/>
      <c r="K1904" s="199"/>
      <c r="L1904" s="248"/>
      <c r="M1904" s="248"/>
      <c r="N1904" s="248"/>
      <c r="O1904" s="248"/>
    </row>
    <row r="1905">
      <c r="A1905" s="199"/>
      <c r="B1905" s="199"/>
      <c r="C1905" s="199"/>
      <c r="D1905" s="248"/>
      <c r="E1905" s="248"/>
      <c r="F1905" s="248"/>
      <c r="G1905" s="248"/>
      <c r="H1905" s="283"/>
      <c r="I1905" s="199"/>
      <c r="J1905" s="199"/>
      <c r="K1905" s="199"/>
      <c r="L1905" s="248"/>
      <c r="M1905" s="248"/>
      <c r="N1905" s="248"/>
      <c r="O1905" s="248"/>
    </row>
    <row r="1906">
      <c r="A1906" s="199"/>
      <c r="B1906" s="199"/>
      <c r="C1906" s="199"/>
      <c r="D1906" s="248"/>
      <c r="E1906" s="248"/>
      <c r="F1906" s="248"/>
      <c r="G1906" s="248"/>
      <c r="H1906" s="283"/>
      <c r="I1906" s="199"/>
      <c r="J1906" s="199"/>
      <c r="K1906" s="199"/>
      <c r="L1906" s="248"/>
      <c r="M1906" s="248"/>
      <c r="N1906" s="248"/>
      <c r="O1906" s="248"/>
    </row>
    <row r="1907">
      <c r="A1907" s="199"/>
      <c r="B1907" s="199"/>
      <c r="C1907" s="199"/>
      <c r="D1907" s="248"/>
      <c r="E1907" s="248"/>
      <c r="F1907" s="248"/>
      <c r="G1907" s="248"/>
      <c r="H1907" s="283"/>
      <c r="I1907" s="199"/>
      <c r="J1907" s="199"/>
      <c r="K1907" s="199"/>
      <c r="L1907" s="248"/>
      <c r="M1907" s="248"/>
      <c r="N1907" s="248"/>
      <c r="O1907" s="248"/>
    </row>
    <row r="1908">
      <c r="A1908" s="199"/>
      <c r="B1908" s="199"/>
      <c r="C1908" s="199"/>
      <c r="D1908" s="248"/>
      <c r="E1908" s="248"/>
      <c r="F1908" s="248"/>
      <c r="G1908" s="248"/>
      <c r="H1908" s="283"/>
      <c r="I1908" s="199"/>
      <c r="J1908" s="199"/>
      <c r="K1908" s="199"/>
      <c r="L1908" s="248"/>
      <c r="M1908" s="248"/>
      <c r="N1908" s="248"/>
      <c r="O1908" s="248"/>
    </row>
    <row r="1909">
      <c r="A1909" s="199"/>
      <c r="B1909" s="199"/>
      <c r="C1909" s="199"/>
      <c r="D1909" s="248"/>
      <c r="E1909" s="248"/>
      <c r="F1909" s="248"/>
      <c r="G1909" s="248"/>
      <c r="H1909" s="283"/>
      <c r="I1909" s="199"/>
      <c r="J1909" s="199"/>
      <c r="K1909" s="199"/>
      <c r="L1909" s="248"/>
      <c r="M1909" s="248"/>
      <c r="N1909" s="248"/>
      <c r="O1909" s="248"/>
    </row>
    <row r="1910">
      <c r="A1910" s="199"/>
      <c r="B1910" s="199"/>
      <c r="C1910" s="199"/>
      <c r="D1910" s="248"/>
      <c r="E1910" s="248"/>
      <c r="F1910" s="248"/>
      <c r="G1910" s="248"/>
      <c r="H1910" s="283"/>
      <c r="I1910" s="199"/>
      <c r="J1910" s="199"/>
      <c r="K1910" s="199"/>
      <c r="L1910" s="248"/>
      <c r="M1910" s="248"/>
      <c r="N1910" s="248"/>
      <c r="O1910" s="248"/>
    </row>
    <row r="1911">
      <c r="A1911" s="199"/>
      <c r="B1911" s="199"/>
      <c r="C1911" s="199"/>
      <c r="D1911" s="248"/>
      <c r="E1911" s="248"/>
      <c r="F1911" s="248"/>
      <c r="G1911" s="248"/>
      <c r="H1911" s="283"/>
      <c r="I1911" s="199"/>
      <c r="J1911" s="199"/>
      <c r="K1911" s="199"/>
      <c r="L1911" s="248"/>
      <c r="M1911" s="248"/>
      <c r="N1911" s="248"/>
      <c r="O1911" s="248"/>
    </row>
    <row r="1912">
      <c r="A1912" s="199"/>
      <c r="B1912" s="199"/>
      <c r="C1912" s="199"/>
      <c r="D1912" s="248"/>
      <c r="E1912" s="248"/>
      <c r="F1912" s="248"/>
      <c r="G1912" s="248"/>
      <c r="H1912" s="283"/>
      <c r="I1912" s="199"/>
      <c r="J1912" s="199"/>
      <c r="K1912" s="199"/>
      <c r="L1912" s="248"/>
      <c r="M1912" s="248"/>
      <c r="N1912" s="248"/>
      <c r="O1912" s="248"/>
    </row>
    <row r="1913">
      <c r="A1913" s="199"/>
      <c r="B1913" s="199"/>
      <c r="C1913" s="199"/>
      <c r="D1913" s="248"/>
      <c r="E1913" s="248"/>
      <c r="F1913" s="248"/>
      <c r="G1913" s="248"/>
      <c r="H1913" s="283"/>
      <c r="I1913" s="199"/>
      <c r="J1913" s="199"/>
      <c r="K1913" s="199"/>
      <c r="L1913" s="248"/>
      <c r="M1913" s="248"/>
      <c r="N1913" s="248"/>
      <c r="O1913" s="248"/>
    </row>
    <row r="1914">
      <c r="A1914" s="199"/>
      <c r="B1914" s="199"/>
      <c r="C1914" s="199"/>
      <c r="D1914" s="248"/>
      <c r="E1914" s="248"/>
      <c r="F1914" s="248"/>
      <c r="G1914" s="248"/>
      <c r="H1914" s="283"/>
      <c r="I1914" s="199"/>
      <c r="J1914" s="199"/>
      <c r="K1914" s="199"/>
      <c r="L1914" s="248"/>
      <c r="M1914" s="248"/>
      <c r="N1914" s="248"/>
      <c r="O1914" s="248"/>
    </row>
    <row r="1915">
      <c r="A1915" s="199"/>
      <c r="B1915" s="199"/>
      <c r="C1915" s="199"/>
      <c r="D1915" s="248"/>
      <c r="E1915" s="248"/>
      <c r="F1915" s="248"/>
      <c r="G1915" s="248"/>
      <c r="H1915" s="283"/>
      <c r="I1915" s="199"/>
      <c r="J1915" s="199"/>
      <c r="K1915" s="199"/>
      <c r="L1915" s="248"/>
      <c r="M1915" s="248"/>
      <c r="N1915" s="248"/>
      <c r="O1915" s="248"/>
    </row>
    <row r="1916">
      <c r="A1916" s="199"/>
      <c r="B1916" s="199"/>
      <c r="C1916" s="199"/>
      <c r="D1916" s="248"/>
      <c r="E1916" s="248"/>
      <c r="F1916" s="248"/>
      <c r="G1916" s="248"/>
      <c r="H1916" s="283"/>
      <c r="I1916" s="199"/>
      <c r="J1916" s="199"/>
      <c r="K1916" s="199"/>
      <c r="L1916" s="248"/>
      <c r="M1916" s="248"/>
      <c r="N1916" s="248"/>
      <c r="O1916" s="248"/>
    </row>
    <row r="1917">
      <c r="A1917" s="199"/>
      <c r="B1917" s="199"/>
      <c r="C1917" s="199"/>
      <c r="D1917" s="248"/>
      <c r="E1917" s="248"/>
      <c r="F1917" s="248"/>
      <c r="G1917" s="248"/>
      <c r="H1917" s="283"/>
      <c r="I1917" s="199"/>
      <c r="J1917" s="199"/>
      <c r="K1917" s="199"/>
      <c r="L1917" s="248"/>
      <c r="M1917" s="248"/>
      <c r="N1917" s="248"/>
      <c r="O1917" s="248"/>
    </row>
    <row r="1918">
      <c r="A1918" s="199"/>
      <c r="B1918" s="199"/>
      <c r="C1918" s="199"/>
      <c r="D1918" s="248"/>
      <c r="E1918" s="248"/>
      <c r="F1918" s="248"/>
      <c r="G1918" s="248"/>
      <c r="H1918" s="283"/>
      <c r="I1918" s="199"/>
      <c r="J1918" s="199"/>
      <c r="K1918" s="199"/>
      <c r="L1918" s="248"/>
      <c r="M1918" s="248"/>
      <c r="N1918" s="248"/>
      <c r="O1918" s="248"/>
    </row>
    <row r="1919">
      <c r="A1919" s="199"/>
      <c r="B1919" s="199"/>
      <c r="C1919" s="199"/>
      <c r="D1919" s="248"/>
      <c r="E1919" s="248"/>
      <c r="F1919" s="248"/>
      <c r="G1919" s="248"/>
      <c r="H1919" s="283"/>
      <c r="I1919" s="199"/>
      <c r="J1919" s="199"/>
      <c r="K1919" s="199"/>
      <c r="L1919" s="248"/>
      <c r="M1919" s="248"/>
      <c r="N1919" s="248"/>
      <c r="O1919" s="248"/>
    </row>
    <row r="1920">
      <c r="A1920" s="199"/>
      <c r="B1920" s="199"/>
      <c r="C1920" s="199"/>
      <c r="D1920" s="248"/>
      <c r="E1920" s="248"/>
      <c r="F1920" s="248"/>
      <c r="G1920" s="248"/>
      <c r="H1920" s="283"/>
      <c r="I1920" s="199"/>
      <c r="J1920" s="199"/>
      <c r="K1920" s="199"/>
      <c r="L1920" s="248"/>
      <c r="M1920" s="248"/>
      <c r="N1920" s="248"/>
      <c r="O1920" s="248"/>
    </row>
    <row r="1921">
      <c r="A1921" s="199"/>
      <c r="B1921" s="199"/>
      <c r="C1921" s="199"/>
      <c r="D1921" s="248"/>
      <c r="E1921" s="248"/>
      <c r="F1921" s="248"/>
      <c r="G1921" s="248"/>
      <c r="H1921" s="283"/>
      <c r="I1921" s="199"/>
      <c r="J1921" s="199"/>
      <c r="K1921" s="199"/>
      <c r="L1921" s="248"/>
      <c r="M1921" s="248"/>
      <c r="N1921" s="248"/>
      <c r="O1921" s="248"/>
    </row>
    <row r="1922">
      <c r="A1922" s="199"/>
      <c r="B1922" s="199"/>
      <c r="C1922" s="199"/>
      <c r="D1922" s="248"/>
      <c r="E1922" s="248"/>
      <c r="F1922" s="248"/>
      <c r="G1922" s="248"/>
      <c r="H1922" s="283"/>
      <c r="I1922" s="199"/>
      <c r="J1922" s="199"/>
      <c r="K1922" s="199"/>
      <c r="L1922" s="248"/>
      <c r="M1922" s="248"/>
      <c r="N1922" s="248"/>
      <c r="O1922" s="248"/>
    </row>
    <row r="1923">
      <c r="A1923" s="199"/>
      <c r="B1923" s="199"/>
      <c r="C1923" s="199"/>
      <c r="D1923" s="248"/>
      <c r="E1923" s="248"/>
      <c r="F1923" s="248"/>
      <c r="G1923" s="248"/>
      <c r="H1923" s="283"/>
      <c r="I1923" s="199"/>
      <c r="J1923" s="199"/>
      <c r="K1923" s="199"/>
      <c r="L1923" s="248"/>
      <c r="M1923" s="248"/>
      <c r="N1923" s="248"/>
      <c r="O1923" s="248"/>
    </row>
    <row r="1924">
      <c r="A1924" s="199"/>
      <c r="B1924" s="199"/>
      <c r="C1924" s="199"/>
      <c r="D1924" s="248"/>
      <c r="E1924" s="248"/>
      <c r="F1924" s="248"/>
      <c r="G1924" s="248"/>
      <c r="H1924" s="283"/>
      <c r="I1924" s="199"/>
      <c r="J1924" s="199"/>
      <c r="K1924" s="199"/>
      <c r="L1924" s="248"/>
      <c r="M1924" s="248"/>
      <c r="N1924" s="248"/>
      <c r="O1924" s="248"/>
    </row>
    <row r="1925">
      <c r="A1925" s="199"/>
      <c r="B1925" s="199"/>
      <c r="C1925" s="199"/>
      <c r="D1925" s="248"/>
      <c r="E1925" s="248"/>
      <c r="F1925" s="248"/>
      <c r="G1925" s="248"/>
      <c r="H1925" s="283"/>
      <c r="I1925" s="199"/>
      <c r="J1925" s="199"/>
      <c r="K1925" s="199"/>
      <c r="L1925" s="248"/>
      <c r="M1925" s="248"/>
      <c r="N1925" s="248"/>
      <c r="O1925" s="248"/>
    </row>
    <row r="1926">
      <c r="A1926" s="199"/>
      <c r="B1926" s="199"/>
      <c r="C1926" s="199"/>
      <c r="D1926" s="248"/>
      <c r="E1926" s="248"/>
      <c r="F1926" s="248"/>
      <c r="G1926" s="248"/>
      <c r="H1926" s="283"/>
      <c r="I1926" s="199"/>
      <c r="J1926" s="199"/>
      <c r="K1926" s="199"/>
      <c r="L1926" s="248"/>
      <c r="M1926" s="248"/>
      <c r="N1926" s="248"/>
      <c r="O1926" s="248"/>
    </row>
    <row r="1927">
      <c r="A1927" s="199"/>
      <c r="B1927" s="199"/>
      <c r="C1927" s="199"/>
      <c r="D1927" s="248"/>
      <c r="E1927" s="248"/>
      <c r="F1927" s="248"/>
      <c r="G1927" s="248"/>
      <c r="H1927" s="283"/>
      <c r="I1927" s="199"/>
      <c r="J1927" s="199"/>
      <c r="K1927" s="199"/>
      <c r="L1927" s="248"/>
      <c r="M1927" s="248"/>
      <c r="N1927" s="248"/>
      <c r="O1927" s="248"/>
    </row>
    <row r="1928">
      <c r="A1928" s="199"/>
      <c r="B1928" s="199"/>
      <c r="C1928" s="199"/>
      <c r="D1928" s="248"/>
      <c r="E1928" s="248"/>
      <c r="F1928" s="248"/>
      <c r="G1928" s="248"/>
      <c r="H1928" s="283"/>
      <c r="I1928" s="199"/>
      <c r="J1928" s="199"/>
      <c r="K1928" s="199"/>
      <c r="L1928" s="248"/>
      <c r="M1928" s="248"/>
      <c r="N1928" s="248"/>
      <c r="O1928" s="248"/>
    </row>
    <row r="1929">
      <c r="A1929" s="199"/>
      <c r="B1929" s="199"/>
      <c r="C1929" s="199"/>
      <c r="D1929" s="248"/>
      <c r="E1929" s="248"/>
      <c r="F1929" s="248"/>
      <c r="G1929" s="248"/>
      <c r="H1929" s="283"/>
      <c r="I1929" s="199"/>
      <c r="J1929" s="199"/>
      <c r="K1929" s="199"/>
      <c r="L1929" s="248"/>
      <c r="M1929" s="248"/>
      <c r="N1929" s="248"/>
      <c r="O1929" s="248"/>
    </row>
    <row r="1930">
      <c r="A1930" s="199"/>
      <c r="B1930" s="199"/>
      <c r="C1930" s="199"/>
      <c r="D1930" s="248"/>
      <c r="E1930" s="248"/>
      <c r="F1930" s="248"/>
      <c r="G1930" s="248"/>
      <c r="H1930" s="283"/>
      <c r="I1930" s="199"/>
      <c r="J1930" s="199"/>
      <c r="K1930" s="199"/>
      <c r="L1930" s="248"/>
      <c r="M1930" s="248"/>
      <c r="N1930" s="248"/>
      <c r="O1930" s="248"/>
    </row>
    <row r="1931">
      <c r="A1931" s="199"/>
      <c r="B1931" s="199"/>
      <c r="C1931" s="199"/>
      <c r="D1931" s="248"/>
      <c r="E1931" s="248"/>
      <c r="F1931" s="248"/>
      <c r="G1931" s="248"/>
      <c r="H1931" s="283"/>
      <c r="I1931" s="199"/>
      <c r="J1931" s="199"/>
      <c r="K1931" s="199"/>
      <c r="L1931" s="248"/>
      <c r="M1931" s="248"/>
      <c r="N1931" s="248"/>
      <c r="O1931" s="248"/>
    </row>
    <row r="1932">
      <c r="A1932" s="199"/>
      <c r="B1932" s="199"/>
      <c r="C1932" s="199"/>
      <c r="D1932" s="248"/>
      <c r="E1932" s="248"/>
      <c r="F1932" s="248"/>
      <c r="G1932" s="248"/>
      <c r="H1932" s="283"/>
      <c r="I1932" s="199"/>
      <c r="J1932" s="199"/>
      <c r="K1932" s="199"/>
      <c r="L1932" s="248"/>
      <c r="M1932" s="248"/>
      <c r="N1932" s="248"/>
      <c r="O1932" s="248"/>
    </row>
    <row r="1933">
      <c r="A1933" s="199"/>
      <c r="B1933" s="199"/>
      <c r="C1933" s="199"/>
      <c r="D1933" s="248"/>
      <c r="E1933" s="248"/>
      <c r="F1933" s="248"/>
      <c r="G1933" s="248"/>
      <c r="H1933" s="283"/>
      <c r="I1933" s="199"/>
      <c r="J1933" s="199"/>
      <c r="K1933" s="199"/>
      <c r="L1933" s="248"/>
      <c r="M1933" s="248"/>
      <c r="N1933" s="248"/>
      <c r="O1933" s="248"/>
    </row>
    <row r="1934">
      <c r="A1934" s="199"/>
      <c r="B1934" s="199"/>
      <c r="C1934" s="199"/>
      <c r="D1934" s="248"/>
      <c r="E1934" s="248"/>
      <c r="F1934" s="248"/>
      <c r="G1934" s="248"/>
      <c r="H1934" s="283"/>
      <c r="I1934" s="199"/>
      <c r="J1934" s="199"/>
      <c r="K1934" s="199"/>
      <c r="L1934" s="248"/>
      <c r="M1934" s="248"/>
      <c r="N1934" s="248"/>
      <c r="O1934" s="248"/>
    </row>
    <row r="1935">
      <c r="A1935" s="199"/>
      <c r="B1935" s="199"/>
      <c r="C1935" s="199"/>
      <c r="D1935" s="248"/>
      <c r="E1935" s="248"/>
      <c r="F1935" s="248"/>
      <c r="G1935" s="248"/>
      <c r="H1935" s="283"/>
      <c r="I1935" s="199"/>
      <c r="J1935" s="199"/>
      <c r="K1935" s="199"/>
      <c r="L1935" s="248"/>
      <c r="M1935" s="248"/>
      <c r="N1935" s="248"/>
      <c r="O1935" s="248"/>
    </row>
    <row r="1936">
      <c r="A1936" s="199"/>
      <c r="B1936" s="199"/>
      <c r="C1936" s="199"/>
      <c r="D1936" s="248"/>
      <c r="E1936" s="248"/>
      <c r="F1936" s="248"/>
      <c r="G1936" s="248"/>
      <c r="H1936" s="283"/>
      <c r="I1936" s="199"/>
      <c r="J1936" s="199"/>
      <c r="K1936" s="199"/>
      <c r="L1936" s="248"/>
      <c r="M1936" s="248"/>
      <c r="N1936" s="248"/>
      <c r="O1936" s="248"/>
    </row>
    <row r="1937">
      <c r="A1937" s="199"/>
      <c r="B1937" s="199"/>
      <c r="C1937" s="199"/>
      <c r="D1937" s="248"/>
      <c r="E1937" s="248"/>
      <c r="F1937" s="248"/>
      <c r="G1937" s="248"/>
      <c r="H1937" s="283"/>
      <c r="I1937" s="199"/>
      <c r="J1937" s="199"/>
      <c r="K1937" s="199"/>
      <c r="L1937" s="248"/>
      <c r="M1937" s="248"/>
      <c r="N1937" s="248"/>
      <c r="O1937" s="248"/>
    </row>
    <row r="1938">
      <c r="A1938" s="199"/>
      <c r="B1938" s="199"/>
      <c r="C1938" s="199"/>
      <c r="D1938" s="248"/>
      <c r="E1938" s="248"/>
      <c r="F1938" s="248"/>
      <c r="G1938" s="248"/>
      <c r="H1938" s="283"/>
      <c r="I1938" s="199"/>
      <c r="J1938" s="199"/>
      <c r="K1938" s="199"/>
      <c r="L1938" s="248"/>
      <c r="M1938" s="248"/>
      <c r="N1938" s="248"/>
      <c r="O1938" s="248"/>
    </row>
    <row r="1939">
      <c r="A1939" s="199"/>
      <c r="B1939" s="199"/>
      <c r="C1939" s="199"/>
      <c r="D1939" s="248"/>
      <c r="E1939" s="248"/>
      <c r="F1939" s="248"/>
      <c r="G1939" s="248"/>
      <c r="H1939" s="283"/>
      <c r="I1939" s="199"/>
      <c r="J1939" s="199"/>
      <c r="K1939" s="199"/>
      <c r="L1939" s="248"/>
      <c r="M1939" s="248"/>
      <c r="N1939" s="248"/>
      <c r="O1939" s="248"/>
    </row>
    <row r="1940">
      <c r="A1940" s="199"/>
      <c r="B1940" s="199"/>
      <c r="C1940" s="199"/>
      <c r="D1940" s="248"/>
      <c r="E1940" s="248"/>
      <c r="F1940" s="248"/>
      <c r="G1940" s="248"/>
      <c r="H1940" s="283"/>
      <c r="I1940" s="199"/>
      <c r="J1940" s="199"/>
      <c r="K1940" s="199"/>
      <c r="L1940" s="248"/>
      <c r="M1940" s="248"/>
      <c r="N1940" s="248"/>
      <c r="O1940" s="248"/>
    </row>
    <row r="1941">
      <c r="A1941" s="199"/>
      <c r="B1941" s="199"/>
      <c r="C1941" s="199"/>
      <c r="D1941" s="248"/>
      <c r="E1941" s="248"/>
      <c r="F1941" s="248"/>
      <c r="G1941" s="248"/>
      <c r="H1941" s="283"/>
      <c r="I1941" s="199"/>
      <c r="J1941" s="199"/>
      <c r="K1941" s="199"/>
      <c r="L1941" s="248"/>
      <c r="M1941" s="248"/>
      <c r="N1941" s="248"/>
      <c r="O1941" s="248"/>
    </row>
    <row r="1942">
      <c r="A1942" s="199"/>
      <c r="B1942" s="199"/>
      <c r="C1942" s="199"/>
      <c r="D1942" s="248"/>
      <c r="E1942" s="248"/>
      <c r="F1942" s="248"/>
      <c r="G1942" s="248"/>
      <c r="H1942" s="283"/>
      <c r="I1942" s="199"/>
      <c r="J1942" s="199"/>
      <c r="K1942" s="199"/>
      <c r="L1942" s="248"/>
      <c r="M1942" s="248"/>
      <c r="N1942" s="248"/>
      <c r="O1942" s="248"/>
    </row>
    <row r="1943">
      <c r="A1943" s="199"/>
      <c r="B1943" s="199"/>
      <c r="C1943" s="199"/>
      <c r="D1943" s="248"/>
      <c r="E1943" s="248"/>
      <c r="F1943" s="248"/>
      <c r="G1943" s="248"/>
      <c r="H1943" s="283"/>
      <c r="I1943" s="199"/>
      <c r="J1943" s="199"/>
      <c r="K1943" s="199"/>
      <c r="L1943" s="248"/>
      <c r="M1943" s="248"/>
      <c r="N1943" s="248"/>
      <c r="O1943" s="248"/>
    </row>
    <row r="1944">
      <c r="A1944" s="199"/>
      <c r="B1944" s="199"/>
      <c r="C1944" s="199"/>
      <c r="D1944" s="248"/>
      <c r="E1944" s="248"/>
      <c r="F1944" s="248"/>
      <c r="G1944" s="248"/>
      <c r="H1944" s="283"/>
      <c r="I1944" s="199"/>
      <c r="J1944" s="199"/>
      <c r="K1944" s="199"/>
      <c r="L1944" s="248"/>
      <c r="M1944" s="248"/>
      <c r="N1944" s="248"/>
      <c r="O1944" s="248"/>
    </row>
    <row r="1945">
      <c r="A1945" s="199"/>
      <c r="B1945" s="199"/>
      <c r="C1945" s="199"/>
      <c r="D1945" s="248"/>
      <c r="E1945" s="248"/>
      <c r="F1945" s="248"/>
      <c r="G1945" s="248"/>
      <c r="H1945" s="283"/>
      <c r="I1945" s="199"/>
      <c r="J1945" s="199"/>
      <c r="K1945" s="199"/>
      <c r="L1945" s="248"/>
      <c r="M1945" s="248"/>
      <c r="N1945" s="248"/>
      <c r="O1945" s="248"/>
    </row>
    <row r="1946">
      <c r="A1946" s="199"/>
      <c r="B1946" s="199"/>
      <c r="C1946" s="199"/>
      <c r="D1946" s="248"/>
      <c r="E1946" s="248"/>
      <c r="F1946" s="248"/>
      <c r="G1946" s="248"/>
      <c r="H1946" s="283"/>
      <c r="I1946" s="199"/>
      <c r="J1946" s="199"/>
      <c r="K1946" s="199"/>
      <c r="L1946" s="248"/>
      <c r="M1946" s="248"/>
      <c r="N1946" s="248"/>
      <c r="O1946" s="248"/>
    </row>
    <row r="1947">
      <c r="A1947" s="199"/>
      <c r="B1947" s="199"/>
      <c r="C1947" s="199"/>
      <c r="D1947" s="248"/>
      <c r="E1947" s="248"/>
      <c r="F1947" s="248"/>
      <c r="G1947" s="248"/>
      <c r="H1947" s="283"/>
      <c r="I1947" s="199"/>
      <c r="J1947" s="199"/>
      <c r="K1947" s="199"/>
      <c r="L1947" s="248"/>
      <c r="M1947" s="248"/>
      <c r="N1947" s="248"/>
      <c r="O1947" s="248"/>
    </row>
    <row r="1948">
      <c r="A1948" s="199"/>
      <c r="B1948" s="199"/>
      <c r="C1948" s="199"/>
      <c r="D1948" s="248"/>
      <c r="E1948" s="248"/>
      <c r="F1948" s="248"/>
      <c r="G1948" s="248"/>
      <c r="H1948" s="283"/>
      <c r="I1948" s="199"/>
      <c r="J1948" s="199"/>
      <c r="K1948" s="199"/>
      <c r="L1948" s="248"/>
      <c r="M1948" s="248"/>
      <c r="N1948" s="248"/>
      <c r="O1948" s="248"/>
    </row>
    <row r="1949">
      <c r="A1949" s="199"/>
      <c r="B1949" s="199"/>
      <c r="C1949" s="199"/>
      <c r="D1949" s="248"/>
      <c r="E1949" s="248"/>
      <c r="F1949" s="248"/>
      <c r="G1949" s="248"/>
      <c r="H1949" s="283"/>
      <c r="I1949" s="199"/>
      <c r="J1949" s="199"/>
      <c r="K1949" s="199"/>
      <c r="L1949" s="248"/>
      <c r="M1949" s="248"/>
      <c r="N1949" s="248"/>
      <c r="O1949" s="248"/>
    </row>
    <row r="1950">
      <c r="A1950" s="199"/>
      <c r="B1950" s="199"/>
      <c r="C1950" s="199"/>
      <c r="D1950" s="248"/>
      <c r="E1950" s="248"/>
      <c r="F1950" s="248"/>
      <c r="G1950" s="248"/>
      <c r="H1950" s="283"/>
      <c r="I1950" s="199"/>
      <c r="J1950" s="199"/>
      <c r="K1950" s="199"/>
      <c r="L1950" s="248"/>
      <c r="M1950" s="248"/>
      <c r="N1950" s="248"/>
      <c r="O1950" s="248"/>
    </row>
    <row r="1951">
      <c r="A1951" s="199"/>
      <c r="B1951" s="199"/>
      <c r="C1951" s="199"/>
      <c r="D1951" s="248"/>
      <c r="E1951" s="248"/>
      <c r="F1951" s="248"/>
      <c r="G1951" s="248"/>
      <c r="H1951" s="283"/>
      <c r="I1951" s="199"/>
      <c r="J1951" s="199"/>
      <c r="K1951" s="199"/>
      <c r="L1951" s="248"/>
      <c r="M1951" s="248"/>
      <c r="N1951" s="248"/>
      <c r="O1951" s="248"/>
    </row>
    <row r="1952">
      <c r="A1952" s="199"/>
      <c r="B1952" s="199"/>
      <c r="C1952" s="199"/>
      <c r="D1952" s="248"/>
      <c r="E1952" s="248"/>
      <c r="F1952" s="248"/>
      <c r="G1952" s="248"/>
      <c r="H1952" s="283"/>
      <c r="I1952" s="199"/>
      <c r="J1952" s="199"/>
      <c r="K1952" s="199"/>
      <c r="L1952" s="248"/>
      <c r="M1952" s="248"/>
      <c r="N1952" s="248"/>
      <c r="O1952" s="248"/>
    </row>
    <row r="1953">
      <c r="A1953" s="199"/>
      <c r="B1953" s="199"/>
      <c r="C1953" s="199"/>
      <c r="D1953" s="248"/>
      <c r="E1953" s="248"/>
      <c r="F1953" s="248"/>
      <c r="G1953" s="248"/>
      <c r="H1953" s="283"/>
      <c r="I1953" s="199"/>
      <c r="J1953" s="199"/>
      <c r="K1953" s="199"/>
      <c r="L1953" s="248"/>
      <c r="M1953" s="248"/>
      <c r="N1953" s="248"/>
      <c r="O1953" s="248"/>
    </row>
    <row r="1954">
      <c r="A1954" s="199"/>
      <c r="B1954" s="199"/>
      <c r="C1954" s="199"/>
      <c r="D1954" s="248"/>
      <c r="E1954" s="248"/>
      <c r="F1954" s="248"/>
      <c r="G1954" s="248"/>
      <c r="H1954" s="283"/>
      <c r="I1954" s="199"/>
      <c r="J1954" s="199"/>
      <c r="K1954" s="199"/>
      <c r="L1954" s="248"/>
      <c r="M1954" s="248"/>
      <c r="N1954" s="248"/>
      <c r="O1954" s="248"/>
    </row>
    <row r="1955">
      <c r="A1955" s="199"/>
      <c r="B1955" s="199"/>
      <c r="C1955" s="199"/>
      <c r="D1955" s="248"/>
      <c r="E1955" s="248"/>
      <c r="F1955" s="248"/>
      <c r="G1955" s="248"/>
      <c r="H1955" s="283"/>
      <c r="I1955" s="199"/>
      <c r="J1955" s="199"/>
      <c r="K1955" s="199"/>
      <c r="L1955" s="248"/>
      <c r="M1955" s="248"/>
      <c r="N1955" s="248"/>
      <c r="O1955" s="248"/>
    </row>
    <row r="1956">
      <c r="A1956" s="199"/>
      <c r="B1956" s="199"/>
      <c r="C1956" s="199"/>
      <c r="D1956" s="248"/>
      <c r="E1956" s="248"/>
      <c r="F1956" s="248"/>
      <c r="G1956" s="248"/>
      <c r="H1956" s="283"/>
      <c r="I1956" s="199"/>
      <c r="J1956" s="199"/>
      <c r="K1956" s="199"/>
      <c r="L1956" s="248"/>
      <c r="M1956" s="248"/>
      <c r="N1956" s="248"/>
      <c r="O1956" s="248"/>
    </row>
    <row r="1957">
      <c r="A1957" s="199"/>
      <c r="B1957" s="199"/>
      <c r="C1957" s="199"/>
      <c r="D1957" s="248"/>
      <c r="E1957" s="248"/>
      <c r="F1957" s="248"/>
      <c r="G1957" s="248"/>
      <c r="H1957" s="283"/>
      <c r="I1957" s="199"/>
      <c r="J1957" s="199"/>
      <c r="K1957" s="199"/>
      <c r="L1957" s="248"/>
      <c r="M1957" s="248"/>
      <c r="N1957" s="248"/>
      <c r="O1957" s="248"/>
    </row>
    <row r="1958">
      <c r="A1958" s="199"/>
      <c r="B1958" s="199"/>
      <c r="C1958" s="199"/>
      <c r="D1958" s="248"/>
      <c r="E1958" s="248"/>
      <c r="F1958" s="248"/>
      <c r="G1958" s="248"/>
      <c r="H1958" s="283"/>
      <c r="I1958" s="199"/>
      <c r="J1958" s="199"/>
      <c r="K1958" s="199"/>
      <c r="L1958" s="248"/>
      <c r="M1958" s="248"/>
      <c r="N1958" s="248"/>
      <c r="O1958" s="248"/>
    </row>
    <row r="1959">
      <c r="A1959" s="199"/>
      <c r="B1959" s="199"/>
      <c r="C1959" s="199"/>
      <c r="D1959" s="248"/>
      <c r="E1959" s="248"/>
      <c r="F1959" s="248"/>
      <c r="G1959" s="248"/>
      <c r="H1959" s="283"/>
      <c r="I1959" s="199"/>
      <c r="J1959" s="199"/>
      <c r="K1959" s="199"/>
      <c r="L1959" s="248"/>
      <c r="M1959" s="248"/>
      <c r="N1959" s="248"/>
      <c r="O1959" s="248"/>
    </row>
    <row r="1960">
      <c r="A1960" s="199"/>
      <c r="B1960" s="199"/>
      <c r="C1960" s="199"/>
      <c r="D1960" s="248"/>
      <c r="E1960" s="248"/>
      <c r="F1960" s="248"/>
      <c r="G1960" s="248"/>
      <c r="H1960" s="283"/>
      <c r="I1960" s="199"/>
      <c r="J1960" s="199"/>
      <c r="K1960" s="199"/>
      <c r="L1960" s="248"/>
      <c r="M1960" s="248"/>
      <c r="N1960" s="248"/>
      <c r="O1960" s="248"/>
    </row>
    <row r="1961">
      <c r="A1961" s="199"/>
      <c r="B1961" s="199"/>
      <c r="C1961" s="199"/>
      <c r="D1961" s="248"/>
      <c r="E1961" s="248"/>
      <c r="F1961" s="248"/>
      <c r="G1961" s="248"/>
      <c r="H1961" s="283"/>
      <c r="I1961" s="199"/>
      <c r="J1961" s="199"/>
      <c r="K1961" s="199"/>
      <c r="L1961" s="248"/>
      <c r="M1961" s="248"/>
      <c r="N1961" s="248"/>
      <c r="O1961" s="248"/>
    </row>
    <row r="1962">
      <c r="A1962" s="199"/>
      <c r="B1962" s="199"/>
      <c r="C1962" s="199"/>
      <c r="D1962" s="248"/>
      <c r="E1962" s="248"/>
      <c r="F1962" s="248"/>
      <c r="G1962" s="248"/>
      <c r="H1962" s="283"/>
      <c r="I1962" s="199"/>
      <c r="J1962" s="199"/>
      <c r="K1962" s="199"/>
      <c r="L1962" s="248"/>
      <c r="M1962" s="248"/>
      <c r="N1962" s="248"/>
      <c r="O1962" s="248"/>
    </row>
    <row r="1963">
      <c r="A1963" s="199"/>
      <c r="B1963" s="199"/>
      <c r="C1963" s="199"/>
      <c r="D1963" s="248"/>
      <c r="E1963" s="248"/>
      <c r="F1963" s="248"/>
      <c r="G1963" s="248"/>
      <c r="H1963" s="283"/>
      <c r="I1963" s="199"/>
      <c r="J1963" s="199"/>
      <c r="K1963" s="199"/>
      <c r="L1963" s="248"/>
      <c r="M1963" s="248"/>
      <c r="N1963" s="248"/>
      <c r="O1963" s="248"/>
    </row>
    <row r="1964">
      <c r="A1964" s="199"/>
      <c r="B1964" s="199"/>
      <c r="C1964" s="199"/>
      <c r="D1964" s="248"/>
      <c r="E1964" s="248"/>
      <c r="F1964" s="248"/>
      <c r="G1964" s="248"/>
      <c r="H1964" s="283"/>
      <c r="I1964" s="199"/>
      <c r="J1964" s="199"/>
      <c r="K1964" s="199"/>
      <c r="L1964" s="248"/>
      <c r="M1964" s="248"/>
      <c r="N1964" s="248"/>
      <c r="O1964" s="248"/>
    </row>
    <row r="1965">
      <c r="A1965" s="199"/>
      <c r="B1965" s="199"/>
      <c r="C1965" s="199"/>
      <c r="D1965" s="248"/>
      <c r="E1965" s="248"/>
      <c r="F1965" s="248"/>
      <c r="G1965" s="248"/>
      <c r="H1965" s="283"/>
      <c r="I1965" s="199"/>
      <c r="J1965" s="199"/>
      <c r="K1965" s="199"/>
      <c r="L1965" s="248"/>
      <c r="M1965" s="248"/>
      <c r="N1965" s="248"/>
      <c r="O1965" s="248"/>
    </row>
    <row r="1966">
      <c r="A1966" s="199"/>
      <c r="B1966" s="199"/>
      <c r="C1966" s="199"/>
      <c r="D1966" s="248"/>
      <c r="E1966" s="248"/>
      <c r="F1966" s="248"/>
      <c r="G1966" s="248"/>
      <c r="H1966" s="283"/>
      <c r="I1966" s="199"/>
      <c r="J1966" s="199"/>
      <c r="K1966" s="199"/>
      <c r="L1966" s="248"/>
      <c r="M1966" s="248"/>
      <c r="N1966" s="248"/>
      <c r="O1966" s="248"/>
    </row>
    <row r="1967">
      <c r="A1967" s="199"/>
      <c r="B1967" s="199"/>
      <c r="C1967" s="199"/>
      <c r="D1967" s="248"/>
      <c r="E1967" s="248"/>
      <c r="F1967" s="248"/>
      <c r="G1967" s="248"/>
      <c r="H1967" s="283"/>
      <c r="I1967" s="199"/>
      <c r="J1967" s="199"/>
      <c r="K1967" s="199"/>
      <c r="L1967" s="248"/>
      <c r="M1967" s="248"/>
      <c r="N1967" s="248"/>
      <c r="O1967" s="248"/>
    </row>
    <row r="1968">
      <c r="A1968" s="199"/>
      <c r="B1968" s="199"/>
      <c r="C1968" s="199"/>
      <c r="D1968" s="248"/>
      <c r="E1968" s="248"/>
      <c r="F1968" s="248"/>
      <c r="G1968" s="248"/>
      <c r="H1968" s="283"/>
      <c r="I1968" s="199"/>
      <c r="J1968" s="199"/>
      <c r="K1968" s="199"/>
      <c r="L1968" s="248"/>
      <c r="M1968" s="248"/>
      <c r="N1968" s="248"/>
      <c r="O1968" s="248"/>
    </row>
    <row r="1969">
      <c r="A1969" s="199"/>
      <c r="B1969" s="199"/>
      <c r="C1969" s="199"/>
      <c r="D1969" s="248"/>
      <c r="E1969" s="248"/>
      <c r="F1969" s="248"/>
      <c r="G1969" s="248"/>
      <c r="H1969" s="283"/>
      <c r="I1969" s="199"/>
      <c r="J1969" s="199"/>
      <c r="K1969" s="199"/>
      <c r="L1969" s="248"/>
      <c r="M1969" s="248"/>
      <c r="N1969" s="248"/>
      <c r="O1969" s="248"/>
    </row>
    <row r="1970">
      <c r="A1970" s="199"/>
      <c r="B1970" s="199"/>
      <c r="C1970" s="199"/>
      <c r="D1970" s="248"/>
      <c r="E1970" s="248"/>
      <c r="F1970" s="248"/>
      <c r="G1970" s="248"/>
      <c r="H1970" s="283"/>
      <c r="I1970" s="199"/>
      <c r="J1970" s="199"/>
      <c r="K1970" s="199"/>
      <c r="L1970" s="248"/>
      <c r="M1970" s="248"/>
      <c r="N1970" s="248"/>
      <c r="O1970" s="248"/>
    </row>
    <row r="1971">
      <c r="A1971" s="199"/>
      <c r="B1971" s="199"/>
      <c r="C1971" s="199"/>
      <c r="D1971" s="248"/>
      <c r="E1971" s="248"/>
      <c r="F1971" s="248"/>
      <c r="G1971" s="248"/>
      <c r="H1971" s="283"/>
      <c r="I1971" s="199"/>
      <c r="J1971" s="199"/>
      <c r="K1971" s="199"/>
      <c r="L1971" s="248"/>
      <c r="M1971" s="248"/>
      <c r="N1971" s="248"/>
      <c r="O1971" s="248"/>
    </row>
    <row r="1972">
      <c r="A1972" s="199"/>
      <c r="B1972" s="199"/>
      <c r="C1972" s="199"/>
      <c r="D1972" s="248"/>
      <c r="E1972" s="248"/>
      <c r="F1972" s="248"/>
      <c r="G1972" s="248"/>
      <c r="H1972" s="283"/>
      <c r="I1972" s="199"/>
      <c r="J1972" s="199"/>
      <c r="K1972" s="199"/>
      <c r="L1972" s="248"/>
      <c r="M1972" s="248"/>
      <c r="N1972" s="248"/>
      <c r="O1972" s="248"/>
    </row>
    <row r="1973">
      <c r="A1973" s="199"/>
      <c r="B1973" s="199"/>
      <c r="C1973" s="199"/>
      <c r="D1973" s="248"/>
      <c r="E1973" s="248"/>
      <c r="F1973" s="248"/>
      <c r="G1973" s="248"/>
      <c r="H1973" s="283"/>
      <c r="I1973" s="199"/>
      <c r="J1973" s="199"/>
      <c r="K1973" s="199"/>
      <c r="L1973" s="248"/>
      <c r="M1973" s="248"/>
      <c r="N1973" s="248"/>
      <c r="O1973" s="248"/>
    </row>
    <row r="1974">
      <c r="A1974" s="199"/>
      <c r="B1974" s="199"/>
      <c r="C1974" s="199"/>
      <c r="D1974" s="248"/>
      <c r="E1974" s="248"/>
      <c r="F1974" s="248"/>
      <c r="G1974" s="248"/>
      <c r="H1974" s="283"/>
      <c r="I1974" s="199"/>
      <c r="J1974" s="199"/>
      <c r="K1974" s="199"/>
      <c r="L1974" s="248"/>
      <c r="M1974" s="248"/>
      <c r="N1974" s="248"/>
      <c r="O1974" s="248"/>
    </row>
    <row r="1975">
      <c r="A1975" s="199"/>
      <c r="B1975" s="199"/>
      <c r="C1975" s="199"/>
      <c r="D1975" s="248"/>
      <c r="E1975" s="248"/>
      <c r="F1975" s="248"/>
      <c r="G1975" s="248"/>
      <c r="H1975" s="283"/>
      <c r="I1975" s="199"/>
      <c r="J1975" s="199"/>
      <c r="K1975" s="199"/>
      <c r="L1975" s="248"/>
      <c r="M1975" s="248"/>
      <c r="N1975" s="248"/>
      <c r="O1975" s="248"/>
    </row>
    <row r="1976">
      <c r="A1976" s="199"/>
      <c r="B1976" s="199"/>
      <c r="C1976" s="199"/>
      <c r="D1976" s="248"/>
      <c r="E1976" s="248"/>
      <c r="F1976" s="248"/>
      <c r="G1976" s="248"/>
      <c r="H1976" s="283"/>
      <c r="I1976" s="199"/>
      <c r="J1976" s="199"/>
      <c r="K1976" s="199"/>
      <c r="L1976" s="248"/>
      <c r="M1976" s="248"/>
      <c r="N1976" s="248"/>
      <c r="O1976" s="248"/>
    </row>
    <row r="1977">
      <c r="A1977" s="199"/>
      <c r="B1977" s="199"/>
      <c r="C1977" s="199"/>
      <c r="D1977" s="248"/>
      <c r="E1977" s="248"/>
      <c r="F1977" s="248"/>
      <c r="G1977" s="248"/>
      <c r="H1977" s="283"/>
      <c r="I1977" s="199"/>
      <c r="J1977" s="199"/>
      <c r="K1977" s="199"/>
      <c r="L1977" s="248"/>
      <c r="M1977" s="248"/>
      <c r="N1977" s="248"/>
      <c r="O1977" s="248"/>
    </row>
    <row r="1978">
      <c r="A1978" s="199"/>
      <c r="B1978" s="199"/>
      <c r="C1978" s="199"/>
      <c r="D1978" s="248"/>
      <c r="E1978" s="248"/>
      <c r="F1978" s="248"/>
      <c r="G1978" s="248"/>
      <c r="H1978" s="283"/>
      <c r="I1978" s="199"/>
      <c r="J1978" s="199"/>
      <c r="K1978" s="199"/>
      <c r="L1978" s="248"/>
      <c r="M1978" s="248"/>
      <c r="N1978" s="248"/>
      <c r="O1978" s="248"/>
    </row>
    <row r="1979">
      <c r="A1979" s="199"/>
      <c r="B1979" s="199"/>
      <c r="C1979" s="199"/>
      <c r="D1979" s="248"/>
      <c r="E1979" s="248"/>
      <c r="F1979" s="248"/>
      <c r="G1979" s="248"/>
      <c r="H1979" s="283"/>
      <c r="I1979" s="199"/>
      <c r="J1979" s="199"/>
      <c r="K1979" s="199"/>
      <c r="L1979" s="248"/>
      <c r="M1979" s="248"/>
      <c r="N1979" s="248"/>
      <c r="O1979" s="248"/>
    </row>
    <row r="1980">
      <c r="A1980" s="199"/>
      <c r="B1980" s="199"/>
      <c r="C1980" s="199"/>
      <c r="D1980" s="248"/>
      <c r="E1980" s="248"/>
      <c r="F1980" s="248"/>
      <c r="G1980" s="248"/>
      <c r="H1980" s="283"/>
      <c r="I1980" s="199"/>
      <c r="J1980" s="199"/>
      <c r="K1980" s="199"/>
      <c r="L1980" s="248"/>
      <c r="M1980" s="248"/>
      <c r="N1980" s="248"/>
      <c r="O1980" s="248"/>
    </row>
    <row r="1981">
      <c r="A1981" s="199"/>
      <c r="B1981" s="199"/>
      <c r="C1981" s="199"/>
      <c r="D1981" s="248"/>
      <c r="E1981" s="248"/>
      <c r="F1981" s="248"/>
      <c r="G1981" s="248"/>
      <c r="H1981" s="283"/>
      <c r="I1981" s="199"/>
      <c r="J1981" s="199"/>
      <c r="K1981" s="199"/>
      <c r="L1981" s="248"/>
      <c r="M1981" s="248"/>
      <c r="N1981" s="248"/>
      <c r="O1981" s="248"/>
    </row>
    <row r="1982">
      <c r="A1982" s="199"/>
      <c r="B1982" s="199"/>
      <c r="C1982" s="199"/>
      <c r="D1982" s="248"/>
      <c r="E1982" s="248"/>
      <c r="F1982" s="248"/>
      <c r="G1982" s="248"/>
      <c r="H1982" s="283"/>
      <c r="I1982" s="199"/>
      <c r="J1982" s="199"/>
      <c r="K1982" s="199"/>
      <c r="L1982" s="248"/>
      <c r="M1982" s="248"/>
      <c r="N1982" s="248"/>
      <c r="O1982" s="248"/>
    </row>
    <row r="1983">
      <c r="A1983" s="199"/>
      <c r="B1983" s="199"/>
      <c r="C1983" s="199"/>
      <c r="D1983" s="248"/>
      <c r="E1983" s="248"/>
      <c r="F1983" s="248"/>
      <c r="G1983" s="248"/>
      <c r="H1983" s="283"/>
      <c r="I1983" s="199"/>
      <c r="J1983" s="199"/>
      <c r="K1983" s="199"/>
      <c r="L1983" s="248"/>
      <c r="M1983" s="248"/>
      <c r="N1983" s="248"/>
      <c r="O1983" s="248"/>
    </row>
    <row r="1984">
      <c r="A1984" s="199"/>
      <c r="B1984" s="199"/>
      <c r="C1984" s="199"/>
      <c r="D1984" s="248"/>
      <c r="E1984" s="248"/>
      <c r="F1984" s="248"/>
      <c r="G1984" s="248"/>
      <c r="H1984" s="283"/>
      <c r="I1984" s="199"/>
      <c r="J1984" s="199"/>
      <c r="K1984" s="199"/>
      <c r="L1984" s="248"/>
      <c r="M1984" s="248"/>
      <c r="N1984" s="248"/>
      <c r="O1984" s="248"/>
    </row>
    <row r="1985">
      <c r="A1985" s="199"/>
      <c r="B1985" s="199"/>
      <c r="C1985" s="199"/>
      <c r="D1985" s="248"/>
      <c r="E1985" s="248"/>
      <c r="F1985" s="248"/>
      <c r="G1985" s="248"/>
      <c r="H1985" s="283"/>
      <c r="I1985" s="199"/>
      <c r="J1985" s="199"/>
      <c r="K1985" s="199"/>
      <c r="L1985" s="248"/>
      <c r="M1985" s="248"/>
      <c r="N1985" s="248"/>
      <c r="O1985" s="248"/>
    </row>
    <row r="1986">
      <c r="A1986" s="199"/>
      <c r="B1986" s="199"/>
      <c r="C1986" s="199"/>
      <c r="D1986" s="248"/>
      <c r="E1986" s="248"/>
      <c r="F1986" s="248"/>
      <c r="G1986" s="248"/>
      <c r="H1986" s="283"/>
      <c r="I1986" s="199"/>
      <c r="J1986" s="199"/>
      <c r="K1986" s="199"/>
      <c r="L1986" s="248"/>
      <c r="M1986" s="248"/>
      <c r="N1986" s="248"/>
      <c r="O1986" s="248"/>
    </row>
    <row r="1987">
      <c r="A1987" s="199"/>
      <c r="B1987" s="199"/>
      <c r="C1987" s="199"/>
      <c r="D1987" s="248"/>
      <c r="E1987" s="248"/>
      <c r="F1987" s="248"/>
      <c r="G1987" s="248"/>
      <c r="H1987" s="283"/>
      <c r="I1987" s="199"/>
      <c r="J1987" s="199"/>
      <c r="K1987" s="199"/>
      <c r="L1987" s="248"/>
      <c r="M1987" s="248"/>
      <c r="N1987" s="248"/>
      <c r="O1987" s="248"/>
    </row>
    <row r="1988">
      <c r="A1988" s="199"/>
      <c r="B1988" s="199"/>
      <c r="C1988" s="199"/>
      <c r="D1988" s="248"/>
      <c r="E1988" s="248"/>
      <c r="F1988" s="248"/>
      <c r="G1988" s="248"/>
      <c r="H1988" s="283"/>
      <c r="I1988" s="199"/>
      <c r="J1988" s="199"/>
      <c r="K1988" s="199"/>
      <c r="L1988" s="248"/>
      <c r="M1988" s="248"/>
      <c r="N1988" s="248"/>
      <c r="O1988" s="248"/>
    </row>
    <row r="1989">
      <c r="A1989" s="199"/>
      <c r="B1989" s="199"/>
      <c r="C1989" s="199"/>
      <c r="D1989" s="248"/>
      <c r="E1989" s="248"/>
      <c r="F1989" s="248"/>
      <c r="G1989" s="248"/>
      <c r="H1989" s="283"/>
      <c r="I1989" s="199"/>
      <c r="J1989" s="199"/>
      <c r="K1989" s="199"/>
      <c r="L1989" s="248"/>
      <c r="M1989" s="248"/>
      <c r="N1989" s="248"/>
      <c r="O1989" s="248"/>
    </row>
    <row r="1990">
      <c r="A1990" s="199"/>
      <c r="B1990" s="199"/>
      <c r="C1990" s="199"/>
      <c r="D1990" s="248"/>
      <c r="E1990" s="248"/>
      <c r="F1990" s="248"/>
      <c r="G1990" s="248"/>
      <c r="H1990" s="283"/>
      <c r="I1990" s="199"/>
      <c r="J1990" s="199"/>
      <c r="K1990" s="199"/>
      <c r="L1990" s="248"/>
      <c r="M1990" s="248"/>
      <c r="N1990" s="248"/>
      <c r="O1990" s="248"/>
    </row>
    <row r="1991">
      <c r="A1991" s="199"/>
      <c r="B1991" s="199"/>
      <c r="C1991" s="199"/>
      <c r="D1991" s="248"/>
      <c r="E1991" s="248"/>
      <c r="F1991" s="248"/>
      <c r="G1991" s="248"/>
      <c r="H1991" s="283"/>
      <c r="I1991" s="199"/>
      <c r="J1991" s="199"/>
      <c r="K1991" s="199"/>
      <c r="L1991" s="248"/>
      <c r="M1991" s="248"/>
      <c r="N1991" s="248"/>
      <c r="O1991" s="248"/>
    </row>
    <row r="1992">
      <c r="A1992" s="199"/>
      <c r="B1992" s="199"/>
      <c r="C1992" s="199"/>
      <c r="D1992" s="248"/>
      <c r="E1992" s="248"/>
      <c r="F1992" s="248"/>
      <c r="G1992" s="248"/>
      <c r="H1992" s="283"/>
      <c r="I1992" s="199"/>
      <c r="J1992" s="199"/>
      <c r="K1992" s="199"/>
      <c r="L1992" s="248"/>
      <c r="M1992" s="248"/>
      <c r="N1992" s="248"/>
      <c r="O1992" s="248"/>
    </row>
    <row r="1993">
      <c r="A1993" s="199"/>
      <c r="B1993" s="199"/>
      <c r="C1993" s="199"/>
      <c r="D1993" s="248"/>
      <c r="E1993" s="248"/>
      <c r="F1993" s="248"/>
      <c r="G1993" s="248"/>
      <c r="H1993" s="283"/>
      <c r="I1993" s="199"/>
      <c r="J1993" s="199"/>
      <c r="K1993" s="199"/>
      <c r="L1993" s="248"/>
      <c r="M1993" s="248"/>
      <c r="N1993" s="248"/>
      <c r="O1993" s="248"/>
    </row>
    <row r="1994">
      <c r="A1994" s="199"/>
      <c r="B1994" s="199"/>
      <c r="C1994" s="199"/>
      <c r="D1994" s="248"/>
      <c r="E1994" s="248"/>
      <c r="F1994" s="248"/>
      <c r="G1994" s="248"/>
      <c r="H1994" s="283"/>
      <c r="I1994" s="199"/>
      <c r="J1994" s="199"/>
      <c r="K1994" s="199"/>
      <c r="L1994" s="248"/>
      <c r="M1994" s="248"/>
      <c r="N1994" s="248"/>
      <c r="O1994" s="248"/>
    </row>
    <row r="1995">
      <c r="A1995" s="199"/>
      <c r="B1995" s="199"/>
      <c r="C1995" s="199"/>
      <c r="D1995" s="248"/>
      <c r="E1995" s="248"/>
      <c r="F1995" s="248"/>
      <c r="G1995" s="248"/>
      <c r="H1995" s="283"/>
      <c r="I1995" s="199"/>
      <c r="J1995" s="199"/>
      <c r="K1995" s="199"/>
      <c r="L1995" s="248"/>
      <c r="M1995" s="248"/>
      <c r="N1995" s="248"/>
      <c r="O1995" s="248"/>
    </row>
    <row r="1996">
      <c r="A1996" s="199"/>
      <c r="B1996" s="199"/>
      <c r="C1996" s="199"/>
      <c r="D1996" s="248"/>
      <c r="E1996" s="248"/>
      <c r="F1996" s="248"/>
      <c r="G1996" s="248"/>
      <c r="H1996" s="283"/>
      <c r="I1996" s="199"/>
      <c r="J1996" s="199"/>
      <c r="K1996" s="199"/>
      <c r="L1996" s="248"/>
      <c r="M1996" s="248"/>
      <c r="N1996" s="248"/>
      <c r="O1996" s="248"/>
    </row>
    <row r="1997">
      <c r="A1997" s="199"/>
      <c r="B1997" s="199"/>
      <c r="C1997" s="199"/>
      <c r="D1997" s="248"/>
      <c r="E1997" s="248"/>
      <c r="F1997" s="248"/>
      <c r="G1997" s="248"/>
      <c r="H1997" s="283"/>
      <c r="I1997" s="199"/>
      <c r="J1997" s="199"/>
      <c r="K1997" s="199"/>
      <c r="L1997" s="248"/>
      <c r="M1997" s="248"/>
      <c r="N1997" s="248"/>
      <c r="O1997" s="248"/>
    </row>
    <row r="1998">
      <c r="A1998" s="199"/>
      <c r="B1998" s="199"/>
      <c r="C1998" s="199"/>
      <c r="D1998" s="248"/>
      <c r="E1998" s="248"/>
      <c r="F1998" s="248"/>
      <c r="G1998" s="248"/>
      <c r="H1998" s="283"/>
      <c r="I1998" s="199"/>
      <c r="J1998" s="199"/>
      <c r="K1998" s="199"/>
      <c r="L1998" s="248"/>
      <c r="M1998" s="248"/>
      <c r="N1998" s="248"/>
      <c r="O1998" s="248"/>
    </row>
    <row r="1999">
      <c r="A1999" s="199"/>
      <c r="B1999" s="199"/>
      <c r="C1999" s="199"/>
      <c r="D1999" s="248"/>
      <c r="E1999" s="248"/>
      <c r="F1999" s="248"/>
      <c r="G1999" s="248"/>
      <c r="H1999" s="283"/>
      <c r="I1999" s="199"/>
      <c r="J1999" s="199"/>
      <c r="K1999" s="199"/>
      <c r="L1999" s="248"/>
      <c r="M1999" s="248"/>
      <c r="N1999" s="248"/>
      <c r="O1999" s="248"/>
    </row>
    <row r="2000">
      <c r="A2000" s="199"/>
      <c r="B2000" s="199"/>
      <c r="C2000" s="199"/>
      <c r="D2000" s="248"/>
      <c r="E2000" s="248"/>
      <c r="F2000" s="248"/>
      <c r="G2000" s="248"/>
      <c r="H2000" s="283"/>
      <c r="I2000" s="199"/>
      <c r="J2000" s="199"/>
      <c r="K2000" s="199"/>
      <c r="L2000" s="248"/>
      <c r="M2000" s="248"/>
      <c r="N2000" s="248"/>
      <c r="O2000" s="248"/>
    </row>
    <row r="2001">
      <c r="A2001" s="199"/>
      <c r="B2001" s="199"/>
      <c r="C2001" s="199"/>
      <c r="D2001" s="248"/>
      <c r="E2001" s="248"/>
      <c r="F2001" s="248"/>
      <c r="G2001" s="248"/>
      <c r="H2001" s="283"/>
      <c r="I2001" s="199"/>
      <c r="J2001" s="199"/>
      <c r="K2001" s="199"/>
      <c r="L2001" s="248"/>
      <c r="M2001" s="248"/>
      <c r="N2001" s="248"/>
      <c r="O2001" s="248"/>
    </row>
    <row r="2002">
      <c r="A2002" s="199"/>
      <c r="B2002" s="199"/>
      <c r="C2002" s="199"/>
      <c r="D2002" s="248"/>
      <c r="E2002" s="248"/>
      <c r="F2002" s="248"/>
      <c r="G2002" s="248"/>
      <c r="H2002" s="283"/>
      <c r="I2002" s="199"/>
      <c r="J2002" s="199"/>
      <c r="K2002" s="199"/>
      <c r="L2002" s="248"/>
      <c r="M2002" s="248"/>
      <c r="N2002" s="248"/>
      <c r="O2002" s="248"/>
    </row>
    <row r="2003">
      <c r="A2003" s="199"/>
      <c r="B2003" s="199"/>
      <c r="C2003" s="199"/>
      <c r="D2003" s="248"/>
      <c r="E2003" s="248"/>
      <c r="F2003" s="248"/>
      <c r="G2003" s="248"/>
      <c r="H2003" s="283"/>
      <c r="I2003" s="199"/>
      <c r="J2003" s="199"/>
      <c r="K2003" s="199"/>
      <c r="L2003" s="248"/>
      <c r="M2003" s="248"/>
      <c r="N2003" s="248"/>
      <c r="O2003" s="248"/>
    </row>
    <row r="2004">
      <c r="A2004" s="199"/>
      <c r="B2004" s="199"/>
      <c r="C2004" s="199"/>
      <c r="D2004" s="248"/>
      <c r="E2004" s="248"/>
      <c r="F2004" s="248"/>
      <c r="G2004" s="248"/>
      <c r="H2004" s="283"/>
      <c r="I2004" s="199"/>
      <c r="J2004" s="199"/>
      <c r="K2004" s="199"/>
      <c r="L2004" s="248"/>
      <c r="M2004" s="248"/>
      <c r="N2004" s="248"/>
      <c r="O2004" s="248"/>
    </row>
    <row r="2005">
      <c r="A2005" s="199"/>
      <c r="B2005" s="199"/>
      <c r="C2005" s="199"/>
      <c r="D2005" s="248"/>
      <c r="E2005" s="248"/>
      <c r="F2005" s="248"/>
      <c r="G2005" s="248"/>
      <c r="H2005" s="283"/>
      <c r="I2005" s="199"/>
      <c r="J2005" s="199"/>
      <c r="K2005" s="199"/>
      <c r="L2005" s="248"/>
      <c r="M2005" s="248"/>
      <c r="N2005" s="248"/>
      <c r="O2005" s="248"/>
    </row>
    <row r="2006">
      <c r="A2006" s="199"/>
      <c r="B2006" s="199"/>
      <c r="C2006" s="199"/>
      <c r="D2006" s="248"/>
      <c r="E2006" s="248"/>
      <c r="F2006" s="248"/>
      <c r="G2006" s="248"/>
      <c r="H2006" s="283"/>
      <c r="I2006" s="199"/>
      <c r="J2006" s="199"/>
      <c r="K2006" s="199"/>
      <c r="L2006" s="248"/>
      <c r="M2006" s="248"/>
      <c r="N2006" s="248"/>
      <c r="O2006" s="248"/>
    </row>
    <row r="2007">
      <c r="A2007" s="199"/>
      <c r="B2007" s="199"/>
      <c r="C2007" s="199"/>
      <c r="D2007" s="248"/>
      <c r="E2007" s="248"/>
      <c r="F2007" s="248"/>
      <c r="G2007" s="248"/>
      <c r="H2007" s="283"/>
      <c r="I2007" s="199"/>
      <c r="J2007" s="199"/>
      <c r="K2007" s="199"/>
      <c r="L2007" s="248"/>
      <c r="M2007" s="248"/>
      <c r="N2007" s="248"/>
      <c r="O2007" s="248"/>
    </row>
    <row r="2008">
      <c r="A2008" s="199"/>
      <c r="B2008" s="199"/>
      <c r="C2008" s="199"/>
      <c r="D2008" s="248"/>
      <c r="E2008" s="248"/>
      <c r="F2008" s="248"/>
      <c r="G2008" s="248"/>
      <c r="H2008" s="283"/>
      <c r="I2008" s="199"/>
      <c r="J2008" s="199"/>
      <c r="K2008" s="199"/>
      <c r="L2008" s="248"/>
      <c r="M2008" s="248"/>
      <c r="N2008" s="248"/>
      <c r="O2008" s="248"/>
    </row>
    <row r="2009">
      <c r="A2009" s="199"/>
      <c r="B2009" s="199"/>
      <c r="C2009" s="199"/>
      <c r="D2009" s="248"/>
      <c r="E2009" s="248"/>
      <c r="F2009" s="248"/>
      <c r="G2009" s="248"/>
      <c r="H2009" s="283"/>
      <c r="I2009" s="199"/>
      <c r="J2009" s="199"/>
      <c r="K2009" s="199"/>
      <c r="L2009" s="248"/>
      <c r="M2009" s="248"/>
      <c r="N2009" s="248"/>
      <c r="O2009" s="248"/>
    </row>
    <row r="2010">
      <c r="A2010" s="199"/>
      <c r="B2010" s="199"/>
      <c r="C2010" s="199"/>
      <c r="D2010" s="248"/>
      <c r="E2010" s="248"/>
      <c r="F2010" s="248"/>
      <c r="G2010" s="248"/>
      <c r="H2010" s="283"/>
      <c r="I2010" s="199"/>
      <c r="J2010" s="199"/>
      <c r="K2010" s="199"/>
      <c r="L2010" s="248"/>
      <c r="M2010" s="248"/>
      <c r="N2010" s="248"/>
      <c r="O2010" s="248"/>
    </row>
    <row r="2011">
      <c r="A2011" s="199"/>
      <c r="B2011" s="199"/>
      <c r="C2011" s="199"/>
      <c r="D2011" s="248"/>
      <c r="E2011" s="248"/>
      <c r="F2011" s="248"/>
      <c r="G2011" s="248"/>
      <c r="H2011" s="283"/>
      <c r="I2011" s="199"/>
      <c r="J2011" s="199"/>
      <c r="K2011" s="199"/>
      <c r="L2011" s="248"/>
      <c r="M2011" s="248"/>
      <c r="N2011" s="248"/>
      <c r="O2011" s="248"/>
    </row>
    <row r="2012">
      <c r="A2012" s="199"/>
      <c r="B2012" s="199"/>
      <c r="C2012" s="199"/>
      <c r="D2012" s="248"/>
      <c r="E2012" s="248"/>
      <c r="F2012" s="248"/>
      <c r="G2012" s="248"/>
      <c r="H2012" s="283"/>
      <c r="I2012" s="199"/>
      <c r="J2012" s="199"/>
      <c r="K2012" s="199"/>
      <c r="L2012" s="248"/>
      <c r="M2012" s="248"/>
      <c r="N2012" s="248"/>
      <c r="O2012" s="248"/>
    </row>
    <row r="2013">
      <c r="A2013" s="199"/>
      <c r="B2013" s="199"/>
      <c r="C2013" s="199"/>
      <c r="D2013" s="248"/>
      <c r="E2013" s="248"/>
      <c r="F2013" s="248"/>
      <c r="G2013" s="248"/>
      <c r="H2013" s="283"/>
      <c r="I2013" s="199"/>
      <c r="J2013" s="199"/>
      <c r="K2013" s="199"/>
      <c r="L2013" s="248"/>
      <c r="M2013" s="248"/>
      <c r="N2013" s="248"/>
      <c r="O2013" s="248"/>
    </row>
    <row r="2014">
      <c r="A2014" s="199"/>
      <c r="B2014" s="199"/>
      <c r="C2014" s="199"/>
      <c r="D2014" s="248"/>
      <c r="E2014" s="248"/>
      <c r="F2014" s="248"/>
      <c r="G2014" s="248"/>
      <c r="H2014" s="283"/>
      <c r="I2014" s="199"/>
      <c r="J2014" s="199"/>
      <c r="K2014" s="199"/>
      <c r="L2014" s="248"/>
      <c r="M2014" s="248"/>
      <c r="N2014" s="248"/>
      <c r="O2014" s="248"/>
    </row>
    <row r="2015">
      <c r="A2015" s="199"/>
      <c r="B2015" s="199"/>
      <c r="C2015" s="199"/>
      <c r="D2015" s="248"/>
      <c r="E2015" s="248"/>
      <c r="F2015" s="248"/>
      <c r="G2015" s="248"/>
      <c r="H2015" s="283"/>
      <c r="I2015" s="199"/>
      <c r="J2015" s="199"/>
      <c r="K2015" s="199"/>
      <c r="L2015" s="248"/>
      <c r="M2015" s="248"/>
      <c r="N2015" s="248"/>
      <c r="O2015" s="248"/>
    </row>
    <row r="2016">
      <c r="A2016" s="199"/>
      <c r="B2016" s="199"/>
      <c r="C2016" s="199"/>
      <c r="D2016" s="248"/>
      <c r="E2016" s="248"/>
      <c r="F2016" s="248"/>
      <c r="G2016" s="248"/>
      <c r="H2016" s="283"/>
      <c r="I2016" s="199"/>
      <c r="J2016" s="199"/>
      <c r="K2016" s="199"/>
      <c r="L2016" s="248"/>
      <c r="M2016" s="248"/>
      <c r="N2016" s="248"/>
      <c r="O2016" s="248"/>
    </row>
    <row r="2017">
      <c r="A2017" s="199"/>
      <c r="B2017" s="199"/>
      <c r="C2017" s="199"/>
      <c r="D2017" s="248"/>
      <c r="E2017" s="248"/>
      <c r="F2017" s="248"/>
      <c r="G2017" s="248"/>
      <c r="H2017" s="283"/>
      <c r="I2017" s="199"/>
      <c r="J2017" s="199"/>
      <c r="K2017" s="199"/>
      <c r="L2017" s="248"/>
      <c r="M2017" s="248"/>
      <c r="N2017" s="248"/>
      <c r="O2017" s="248"/>
    </row>
    <row r="2018">
      <c r="A2018" s="199"/>
      <c r="B2018" s="199"/>
      <c r="C2018" s="199"/>
      <c r="D2018" s="248"/>
      <c r="E2018" s="248"/>
      <c r="F2018" s="248"/>
      <c r="G2018" s="248"/>
      <c r="H2018" s="283"/>
      <c r="I2018" s="199"/>
      <c r="J2018" s="199"/>
      <c r="K2018" s="199"/>
      <c r="L2018" s="248"/>
      <c r="M2018" s="248"/>
      <c r="N2018" s="248"/>
      <c r="O2018" s="248"/>
    </row>
    <row r="2019">
      <c r="A2019" s="199"/>
      <c r="B2019" s="199"/>
      <c r="C2019" s="199"/>
      <c r="D2019" s="248"/>
      <c r="E2019" s="248"/>
      <c r="F2019" s="248"/>
      <c r="G2019" s="248"/>
      <c r="H2019" s="283"/>
      <c r="I2019" s="199"/>
      <c r="J2019" s="199"/>
      <c r="K2019" s="199"/>
      <c r="L2019" s="248"/>
      <c r="M2019" s="248"/>
      <c r="N2019" s="248"/>
      <c r="O2019" s="248"/>
    </row>
    <row r="2020">
      <c r="A2020" s="199"/>
      <c r="B2020" s="199"/>
      <c r="C2020" s="199"/>
      <c r="D2020" s="248"/>
      <c r="E2020" s="248"/>
      <c r="F2020" s="248"/>
      <c r="G2020" s="248"/>
      <c r="H2020" s="283"/>
      <c r="I2020" s="199"/>
      <c r="J2020" s="199"/>
      <c r="K2020" s="199"/>
      <c r="L2020" s="248"/>
      <c r="M2020" s="248"/>
      <c r="N2020" s="248"/>
      <c r="O2020" s="248"/>
    </row>
    <row r="2021">
      <c r="A2021" s="199"/>
      <c r="B2021" s="199"/>
      <c r="C2021" s="199"/>
      <c r="D2021" s="248"/>
      <c r="E2021" s="248"/>
      <c r="F2021" s="248"/>
      <c r="G2021" s="248"/>
      <c r="H2021" s="283"/>
      <c r="I2021" s="199"/>
      <c r="J2021" s="199"/>
      <c r="K2021" s="199"/>
      <c r="L2021" s="248"/>
      <c r="M2021" s="248"/>
      <c r="N2021" s="248"/>
      <c r="O2021" s="248"/>
    </row>
    <row r="2022">
      <c r="A2022" s="199"/>
      <c r="B2022" s="199"/>
      <c r="C2022" s="199"/>
      <c r="D2022" s="248"/>
      <c r="E2022" s="248"/>
      <c r="F2022" s="248"/>
      <c r="G2022" s="248"/>
      <c r="H2022" s="283"/>
      <c r="I2022" s="199"/>
      <c r="J2022" s="199"/>
      <c r="K2022" s="199"/>
      <c r="L2022" s="248"/>
      <c r="M2022" s="248"/>
      <c r="N2022" s="248"/>
      <c r="O2022" s="248"/>
    </row>
  </sheetData>
  <mergeCells count="1934">
    <mergeCell ref="A152:B152"/>
    <mergeCell ref="A153:B153"/>
    <mergeCell ref="A154:C154"/>
    <mergeCell ref="E157:G157"/>
    <mergeCell ref="I157:K159"/>
    <mergeCell ref="E158:G158"/>
    <mergeCell ref="E159:G159"/>
    <mergeCell ref="I170:J170"/>
    <mergeCell ref="I171:J171"/>
    <mergeCell ref="A172:B172"/>
    <mergeCell ref="A173:B173"/>
    <mergeCell ref="I172:J172"/>
    <mergeCell ref="I173:J173"/>
    <mergeCell ref="A174:B174"/>
    <mergeCell ref="A175:B175"/>
    <mergeCell ref="I174:J174"/>
    <mergeCell ref="I175:J175"/>
    <mergeCell ref="I181:J181"/>
    <mergeCell ref="I182:J182"/>
    <mergeCell ref="A157:C159"/>
    <mergeCell ref="A167:D167"/>
    <mergeCell ref="A168:C168"/>
    <mergeCell ref="D168:G178"/>
    <mergeCell ref="A169:C169"/>
    <mergeCell ref="A170:B170"/>
    <mergeCell ref="A171:B171"/>
    <mergeCell ref="A178:B178"/>
    <mergeCell ref="A181:B181"/>
    <mergeCell ref="A182:B182"/>
    <mergeCell ref="A180:B180"/>
    <mergeCell ref="A183:B183"/>
    <mergeCell ref="A176:C176"/>
    <mergeCell ref="A177:C177"/>
    <mergeCell ref="A179:B179"/>
    <mergeCell ref="D179:D185"/>
    <mergeCell ref="E179:F181"/>
    <mergeCell ref="G179:G181"/>
    <mergeCell ref="E182:G185"/>
    <mergeCell ref="A184:B184"/>
    <mergeCell ref="A185:C185"/>
    <mergeCell ref="A188:C190"/>
    <mergeCell ref="A198:D198"/>
    <mergeCell ref="A199:C199"/>
    <mergeCell ref="A200:C200"/>
    <mergeCell ref="A201:B201"/>
    <mergeCell ref="A202:B202"/>
    <mergeCell ref="A203:B203"/>
    <mergeCell ref="A204:B204"/>
    <mergeCell ref="A205:B205"/>
    <mergeCell ref="A206:B206"/>
    <mergeCell ref="A207:C207"/>
    <mergeCell ref="A208:C208"/>
    <mergeCell ref="E188:G188"/>
    <mergeCell ref="E189:G189"/>
    <mergeCell ref="E190:G190"/>
    <mergeCell ref="D199:G209"/>
    <mergeCell ref="E210:F212"/>
    <mergeCell ref="G210:G212"/>
    <mergeCell ref="E213:G216"/>
    <mergeCell ref="E127:G127"/>
    <mergeCell ref="E128:G128"/>
    <mergeCell ref="I136:L136"/>
    <mergeCell ref="D137:G147"/>
    <mergeCell ref="I137:K137"/>
    <mergeCell ref="L137:O147"/>
    <mergeCell ref="I138:K138"/>
    <mergeCell ref="I147:J147"/>
    <mergeCell ref="M148:N150"/>
    <mergeCell ref="O148:O150"/>
    <mergeCell ref="M151:O154"/>
    <mergeCell ref="I149:J149"/>
    <mergeCell ref="I150:J150"/>
    <mergeCell ref="I148:J148"/>
    <mergeCell ref="I151:J151"/>
    <mergeCell ref="I152:J152"/>
    <mergeCell ref="I153:J153"/>
    <mergeCell ref="I145:K145"/>
    <mergeCell ref="I146:K146"/>
    <mergeCell ref="D148:D154"/>
    <mergeCell ref="E148:F150"/>
    <mergeCell ref="G148:G150"/>
    <mergeCell ref="L148:L154"/>
    <mergeCell ref="E151:G154"/>
    <mergeCell ref="I154:K154"/>
    <mergeCell ref="A1:C1"/>
    <mergeCell ref="D1:L1"/>
    <mergeCell ref="A126:C128"/>
    <mergeCell ref="E126:G126"/>
    <mergeCell ref="I126:K128"/>
    <mergeCell ref="M126:O126"/>
    <mergeCell ref="M127:O127"/>
    <mergeCell ref="M128:O128"/>
    <mergeCell ref="A137:C137"/>
    <mergeCell ref="A138:C138"/>
    <mergeCell ref="I139:J139"/>
    <mergeCell ref="I140:J140"/>
    <mergeCell ref="I141:J141"/>
    <mergeCell ref="I142:J142"/>
    <mergeCell ref="I143:J143"/>
    <mergeCell ref="I144:J144"/>
    <mergeCell ref="A136:D136"/>
    <mergeCell ref="A139:B139"/>
    <mergeCell ref="A140:B140"/>
    <mergeCell ref="A141:B141"/>
    <mergeCell ref="A142:B142"/>
    <mergeCell ref="A143:B143"/>
    <mergeCell ref="A144:B144"/>
    <mergeCell ref="A145:C145"/>
    <mergeCell ref="A146:C146"/>
    <mergeCell ref="A147:B147"/>
    <mergeCell ref="A148:B148"/>
    <mergeCell ref="A149:B149"/>
    <mergeCell ref="A150:B150"/>
    <mergeCell ref="A151:B151"/>
    <mergeCell ref="Q204:R204"/>
    <mergeCell ref="Q205:R205"/>
    <mergeCell ref="Q206:R206"/>
    <mergeCell ref="Q207:S207"/>
    <mergeCell ref="U189:W189"/>
    <mergeCell ref="U190:W190"/>
    <mergeCell ref="Q198:T198"/>
    <mergeCell ref="Q199:S199"/>
    <mergeCell ref="T199:W209"/>
    <mergeCell ref="Q200:S200"/>
    <mergeCell ref="Q201:R201"/>
    <mergeCell ref="Q212:R212"/>
    <mergeCell ref="Q213:R213"/>
    <mergeCell ref="Q211:R211"/>
    <mergeCell ref="Q214:R214"/>
    <mergeCell ref="Q215:R215"/>
    <mergeCell ref="Q216:S216"/>
    <mergeCell ref="Q208:S208"/>
    <mergeCell ref="Q209:R209"/>
    <mergeCell ref="Q210:R210"/>
    <mergeCell ref="T210:T216"/>
    <mergeCell ref="U210:V212"/>
    <mergeCell ref="W210:W212"/>
    <mergeCell ref="U213:W216"/>
    <mergeCell ref="M157:O157"/>
    <mergeCell ref="M158:O158"/>
    <mergeCell ref="M159:O159"/>
    <mergeCell ref="I167:L167"/>
    <mergeCell ref="I168:K168"/>
    <mergeCell ref="L168:O178"/>
    <mergeCell ref="I169:K169"/>
    <mergeCell ref="I178:J178"/>
    <mergeCell ref="I184:J184"/>
    <mergeCell ref="I185:K185"/>
    <mergeCell ref="I188:K190"/>
    <mergeCell ref="Q188:S190"/>
    <mergeCell ref="U188:W188"/>
    <mergeCell ref="M189:O189"/>
    <mergeCell ref="M190:O190"/>
    <mergeCell ref="I202:J202"/>
    <mergeCell ref="I203:J203"/>
    <mergeCell ref="Q202:R202"/>
    <mergeCell ref="Q203:R203"/>
    <mergeCell ref="I204:J204"/>
    <mergeCell ref="I205:J205"/>
    <mergeCell ref="I206:J206"/>
    <mergeCell ref="I207:K207"/>
    <mergeCell ref="I208:K208"/>
    <mergeCell ref="I209:J209"/>
    <mergeCell ref="A215:B215"/>
    <mergeCell ref="A216:C216"/>
    <mergeCell ref="A219:C221"/>
    <mergeCell ref="A229:D229"/>
    <mergeCell ref="A230:C230"/>
    <mergeCell ref="A209:B209"/>
    <mergeCell ref="A210:B210"/>
    <mergeCell ref="D210:D216"/>
    <mergeCell ref="A211:B211"/>
    <mergeCell ref="A212:B212"/>
    <mergeCell ref="A213:B213"/>
    <mergeCell ref="A214:B214"/>
    <mergeCell ref="I246:J246"/>
    <mergeCell ref="I247:K247"/>
    <mergeCell ref="I250:K252"/>
    <mergeCell ref="I260:L260"/>
    <mergeCell ref="I261:K261"/>
    <mergeCell ref="I240:J240"/>
    <mergeCell ref="I241:J241"/>
    <mergeCell ref="L241:L247"/>
    <mergeCell ref="I242:J242"/>
    <mergeCell ref="I243:J243"/>
    <mergeCell ref="I244:J244"/>
    <mergeCell ref="I245:J245"/>
    <mergeCell ref="I176:K176"/>
    <mergeCell ref="I177:K177"/>
    <mergeCell ref="I179:J179"/>
    <mergeCell ref="L179:L185"/>
    <mergeCell ref="M179:N181"/>
    <mergeCell ref="O179:O181"/>
    <mergeCell ref="M182:O185"/>
    <mergeCell ref="M188:O188"/>
    <mergeCell ref="I180:J180"/>
    <mergeCell ref="I183:J183"/>
    <mergeCell ref="I198:L198"/>
    <mergeCell ref="I199:K199"/>
    <mergeCell ref="L199:O209"/>
    <mergeCell ref="I200:K200"/>
    <mergeCell ref="I201:J201"/>
    <mergeCell ref="I213:J213"/>
    <mergeCell ref="I214:J214"/>
    <mergeCell ref="I210:J210"/>
    <mergeCell ref="L210:L216"/>
    <mergeCell ref="M210:N212"/>
    <mergeCell ref="O210:O212"/>
    <mergeCell ref="I211:J211"/>
    <mergeCell ref="I212:J212"/>
    <mergeCell ref="M213:O216"/>
    <mergeCell ref="I215:J215"/>
    <mergeCell ref="I216:K216"/>
    <mergeCell ref="I219:K221"/>
    <mergeCell ref="I229:L229"/>
    <mergeCell ref="I230:K230"/>
    <mergeCell ref="I231:K231"/>
    <mergeCell ref="I232:J232"/>
    <mergeCell ref="I233:J233"/>
    <mergeCell ref="I234:J234"/>
    <mergeCell ref="I235:J235"/>
    <mergeCell ref="I236:J236"/>
    <mergeCell ref="I237:J237"/>
    <mergeCell ref="I238:K238"/>
    <mergeCell ref="I239:K239"/>
    <mergeCell ref="M219:O219"/>
    <mergeCell ref="M220:O220"/>
    <mergeCell ref="M221:O221"/>
    <mergeCell ref="L230:O240"/>
    <mergeCell ref="M241:N243"/>
    <mergeCell ref="O241:O243"/>
    <mergeCell ref="M244:O247"/>
    <mergeCell ref="A388:B388"/>
    <mergeCell ref="A389:B389"/>
    <mergeCell ref="A370:B370"/>
    <mergeCell ref="A371:C371"/>
    <mergeCell ref="A374:C376"/>
    <mergeCell ref="A384:D384"/>
    <mergeCell ref="A385:C385"/>
    <mergeCell ref="A386:C386"/>
    <mergeCell ref="A387:B387"/>
    <mergeCell ref="A358:B358"/>
    <mergeCell ref="A359:B359"/>
    <mergeCell ref="A360:B360"/>
    <mergeCell ref="A361:B361"/>
    <mergeCell ref="E343:G343"/>
    <mergeCell ref="E344:G344"/>
    <mergeCell ref="E345:G345"/>
    <mergeCell ref="D354:G364"/>
    <mergeCell ref="A355:C355"/>
    <mergeCell ref="A356:B356"/>
    <mergeCell ref="A357:B357"/>
    <mergeCell ref="A364:B364"/>
    <mergeCell ref="A367:B367"/>
    <mergeCell ref="A368:B368"/>
    <mergeCell ref="E374:G374"/>
    <mergeCell ref="E375:G375"/>
    <mergeCell ref="E376:G376"/>
    <mergeCell ref="D385:G395"/>
    <mergeCell ref="E396:F398"/>
    <mergeCell ref="G396:G398"/>
    <mergeCell ref="E399:G402"/>
    <mergeCell ref="A362:C362"/>
    <mergeCell ref="A363:C363"/>
    <mergeCell ref="A365:B365"/>
    <mergeCell ref="D365:D371"/>
    <mergeCell ref="E365:F367"/>
    <mergeCell ref="G365:G367"/>
    <mergeCell ref="E368:G371"/>
    <mergeCell ref="A366:B366"/>
    <mergeCell ref="A369:B369"/>
    <mergeCell ref="A390:B390"/>
    <mergeCell ref="A391:B391"/>
    <mergeCell ref="A392:B392"/>
    <mergeCell ref="A393:C393"/>
    <mergeCell ref="A394:C394"/>
    <mergeCell ref="I419:J419"/>
    <mergeCell ref="I420:J420"/>
    <mergeCell ref="I401:J401"/>
    <mergeCell ref="I402:K402"/>
    <mergeCell ref="I405:K407"/>
    <mergeCell ref="I415:L415"/>
    <mergeCell ref="I416:K416"/>
    <mergeCell ref="I417:K417"/>
    <mergeCell ref="I418:J418"/>
    <mergeCell ref="I389:J389"/>
    <mergeCell ref="I390:J390"/>
    <mergeCell ref="I391:J391"/>
    <mergeCell ref="I392:J392"/>
    <mergeCell ref="M374:O374"/>
    <mergeCell ref="M375:O375"/>
    <mergeCell ref="M376:O376"/>
    <mergeCell ref="L385:O395"/>
    <mergeCell ref="I386:K386"/>
    <mergeCell ref="I387:J387"/>
    <mergeCell ref="I388:J388"/>
    <mergeCell ref="I395:J395"/>
    <mergeCell ref="I398:J398"/>
    <mergeCell ref="I399:J399"/>
    <mergeCell ref="M405:O405"/>
    <mergeCell ref="M406:O406"/>
    <mergeCell ref="M407:O407"/>
    <mergeCell ref="L416:O426"/>
    <mergeCell ref="M427:N429"/>
    <mergeCell ref="O427:O429"/>
    <mergeCell ref="M430:O433"/>
    <mergeCell ref="I393:K393"/>
    <mergeCell ref="I394:K394"/>
    <mergeCell ref="I396:J396"/>
    <mergeCell ref="L396:L402"/>
    <mergeCell ref="M396:N398"/>
    <mergeCell ref="O396:O398"/>
    <mergeCell ref="M399:O402"/>
    <mergeCell ref="I397:J397"/>
    <mergeCell ref="I400:J400"/>
    <mergeCell ref="I421:J421"/>
    <mergeCell ref="I422:J422"/>
    <mergeCell ref="I423:J423"/>
    <mergeCell ref="I424:K424"/>
    <mergeCell ref="I425:K425"/>
    <mergeCell ref="A415:D415"/>
    <mergeCell ref="A416:C416"/>
    <mergeCell ref="D416:G426"/>
    <mergeCell ref="A417:C417"/>
    <mergeCell ref="A418:B418"/>
    <mergeCell ref="A419:B419"/>
    <mergeCell ref="A420:B420"/>
    <mergeCell ref="A425:C425"/>
    <mergeCell ref="A426:B426"/>
    <mergeCell ref="A427:B427"/>
    <mergeCell ref="D427:D433"/>
    <mergeCell ref="E427:F429"/>
    <mergeCell ref="G427:G429"/>
    <mergeCell ref="E430:G433"/>
    <mergeCell ref="A401:B401"/>
    <mergeCell ref="A402:C402"/>
    <mergeCell ref="A405:C407"/>
    <mergeCell ref="E405:G405"/>
    <mergeCell ref="E406:G406"/>
    <mergeCell ref="E407:G407"/>
    <mergeCell ref="A395:B395"/>
    <mergeCell ref="A396:B396"/>
    <mergeCell ref="D396:D402"/>
    <mergeCell ref="A397:B397"/>
    <mergeCell ref="A398:B398"/>
    <mergeCell ref="A399:B399"/>
    <mergeCell ref="A400:B400"/>
    <mergeCell ref="A421:B421"/>
    <mergeCell ref="A422:B422"/>
    <mergeCell ref="A423:B423"/>
    <mergeCell ref="A424:C424"/>
    <mergeCell ref="A429:B429"/>
    <mergeCell ref="A430:B430"/>
    <mergeCell ref="A428:B428"/>
    <mergeCell ref="A431:B431"/>
    <mergeCell ref="A432:B432"/>
    <mergeCell ref="A433:C433"/>
    <mergeCell ref="A436:C438"/>
    <mergeCell ref="E436:G436"/>
    <mergeCell ref="E437:G437"/>
    <mergeCell ref="E438:G438"/>
    <mergeCell ref="A446:D446"/>
    <mergeCell ref="I446:L446"/>
    <mergeCell ref="I447:K447"/>
    <mergeCell ref="L447:O457"/>
    <mergeCell ref="I448:K448"/>
    <mergeCell ref="I449:J449"/>
    <mergeCell ref="I450:J450"/>
    <mergeCell ref="I451:J451"/>
    <mergeCell ref="I456:K456"/>
    <mergeCell ref="I457:J457"/>
    <mergeCell ref="I458:J458"/>
    <mergeCell ref="L458:L464"/>
    <mergeCell ref="M458:N460"/>
    <mergeCell ref="O458:O460"/>
    <mergeCell ref="M461:O464"/>
    <mergeCell ref="I432:J432"/>
    <mergeCell ref="I433:K433"/>
    <mergeCell ref="I436:K438"/>
    <mergeCell ref="M436:O436"/>
    <mergeCell ref="M437:O437"/>
    <mergeCell ref="M438:O438"/>
    <mergeCell ref="I426:J426"/>
    <mergeCell ref="I427:J427"/>
    <mergeCell ref="L427:L433"/>
    <mergeCell ref="I428:J428"/>
    <mergeCell ref="I429:J429"/>
    <mergeCell ref="I430:J430"/>
    <mergeCell ref="I431:J431"/>
    <mergeCell ref="I452:J452"/>
    <mergeCell ref="I453:J453"/>
    <mergeCell ref="I454:J454"/>
    <mergeCell ref="I455:K455"/>
    <mergeCell ref="I460:J460"/>
    <mergeCell ref="I461:J461"/>
    <mergeCell ref="I459:J459"/>
    <mergeCell ref="I462:J462"/>
    <mergeCell ref="I463:J463"/>
    <mergeCell ref="I464:K464"/>
    <mergeCell ref="I467:K469"/>
    <mergeCell ref="M467:O467"/>
    <mergeCell ref="M468:O468"/>
    <mergeCell ref="M469:O469"/>
    <mergeCell ref="I477:L477"/>
    <mergeCell ref="I574:J574"/>
    <mergeCell ref="I575:J575"/>
    <mergeCell ref="I556:J556"/>
    <mergeCell ref="I557:K557"/>
    <mergeCell ref="I560:K562"/>
    <mergeCell ref="I570:L570"/>
    <mergeCell ref="I571:K571"/>
    <mergeCell ref="I572:K572"/>
    <mergeCell ref="I573:J573"/>
    <mergeCell ref="I544:J544"/>
    <mergeCell ref="I545:J545"/>
    <mergeCell ref="I546:J546"/>
    <mergeCell ref="I547:J547"/>
    <mergeCell ref="M529:O529"/>
    <mergeCell ref="M530:O530"/>
    <mergeCell ref="M531:O531"/>
    <mergeCell ref="L540:O550"/>
    <mergeCell ref="I541:K541"/>
    <mergeCell ref="I542:J542"/>
    <mergeCell ref="I543:J543"/>
    <mergeCell ref="I550:J550"/>
    <mergeCell ref="I553:J553"/>
    <mergeCell ref="I554:J554"/>
    <mergeCell ref="M560:O560"/>
    <mergeCell ref="M561:O561"/>
    <mergeCell ref="M562:O562"/>
    <mergeCell ref="L571:O581"/>
    <mergeCell ref="M582:N584"/>
    <mergeCell ref="O582:O584"/>
    <mergeCell ref="M585:O588"/>
    <mergeCell ref="I548:K548"/>
    <mergeCell ref="I549:K549"/>
    <mergeCell ref="I551:J551"/>
    <mergeCell ref="L551:L557"/>
    <mergeCell ref="M551:N553"/>
    <mergeCell ref="O551:O553"/>
    <mergeCell ref="M554:O557"/>
    <mergeCell ref="I552:J552"/>
    <mergeCell ref="I555:J555"/>
    <mergeCell ref="I576:J576"/>
    <mergeCell ref="I577:J577"/>
    <mergeCell ref="I578:J578"/>
    <mergeCell ref="I579:K579"/>
    <mergeCell ref="I580:K580"/>
    <mergeCell ref="A791:B791"/>
    <mergeCell ref="A792:B792"/>
    <mergeCell ref="A793:B793"/>
    <mergeCell ref="A794:B794"/>
    <mergeCell ref="A795:B795"/>
    <mergeCell ref="A796:C796"/>
    <mergeCell ref="A797:C797"/>
    <mergeCell ref="A804:B804"/>
    <mergeCell ref="A805:C805"/>
    <mergeCell ref="A808:C810"/>
    <mergeCell ref="A818:D818"/>
    <mergeCell ref="A819:C819"/>
    <mergeCell ref="A798:B798"/>
    <mergeCell ref="A799:B799"/>
    <mergeCell ref="D799:D805"/>
    <mergeCell ref="A800:B800"/>
    <mergeCell ref="A801:B801"/>
    <mergeCell ref="A802:B802"/>
    <mergeCell ref="A803:B803"/>
    <mergeCell ref="A763:B763"/>
    <mergeCell ref="A764:B764"/>
    <mergeCell ref="A757:C757"/>
    <mergeCell ref="D757:G767"/>
    <mergeCell ref="A758:C758"/>
    <mergeCell ref="A759:B759"/>
    <mergeCell ref="A760:B760"/>
    <mergeCell ref="A761:B761"/>
    <mergeCell ref="A762:B762"/>
    <mergeCell ref="A767:B767"/>
    <mergeCell ref="A770:B770"/>
    <mergeCell ref="A771:B771"/>
    <mergeCell ref="A769:B769"/>
    <mergeCell ref="A772:B772"/>
    <mergeCell ref="A765:C765"/>
    <mergeCell ref="A766:C766"/>
    <mergeCell ref="A768:B768"/>
    <mergeCell ref="D768:D774"/>
    <mergeCell ref="E768:F770"/>
    <mergeCell ref="G768:G770"/>
    <mergeCell ref="E771:G774"/>
    <mergeCell ref="A773:B773"/>
    <mergeCell ref="A774:C774"/>
    <mergeCell ref="A777:C779"/>
    <mergeCell ref="A787:D787"/>
    <mergeCell ref="A788:C788"/>
    <mergeCell ref="A789:C789"/>
    <mergeCell ref="A790:B790"/>
    <mergeCell ref="E777:G777"/>
    <mergeCell ref="E778:G778"/>
    <mergeCell ref="E779:G779"/>
    <mergeCell ref="D788:G798"/>
    <mergeCell ref="E799:F801"/>
    <mergeCell ref="G799:G801"/>
    <mergeCell ref="E802:G805"/>
    <mergeCell ref="A264:B264"/>
    <mergeCell ref="A265:B265"/>
    <mergeCell ref="A246:B246"/>
    <mergeCell ref="A247:C247"/>
    <mergeCell ref="A250:C252"/>
    <mergeCell ref="A260:D260"/>
    <mergeCell ref="A261:C261"/>
    <mergeCell ref="A262:C262"/>
    <mergeCell ref="A263:B263"/>
    <mergeCell ref="A277:B277"/>
    <mergeCell ref="A278:C278"/>
    <mergeCell ref="A281:C283"/>
    <mergeCell ref="A291:D291"/>
    <mergeCell ref="A292:C292"/>
    <mergeCell ref="A271:B271"/>
    <mergeCell ref="A272:B272"/>
    <mergeCell ref="D272:D278"/>
    <mergeCell ref="A273:B273"/>
    <mergeCell ref="A274:B274"/>
    <mergeCell ref="A275:B275"/>
    <mergeCell ref="A276:B276"/>
    <mergeCell ref="A234:B234"/>
    <mergeCell ref="A235:B235"/>
    <mergeCell ref="A236:B236"/>
    <mergeCell ref="A237:B237"/>
    <mergeCell ref="E219:G219"/>
    <mergeCell ref="E220:G220"/>
    <mergeCell ref="E221:G221"/>
    <mergeCell ref="D230:G240"/>
    <mergeCell ref="A231:C231"/>
    <mergeCell ref="A232:B232"/>
    <mergeCell ref="A233:B233"/>
    <mergeCell ref="A240:B240"/>
    <mergeCell ref="A243:B243"/>
    <mergeCell ref="A244:B244"/>
    <mergeCell ref="A238:C238"/>
    <mergeCell ref="A239:C239"/>
    <mergeCell ref="A241:B241"/>
    <mergeCell ref="D241:D247"/>
    <mergeCell ref="E241:F243"/>
    <mergeCell ref="G241:G243"/>
    <mergeCell ref="E244:G247"/>
    <mergeCell ref="A242:B242"/>
    <mergeCell ref="A245:B245"/>
    <mergeCell ref="A266:B266"/>
    <mergeCell ref="A267:B267"/>
    <mergeCell ref="A268:B268"/>
    <mergeCell ref="A269:C269"/>
    <mergeCell ref="A270:C270"/>
    <mergeCell ref="E250:G250"/>
    <mergeCell ref="E251:G251"/>
    <mergeCell ref="E252:G252"/>
    <mergeCell ref="D261:G271"/>
    <mergeCell ref="E272:F274"/>
    <mergeCell ref="G272:G274"/>
    <mergeCell ref="E275:G278"/>
    <mergeCell ref="A326:B326"/>
    <mergeCell ref="A327:B327"/>
    <mergeCell ref="A308:B308"/>
    <mergeCell ref="A309:C309"/>
    <mergeCell ref="A312:C314"/>
    <mergeCell ref="A322:D322"/>
    <mergeCell ref="A323:C323"/>
    <mergeCell ref="A324:C324"/>
    <mergeCell ref="A325:B325"/>
    <mergeCell ref="A339:B339"/>
    <mergeCell ref="A340:C340"/>
    <mergeCell ref="A343:C345"/>
    <mergeCell ref="A353:D353"/>
    <mergeCell ref="A354:C354"/>
    <mergeCell ref="A333:B333"/>
    <mergeCell ref="A334:B334"/>
    <mergeCell ref="D334:D340"/>
    <mergeCell ref="A335:B335"/>
    <mergeCell ref="A336:B336"/>
    <mergeCell ref="A337:B337"/>
    <mergeCell ref="A338:B338"/>
    <mergeCell ref="A296:B296"/>
    <mergeCell ref="A297:B297"/>
    <mergeCell ref="A298:B298"/>
    <mergeCell ref="A299:B299"/>
    <mergeCell ref="E281:G281"/>
    <mergeCell ref="E282:G282"/>
    <mergeCell ref="E283:G283"/>
    <mergeCell ref="D292:G302"/>
    <mergeCell ref="A293:C293"/>
    <mergeCell ref="A294:B294"/>
    <mergeCell ref="A295:B295"/>
    <mergeCell ref="A302:B302"/>
    <mergeCell ref="A305:B305"/>
    <mergeCell ref="A306:B306"/>
    <mergeCell ref="A300:C300"/>
    <mergeCell ref="A301:C301"/>
    <mergeCell ref="A303:B303"/>
    <mergeCell ref="D303:D309"/>
    <mergeCell ref="E303:F305"/>
    <mergeCell ref="G303:G305"/>
    <mergeCell ref="E306:G309"/>
    <mergeCell ref="A304:B304"/>
    <mergeCell ref="A307:B307"/>
    <mergeCell ref="A328:B328"/>
    <mergeCell ref="A329:B329"/>
    <mergeCell ref="A330:B330"/>
    <mergeCell ref="A331:C331"/>
    <mergeCell ref="A332:C332"/>
    <mergeCell ref="E312:G312"/>
    <mergeCell ref="E313:G313"/>
    <mergeCell ref="E314:G314"/>
    <mergeCell ref="D323:G333"/>
    <mergeCell ref="E334:F336"/>
    <mergeCell ref="G334:G336"/>
    <mergeCell ref="E337:G340"/>
    <mergeCell ref="A866:B866"/>
    <mergeCell ref="A867:C867"/>
    <mergeCell ref="A860:B860"/>
    <mergeCell ref="A861:B861"/>
    <mergeCell ref="D861:D867"/>
    <mergeCell ref="A862:B862"/>
    <mergeCell ref="A863:B863"/>
    <mergeCell ref="A864:B864"/>
    <mergeCell ref="A865:B865"/>
    <mergeCell ref="I822:J822"/>
    <mergeCell ref="I823:J823"/>
    <mergeCell ref="I824:J824"/>
    <mergeCell ref="I825:J825"/>
    <mergeCell ref="I826:J826"/>
    <mergeCell ref="I827:K827"/>
    <mergeCell ref="I828:K828"/>
    <mergeCell ref="I835:J835"/>
    <mergeCell ref="I836:K836"/>
    <mergeCell ref="I839:K841"/>
    <mergeCell ref="I849:L849"/>
    <mergeCell ref="I850:K850"/>
    <mergeCell ref="I829:J829"/>
    <mergeCell ref="I830:J830"/>
    <mergeCell ref="L830:L836"/>
    <mergeCell ref="I831:J831"/>
    <mergeCell ref="I832:J832"/>
    <mergeCell ref="I833:J833"/>
    <mergeCell ref="I834:J834"/>
    <mergeCell ref="I794:J794"/>
    <mergeCell ref="I795:J795"/>
    <mergeCell ref="I788:K788"/>
    <mergeCell ref="L788:O798"/>
    <mergeCell ref="I789:K789"/>
    <mergeCell ref="I790:J790"/>
    <mergeCell ref="I791:J791"/>
    <mergeCell ref="I792:J792"/>
    <mergeCell ref="I793:J793"/>
    <mergeCell ref="I798:J798"/>
    <mergeCell ref="I801:J801"/>
    <mergeCell ref="I802:J802"/>
    <mergeCell ref="I800:J800"/>
    <mergeCell ref="I803:J803"/>
    <mergeCell ref="I796:K796"/>
    <mergeCell ref="I797:K797"/>
    <mergeCell ref="I799:J799"/>
    <mergeCell ref="L799:L805"/>
    <mergeCell ref="M799:N801"/>
    <mergeCell ref="O799:O801"/>
    <mergeCell ref="M802:O805"/>
    <mergeCell ref="I804:J804"/>
    <mergeCell ref="I805:K805"/>
    <mergeCell ref="I808:K810"/>
    <mergeCell ref="I818:L818"/>
    <mergeCell ref="I819:K819"/>
    <mergeCell ref="I820:K820"/>
    <mergeCell ref="I821:J821"/>
    <mergeCell ref="M808:O808"/>
    <mergeCell ref="M809:O809"/>
    <mergeCell ref="M810:O810"/>
    <mergeCell ref="L819:O829"/>
    <mergeCell ref="M830:N832"/>
    <mergeCell ref="O830:O832"/>
    <mergeCell ref="M833:O836"/>
    <mergeCell ref="I977:J977"/>
    <mergeCell ref="I978:J978"/>
    <mergeCell ref="I979:J979"/>
    <mergeCell ref="I980:J980"/>
    <mergeCell ref="I981:J981"/>
    <mergeCell ref="I982:K982"/>
    <mergeCell ref="I983:K983"/>
    <mergeCell ref="I990:J990"/>
    <mergeCell ref="I991:K991"/>
    <mergeCell ref="I994:K996"/>
    <mergeCell ref="I1004:L1004"/>
    <mergeCell ref="I1005:K1005"/>
    <mergeCell ref="I984:J984"/>
    <mergeCell ref="I985:J985"/>
    <mergeCell ref="L985:L991"/>
    <mergeCell ref="I986:J986"/>
    <mergeCell ref="I987:J987"/>
    <mergeCell ref="I988:J988"/>
    <mergeCell ref="I989:J989"/>
    <mergeCell ref="I949:J949"/>
    <mergeCell ref="I950:J950"/>
    <mergeCell ref="I943:K943"/>
    <mergeCell ref="L943:O953"/>
    <mergeCell ref="I944:K944"/>
    <mergeCell ref="I945:J945"/>
    <mergeCell ref="I946:J946"/>
    <mergeCell ref="I947:J947"/>
    <mergeCell ref="I948:J948"/>
    <mergeCell ref="I953:J953"/>
    <mergeCell ref="I956:J956"/>
    <mergeCell ref="I957:J957"/>
    <mergeCell ref="I955:J955"/>
    <mergeCell ref="I958:J958"/>
    <mergeCell ref="I951:K951"/>
    <mergeCell ref="I952:K952"/>
    <mergeCell ref="I954:J954"/>
    <mergeCell ref="L954:L960"/>
    <mergeCell ref="M954:N956"/>
    <mergeCell ref="O954:O956"/>
    <mergeCell ref="M957:O960"/>
    <mergeCell ref="I959:J959"/>
    <mergeCell ref="I960:K960"/>
    <mergeCell ref="I963:K965"/>
    <mergeCell ref="I973:L973"/>
    <mergeCell ref="I974:K974"/>
    <mergeCell ref="I975:K975"/>
    <mergeCell ref="I976:J976"/>
    <mergeCell ref="M963:O963"/>
    <mergeCell ref="M964:O964"/>
    <mergeCell ref="M965:O965"/>
    <mergeCell ref="L974:O984"/>
    <mergeCell ref="M985:N987"/>
    <mergeCell ref="O985:O987"/>
    <mergeCell ref="M988:O991"/>
    <mergeCell ref="I1039:J1039"/>
    <mergeCell ref="I1040:J1040"/>
    <mergeCell ref="I1021:J1021"/>
    <mergeCell ref="I1022:K1022"/>
    <mergeCell ref="I1025:K1027"/>
    <mergeCell ref="I1035:L1035"/>
    <mergeCell ref="I1036:K1036"/>
    <mergeCell ref="I1037:K1037"/>
    <mergeCell ref="I1038:J1038"/>
    <mergeCell ref="I1009:J1009"/>
    <mergeCell ref="I1010:J1010"/>
    <mergeCell ref="I1011:J1011"/>
    <mergeCell ref="I1012:J1012"/>
    <mergeCell ref="M994:O994"/>
    <mergeCell ref="M995:O995"/>
    <mergeCell ref="M996:O996"/>
    <mergeCell ref="L1005:O1015"/>
    <mergeCell ref="I1006:K1006"/>
    <mergeCell ref="I1007:J1007"/>
    <mergeCell ref="I1008:J1008"/>
    <mergeCell ref="I1015:J1015"/>
    <mergeCell ref="I1018:J1018"/>
    <mergeCell ref="I1019:J1019"/>
    <mergeCell ref="M1025:O1025"/>
    <mergeCell ref="M1026:O1026"/>
    <mergeCell ref="M1027:O1027"/>
    <mergeCell ref="L1036:O1046"/>
    <mergeCell ref="M1047:N1049"/>
    <mergeCell ref="O1047:O1049"/>
    <mergeCell ref="M1050:O1053"/>
    <mergeCell ref="I1013:K1013"/>
    <mergeCell ref="I1014:K1014"/>
    <mergeCell ref="I1016:J1016"/>
    <mergeCell ref="L1016:L1022"/>
    <mergeCell ref="M1016:N1018"/>
    <mergeCell ref="O1016:O1018"/>
    <mergeCell ref="M1019:O1022"/>
    <mergeCell ref="I1017:J1017"/>
    <mergeCell ref="I1020:J1020"/>
    <mergeCell ref="I1041:J1041"/>
    <mergeCell ref="I1042:J1042"/>
    <mergeCell ref="I1043:J1043"/>
    <mergeCell ref="I1044:K1044"/>
    <mergeCell ref="I1045:K1045"/>
    <mergeCell ref="I1066:L1066"/>
    <mergeCell ref="I1067:K1067"/>
    <mergeCell ref="L1067:O1077"/>
    <mergeCell ref="I1068:K1068"/>
    <mergeCell ref="I1069:J1069"/>
    <mergeCell ref="I1070:J1070"/>
    <mergeCell ref="I1071:J1071"/>
    <mergeCell ref="I1076:K1076"/>
    <mergeCell ref="I1077:J1077"/>
    <mergeCell ref="I1078:J1078"/>
    <mergeCell ref="L1078:L1084"/>
    <mergeCell ref="M1078:N1080"/>
    <mergeCell ref="O1078:O1080"/>
    <mergeCell ref="M1081:O1084"/>
    <mergeCell ref="I1052:J1052"/>
    <mergeCell ref="I1053:K1053"/>
    <mergeCell ref="I1056:K1058"/>
    <mergeCell ref="M1056:O1056"/>
    <mergeCell ref="M1057:O1057"/>
    <mergeCell ref="M1058:O1058"/>
    <mergeCell ref="I1046:J1046"/>
    <mergeCell ref="I1047:J1047"/>
    <mergeCell ref="L1047:L1053"/>
    <mergeCell ref="I1048:J1048"/>
    <mergeCell ref="I1049:J1049"/>
    <mergeCell ref="I1050:J1050"/>
    <mergeCell ref="I1051:J1051"/>
    <mergeCell ref="I1072:J1072"/>
    <mergeCell ref="I1073:J1073"/>
    <mergeCell ref="I1074:J1074"/>
    <mergeCell ref="I1075:K1075"/>
    <mergeCell ref="I1080:J1080"/>
    <mergeCell ref="I1081:J1081"/>
    <mergeCell ref="I1079:J1079"/>
    <mergeCell ref="I1082:J1082"/>
    <mergeCell ref="I1083:J1083"/>
    <mergeCell ref="I1084:K1084"/>
    <mergeCell ref="I1087:K1089"/>
    <mergeCell ref="M1087:O1087"/>
    <mergeCell ref="M1088:O1088"/>
    <mergeCell ref="M1089:O1089"/>
    <mergeCell ref="I1097:L1097"/>
    <mergeCell ref="I1132:J1132"/>
    <mergeCell ref="I1133:J1133"/>
    <mergeCell ref="I1134:J1134"/>
    <mergeCell ref="I1135:J1135"/>
    <mergeCell ref="I1136:J1136"/>
    <mergeCell ref="I1137:K1137"/>
    <mergeCell ref="I1138:K1138"/>
    <mergeCell ref="I1145:J1145"/>
    <mergeCell ref="I1146:K1146"/>
    <mergeCell ref="I1149:K1151"/>
    <mergeCell ref="I1159:L1159"/>
    <mergeCell ref="I1160:K1160"/>
    <mergeCell ref="I1139:J1139"/>
    <mergeCell ref="I1140:J1140"/>
    <mergeCell ref="L1140:L1146"/>
    <mergeCell ref="I1141:J1141"/>
    <mergeCell ref="I1142:J1142"/>
    <mergeCell ref="I1143:J1143"/>
    <mergeCell ref="I1144:J1144"/>
    <mergeCell ref="I1104:J1104"/>
    <mergeCell ref="I1105:J1105"/>
    <mergeCell ref="I1098:K1098"/>
    <mergeCell ref="L1098:O1108"/>
    <mergeCell ref="I1099:K1099"/>
    <mergeCell ref="I1100:J1100"/>
    <mergeCell ref="I1101:J1101"/>
    <mergeCell ref="I1102:J1102"/>
    <mergeCell ref="I1103:J1103"/>
    <mergeCell ref="I1108:J1108"/>
    <mergeCell ref="I1111:J1111"/>
    <mergeCell ref="I1112:J1112"/>
    <mergeCell ref="I1110:J1110"/>
    <mergeCell ref="I1113:J1113"/>
    <mergeCell ref="I1106:K1106"/>
    <mergeCell ref="I1107:K1107"/>
    <mergeCell ref="I1109:J1109"/>
    <mergeCell ref="L1109:L1115"/>
    <mergeCell ref="M1109:N1111"/>
    <mergeCell ref="O1109:O1111"/>
    <mergeCell ref="M1112:O1115"/>
    <mergeCell ref="I1114:J1114"/>
    <mergeCell ref="I1115:K1115"/>
    <mergeCell ref="I1118:K1120"/>
    <mergeCell ref="I1128:L1128"/>
    <mergeCell ref="I1129:K1129"/>
    <mergeCell ref="I1130:K1130"/>
    <mergeCell ref="I1131:J1131"/>
    <mergeCell ref="M1118:O1118"/>
    <mergeCell ref="M1119:O1119"/>
    <mergeCell ref="M1120:O1120"/>
    <mergeCell ref="L1129:O1139"/>
    <mergeCell ref="M1140:N1142"/>
    <mergeCell ref="O1140:O1142"/>
    <mergeCell ref="M1143:O1146"/>
    <mergeCell ref="I295:J295"/>
    <mergeCell ref="I296:J296"/>
    <mergeCell ref="I277:J277"/>
    <mergeCell ref="I278:K278"/>
    <mergeCell ref="I281:K283"/>
    <mergeCell ref="I291:L291"/>
    <mergeCell ref="I292:K292"/>
    <mergeCell ref="I293:K293"/>
    <mergeCell ref="I294:J294"/>
    <mergeCell ref="I308:J308"/>
    <mergeCell ref="I309:K309"/>
    <mergeCell ref="I312:K314"/>
    <mergeCell ref="I322:L322"/>
    <mergeCell ref="I323:K323"/>
    <mergeCell ref="I302:J302"/>
    <mergeCell ref="I303:J303"/>
    <mergeCell ref="L303:L309"/>
    <mergeCell ref="I304:J304"/>
    <mergeCell ref="I305:J305"/>
    <mergeCell ref="I306:J306"/>
    <mergeCell ref="I307:J307"/>
    <mergeCell ref="I265:J265"/>
    <mergeCell ref="I266:J266"/>
    <mergeCell ref="I267:J267"/>
    <mergeCell ref="I268:J268"/>
    <mergeCell ref="M250:O250"/>
    <mergeCell ref="M251:O251"/>
    <mergeCell ref="M252:O252"/>
    <mergeCell ref="L261:O271"/>
    <mergeCell ref="I262:K262"/>
    <mergeCell ref="I263:J263"/>
    <mergeCell ref="I264:J264"/>
    <mergeCell ref="I271:J271"/>
    <mergeCell ref="I274:J274"/>
    <mergeCell ref="I275:J275"/>
    <mergeCell ref="I269:K269"/>
    <mergeCell ref="I270:K270"/>
    <mergeCell ref="I272:J272"/>
    <mergeCell ref="L272:L278"/>
    <mergeCell ref="M272:N274"/>
    <mergeCell ref="O272:O274"/>
    <mergeCell ref="M275:O278"/>
    <mergeCell ref="I273:J273"/>
    <mergeCell ref="I276:J276"/>
    <mergeCell ref="I297:J297"/>
    <mergeCell ref="I298:J298"/>
    <mergeCell ref="I299:J299"/>
    <mergeCell ref="I300:K300"/>
    <mergeCell ref="I301:K301"/>
    <mergeCell ref="M281:O281"/>
    <mergeCell ref="M282:O282"/>
    <mergeCell ref="M283:O283"/>
    <mergeCell ref="L292:O302"/>
    <mergeCell ref="M303:N305"/>
    <mergeCell ref="O303:O305"/>
    <mergeCell ref="M306:O309"/>
    <mergeCell ref="I357:J357"/>
    <mergeCell ref="I358:J358"/>
    <mergeCell ref="I339:J339"/>
    <mergeCell ref="I340:K340"/>
    <mergeCell ref="I343:K345"/>
    <mergeCell ref="I353:L353"/>
    <mergeCell ref="I354:K354"/>
    <mergeCell ref="I355:K355"/>
    <mergeCell ref="I356:J356"/>
    <mergeCell ref="I370:J370"/>
    <mergeCell ref="I371:K371"/>
    <mergeCell ref="I374:K376"/>
    <mergeCell ref="I384:L384"/>
    <mergeCell ref="I385:K385"/>
    <mergeCell ref="I364:J364"/>
    <mergeCell ref="I365:J365"/>
    <mergeCell ref="L365:L371"/>
    <mergeCell ref="I366:J366"/>
    <mergeCell ref="I367:J367"/>
    <mergeCell ref="I368:J368"/>
    <mergeCell ref="I369:J369"/>
    <mergeCell ref="I327:J327"/>
    <mergeCell ref="I328:J328"/>
    <mergeCell ref="I329:J329"/>
    <mergeCell ref="I330:J330"/>
    <mergeCell ref="M312:O312"/>
    <mergeCell ref="M313:O313"/>
    <mergeCell ref="M314:O314"/>
    <mergeCell ref="L323:O333"/>
    <mergeCell ref="I324:K324"/>
    <mergeCell ref="I325:J325"/>
    <mergeCell ref="I326:J326"/>
    <mergeCell ref="I333:J333"/>
    <mergeCell ref="I336:J336"/>
    <mergeCell ref="I337:J337"/>
    <mergeCell ref="I331:K331"/>
    <mergeCell ref="I332:K332"/>
    <mergeCell ref="I334:J334"/>
    <mergeCell ref="L334:L340"/>
    <mergeCell ref="M334:N336"/>
    <mergeCell ref="O334:O336"/>
    <mergeCell ref="M337:O340"/>
    <mergeCell ref="I335:J335"/>
    <mergeCell ref="I338:J338"/>
    <mergeCell ref="I359:J359"/>
    <mergeCell ref="I360:J360"/>
    <mergeCell ref="I361:J361"/>
    <mergeCell ref="I362:K362"/>
    <mergeCell ref="I363:K363"/>
    <mergeCell ref="M343:O343"/>
    <mergeCell ref="M344:O344"/>
    <mergeCell ref="M345:O345"/>
    <mergeCell ref="L354:O364"/>
    <mergeCell ref="M365:N367"/>
    <mergeCell ref="O365:O367"/>
    <mergeCell ref="M368:O371"/>
    <mergeCell ref="I1164:J1164"/>
    <mergeCell ref="I1165:J1165"/>
    <mergeCell ref="I1166:J1166"/>
    <mergeCell ref="I1167:J1167"/>
    <mergeCell ref="M1149:O1149"/>
    <mergeCell ref="M1150:O1150"/>
    <mergeCell ref="M1151:O1151"/>
    <mergeCell ref="L1160:O1170"/>
    <mergeCell ref="I1161:K1161"/>
    <mergeCell ref="I1162:J1162"/>
    <mergeCell ref="I1163:J1163"/>
    <mergeCell ref="I1170:J1170"/>
    <mergeCell ref="I1173:J1173"/>
    <mergeCell ref="I1174:J1174"/>
    <mergeCell ref="I1172:J1172"/>
    <mergeCell ref="I1175:J1175"/>
    <mergeCell ref="I1176:J1176"/>
    <mergeCell ref="I1177:K1177"/>
    <mergeCell ref="I1168:K1168"/>
    <mergeCell ref="I1169:K1169"/>
    <mergeCell ref="I1171:J1171"/>
    <mergeCell ref="L1171:L1177"/>
    <mergeCell ref="M1171:N1173"/>
    <mergeCell ref="O1171:O1173"/>
    <mergeCell ref="M1174:O1177"/>
    <mergeCell ref="I512:J512"/>
    <mergeCell ref="I513:J513"/>
    <mergeCell ref="I514:J514"/>
    <mergeCell ref="I515:J515"/>
    <mergeCell ref="I516:J516"/>
    <mergeCell ref="I517:K517"/>
    <mergeCell ref="I518:K518"/>
    <mergeCell ref="I525:J525"/>
    <mergeCell ref="I526:K526"/>
    <mergeCell ref="I529:K531"/>
    <mergeCell ref="I539:L539"/>
    <mergeCell ref="I540:K540"/>
    <mergeCell ref="I519:J519"/>
    <mergeCell ref="I520:J520"/>
    <mergeCell ref="L520:L526"/>
    <mergeCell ref="I521:J521"/>
    <mergeCell ref="I522:J522"/>
    <mergeCell ref="I523:J523"/>
    <mergeCell ref="I524:J524"/>
    <mergeCell ref="I484:J484"/>
    <mergeCell ref="I485:J485"/>
    <mergeCell ref="I478:K478"/>
    <mergeCell ref="L478:O488"/>
    <mergeCell ref="I479:K479"/>
    <mergeCell ref="I480:J480"/>
    <mergeCell ref="I481:J481"/>
    <mergeCell ref="I482:J482"/>
    <mergeCell ref="I483:J483"/>
    <mergeCell ref="I488:J488"/>
    <mergeCell ref="I491:J491"/>
    <mergeCell ref="I492:J492"/>
    <mergeCell ref="I490:J490"/>
    <mergeCell ref="I493:J493"/>
    <mergeCell ref="I486:K486"/>
    <mergeCell ref="I487:K487"/>
    <mergeCell ref="I489:J489"/>
    <mergeCell ref="L489:L495"/>
    <mergeCell ref="M489:N491"/>
    <mergeCell ref="O489:O491"/>
    <mergeCell ref="M492:O495"/>
    <mergeCell ref="I494:J494"/>
    <mergeCell ref="I495:K495"/>
    <mergeCell ref="I498:K500"/>
    <mergeCell ref="I508:L508"/>
    <mergeCell ref="I509:K509"/>
    <mergeCell ref="I510:K510"/>
    <mergeCell ref="I511:J511"/>
    <mergeCell ref="M498:O498"/>
    <mergeCell ref="M499:O499"/>
    <mergeCell ref="M500:O500"/>
    <mergeCell ref="L509:O519"/>
    <mergeCell ref="M520:N522"/>
    <mergeCell ref="O520:O522"/>
    <mergeCell ref="M523:O526"/>
    <mergeCell ref="I601:L601"/>
    <mergeCell ref="I602:K602"/>
    <mergeCell ref="L602:O612"/>
    <mergeCell ref="I603:K603"/>
    <mergeCell ref="I604:J604"/>
    <mergeCell ref="I605:J605"/>
    <mergeCell ref="I606:J606"/>
    <mergeCell ref="I611:K611"/>
    <mergeCell ref="I612:J612"/>
    <mergeCell ref="I613:J613"/>
    <mergeCell ref="L613:L619"/>
    <mergeCell ref="M613:N615"/>
    <mergeCell ref="O613:O615"/>
    <mergeCell ref="M616:O619"/>
    <mergeCell ref="I587:J587"/>
    <mergeCell ref="I588:K588"/>
    <mergeCell ref="I591:K593"/>
    <mergeCell ref="M591:O591"/>
    <mergeCell ref="M592:O592"/>
    <mergeCell ref="M593:O593"/>
    <mergeCell ref="I581:J581"/>
    <mergeCell ref="I582:J582"/>
    <mergeCell ref="L582:L588"/>
    <mergeCell ref="I583:J583"/>
    <mergeCell ref="I584:J584"/>
    <mergeCell ref="I585:J585"/>
    <mergeCell ref="I586:J586"/>
    <mergeCell ref="I607:J607"/>
    <mergeCell ref="I608:J608"/>
    <mergeCell ref="I609:J609"/>
    <mergeCell ref="I610:K610"/>
    <mergeCell ref="I615:J615"/>
    <mergeCell ref="I616:J616"/>
    <mergeCell ref="I614:J614"/>
    <mergeCell ref="I617:J617"/>
    <mergeCell ref="I618:J618"/>
    <mergeCell ref="I619:K619"/>
    <mergeCell ref="I622:K624"/>
    <mergeCell ref="M622:O622"/>
    <mergeCell ref="M623:O623"/>
    <mergeCell ref="M624:O624"/>
    <mergeCell ref="I632:L632"/>
    <mergeCell ref="I667:J667"/>
    <mergeCell ref="I668:J668"/>
    <mergeCell ref="I669:J669"/>
    <mergeCell ref="I670:J670"/>
    <mergeCell ref="I671:J671"/>
    <mergeCell ref="I672:K672"/>
    <mergeCell ref="I673:K673"/>
    <mergeCell ref="I680:J680"/>
    <mergeCell ref="I681:K681"/>
    <mergeCell ref="I684:K686"/>
    <mergeCell ref="I694:L694"/>
    <mergeCell ref="I695:K695"/>
    <mergeCell ref="I674:J674"/>
    <mergeCell ref="I675:J675"/>
    <mergeCell ref="L675:L681"/>
    <mergeCell ref="I676:J676"/>
    <mergeCell ref="I677:J677"/>
    <mergeCell ref="I678:J678"/>
    <mergeCell ref="I679:J679"/>
    <mergeCell ref="I639:J639"/>
    <mergeCell ref="I640:J640"/>
    <mergeCell ref="I633:K633"/>
    <mergeCell ref="L633:O643"/>
    <mergeCell ref="I634:K634"/>
    <mergeCell ref="I635:J635"/>
    <mergeCell ref="I636:J636"/>
    <mergeCell ref="I637:J637"/>
    <mergeCell ref="I638:J638"/>
    <mergeCell ref="I643:J643"/>
    <mergeCell ref="I646:J646"/>
    <mergeCell ref="I647:J647"/>
    <mergeCell ref="I645:J645"/>
    <mergeCell ref="I648:J648"/>
    <mergeCell ref="I641:K641"/>
    <mergeCell ref="I642:K642"/>
    <mergeCell ref="I644:J644"/>
    <mergeCell ref="L644:L650"/>
    <mergeCell ref="M644:N646"/>
    <mergeCell ref="O644:O646"/>
    <mergeCell ref="M647:O650"/>
    <mergeCell ref="I649:J649"/>
    <mergeCell ref="I650:K650"/>
    <mergeCell ref="I653:K655"/>
    <mergeCell ref="I663:L663"/>
    <mergeCell ref="I664:K664"/>
    <mergeCell ref="I665:K665"/>
    <mergeCell ref="I666:J666"/>
    <mergeCell ref="M653:O653"/>
    <mergeCell ref="M654:O654"/>
    <mergeCell ref="M655:O655"/>
    <mergeCell ref="L664:O674"/>
    <mergeCell ref="M675:N677"/>
    <mergeCell ref="O675:O677"/>
    <mergeCell ref="M678:O681"/>
    <mergeCell ref="I729:J729"/>
    <mergeCell ref="I730:J730"/>
    <mergeCell ref="I711:J711"/>
    <mergeCell ref="I712:K712"/>
    <mergeCell ref="I715:K717"/>
    <mergeCell ref="I725:L725"/>
    <mergeCell ref="I726:K726"/>
    <mergeCell ref="I727:K727"/>
    <mergeCell ref="I728:J728"/>
    <mergeCell ref="I699:J699"/>
    <mergeCell ref="I700:J700"/>
    <mergeCell ref="I701:J701"/>
    <mergeCell ref="I702:J702"/>
    <mergeCell ref="M684:O684"/>
    <mergeCell ref="M685:O685"/>
    <mergeCell ref="M686:O686"/>
    <mergeCell ref="L695:O705"/>
    <mergeCell ref="I696:K696"/>
    <mergeCell ref="I697:J697"/>
    <mergeCell ref="I698:J698"/>
    <mergeCell ref="I705:J705"/>
    <mergeCell ref="I708:J708"/>
    <mergeCell ref="I709:J709"/>
    <mergeCell ref="M715:O715"/>
    <mergeCell ref="M716:O716"/>
    <mergeCell ref="M717:O717"/>
    <mergeCell ref="L726:O736"/>
    <mergeCell ref="M737:N739"/>
    <mergeCell ref="O737:O739"/>
    <mergeCell ref="M740:O743"/>
    <mergeCell ref="I703:K703"/>
    <mergeCell ref="I704:K704"/>
    <mergeCell ref="I706:J706"/>
    <mergeCell ref="L706:L712"/>
    <mergeCell ref="M706:N708"/>
    <mergeCell ref="O706:O708"/>
    <mergeCell ref="M709:O712"/>
    <mergeCell ref="I707:J707"/>
    <mergeCell ref="I710:J710"/>
    <mergeCell ref="I731:J731"/>
    <mergeCell ref="I732:J732"/>
    <mergeCell ref="I733:J733"/>
    <mergeCell ref="I734:K734"/>
    <mergeCell ref="I735:K735"/>
    <mergeCell ref="I756:L756"/>
    <mergeCell ref="I757:K757"/>
    <mergeCell ref="L757:O767"/>
    <mergeCell ref="I758:K758"/>
    <mergeCell ref="I759:J759"/>
    <mergeCell ref="I760:J760"/>
    <mergeCell ref="I761:J761"/>
    <mergeCell ref="I766:K766"/>
    <mergeCell ref="I767:J767"/>
    <mergeCell ref="I768:J768"/>
    <mergeCell ref="L768:L774"/>
    <mergeCell ref="M768:N770"/>
    <mergeCell ref="O768:O770"/>
    <mergeCell ref="M771:O774"/>
    <mergeCell ref="I742:J742"/>
    <mergeCell ref="I743:K743"/>
    <mergeCell ref="I746:K748"/>
    <mergeCell ref="M746:O746"/>
    <mergeCell ref="M747:O747"/>
    <mergeCell ref="M748:O748"/>
    <mergeCell ref="I736:J736"/>
    <mergeCell ref="I737:J737"/>
    <mergeCell ref="L737:L743"/>
    <mergeCell ref="I738:J738"/>
    <mergeCell ref="I739:J739"/>
    <mergeCell ref="I740:J740"/>
    <mergeCell ref="I741:J741"/>
    <mergeCell ref="I762:J762"/>
    <mergeCell ref="I763:J763"/>
    <mergeCell ref="I764:J764"/>
    <mergeCell ref="I765:K765"/>
    <mergeCell ref="I770:J770"/>
    <mergeCell ref="I771:J771"/>
    <mergeCell ref="I769:J769"/>
    <mergeCell ref="I772:J772"/>
    <mergeCell ref="I773:J773"/>
    <mergeCell ref="I774:K774"/>
    <mergeCell ref="I777:K779"/>
    <mergeCell ref="M777:O777"/>
    <mergeCell ref="M778:O778"/>
    <mergeCell ref="M779:O779"/>
    <mergeCell ref="I787:L787"/>
    <mergeCell ref="I884:J884"/>
    <mergeCell ref="I885:J885"/>
    <mergeCell ref="I866:J866"/>
    <mergeCell ref="I867:K867"/>
    <mergeCell ref="I870:K872"/>
    <mergeCell ref="I880:L880"/>
    <mergeCell ref="I881:K881"/>
    <mergeCell ref="I882:K882"/>
    <mergeCell ref="I883:J883"/>
    <mergeCell ref="I854:J854"/>
    <mergeCell ref="I855:J855"/>
    <mergeCell ref="I856:J856"/>
    <mergeCell ref="I857:J857"/>
    <mergeCell ref="M839:O839"/>
    <mergeCell ref="M840:O840"/>
    <mergeCell ref="M841:O841"/>
    <mergeCell ref="L850:O860"/>
    <mergeCell ref="I851:K851"/>
    <mergeCell ref="I852:J852"/>
    <mergeCell ref="I853:J853"/>
    <mergeCell ref="I860:J860"/>
    <mergeCell ref="I863:J863"/>
    <mergeCell ref="I864:J864"/>
    <mergeCell ref="M870:O870"/>
    <mergeCell ref="M871:O871"/>
    <mergeCell ref="M872:O872"/>
    <mergeCell ref="L881:O891"/>
    <mergeCell ref="M892:N894"/>
    <mergeCell ref="O892:O894"/>
    <mergeCell ref="M895:O898"/>
    <mergeCell ref="I858:K858"/>
    <mergeCell ref="I859:K859"/>
    <mergeCell ref="I861:J861"/>
    <mergeCell ref="L861:L867"/>
    <mergeCell ref="M861:N863"/>
    <mergeCell ref="O861:O863"/>
    <mergeCell ref="M864:O867"/>
    <mergeCell ref="I862:J862"/>
    <mergeCell ref="I865:J865"/>
    <mergeCell ref="I886:J886"/>
    <mergeCell ref="I887:J887"/>
    <mergeCell ref="I888:J888"/>
    <mergeCell ref="I889:K889"/>
    <mergeCell ref="I890:K890"/>
    <mergeCell ref="I911:L911"/>
    <mergeCell ref="I912:K912"/>
    <mergeCell ref="L912:O922"/>
    <mergeCell ref="I913:K913"/>
    <mergeCell ref="I914:J914"/>
    <mergeCell ref="I915:J915"/>
    <mergeCell ref="I916:J916"/>
    <mergeCell ref="I921:K921"/>
    <mergeCell ref="I922:J922"/>
    <mergeCell ref="I923:J923"/>
    <mergeCell ref="L923:L929"/>
    <mergeCell ref="M923:N925"/>
    <mergeCell ref="O923:O925"/>
    <mergeCell ref="M926:O929"/>
    <mergeCell ref="I897:J897"/>
    <mergeCell ref="I898:K898"/>
    <mergeCell ref="I901:K903"/>
    <mergeCell ref="M901:O901"/>
    <mergeCell ref="M902:O902"/>
    <mergeCell ref="M903:O903"/>
    <mergeCell ref="I891:J891"/>
    <mergeCell ref="I892:J892"/>
    <mergeCell ref="L892:L898"/>
    <mergeCell ref="I893:J893"/>
    <mergeCell ref="I894:J894"/>
    <mergeCell ref="I895:J895"/>
    <mergeCell ref="I896:J896"/>
    <mergeCell ref="I917:J917"/>
    <mergeCell ref="I918:J918"/>
    <mergeCell ref="I919:J919"/>
    <mergeCell ref="I920:K920"/>
    <mergeCell ref="I925:J925"/>
    <mergeCell ref="I926:J926"/>
    <mergeCell ref="I924:J924"/>
    <mergeCell ref="I927:J927"/>
    <mergeCell ref="I928:J928"/>
    <mergeCell ref="I929:K929"/>
    <mergeCell ref="I932:K934"/>
    <mergeCell ref="M932:O932"/>
    <mergeCell ref="M933:O933"/>
    <mergeCell ref="M934:O934"/>
    <mergeCell ref="I942:L942"/>
    <mergeCell ref="A1039:B1039"/>
    <mergeCell ref="A1040:B1040"/>
    <mergeCell ref="A1021:B1021"/>
    <mergeCell ref="A1022:C1022"/>
    <mergeCell ref="A1025:C1027"/>
    <mergeCell ref="A1035:D1035"/>
    <mergeCell ref="A1036:C1036"/>
    <mergeCell ref="A1037:C1037"/>
    <mergeCell ref="A1038:B1038"/>
    <mergeCell ref="A1009:B1009"/>
    <mergeCell ref="A1010:B1010"/>
    <mergeCell ref="A1011:B1011"/>
    <mergeCell ref="A1012:B1012"/>
    <mergeCell ref="E994:G994"/>
    <mergeCell ref="E995:G995"/>
    <mergeCell ref="E996:G996"/>
    <mergeCell ref="D1005:G1015"/>
    <mergeCell ref="A1006:C1006"/>
    <mergeCell ref="A1007:B1007"/>
    <mergeCell ref="A1008:B1008"/>
    <mergeCell ref="A1015:B1015"/>
    <mergeCell ref="A1018:B1018"/>
    <mergeCell ref="A1019:B1019"/>
    <mergeCell ref="E1025:G1025"/>
    <mergeCell ref="E1026:G1026"/>
    <mergeCell ref="E1027:G1027"/>
    <mergeCell ref="D1036:G1046"/>
    <mergeCell ref="E1047:F1049"/>
    <mergeCell ref="G1047:G1049"/>
    <mergeCell ref="E1050:G1053"/>
    <mergeCell ref="A1013:C1013"/>
    <mergeCell ref="A1014:C1014"/>
    <mergeCell ref="A1016:B1016"/>
    <mergeCell ref="D1016:D1022"/>
    <mergeCell ref="E1016:F1018"/>
    <mergeCell ref="G1016:G1018"/>
    <mergeCell ref="E1019:G1022"/>
    <mergeCell ref="A1017:B1017"/>
    <mergeCell ref="A1020:B1020"/>
    <mergeCell ref="A1041:B1041"/>
    <mergeCell ref="A1042:B1042"/>
    <mergeCell ref="A1043:B1043"/>
    <mergeCell ref="A1044:C1044"/>
    <mergeCell ref="A1045:C1045"/>
    <mergeCell ref="A1066:D1066"/>
    <mergeCell ref="A1067:C1067"/>
    <mergeCell ref="D1067:G1077"/>
    <mergeCell ref="A1068:C1068"/>
    <mergeCell ref="A1069:B1069"/>
    <mergeCell ref="A1070:B1070"/>
    <mergeCell ref="A1071:B1071"/>
    <mergeCell ref="A1076:C1076"/>
    <mergeCell ref="A1077:B1077"/>
    <mergeCell ref="A1078:B1078"/>
    <mergeCell ref="D1078:D1084"/>
    <mergeCell ref="E1078:F1080"/>
    <mergeCell ref="G1078:G1080"/>
    <mergeCell ref="E1081:G1084"/>
    <mergeCell ref="A1052:B1052"/>
    <mergeCell ref="A1053:C1053"/>
    <mergeCell ref="A1056:C1058"/>
    <mergeCell ref="E1056:G1056"/>
    <mergeCell ref="E1057:G1057"/>
    <mergeCell ref="E1058:G1058"/>
    <mergeCell ref="A1046:B1046"/>
    <mergeCell ref="A1047:B1047"/>
    <mergeCell ref="D1047:D1053"/>
    <mergeCell ref="A1048:B1048"/>
    <mergeCell ref="A1049:B1049"/>
    <mergeCell ref="A1050:B1050"/>
    <mergeCell ref="A1051:B1051"/>
    <mergeCell ref="A1072:B1072"/>
    <mergeCell ref="A1073:B1073"/>
    <mergeCell ref="A1074:B1074"/>
    <mergeCell ref="A1075:C1075"/>
    <mergeCell ref="A1080:B1080"/>
    <mergeCell ref="A1081:B1081"/>
    <mergeCell ref="A1079:B1079"/>
    <mergeCell ref="A1082:B1082"/>
    <mergeCell ref="A1083:B1083"/>
    <mergeCell ref="A1084:C1084"/>
    <mergeCell ref="A1087:C1089"/>
    <mergeCell ref="E1087:G1087"/>
    <mergeCell ref="E1088:G1088"/>
    <mergeCell ref="E1089:G1089"/>
    <mergeCell ref="A1097:D1097"/>
    <mergeCell ref="A1132:B1132"/>
    <mergeCell ref="A1133:B1133"/>
    <mergeCell ref="A1134:B1134"/>
    <mergeCell ref="A1135:B1135"/>
    <mergeCell ref="A1136:B1136"/>
    <mergeCell ref="A1137:C1137"/>
    <mergeCell ref="A1138:C1138"/>
    <mergeCell ref="A1145:B1145"/>
    <mergeCell ref="A1146:C1146"/>
    <mergeCell ref="A1149:C1151"/>
    <mergeCell ref="A1159:D1159"/>
    <mergeCell ref="A1160:C1160"/>
    <mergeCell ref="A1139:B1139"/>
    <mergeCell ref="A1140:B1140"/>
    <mergeCell ref="D1140:D1146"/>
    <mergeCell ref="A1141:B1141"/>
    <mergeCell ref="A1142:B1142"/>
    <mergeCell ref="A1143:B1143"/>
    <mergeCell ref="A1144:B1144"/>
    <mergeCell ref="A1104:B1104"/>
    <mergeCell ref="A1105:B1105"/>
    <mergeCell ref="A1098:C1098"/>
    <mergeCell ref="D1098:G1108"/>
    <mergeCell ref="A1099:C1099"/>
    <mergeCell ref="A1100:B1100"/>
    <mergeCell ref="A1101:B1101"/>
    <mergeCell ref="A1102:B1102"/>
    <mergeCell ref="A1103:B1103"/>
    <mergeCell ref="A1108:B1108"/>
    <mergeCell ref="A1111:B1111"/>
    <mergeCell ref="A1112:B1112"/>
    <mergeCell ref="A1110:B1110"/>
    <mergeCell ref="A1113:B1113"/>
    <mergeCell ref="A1106:C1106"/>
    <mergeCell ref="A1107:C1107"/>
    <mergeCell ref="A1109:B1109"/>
    <mergeCell ref="D1109:D1115"/>
    <mergeCell ref="E1109:F1111"/>
    <mergeCell ref="G1109:G1111"/>
    <mergeCell ref="E1112:G1115"/>
    <mergeCell ref="A1114:B1114"/>
    <mergeCell ref="A1115:C1115"/>
    <mergeCell ref="A1118:C1120"/>
    <mergeCell ref="A1128:D1128"/>
    <mergeCell ref="A1129:C1129"/>
    <mergeCell ref="A1130:C1130"/>
    <mergeCell ref="A1131:B1131"/>
    <mergeCell ref="E1118:G1118"/>
    <mergeCell ref="E1119:G1119"/>
    <mergeCell ref="E1120:G1120"/>
    <mergeCell ref="D1129:G1139"/>
    <mergeCell ref="E1140:F1142"/>
    <mergeCell ref="G1140:G1142"/>
    <mergeCell ref="E1143:G1146"/>
    <mergeCell ref="A853:B853"/>
    <mergeCell ref="A854:B854"/>
    <mergeCell ref="A835:B835"/>
    <mergeCell ref="A836:C836"/>
    <mergeCell ref="A839:C841"/>
    <mergeCell ref="A849:D849"/>
    <mergeCell ref="A850:C850"/>
    <mergeCell ref="A851:C851"/>
    <mergeCell ref="A852:B852"/>
    <mergeCell ref="A823:B823"/>
    <mergeCell ref="A824:B824"/>
    <mergeCell ref="A825:B825"/>
    <mergeCell ref="A826:B826"/>
    <mergeCell ref="E808:G808"/>
    <mergeCell ref="E809:G809"/>
    <mergeCell ref="E810:G810"/>
    <mergeCell ref="D819:G829"/>
    <mergeCell ref="A820:C820"/>
    <mergeCell ref="A821:B821"/>
    <mergeCell ref="A822:B822"/>
    <mergeCell ref="A829:B829"/>
    <mergeCell ref="A832:B832"/>
    <mergeCell ref="A833:B833"/>
    <mergeCell ref="A827:C827"/>
    <mergeCell ref="A828:C828"/>
    <mergeCell ref="A830:B830"/>
    <mergeCell ref="D830:D836"/>
    <mergeCell ref="E830:F832"/>
    <mergeCell ref="G830:G832"/>
    <mergeCell ref="E833:G836"/>
    <mergeCell ref="A831:B831"/>
    <mergeCell ref="A834:B834"/>
    <mergeCell ref="A855:B855"/>
    <mergeCell ref="A856:B856"/>
    <mergeCell ref="A857:B857"/>
    <mergeCell ref="A858:C858"/>
    <mergeCell ref="A859:C859"/>
    <mergeCell ref="A870:C872"/>
    <mergeCell ref="E839:G839"/>
    <mergeCell ref="E840:G840"/>
    <mergeCell ref="E841:G841"/>
    <mergeCell ref="D850:G860"/>
    <mergeCell ref="E861:F863"/>
    <mergeCell ref="G861:G863"/>
    <mergeCell ref="E864:G867"/>
    <mergeCell ref="E870:G870"/>
    <mergeCell ref="E871:G871"/>
    <mergeCell ref="E872:G872"/>
    <mergeCell ref="A880:D880"/>
    <mergeCell ref="A881:C881"/>
    <mergeCell ref="D881:G891"/>
    <mergeCell ref="A882:C882"/>
    <mergeCell ref="A891:B891"/>
    <mergeCell ref="A889:C889"/>
    <mergeCell ref="A890:C890"/>
    <mergeCell ref="A892:B892"/>
    <mergeCell ref="D892:D898"/>
    <mergeCell ref="E892:F894"/>
    <mergeCell ref="G892:G894"/>
    <mergeCell ref="E895:G898"/>
    <mergeCell ref="A915:B915"/>
    <mergeCell ref="A916:B916"/>
    <mergeCell ref="A917:B917"/>
    <mergeCell ref="A918:B918"/>
    <mergeCell ref="A919:B919"/>
    <mergeCell ref="A920:C920"/>
    <mergeCell ref="A921:C921"/>
    <mergeCell ref="A928:B928"/>
    <mergeCell ref="A929:C929"/>
    <mergeCell ref="A932:C934"/>
    <mergeCell ref="A942:D942"/>
    <mergeCell ref="A943:C943"/>
    <mergeCell ref="A922:B922"/>
    <mergeCell ref="A923:B923"/>
    <mergeCell ref="D923:D929"/>
    <mergeCell ref="A924:B924"/>
    <mergeCell ref="A925:B925"/>
    <mergeCell ref="A926:B926"/>
    <mergeCell ref="A927:B927"/>
    <mergeCell ref="A883:B883"/>
    <mergeCell ref="A884:B884"/>
    <mergeCell ref="A885:B885"/>
    <mergeCell ref="A886:B886"/>
    <mergeCell ref="A887:B887"/>
    <mergeCell ref="A888:B888"/>
    <mergeCell ref="A894:B894"/>
    <mergeCell ref="A895:B895"/>
    <mergeCell ref="A893:B893"/>
    <mergeCell ref="A896:B896"/>
    <mergeCell ref="A897:B897"/>
    <mergeCell ref="A898:C898"/>
    <mergeCell ref="A901:C903"/>
    <mergeCell ref="A911:D911"/>
    <mergeCell ref="A912:C912"/>
    <mergeCell ref="A913:C913"/>
    <mergeCell ref="A914:B914"/>
    <mergeCell ref="E901:G901"/>
    <mergeCell ref="E902:G902"/>
    <mergeCell ref="E903:G903"/>
    <mergeCell ref="D912:G922"/>
    <mergeCell ref="E923:F925"/>
    <mergeCell ref="G923:G925"/>
    <mergeCell ref="E926:G929"/>
    <mergeCell ref="A990:B990"/>
    <mergeCell ref="A991:C991"/>
    <mergeCell ref="A994:C996"/>
    <mergeCell ref="A1004:D1004"/>
    <mergeCell ref="A1005:C1005"/>
    <mergeCell ref="A984:B984"/>
    <mergeCell ref="A985:B985"/>
    <mergeCell ref="D985:D991"/>
    <mergeCell ref="A986:B986"/>
    <mergeCell ref="A987:B987"/>
    <mergeCell ref="A988:B988"/>
    <mergeCell ref="A989:B989"/>
    <mergeCell ref="A1164:B1164"/>
    <mergeCell ref="A1165:B1165"/>
    <mergeCell ref="A1166:B1166"/>
    <mergeCell ref="A1167:B1167"/>
    <mergeCell ref="E1149:G1149"/>
    <mergeCell ref="E1150:G1150"/>
    <mergeCell ref="E1151:G1151"/>
    <mergeCell ref="D1160:G1170"/>
    <mergeCell ref="A1161:C1161"/>
    <mergeCell ref="A1162:B1162"/>
    <mergeCell ref="A1163:B1163"/>
    <mergeCell ref="A1170:B1170"/>
    <mergeCell ref="A1173:B1173"/>
    <mergeCell ref="A1174:B1174"/>
    <mergeCell ref="A1172:B1172"/>
    <mergeCell ref="A1175:B1175"/>
    <mergeCell ref="A1176:B1176"/>
    <mergeCell ref="A1177:C1177"/>
    <mergeCell ref="A1168:C1168"/>
    <mergeCell ref="A1169:C1169"/>
    <mergeCell ref="A1171:B1171"/>
    <mergeCell ref="D1171:D1177"/>
    <mergeCell ref="E1171:F1173"/>
    <mergeCell ref="G1171:G1173"/>
    <mergeCell ref="E1174:G1177"/>
    <mergeCell ref="A481:B481"/>
    <mergeCell ref="A482:B482"/>
    <mergeCell ref="A483:B483"/>
    <mergeCell ref="A484:B484"/>
    <mergeCell ref="A485:B485"/>
    <mergeCell ref="A486:C486"/>
    <mergeCell ref="A487:C487"/>
    <mergeCell ref="A494:B494"/>
    <mergeCell ref="A495:C495"/>
    <mergeCell ref="A498:C500"/>
    <mergeCell ref="A508:D508"/>
    <mergeCell ref="A509:C509"/>
    <mergeCell ref="A488:B488"/>
    <mergeCell ref="A489:B489"/>
    <mergeCell ref="D489:D495"/>
    <mergeCell ref="A490:B490"/>
    <mergeCell ref="A491:B491"/>
    <mergeCell ref="A492:B492"/>
    <mergeCell ref="A493:B493"/>
    <mergeCell ref="A453:B453"/>
    <mergeCell ref="A454:B454"/>
    <mergeCell ref="A447:C447"/>
    <mergeCell ref="D447:G457"/>
    <mergeCell ref="A448:C448"/>
    <mergeCell ref="A449:B449"/>
    <mergeCell ref="A450:B450"/>
    <mergeCell ref="A451:B451"/>
    <mergeCell ref="A452:B452"/>
    <mergeCell ref="A457:B457"/>
    <mergeCell ref="A460:B460"/>
    <mergeCell ref="A461:B461"/>
    <mergeCell ref="A459:B459"/>
    <mergeCell ref="A462:B462"/>
    <mergeCell ref="A455:C455"/>
    <mergeCell ref="A456:C456"/>
    <mergeCell ref="A458:B458"/>
    <mergeCell ref="D458:D464"/>
    <mergeCell ref="E458:F460"/>
    <mergeCell ref="G458:G460"/>
    <mergeCell ref="E461:G464"/>
    <mergeCell ref="A463:B463"/>
    <mergeCell ref="A464:C464"/>
    <mergeCell ref="A467:C469"/>
    <mergeCell ref="A477:D477"/>
    <mergeCell ref="A478:C478"/>
    <mergeCell ref="A479:C479"/>
    <mergeCell ref="A480:B480"/>
    <mergeCell ref="E467:G467"/>
    <mergeCell ref="E468:G468"/>
    <mergeCell ref="E469:G469"/>
    <mergeCell ref="D478:G488"/>
    <mergeCell ref="E489:F491"/>
    <mergeCell ref="G489:G491"/>
    <mergeCell ref="E492:G495"/>
    <mergeCell ref="A543:B543"/>
    <mergeCell ref="A544:B544"/>
    <mergeCell ref="A525:B525"/>
    <mergeCell ref="A526:C526"/>
    <mergeCell ref="A529:C531"/>
    <mergeCell ref="A539:D539"/>
    <mergeCell ref="A540:C540"/>
    <mergeCell ref="A541:C541"/>
    <mergeCell ref="A542:B542"/>
    <mergeCell ref="A513:B513"/>
    <mergeCell ref="A514:B514"/>
    <mergeCell ref="A515:B515"/>
    <mergeCell ref="A516:B516"/>
    <mergeCell ref="E498:G498"/>
    <mergeCell ref="E499:G499"/>
    <mergeCell ref="E500:G500"/>
    <mergeCell ref="D509:G519"/>
    <mergeCell ref="A510:C510"/>
    <mergeCell ref="A511:B511"/>
    <mergeCell ref="A512:B512"/>
    <mergeCell ref="A519:B519"/>
    <mergeCell ref="A522:B522"/>
    <mergeCell ref="A523:B523"/>
    <mergeCell ref="E529:G529"/>
    <mergeCell ref="E530:G530"/>
    <mergeCell ref="E531:G531"/>
    <mergeCell ref="D540:G550"/>
    <mergeCell ref="E551:F553"/>
    <mergeCell ref="G551:G553"/>
    <mergeCell ref="E554:G557"/>
    <mergeCell ref="A517:C517"/>
    <mergeCell ref="A518:C518"/>
    <mergeCell ref="A520:B520"/>
    <mergeCell ref="D520:D526"/>
    <mergeCell ref="E520:F522"/>
    <mergeCell ref="G520:G522"/>
    <mergeCell ref="E523:G526"/>
    <mergeCell ref="A521:B521"/>
    <mergeCell ref="A524:B524"/>
    <mergeCell ref="A545:B545"/>
    <mergeCell ref="A546:B546"/>
    <mergeCell ref="A547:B547"/>
    <mergeCell ref="A548:C548"/>
    <mergeCell ref="A549:C549"/>
    <mergeCell ref="A570:D570"/>
    <mergeCell ref="A571:C571"/>
    <mergeCell ref="D571:G581"/>
    <mergeCell ref="A572:C572"/>
    <mergeCell ref="A573:B573"/>
    <mergeCell ref="A574:B574"/>
    <mergeCell ref="A575:B575"/>
    <mergeCell ref="A580:C580"/>
    <mergeCell ref="A581:B581"/>
    <mergeCell ref="A582:B582"/>
    <mergeCell ref="D582:D588"/>
    <mergeCell ref="E582:F584"/>
    <mergeCell ref="G582:G584"/>
    <mergeCell ref="E585:G588"/>
    <mergeCell ref="A556:B556"/>
    <mergeCell ref="A557:C557"/>
    <mergeCell ref="A560:C562"/>
    <mergeCell ref="E560:G560"/>
    <mergeCell ref="E561:G561"/>
    <mergeCell ref="E562:G562"/>
    <mergeCell ref="A550:B550"/>
    <mergeCell ref="A551:B551"/>
    <mergeCell ref="D551:D557"/>
    <mergeCell ref="A552:B552"/>
    <mergeCell ref="A553:B553"/>
    <mergeCell ref="A554:B554"/>
    <mergeCell ref="A555:B555"/>
    <mergeCell ref="A576:B576"/>
    <mergeCell ref="A577:B577"/>
    <mergeCell ref="A578:B578"/>
    <mergeCell ref="A579:C579"/>
    <mergeCell ref="A584:B584"/>
    <mergeCell ref="A585:B585"/>
    <mergeCell ref="A583:B583"/>
    <mergeCell ref="A586:B586"/>
    <mergeCell ref="A587:B587"/>
    <mergeCell ref="A588:C588"/>
    <mergeCell ref="A591:C593"/>
    <mergeCell ref="E591:G591"/>
    <mergeCell ref="E592:G592"/>
    <mergeCell ref="E593:G593"/>
    <mergeCell ref="A601:D601"/>
    <mergeCell ref="A636:B636"/>
    <mergeCell ref="A637:B637"/>
    <mergeCell ref="A638:B638"/>
    <mergeCell ref="A639:B639"/>
    <mergeCell ref="A640:B640"/>
    <mergeCell ref="A641:C641"/>
    <mergeCell ref="A642:C642"/>
    <mergeCell ref="A649:B649"/>
    <mergeCell ref="A650:C650"/>
    <mergeCell ref="A653:C655"/>
    <mergeCell ref="A663:D663"/>
    <mergeCell ref="A664:C664"/>
    <mergeCell ref="A643:B643"/>
    <mergeCell ref="A644:B644"/>
    <mergeCell ref="D644:D650"/>
    <mergeCell ref="A645:B645"/>
    <mergeCell ref="A646:B646"/>
    <mergeCell ref="A647:B647"/>
    <mergeCell ref="A648:B648"/>
    <mergeCell ref="A608:B608"/>
    <mergeCell ref="A609:B609"/>
    <mergeCell ref="A602:C602"/>
    <mergeCell ref="D602:G612"/>
    <mergeCell ref="A603:C603"/>
    <mergeCell ref="A604:B604"/>
    <mergeCell ref="A605:B605"/>
    <mergeCell ref="A606:B606"/>
    <mergeCell ref="A607:B607"/>
    <mergeCell ref="A612:B612"/>
    <mergeCell ref="A615:B615"/>
    <mergeCell ref="A616:B616"/>
    <mergeCell ref="A614:B614"/>
    <mergeCell ref="A617:B617"/>
    <mergeCell ref="A610:C610"/>
    <mergeCell ref="A611:C611"/>
    <mergeCell ref="A613:B613"/>
    <mergeCell ref="D613:D619"/>
    <mergeCell ref="E613:F615"/>
    <mergeCell ref="G613:G615"/>
    <mergeCell ref="E616:G619"/>
    <mergeCell ref="A618:B618"/>
    <mergeCell ref="A619:C619"/>
    <mergeCell ref="A622:C624"/>
    <mergeCell ref="A632:D632"/>
    <mergeCell ref="A633:C633"/>
    <mergeCell ref="A634:C634"/>
    <mergeCell ref="A635:B635"/>
    <mergeCell ref="E622:G622"/>
    <mergeCell ref="E623:G623"/>
    <mergeCell ref="E624:G624"/>
    <mergeCell ref="D633:G643"/>
    <mergeCell ref="E644:F646"/>
    <mergeCell ref="G644:G646"/>
    <mergeCell ref="E647:G650"/>
    <mergeCell ref="A698:B698"/>
    <mergeCell ref="A699:B699"/>
    <mergeCell ref="A680:B680"/>
    <mergeCell ref="A681:C681"/>
    <mergeCell ref="A684:C686"/>
    <mergeCell ref="A694:D694"/>
    <mergeCell ref="A695:C695"/>
    <mergeCell ref="A696:C696"/>
    <mergeCell ref="A697:B697"/>
    <mergeCell ref="A668:B668"/>
    <mergeCell ref="A669:B669"/>
    <mergeCell ref="A670:B670"/>
    <mergeCell ref="A671:B671"/>
    <mergeCell ref="E653:G653"/>
    <mergeCell ref="E654:G654"/>
    <mergeCell ref="E655:G655"/>
    <mergeCell ref="D664:G674"/>
    <mergeCell ref="A665:C665"/>
    <mergeCell ref="A666:B666"/>
    <mergeCell ref="A667:B667"/>
    <mergeCell ref="A674:B674"/>
    <mergeCell ref="A677:B677"/>
    <mergeCell ref="A678:B678"/>
    <mergeCell ref="E684:G684"/>
    <mergeCell ref="E685:G685"/>
    <mergeCell ref="E686:G686"/>
    <mergeCell ref="D695:G705"/>
    <mergeCell ref="E706:F708"/>
    <mergeCell ref="G706:G708"/>
    <mergeCell ref="E709:G712"/>
    <mergeCell ref="A672:C672"/>
    <mergeCell ref="A673:C673"/>
    <mergeCell ref="A675:B675"/>
    <mergeCell ref="D675:D681"/>
    <mergeCell ref="E675:F677"/>
    <mergeCell ref="G675:G677"/>
    <mergeCell ref="E678:G681"/>
    <mergeCell ref="A676:B676"/>
    <mergeCell ref="A679:B679"/>
    <mergeCell ref="A700:B700"/>
    <mergeCell ref="A701:B701"/>
    <mergeCell ref="A702:B702"/>
    <mergeCell ref="A703:C703"/>
    <mergeCell ref="A704:C704"/>
    <mergeCell ref="A725:D725"/>
    <mergeCell ref="A726:C726"/>
    <mergeCell ref="D726:G736"/>
    <mergeCell ref="A727:C727"/>
    <mergeCell ref="A728:B728"/>
    <mergeCell ref="A729:B729"/>
    <mergeCell ref="A730:B730"/>
    <mergeCell ref="A735:C735"/>
    <mergeCell ref="A736:B736"/>
    <mergeCell ref="A737:B737"/>
    <mergeCell ref="D737:D743"/>
    <mergeCell ref="E737:F739"/>
    <mergeCell ref="G737:G739"/>
    <mergeCell ref="E740:G743"/>
    <mergeCell ref="A711:B711"/>
    <mergeCell ref="A712:C712"/>
    <mergeCell ref="A715:C717"/>
    <mergeCell ref="E715:G715"/>
    <mergeCell ref="E716:G716"/>
    <mergeCell ref="E717:G717"/>
    <mergeCell ref="A705:B705"/>
    <mergeCell ref="A706:B706"/>
    <mergeCell ref="D706:D712"/>
    <mergeCell ref="A707:B707"/>
    <mergeCell ref="A708:B708"/>
    <mergeCell ref="A709:B709"/>
    <mergeCell ref="A710:B710"/>
    <mergeCell ref="A731:B731"/>
    <mergeCell ref="A732:B732"/>
    <mergeCell ref="A733:B733"/>
    <mergeCell ref="A734:C734"/>
    <mergeCell ref="A739:B739"/>
    <mergeCell ref="A740:B740"/>
    <mergeCell ref="A738:B738"/>
    <mergeCell ref="A741:B741"/>
    <mergeCell ref="A742:B742"/>
    <mergeCell ref="A743:C743"/>
    <mergeCell ref="A746:C748"/>
    <mergeCell ref="E746:G746"/>
    <mergeCell ref="E747:G747"/>
    <mergeCell ref="E748:G748"/>
    <mergeCell ref="A756:D756"/>
    <mergeCell ref="A977:B977"/>
    <mergeCell ref="A978:B978"/>
    <mergeCell ref="A959:B959"/>
    <mergeCell ref="A960:C960"/>
    <mergeCell ref="A963:C965"/>
    <mergeCell ref="A973:D973"/>
    <mergeCell ref="A974:C974"/>
    <mergeCell ref="A975:C975"/>
    <mergeCell ref="A976:B976"/>
    <mergeCell ref="A947:B947"/>
    <mergeCell ref="A948:B948"/>
    <mergeCell ref="A949:B949"/>
    <mergeCell ref="A950:B950"/>
    <mergeCell ref="E932:G932"/>
    <mergeCell ref="E933:G933"/>
    <mergeCell ref="E934:G934"/>
    <mergeCell ref="D943:G953"/>
    <mergeCell ref="A944:C944"/>
    <mergeCell ref="A945:B945"/>
    <mergeCell ref="A946:B946"/>
    <mergeCell ref="A953:B953"/>
    <mergeCell ref="A956:B956"/>
    <mergeCell ref="A957:B957"/>
    <mergeCell ref="A951:C951"/>
    <mergeCell ref="A952:C952"/>
    <mergeCell ref="A954:B954"/>
    <mergeCell ref="D954:D960"/>
    <mergeCell ref="E954:F956"/>
    <mergeCell ref="G954:G956"/>
    <mergeCell ref="E957:G960"/>
    <mergeCell ref="A955:B955"/>
    <mergeCell ref="A958:B958"/>
    <mergeCell ref="A979:B979"/>
    <mergeCell ref="A980:B980"/>
    <mergeCell ref="A981:B981"/>
    <mergeCell ref="A982:C982"/>
    <mergeCell ref="A983:C983"/>
    <mergeCell ref="E963:G963"/>
    <mergeCell ref="E964:G964"/>
    <mergeCell ref="E965:G965"/>
    <mergeCell ref="D974:G984"/>
    <mergeCell ref="E985:F987"/>
    <mergeCell ref="G985:G987"/>
    <mergeCell ref="E988:G991"/>
  </mergeCells>
  <drawing r:id="rId1"/>
  <tableParts count="77"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0.1" defaultRowHeight="15.0"/>
  <sheetData>
    <row r="4">
      <c r="D4" s="1055"/>
      <c r="I4" s="1056" t="s">
        <v>700</v>
      </c>
      <c r="J4" s="211"/>
      <c r="K4" s="1057" t="s">
        <v>1493</v>
      </c>
      <c r="L4" s="213"/>
      <c r="M4" s="211"/>
      <c r="O4" s="1055"/>
      <c r="T4" s="1056" t="s">
        <v>700</v>
      </c>
      <c r="U4" s="211"/>
      <c r="V4" s="1057" t="s">
        <v>1493</v>
      </c>
      <c r="W4" s="213"/>
      <c r="X4" s="211"/>
    </row>
    <row r="5">
      <c r="I5" s="215"/>
      <c r="J5" s="64"/>
      <c r="K5" s="215"/>
      <c r="L5" s="216"/>
      <c r="M5" s="64"/>
      <c r="T5" s="215"/>
      <c r="U5" s="64"/>
      <c r="V5" s="215"/>
      <c r="W5" s="216"/>
      <c r="X5" s="64"/>
    </row>
    <row r="6">
      <c r="I6" s="1056" t="s">
        <v>702</v>
      </c>
      <c r="J6" s="211"/>
      <c r="K6" s="1057" t="s">
        <v>664</v>
      </c>
      <c r="L6" s="213"/>
      <c r="M6" s="211"/>
      <c r="T6" s="1056" t="s">
        <v>351</v>
      </c>
      <c r="U6" s="211"/>
      <c r="V6" s="1057" t="s">
        <v>430</v>
      </c>
      <c r="W6" s="213"/>
      <c r="X6" s="211"/>
    </row>
    <row r="7">
      <c r="I7" s="215"/>
      <c r="J7" s="64"/>
      <c r="K7" s="215"/>
      <c r="L7" s="216"/>
      <c r="M7" s="64"/>
      <c r="T7" s="215"/>
      <c r="U7" s="64"/>
      <c r="V7" s="215"/>
      <c r="W7" s="216"/>
      <c r="X7" s="64"/>
    </row>
    <row r="8">
      <c r="I8" s="1056" t="s">
        <v>778</v>
      </c>
      <c r="J8" s="211"/>
      <c r="K8" s="1058" t="s">
        <v>431</v>
      </c>
      <c r="L8" s="213"/>
      <c r="M8" s="211"/>
      <c r="T8" s="1056" t="s">
        <v>703</v>
      </c>
      <c r="U8" s="211"/>
      <c r="V8" s="1058" t="s">
        <v>431</v>
      </c>
      <c r="W8" s="213"/>
      <c r="X8" s="211"/>
    </row>
    <row r="9">
      <c r="I9" s="215"/>
      <c r="J9" s="64"/>
      <c r="K9" s="215"/>
      <c r="L9" s="216"/>
      <c r="M9" s="64"/>
      <c r="T9" s="215"/>
      <c r="U9" s="64"/>
      <c r="V9" s="215"/>
      <c r="W9" s="216"/>
      <c r="X9" s="64"/>
    </row>
    <row r="10">
      <c r="D10" s="1059" t="s">
        <v>704</v>
      </c>
      <c r="E10" s="222"/>
      <c r="F10" s="1059" t="s">
        <v>5</v>
      </c>
      <c r="G10" s="222"/>
      <c r="H10" s="1059" t="s">
        <v>705</v>
      </c>
      <c r="I10" s="224"/>
      <c r="J10" s="222"/>
      <c r="K10" s="1060" t="s">
        <v>8</v>
      </c>
      <c r="L10" s="1060" t="s">
        <v>706</v>
      </c>
      <c r="M10" s="1060" t="s">
        <v>707</v>
      </c>
      <c r="O10" s="1059" t="s">
        <v>704</v>
      </c>
      <c r="P10" s="222"/>
      <c r="Q10" s="1059" t="s">
        <v>5</v>
      </c>
      <c r="R10" s="222"/>
      <c r="S10" s="1059" t="s">
        <v>705</v>
      </c>
      <c r="T10" s="224"/>
      <c r="U10" s="222"/>
      <c r="V10" s="1060" t="s">
        <v>591</v>
      </c>
      <c r="W10" s="1060" t="s">
        <v>708</v>
      </c>
      <c r="X10" s="1060" t="s">
        <v>707</v>
      </c>
    </row>
    <row r="11">
      <c r="D11" s="1061">
        <v>45986.0</v>
      </c>
      <c r="E11" s="222"/>
      <c r="F11" s="1059">
        <v>6912758.0</v>
      </c>
      <c r="G11" s="222"/>
      <c r="H11" s="1059" t="s">
        <v>1494</v>
      </c>
      <c r="I11" s="224"/>
      <c r="J11" s="222"/>
      <c r="K11" s="1062">
        <v>1155.7</v>
      </c>
      <c r="L11" s="1063">
        <v>1.0</v>
      </c>
      <c r="M11" s="1062">
        <f t="shared" ref="M11:M14" si="1">K11*L11</f>
        <v>1155.7</v>
      </c>
      <c r="O11" s="1061">
        <v>45986.0</v>
      </c>
      <c r="P11" s="222"/>
      <c r="Q11" s="1059">
        <v>6912758.0</v>
      </c>
      <c r="R11" s="222"/>
      <c r="S11" s="1059" t="s">
        <v>1494</v>
      </c>
      <c r="T11" s="224"/>
      <c r="U11" s="222"/>
      <c r="V11" s="1060">
        <v>1778.0</v>
      </c>
      <c r="W11" s="1064">
        <v>0.65</v>
      </c>
      <c r="X11" s="1062">
        <f t="shared" ref="X11:X14" si="2">V11*W11</f>
        <v>1155.7</v>
      </c>
    </row>
    <row r="12">
      <c r="D12" s="1061">
        <v>45987.0</v>
      </c>
      <c r="E12" s="222"/>
      <c r="F12" s="1059">
        <v>8012654.0</v>
      </c>
      <c r="G12" s="222"/>
      <c r="H12" s="1059" t="s">
        <v>1495</v>
      </c>
      <c r="I12" s="224"/>
      <c r="J12" s="222"/>
      <c r="K12" s="1062">
        <v>819.65</v>
      </c>
      <c r="L12" s="1063">
        <v>1.0</v>
      </c>
      <c r="M12" s="1062">
        <f t="shared" si="1"/>
        <v>819.65</v>
      </c>
      <c r="O12" s="1061">
        <v>45987.0</v>
      </c>
      <c r="P12" s="222"/>
      <c r="Q12" s="1059">
        <v>8012654.0</v>
      </c>
      <c r="R12" s="222"/>
      <c r="S12" s="1059" t="s">
        <v>1495</v>
      </c>
      <c r="T12" s="224"/>
      <c r="U12" s="222"/>
      <c r="V12" s="1060">
        <v>1261.0</v>
      </c>
      <c r="W12" s="1064">
        <v>0.65</v>
      </c>
      <c r="X12" s="1062">
        <f t="shared" si="2"/>
        <v>819.65</v>
      </c>
    </row>
    <row r="13">
      <c r="D13" s="1065"/>
      <c r="E13" s="222"/>
      <c r="F13" s="1066"/>
      <c r="G13" s="222"/>
      <c r="H13" s="1066"/>
      <c r="I13" s="224"/>
      <c r="J13" s="222"/>
      <c r="K13" s="1067"/>
      <c r="L13" s="1063">
        <v>1.0</v>
      </c>
      <c r="M13" s="1062">
        <f t="shared" si="1"/>
        <v>0</v>
      </c>
      <c r="O13" s="1065"/>
      <c r="P13" s="222"/>
      <c r="Q13" s="1066"/>
      <c r="R13" s="222"/>
      <c r="S13" s="1066"/>
      <c r="T13" s="224"/>
      <c r="U13" s="222"/>
      <c r="V13" s="1068"/>
      <c r="W13" s="1064">
        <v>0.65</v>
      </c>
      <c r="X13" s="1062">
        <f t="shared" si="2"/>
        <v>0</v>
      </c>
    </row>
    <row r="14">
      <c r="D14" s="1065"/>
      <c r="E14" s="222"/>
      <c r="F14" s="1066"/>
      <c r="G14" s="222"/>
      <c r="H14" s="1066"/>
      <c r="I14" s="224"/>
      <c r="J14" s="222"/>
      <c r="K14" s="1067"/>
      <c r="L14" s="1063">
        <v>1.0</v>
      </c>
      <c r="M14" s="1062">
        <f t="shared" si="1"/>
        <v>0</v>
      </c>
      <c r="O14" s="1065"/>
      <c r="P14" s="222"/>
      <c r="Q14" s="1066"/>
      <c r="R14" s="222"/>
      <c r="S14" s="1066"/>
      <c r="T14" s="224"/>
      <c r="U14" s="222"/>
      <c r="V14" s="1068"/>
      <c r="W14" s="1064">
        <v>0.65</v>
      </c>
      <c r="X14" s="1062">
        <f t="shared" si="2"/>
        <v>0</v>
      </c>
    </row>
    <row r="15">
      <c r="D15" s="1066"/>
      <c r="E15" s="222"/>
      <c r="F15" s="1066"/>
      <c r="G15" s="222"/>
      <c r="H15" s="1066"/>
      <c r="I15" s="224"/>
      <c r="J15" s="222"/>
      <c r="K15" s="1068"/>
      <c r="L15" s="1069"/>
      <c r="M15" s="1068"/>
      <c r="O15" s="1065"/>
      <c r="P15" s="222"/>
      <c r="Q15" s="1070"/>
      <c r="R15" s="222"/>
      <c r="S15" s="1066"/>
      <c r="T15" s="224"/>
      <c r="U15" s="222"/>
      <c r="V15" s="1068"/>
      <c r="W15" s="1071"/>
      <c r="X15" s="1067"/>
    </row>
    <row r="16">
      <c r="D16" s="1072" t="s">
        <v>711</v>
      </c>
      <c r="E16" s="224"/>
      <c r="F16" s="224"/>
      <c r="G16" s="224"/>
      <c r="H16" s="224"/>
      <c r="I16" s="224"/>
      <c r="J16" s="222"/>
      <c r="K16" s="1073">
        <f>K12+K11+K13+K14+K15</f>
        <v>1975.35</v>
      </c>
      <c r="L16" s="1069"/>
      <c r="M16" s="1073">
        <f>M12+M11+M13+M14+M15</f>
        <v>1975.35</v>
      </c>
      <c r="O16" s="1072" t="s">
        <v>711</v>
      </c>
      <c r="P16" s="224"/>
      <c r="Q16" s="224"/>
      <c r="R16" s="224"/>
      <c r="S16" s="224"/>
      <c r="T16" s="224"/>
      <c r="U16" s="222"/>
      <c r="V16" s="1060">
        <f>SUM(V11:V15)</f>
        <v>3039</v>
      </c>
      <c r="W16" s="1074"/>
      <c r="X16" s="1062">
        <f>SUM(X11:X15)</f>
        <v>1975.35</v>
      </c>
    </row>
    <row r="17">
      <c r="D17" s="1055"/>
      <c r="E17" s="1055"/>
      <c r="F17" s="1055"/>
      <c r="G17" s="1055"/>
      <c r="H17" s="1055"/>
      <c r="I17" s="1055"/>
      <c r="J17" s="1055"/>
      <c r="K17" s="1055"/>
      <c r="L17" s="1055"/>
      <c r="M17" s="1055"/>
      <c r="O17" s="1055"/>
      <c r="P17" s="1055"/>
      <c r="Q17" s="1055"/>
      <c r="R17" s="1055"/>
      <c r="S17" s="1055"/>
      <c r="T17" s="1055"/>
      <c r="U17" s="1055"/>
      <c r="V17" s="1055"/>
      <c r="W17" s="1055"/>
      <c r="X17" s="1055"/>
    </row>
    <row r="18">
      <c r="D18" s="1075" t="s">
        <v>712</v>
      </c>
      <c r="E18" s="222"/>
      <c r="F18" s="1076"/>
      <c r="G18" s="222"/>
      <c r="H18" s="1055"/>
      <c r="I18" s="1055"/>
      <c r="J18" s="1055"/>
      <c r="K18" s="1055"/>
      <c r="L18" s="1055"/>
      <c r="M18" s="1055"/>
      <c r="O18" s="1075" t="s">
        <v>712</v>
      </c>
      <c r="P18" s="222"/>
      <c r="Q18" s="1076"/>
      <c r="R18" s="222"/>
      <c r="S18" s="1055"/>
      <c r="T18" s="1055"/>
      <c r="U18" s="1055"/>
      <c r="V18" s="1055"/>
      <c r="W18" s="1055"/>
      <c r="X18" s="1055"/>
    </row>
    <row r="19">
      <c r="D19" s="1077" t="s">
        <v>657</v>
      </c>
      <c r="E19" s="222"/>
      <c r="F19" s="1078">
        <v>555.55</v>
      </c>
      <c r="G19" s="222"/>
      <c r="H19" s="1055"/>
      <c r="I19" s="1055"/>
      <c r="J19" s="1055"/>
      <c r="K19" s="1055"/>
      <c r="L19" s="1055"/>
      <c r="M19" s="1055"/>
      <c r="O19" s="1077" t="s">
        <v>1496</v>
      </c>
      <c r="P19" s="222"/>
      <c r="Q19" s="1078">
        <v>250.0</v>
      </c>
      <c r="R19" s="222"/>
      <c r="S19" s="1055"/>
      <c r="T19" s="1055"/>
      <c r="U19" s="1055"/>
      <c r="V19" s="1055"/>
      <c r="W19" s="1055"/>
      <c r="X19" s="1055"/>
    </row>
    <row r="20">
      <c r="D20" s="1077" t="s">
        <v>1496</v>
      </c>
      <c r="E20" s="222"/>
      <c r="F20" s="1078">
        <v>250.0</v>
      </c>
      <c r="G20" s="222"/>
      <c r="H20" s="1055"/>
      <c r="I20" s="1055"/>
      <c r="J20" s="1055"/>
      <c r="K20" s="1055"/>
      <c r="L20" s="1055"/>
      <c r="M20" s="1055"/>
      <c r="O20" s="1077" t="s">
        <v>1180</v>
      </c>
      <c r="P20" s="222"/>
      <c r="Q20" s="1078">
        <f>113*0.65</f>
        <v>73.45</v>
      </c>
      <c r="R20" s="222"/>
      <c r="S20" s="1055"/>
      <c r="T20" s="1055"/>
      <c r="U20" s="1055"/>
      <c r="V20" s="1055"/>
      <c r="W20" s="1055"/>
      <c r="X20" s="1055"/>
    </row>
    <row r="21">
      <c r="D21" s="1079"/>
      <c r="E21" s="222"/>
      <c r="F21" s="1076"/>
      <c r="G21" s="222"/>
      <c r="H21" s="1055"/>
      <c r="I21" s="1055"/>
      <c r="J21" s="1055"/>
      <c r="K21" s="1055"/>
      <c r="L21" s="1055"/>
      <c r="M21" s="1055"/>
      <c r="O21" s="1079"/>
      <c r="P21" s="222"/>
      <c r="Q21" s="1076"/>
      <c r="R21" s="222"/>
      <c r="S21" s="1055"/>
      <c r="T21" s="1055"/>
      <c r="U21" s="1055"/>
      <c r="V21" s="1055"/>
      <c r="W21" s="1055"/>
      <c r="X21" s="1055"/>
    </row>
    <row r="22">
      <c r="D22" s="1080" t="s">
        <v>714</v>
      </c>
      <c r="E22" s="222"/>
      <c r="F22" s="1078">
        <f>SUM(F18:G21)</f>
        <v>805.55</v>
      </c>
      <c r="G22" s="222"/>
      <c r="H22" s="1055"/>
      <c r="I22" s="1055"/>
      <c r="J22" s="1055"/>
      <c r="K22" s="1055"/>
      <c r="L22" s="1055"/>
      <c r="M22" s="1055"/>
      <c r="O22" s="1079"/>
      <c r="P22" s="222"/>
      <c r="Q22" s="1076"/>
      <c r="R22" s="222"/>
      <c r="S22" s="1055"/>
      <c r="T22" s="1055"/>
      <c r="U22" s="1055"/>
      <c r="V22" s="1055"/>
      <c r="W22" s="1055"/>
      <c r="X22" s="1055"/>
    </row>
    <row r="23">
      <c r="D23" s="1081"/>
      <c r="E23" s="224"/>
      <c r="F23" s="224"/>
      <c r="G23" s="222"/>
      <c r="H23" s="1055"/>
      <c r="I23" s="1055"/>
      <c r="J23" s="1055"/>
      <c r="K23" s="1055"/>
      <c r="L23" s="1055"/>
      <c r="M23" s="1055"/>
      <c r="O23" s="1079"/>
      <c r="P23" s="222"/>
      <c r="Q23" s="1076"/>
      <c r="R23" s="222"/>
      <c r="S23" s="1055"/>
      <c r="T23" s="1055"/>
      <c r="U23" s="1055"/>
      <c r="V23" s="1055"/>
      <c r="W23" s="1055"/>
      <c r="X23" s="1055"/>
    </row>
    <row r="24">
      <c r="D24" s="1082" t="s">
        <v>715</v>
      </c>
      <c r="E24" s="222"/>
      <c r="F24" s="1083"/>
      <c r="G24" s="222"/>
      <c r="H24" s="1055"/>
      <c r="I24" s="1055"/>
      <c r="J24" s="1055"/>
      <c r="K24" s="1055"/>
      <c r="L24" s="1055"/>
      <c r="M24" s="1055"/>
      <c r="O24" s="1080" t="s">
        <v>714</v>
      </c>
      <c r="P24" s="222"/>
      <c r="Q24" s="1078">
        <f>SUM(Q18:R23)</f>
        <v>323.45</v>
      </c>
      <c r="R24" s="222"/>
      <c r="S24" s="1055"/>
      <c r="T24" s="1055"/>
      <c r="U24" s="1055"/>
      <c r="V24" s="1055"/>
      <c r="W24" s="1055"/>
      <c r="X24" s="1055"/>
    </row>
    <row r="25">
      <c r="D25" s="1084"/>
      <c r="E25" s="222"/>
      <c r="F25" s="1083"/>
      <c r="G25" s="222"/>
      <c r="H25" s="1055"/>
      <c r="I25" s="1055"/>
      <c r="J25" s="1055"/>
      <c r="K25" s="1055"/>
      <c r="L25" s="1055"/>
      <c r="M25" s="1055"/>
      <c r="O25" s="1055"/>
      <c r="P25" s="1055"/>
      <c r="Q25" s="1055"/>
      <c r="S25" s="1055"/>
      <c r="T25" s="1055"/>
      <c r="U25" s="1055"/>
      <c r="V25" s="1055"/>
      <c r="W25" s="1055"/>
      <c r="X25" s="1055"/>
    </row>
    <row r="26">
      <c r="D26" s="1084"/>
      <c r="E26" s="222"/>
      <c r="F26" s="1083"/>
      <c r="G26" s="222"/>
      <c r="H26" s="1055"/>
      <c r="I26" s="1055"/>
      <c r="J26" s="1055"/>
      <c r="K26" s="1055"/>
      <c r="L26" s="1055"/>
      <c r="M26" s="1055"/>
      <c r="O26" s="1082" t="s">
        <v>715</v>
      </c>
      <c r="P26" s="222"/>
      <c r="Q26" s="1083"/>
      <c r="R26" s="222"/>
      <c r="S26" s="1055"/>
      <c r="T26" s="1055"/>
      <c r="U26" s="1055"/>
      <c r="V26" s="1055"/>
      <c r="W26" s="1055"/>
      <c r="X26" s="1055"/>
    </row>
    <row r="27">
      <c r="D27" s="1084"/>
      <c r="E27" s="222"/>
      <c r="F27" s="1083"/>
      <c r="G27" s="222"/>
      <c r="H27" s="1055"/>
      <c r="I27" s="1055"/>
      <c r="J27" s="1055"/>
      <c r="K27" s="1055"/>
      <c r="L27" s="1055"/>
      <c r="M27" s="1055"/>
      <c r="O27" s="1084"/>
      <c r="P27" s="222"/>
      <c r="Q27" s="1083"/>
      <c r="R27" s="222"/>
      <c r="S27" s="1055"/>
      <c r="T27" s="1055"/>
      <c r="U27" s="1085" t="s">
        <v>1497</v>
      </c>
      <c r="V27" s="211"/>
      <c r="W27" s="1086">
        <f>X16+Q24-Q32</f>
        <v>2298.8</v>
      </c>
      <c r="X27" s="211"/>
    </row>
    <row r="28">
      <c r="D28" s="1084"/>
      <c r="E28" s="222"/>
      <c r="F28" s="1083"/>
      <c r="G28" s="222"/>
      <c r="H28" s="1055"/>
      <c r="I28" s="1055"/>
      <c r="J28" s="1055"/>
      <c r="K28" s="1055"/>
      <c r="L28" s="1055"/>
      <c r="M28" s="1055"/>
      <c r="O28" s="1084"/>
      <c r="P28" s="222"/>
      <c r="Q28" s="1083"/>
      <c r="R28" s="222"/>
      <c r="S28" s="1055"/>
      <c r="T28" s="1055"/>
      <c r="U28" s="278"/>
      <c r="V28" s="56"/>
      <c r="W28" s="278"/>
      <c r="X28" s="56"/>
    </row>
    <row r="29">
      <c r="D29" s="1084"/>
      <c r="E29" s="222"/>
      <c r="F29" s="1083"/>
      <c r="G29" s="222"/>
      <c r="H29" s="1055"/>
      <c r="I29" s="1055"/>
      <c r="J29" s="1055"/>
      <c r="K29" s="1055"/>
      <c r="L29" s="1055"/>
      <c r="M29" s="1055"/>
      <c r="O29" s="1084"/>
      <c r="P29" s="222"/>
      <c r="Q29" s="1083"/>
      <c r="R29" s="222"/>
      <c r="S29" s="1055"/>
      <c r="T29" s="1055"/>
      <c r="U29" s="215"/>
      <c r="V29" s="64"/>
      <c r="W29" s="215"/>
      <c r="X29" s="64"/>
    </row>
    <row r="30">
      <c r="D30" s="1084"/>
      <c r="E30" s="222"/>
      <c r="F30" s="1083"/>
      <c r="G30" s="222"/>
      <c r="H30" s="1055"/>
      <c r="I30" s="1055"/>
      <c r="J30" s="1085" t="s">
        <v>1498</v>
      </c>
      <c r="K30" s="211"/>
      <c r="L30" s="1086">
        <f>M16+F22-F32</f>
        <v>2780.9</v>
      </c>
      <c r="M30" s="211"/>
      <c r="O30" s="1084"/>
      <c r="P30" s="222"/>
      <c r="Q30" s="1083"/>
      <c r="R30" s="222"/>
      <c r="S30" s="1055"/>
      <c r="T30" s="1055"/>
      <c r="U30" s="1055"/>
      <c r="V30" s="1055"/>
      <c r="W30" s="1055"/>
      <c r="X30" s="1055"/>
    </row>
    <row r="31">
      <c r="D31" s="1084"/>
      <c r="E31" s="222"/>
      <c r="F31" s="1083"/>
      <c r="G31" s="222"/>
      <c r="H31" s="1055"/>
      <c r="I31" s="1055"/>
      <c r="J31" s="215"/>
      <c r="K31" s="64"/>
      <c r="L31" s="215"/>
      <c r="M31" s="64"/>
      <c r="O31" s="1084"/>
      <c r="P31" s="222"/>
      <c r="Q31" s="1083"/>
      <c r="R31" s="222"/>
      <c r="S31" s="1055"/>
      <c r="T31" s="1055"/>
      <c r="U31" s="1055"/>
      <c r="V31" s="1055"/>
      <c r="W31" s="1055"/>
      <c r="X31" s="1055"/>
    </row>
    <row r="32">
      <c r="D32" s="1087" t="s">
        <v>721</v>
      </c>
      <c r="E32" s="222"/>
      <c r="F32" s="1088">
        <f>SUM(F25:G31)</f>
        <v>0</v>
      </c>
      <c r="G32" s="222"/>
      <c r="H32" s="1055"/>
      <c r="I32" s="1055"/>
      <c r="J32" s="1055"/>
      <c r="K32" s="1055"/>
      <c r="L32" s="1055"/>
      <c r="M32" s="1055"/>
      <c r="O32" s="1087" t="s">
        <v>721</v>
      </c>
      <c r="P32" s="222"/>
      <c r="Q32" s="1088">
        <f>SUM(Q26:R31)</f>
        <v>0</v>
      </c>
      <c r="R32" s="222"/>
      <c r="S32" s="1055"/>
      <c r="T32" s="1055"/>
      <c r="U32" s="1055"/>
      <c r="V32" s="1055"/>
      <c r="W32" s="1055"/>
      <c r="X32" s="1055"/>
    </row>
    <row r="33"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5">
      <c r="D35" s="1055"/>
      <c r="I35" s="1056" t="s">
        <v>700</v>
      </c>
      <c r="J35" s="211"/>
      <c r="K35" s="1057" t="s">
        <v>1493</v>
      </c>
      <c r="L35" s="213"/>
      <c r="M35" s="211"/>
      <c r="O35" s="1055"/>
      <c r="T35" s="1056" t="s">
        <v>700</v>
      </c>
      <c r="U35" s="211"/>
      <c r="V35" s="1057" t="s">
        <v>1493</v>
      </c>
      <c r="W35" s="213"/>
      <c r="X35" s="211"/>
      <c r="Z35" s="1055"/>
      <c r="AE35" s="1056" t="s">
        <v>700</v>
      </c>
      <c r="AF35" s="211"/>
      <c r="AG35" s="1057" t="s">
        <v>1493</v>
      </c>
      <c r="AH35" s="213"/>
      <c r="AI35" s="211"/>
    </row>
    <row r="36">
      <c r="I36" s="215"/>
      <c r="J36" s="64"/>
      <c r="K36" s="215"/>
      <c r="L36" s="216"/>
      <c r="M36" s="64"/>
      <c r="T36" s="215"/>
      <c r="U36" s="64"/>
      <c r="V36" s="215"/>
      <c r="W36" s="216"/>
      <c r="X36" s="64"/>
      <c r="AE36" s="215"/>
      <c r="AF36" s="64"/>
      <c r="AG36" s="215"/>
      <c r="AH36" s="216"/>
      <c r="AI36" s="64"/>
    </row>
    <row r="37">
      <c r="I37" s="1056" t="s">
        <v>702</v>
      </c>
      <c r="J37" s="211"/>
      <c r="K37" s="1057" t="s">
        <v>660</v>
      </c>
      <c r="L37" s="213"/>
      <c r="M37" s="211"/>
      <c r="T37" s="1056" t="s">
        <v>351</v>
      </c>
      <c r="U37" s="211"/>
      <c r="V37" s="1057" t="s">
        <v>636</v>
      </c>
      <c r="W37" s="213"/>
      <c r="X37" s="211"/>
      <c r="AE37" s="1056" t="s">
        <v>351</v>
      </c>
      <c r="AF37" s="211"/>
      <c r="AG37" s="1057" t="s">
        <v>661</v>
      </c>
      <c r="AH37" s="213"/>
      <c r="AI37" s="211"/>
    </row>
    <row r="38">
      <c r="I38" s="215"/>
      <c r="J38" s="64"/>
      <c r="K38" s="215"/>
      <c r="L38" s="216"/>
      <c r="M38" s="64"/>
      <c r="T38" s="215"/>
      <c r="U38" s="64"/>
      <c r="V38" s="215"/>
      <c r="W38" s="216"/>
      <c r="X38" s="64"/>
      <c r="AE38" s="215"/>
      <c r="AF38" s="64"/>
      <c r="AG38" s="215"/>
      <c r="AH38" s="216"/>
      <c r="AI38" s="64"/>
    </row>
    <row r="39">
      <c r="I39" s="1056" t="s">
        <v>703</v>
      </c>
      <c r="J39" s="211"/>
      <c r="K39" s="1057">
        <v>6960.0</v>
      </c>
      <c r="L39" s="213"/>
      <c r="M39" s="211"/>
      <c r="T39" s="1056" t="s">
        <v>703</v>
      </c>
      <c r="U39" s="211"/>
      <c r="V39" s="1057">
        <v>6960.0</v>
      </c>
      <c r="W39" s="213"/>
      <c r="X39" s="211"/>
      <c r="AE39" s="1056" t="s">
        <v>703</v>
      </c>
      <c r="AF39" s="211"/>
      <c r="AG39" s="1057">
        <v>6960.0</v>
      </c>
      <c r="AH39" s="213"/>
      <c r="AI39" s="211"/>
    </row>
    <row r="40">
      <c r="I40" s="215"/>
      <c r="J40" s="64"/>
      <c r="K40" s="215"/>
      <c r="L40" s="216"/>
      <c r="M40" s="64"/>
      <c r="T40" s="215"/>
      <c r="U40" s="64"/>
      <c r="V40" s="215"/>
      <c r="W40" s="216"/>
      <c r="X40" s="64"/>
      <c r="AE40" s="215"/>
      <c r="AF40" s="64"/>
      <c r="AG40" s="215"/>
      <c r="AH40" s="216"/>
      <c r="AI40" s="64"/>
    </row>
    <row r="41">
      <c r="D41" s="1059" t="s">
        <v>704</v>
      </c>
      <c r="E41" s="222"/>
      <c r="F41" s="1059" t="s">
        <v>5</v>
      </c>
      <c r="G41" s="222"/>
      <c r="H41" s="1059" t="s">
        <v>705</v>
      </c>
      <c r="I41" s="224"/>
      <c r="J41" s="222"/>
      <c r="K41" s="1060" t="s">
        <v>8</v>
      </c>
      <c r="L41" s="1060" t="s">
        <v>706</v>
      </c>
      <c r="M41" s="1060" t="s">
        <v>707</v>
      </c>
      <c r="O41" s="1059" t="s">
        <v>704</v>
      </c>
      <c r="P41" s="222"/>
      <c r="Q41" s="1059" t="s">
        <v>5</v>
      </c>
      <c r="R41" s="222"/>
      <c r="S41" s="1059" t="s">
        <v>705</v>
      </c>
      <c r="T41" s="224"/>
      <c r="U41" s="222"/>
      <c r="V41" s="1060" t="s">
        <v>591</v>
      </c>
      <c r="W41" s="1060" t="s">
        <v>708</v>
      </c>
      <c r="X41" s="1060" t="s">
        <v>707</v>
      </c>
      <c r="Z41" s="1059" t="s">
        <v>704</v>
      </c>
      <c r="AA41" s="222"/>
      <c r="AB41" s="1059" t="s">
        <v>5</v>
      </c>
      <c r="AC41" s="222"/>
      <c r="AD41" s="1059" t="s">
        <v>705</v>
      </c>
      <c r="AE41" s="224"/>
      <c r="AF41" s="222"/>
      <c r="AG41" s="1060" t="s">
        <v>591</v>
      </c>
      <c r="AH41" s="1060" t="s">
        <v>708</v>
      </c>
      <c r="AI41" s="1060" t="s">
        <v>707</v>
      </c>
    </row>
    <row r="42">
      <c r="D42" s="1061">
        <v>45985.0</v>
      </c>
      <c r="E42" s="222"/>
      <c r="F42" s="1089" t="s">
        <v>1499</v>
      </c>
      <c r="G42" s="222"/>
      <c r="H42" s="1059" t="s">
        <v>1500</v>
      </c>
      <c r="I42" s="224"/>
      <c r="J42" s="222"/>
      <c r="K42" s="1062">
        <v>2300.0</v>
      </c>
      <c r="L42" s="1063">
        <v>1.0</v>
      </c>
      <c r="M42" s="1062">
        <f t="shared" ref="M42:M47" si="3">K42*L42</f>
        <v>2300</v>
      </c>
      <c r="O42" s="1061">
        <v>45985.0</v>
      </c>
      <c r="P42" s="222"/>
      <c r="Q42" s="1089" t="s">
        <v>1499</v>
      </c>
      <c r="R42" s="222"/>
      <c r="S42" s="1059" t="s">
        <v>1500</v>
      </c>
      <c r="T42" s="224"/>
      <c r="U42" s="222"/>
      <c r="V42" s="1060">
        <v>450.0</v>
      </c>
      <c r="W42" s="1064">
        <v>0.8</v>
      </c>
      <c r="X42" s="1062">
        <f t="shared" ref="X42:X47" si="4">V42*W42</f>
        <v>360</v>
      </c>
      <c r="Z42" s="1061">
        <v>45985.0</v>
      </c>
      <c r="AA42" s="222"/>
      <c r="AB42" s="1089" t="s">
        <v>1499</v>
      </c>
      <c r="AC42" s="222"/>
      <c r="AD42" s="1059" t="s">
        <v>1500</v>
      </c>
      <c r="AE42" s="224"/>
      <c r="AF42" s="222"/>
      <c r="AG42" s="1060">
        <v>450.0</v>
      </c>
      <c r="AH42" s="1064">
        <v>0.8</v>
      </c>
      <c r="AI42" s="1062">
        <f t="shared" ref="AI42:AI47" si="5">AG42*AH42</f>
        <v>360</v>
      </c>
    </row>
    <row r="43">
      <c r="D43" s="1065"/>
      <c r="E43" s="222"/>
      <c r="F43" s="1066"/>
      <c r="G43" s="222"/>
      <c r="H43" s="1066"/>
      <c r="I43" s="224"/>
      <c r="J43" s="222"/>
      <c r="K43" s="1067"/>
      <c r="L43" s="1063">
        <v>1.0</v>
      </c>
      <c r="M43" s="1062">
        <f t="shared" si="3"/>
        <v>0</v>
      </c>
      <c r="O43" s="1065"/>
      <c r="P43" s="222"/>
      <c r="Q43" s="1066"/>
      <c r="R43" s="222"/>
      <c r="S43" s="1066"/>
      <c r="T43" s="224"/>
      <c r="U43" s="222"/>
      <c r="V43" s="1068"/>
      <c r="W43" s="1064">
        <v>0.8</v>
      </c>
      <c r="X43" s="1062">
        <f t="shared" si="4"/>
        <v>0</v>
      </c>
      <c r="Z43" s="1065"/>
      <c r="AA43" s="222"/>
      <c r="AB43" s="1066"/>
      <c r="AC43" s="222"/>
      <c r="AD43" s="1066"/>
      <c r="AE43" s="224"/>
      <c r="AF43" s="222"/>
      <c r="AG43" s="1068"/>
      <c r="AH43" s="1064">
        <v>0.8</v>
      </c>
      <c r="AI43" s="1062">
        <f t="shared" si="5"/>
        <v>0</v>
      </c>
    </row>
    <row r="44">
      <c r="D44" s="1065"/>
      <c r="E44" s="222"/>
      <c r="F44" s="1066"/>
      <c r="G44" s="222"/>
      <c r="H44" s="1066"/>
      <c r="I44" s="224"/>
      <c r="J44" s="222"/>
      <c r="K44" s="1067"/>
      <c r="L44" s="1063">
        <v>1.0</v>
      </c>
      <c r="M44" s="1062">
        <f t="shared" si="3"/>
        <v>0</v>
      </c>
      <c r="O44" s="1065"/>
      <c r="P44" s="222"/>
      <c r="Q44" s="1066"/>
      <c r="R44" s="222"/>
      <c r="S44" s="1066"/>
      <c r="T44" s="224"/>
      <c r="U44" s="222"/>
      <c r="V44" s="1068"/>
      <c r="W44" s="1064">
        <v>0.8</v>
      </c>
      <c r="X44" s="1062">
        <f t="shared" si="4"/>
        <v>0</v>
      </c>
      <c r="Z44" s="1065"/>
      <c r="AA44" s="222"/>
      <c r="AB44" s="1066"/>
      <c r="AC44" s="222"/>
      <c r="AD44" s="1066"/>
      <c r="AE44" s="224"/>
      <c r="AF44" s="222"/>
      <c r="AG44" s="1068"/>
      <c r="AH44" s="1064">
        <v>0.8</v>
      </c>
      <c r="AI44" s="1062">
        <f t="shared" si="5"/>
        <v>0</v>
      </c>
    </row>
    <row r="45">
      <c r="D45" s="1065"/>
      <c r="E45" s="222"/>
      <c r="F45" s="1066"/>
      <c r="G45" s="222"/>
      <c r="H45" s="1066"/>
      <c r="I45" s="224"/>
      <c r="J45" s="222"/>
      <c r="K45" s="1067"/>
      <c r="L45" s="1063">
        <v>1.0</v>
      </c>
      <c r="M45" s="1062">
        <f t="shared" si="3"/>
        <v>0</v>
      </c>
      <c r="O45" s="1065"/>
      <c r="P45" s="222"/>
      <c r="Q45" s="1066"/>
      <c r="R45" s="222"/>
      <c r="S45" s="1066"/>
      <c r="T45" s="224"/>
      <c r="U45" s="222"/>
      <c r="V45" s="1068"/>
      <c r="W45" s="1064">
        <v>0.8</v>
      </c>
      <c r="X45" s="1062">
        <f t="shared" si="4"/>
        <v>0</v>
      </c>
      <c r="Z45" s="1065"/>
      <c r="AA45" s="222"/>
      <c r="AB45" s="1066"/>
      <c r="AC45" s="222"/>
      <c r="AD45" s="1066"/>
      <c r="AE45" s="224"/>
      <c r="AF45" s="222"/>
      <c r="AG45" s="1068"/>
      <c r="AH45" s="1064">
        <v>0.8</v>
      </c>
      <c r="AI45" s="1062">
        <f t="shared" si="5"/>
        <v>0</v>
      </c>
    </row>
    <row r="46">
      <c r="D46" s="1065"/>
      <c r="E46" s="222"/>
      <c r="F46" s="1066"/>
      <c r="G46" s="222"/>
      <c r="H46" s="1066"/>
      <c r="I46" s="224"/>
      <c r="J46" s="222"/>
      <c r="K46" s="1067"/>
      <c r="L46" s="1063">
        <v>1.0</v>
      </c>
      <c r="M46" s="1062">
        <f t="shared" si="3"/>
        <v>0</v>
      </c>
      <c r="O46" s="1065"/>
      <c r="P46" s="222"/>
      <c r="Q46" s="1066"/>
      <c r="R46" s="222"/>
      <c r="S46" s="1066"/>
      <c r="T46" s="224"/>
      <c r="U46" s="222"/>
      <c r="V46" s="1068"/>
      <c r="W46" s="1064">
        <v>0.8</v>
      </c>
      <c r="X46" s="1062">
        <f t="shared" si="4"/>
        <v>0</v>
      </c>
      <c r="Z46" s="1065"/>
      <c r="AA46" s="222"/>
      <c r="AB46" s="1066"/>
      <c r="AC46" s="222"/>
      <c r="AD46" s="1066"/>
      <c r="AE46" s="224"/>
      <c r="AF46" s="222"/>
      <c r="AG46" s="1068"/>
      <c r="AH46" s="1064">
        <v>0.8</v>
      </c>
      <c r="AI46" s="1062">
        <f t="shared" si="5"/>
        <v>0</v>
      </c>
    </row>
    <row r="47">
      <c r="D47" s="1065"/>
      <c r="E47" s="222"/>
      <c r="F47" s="1066"/>
      <c r="G47" s="222"/>
      <c r="H47" s="1066"/>
      <c r="I47" s="224"/>
      <c r="J47" s="222"/>
      <c r="K47" s="1067"/>
      <c r="L47" s="1063">
        <v>1.0</v>
      </c>
      <c r="M47" s="1062">
        <f t="shared" si="3"/>
        <v>0</v>
      </c>
      <c r="O47" s="1065"/>
      <c r="P47" s="222"/>
      <c r="Q47" s="1066"/>
      <c r="R47" s="222"/>
      <c r="S47" s="1066"/>
      <c r="T47" s="224"/>
      <c r="U47" s="222"/>
      <c r="V47" s="1068"/>
      <c r="W47" s="1064">
        <v>0.8</v>
      </c>
      <c r="X47" s="1062">
        <f t="shared" si="4"/>
        <v>0</v>
      </c>
      <c r="Z47" s="1065"/>
      <c r="AA47" s="222"/>
      <c r="AB47" s="1066"/>
      <c r="AC47" s="222"/>
      <c r="AD47" s="1066"/>
      <c r="AE47" s="224"/>
      <c r="AF47" s="222"/>
      <c r="AG47" s="1068"/>
      <c r="AH47" s="1064">
        <v>0.8</v>
      </c>
      <c r="AI47" s="1062">
        <f t="shared" si="5"/>
        <v>0</v>
      </c>
    </row>
    <row r="48">
      <c r="D48" s="1072" t="s">
        <v>711</v>
      </c>
      <c r="E48" s="224"/>
      <c r="F48" s="224"/>
      <c r="G48" s="224"/>
      <c r="H48" s="224"/>
      <c r="I48" s="224"/>
      <c r="J48" s="222"/>
      <c r="K48" s="1073">
        <f>SUM(K42:K47)</f>
        <v>2300</v>
      </c>
      <c r="L48" s="1069"/>
      <c r="M48" s="1073">
        <f>SUM(M42:M47)</f>
        <v>2300</v>
      </c>
      <c r="O48" s="1072" t="s">
        <v>711</v>
      </c>
      <c r="P48" s="224"/>
      <c r="Q48" s="224"/>
      <c r="R48" s="224"/>
      <c r="S48" s="224"/>
      <c r="T48" s="224"/>
      <c r="U48" s="222"/>
      <c r="V48" s="1060">
        <f>SUM(V42:V47)</f>
        <v>450</v>
      </c>
      <c r="W48" s="1074"/>
      <c r="X48" s="1062">
        <f>SUM(X42:X47)</f>
        <v>360</v>
      </c>
      <c r="Z48" s="1072" t="s">
        <v>711</v>
      </c>
      <c r="AA48" s="224"/>
      <c r="AB48" s="224"/>
      <c r="AC48" s="224"/>
      <c r="AD48" s="224"/>
      <c r="AE48" s="224"/>
      <c r="AF48" s="222"/>
      <c r="AG48" s="1060">
        <f>SUM(AG42:AG47)</f>
        <v>450</v>
      </c>
      <c r="AH48" s="1074"/>
      <c r="AI48" s="1062">
        <f>SUM(AI42:AI47)</f>
        <v>360</v>
      </c>
    </row>
    <row r="49">
      <c r="D49" s="1055"/>
      <c r="E49" s="1055"/>
      <c r="F49" s="1055"/>
      <c r="G49" s="1055"/>
      <c r="H49" s="1055"/>
      <c r="I49" s="1055"/>
      <c r="J49" s="1055"/>
      <c r="K49" s="1055"/>
      <c r="L49" s="1055"/>
      <c r="M49" s="1055"/>
      <c r="O49" s="1055"/>
      <c r="P49" s="1055"/>
      <c r="Q49" s="1055"/>
      <c r="R49" s="1055"/>
      <c r="S49" s="1055"/>
      <c r="T49" s="1055"/>
      <c r="U49" s="1055"/>
      <c r="V49" s="1055"/>
      <c r="W49" s="1055"/>
      <c r="X49" s="1055"/>
      <c r="Z49" s="1055"/>
      <c r="AA49" s="1055"/>
      <c r="AB49" s="1055"/>
      <c r="AC49" s="1055"/>
      <c r="AD49" s="1055"/>
      <c r="AE49" s="1055"/>
      <c r="AF49" s="1055"/>
      <c r="AG49" s="1055"/>
      <c r="AH49" s="1055"/>
      <c r="AI49" s="1055"/>
    </row>
    <row r="50">
      <c r="D50" s="1075" t="s">
        <v>712</v>
      </c>
      <c r="E50" s="222"/>
      <c r="F50" s="1076"/>
      <c r="G50" s="222"/>
      <c r="H50" s="1055"/>
      <c r="I50" s="1055"/>
      <c r="J50" s="1055"/>
      <c r="K50" s="1055"/>
      <c r="L50" s="1055"/>
      <c r="M50" s="1055"/>
      <c r="O50" s="1075" t="s">
        <v>712</v>
      </c>
      <c r="P50" s="222"/>
      <c r="Q50" s="1076"/>
      <c r="R50" s="222"/>
      <c r="S50" s="1055"/>
      <c r="T50" s="1055"/>
      <c r="U50" s="1055"/>
      <c r="V50" s="1055"/>
      <c r="W50" s="1055"/>
      <c r="X50" s="1055"/>
      <c r="Z50" s="1075" t="s">
        <v>712</v>
      </c>
      <c r="AA50" s="222"/>
      <c r="AB50" s="1076"/>
      <c r="AC50" s="222"/>
      <c r="AD50" s="1055"/>
      <c r="AE50" s="1055"/>
      <c r="AF50" s="1055"/>
      <c r="AG50" s="1055"/>
      <c r="AH50" s="1055"/>
      <c r="AI50" s="1055"/>
    </row>
    <row r="51">
      <c r="D51" s="1079"/>
      <c r="E51" s="222"/>
      <c r="F51" s="1076"/>
      <c r="G51" s="222"/>
      <c r="H51" s="1055"/>
      <c r="I51" s="1055"/>
      <c r="J51" s="1055"/>
      <c r="K51" s="1055"/>
      <c r="L51" s="1055"/>
      <c r="M51" s="1055"/>
      <c r="O51" s="1077" t="s">
        <v>1496</v>
      </c>
      <c r="P51" s="222"/>
      <c r="Q51" s="1078">
        <v>250.0</v>
      </c>
      <c r="R51" s="222"/>
      <c r="S51" s="1055"/>
      <c r="T51" s="1055"/>
      <c r="U51" s="1055"/>
      <c r="V51" s="1055"/>
      <c r="W51" s="1055"/>
      <c r="X51" s="1055"/>
      <c r="Z51" s="1077" t="s">
        <v>1496</v>
      </c>
      <c r="AA51" s="222"/>
      <c r="AB51" s="1078">
        <v>250.0</v>
      </c>
      <c r="AC51" s="222"/>
      <c r="AD51" s="1055"/>
      <c r="AE51" s="1055"/>
      <c r="AF51" s="1055"/>
      <c r="AG51" s="1055"/>
      <c r="AH51" s="1055"/>
      <c r="AI51" s="1055"/>
    </row>
    <row r="52">
      <c r="D52" s="1079"/>
      <c r="E52" s="222"/>
      <c r="F52" s="1076"/>
      <c r="G52" s="222"/>
      <c r="H52" s="1055"/>
      <c r="I52" s="1055"/>
      <c r="J52" s="1055"/>
      <c r="K52" s="1055"/>
      <c r="L52" s="1055"/>
      <c r="M52" s="1055"/>
      <c r="O52" s="1079"/>
      <c r="P52" s="222"/>
      <c r="Q52" s="1076"/>
      <c r="R52" s="222"/>
      <c r="S52" s="1055"/>
      <c r="T52" s="1055"/>
      <c r="U52" s="1055"/>
      <c r="V52" s="1055"/>
      <c r="W52" s="1055"/>
      <c r="X52" s="1055"/>
      <c r="Z52" s="1079"/>
      <c r="AA52" s="222"/>
      <c r="AB52" s="1076"/>
      <c r="AC52" s="222"/>
      <c r="AD52" s="1055"/>
      <c r="AE52" s="1055"/>
      <c r="AF52" s="1055"/>
      <c r="AG52" s="1055"/>
      <c r="AH52" s="1055"/>
      <c r="AI52" s="1055"/>
    </row>
    <row r="53">
      <c r="D53" s="1080" t="s">
        <v>714</v>
      </c>
      <c r="E53" s="222"/>
      <c r="F53" s="1078">
        <f>SUM(F50:G52)</f>
        <v>0</v>
      </c>
      <c r="G53" s="222"/>
      <c r="H53" s="1055"/>
      <c r="I53" s="1055"/>
      <c r="J53" s="1055"/>
      <c r="K53" s="1055"/>
      <c r="L53" s="1055"/>
      <c r="M53" s="1055"/>
      <c r="O53" s="1079"/>
      <c r="P53" s="222"/>
      <c r="Q53" s="1076"/>
      <c r="R53" s="222"/>
      <c r="S53" s="1055"/>
      <c r="T53" s="1055"/>
      <c r="U53" s="1055"/>
      <c r="V53" s="1055"/>
      <c r="W53" s="1055"/>
      <c r="X53" s="1055"/>
      <c r="Z53" s="1079"/>
      <c r="AA53" s="222"/>
      <c r="AB53" s="1076"/>
      <c r="AC53" s="222"/>
      <c r="AD53" s="1055"/>
      <c r="AE53" s="1055"/>
      <c r="AF53" s="1055"/>
      <c r="AG53" s="1055"/>
      <c r="AH53" s="1055"/>
      <c r="AI53" s="1055"/>
    </row>
    <row r="54">
      <c r="D54" s="1081"/>
      <c r="E54" s="224"/>
      <c r="F54" s="224"/>
      <c r="G54" s="222"/>
      <c r="H54" s="1055"/>
      <c r="I54" s="1055"/>
      <c r="J54" s="1055"/>
      <c r="K54" s="1055"/>
      <c r="L54" s="1055"/>
      <c r="M54" s="1055"/>
      <c r="O54" s="1079"/>
      <c r="P54" s="222"/>
      <c r="Q54" s="1076"/>
      <c r="R54" s="222"/>
      <c r="S54" s="1055"/>
      <c r="T54" s="1055"/>
      <c r="U54" s="1055"/>
      <c r="V54" s="1055"/>
      <c r="W54" s="1055"/>
      <c r="X54" s="1055"/>
      <c r="Z54" s="1079"/>
      <c r="AA54" s="222"/>
      <c r="AB54" s="1076"/>
      <c r="AC54" s="222"/>
      <c r="AD54" s="1055"/>
      <c r="AE54" s="1055"/>
      <c r="AF54" s="1055"/>
      <c r="AG54" s="1055"/>
      <c r="AH54" s="1055"/>
      <c r="AI54" s="1055"/>
    </row>
    <row r="55">
      <c r="D55" s="1082" t="s">
        <v>715</v>
      </c>
      <c r="E55" s="222"/>
      <c r="F55" s="1083"/>
      <c r="G55" s="222"/>
      <c r="H55" s="1055"/>
      <c r="I55" s="1055"/>
      <c r="J55" s="1055"/>
      <c r="K55" s="1055"/>
      <c r="L55" s="1055"/>
      <c r="M55" s="1055"/>
      <c r="O55" s="1079"/>
      <c r="P55" s="222"/>
      <c r="Q55" s="1076"/>
      <c r="R55" s="222"/>
      <c r="S55" s="1055"/>
      <c r="T55" s="1055"/>
      <c r="U55" s="1055"/>
      <c r="V55" s="1055"/>
      <c r="W55" s="1055"/>
      <c r="X55" s="1055"/>
      <c r="Z55" s="1079"/>
      <c r="AA55" s="222"/>
      <c r="AB55" s="1076"/>
      <c r="AC55" s="222"/>
      <c r="AD55" s="1055"/>
      <c r="AE55" s="1055"/>
      <c r="AF55" s="1055"/>
      <c r="AG55" s="1055"/>
      <c r="AH55" s="1055"/>
      <c r="AI55" s="1055"/>
    </row>
    <row r="56">
      <c r="D56" s="1090" t="s">
        <v>716</v>
      </c>
      <c r="E56" s="222"/>
      <c r="F56" s="1088">
        <v>150.0</v>
      </c>
      <c r="G56" s="222"/>
      <c r="H56" s="1055"/>
      <c r="I56" s="1055"/>
      <c r="J56" s="1055"/>
      <c r="K56" s="1055"/>
      <c r="L56" s="1055"/>
      <c r="M56" s="1055"/>
      <c r="O56" s="1080" t="s">
        <v>714</v>
      </c>
      <c r="P56" s="222"/>
      <c r="Q56" s="1078">
        <f>SUM(Q50:R55)</f>
        <v>250</v>
      </c>
      <c r="R56" s="222"/>
      <c r="S56" s="1055"/>
      <c r="T56" s="1055"/>
      <c r="U56" s="1055"/>
      <c r="V56" s="1055"/>
      <c r="W56" s="1055"/>
      <c r="X56" s="1055"/>
      <c r="Z56" s="1080" t="s">
        <v>714</v>
      </c>
      <c r="AA56" s="222"/>
      <c r="AB56" s="1078">
        <f>SUM(AB50:AC55)</f>
        <v>250</v>
      </c>
      <c r="AC56" s="222"/>
      <c r="AD56" s="1055"/>
      <c r="AE56" s="1055"/>
      <c r="AF56" s="1055"/>
      <c r="AG56" s="1055"/>
      <c r="AH56" s="1055"/>
      <c r="AI56" s="1055"/>
    </row>
    <row r="57">
      <c r="D57" s="1090" t="s">
        <v>717</v>
      </c>
      <c r="E57" s="222"/>
      <c r="F57" s="1088">
        <v>400.0</v>
      </c>
      <c r="G57" s="222"/>
      <c r="H57" s="1055"/>
      <c r="I57" s="1055"/>
      <c r="J57" s="1055"/>
      <c r="K57" s="1055"/>
      <c r="L57" s="1055"/>
      <c r="M57" s="1055"/>
      <c r="O57" s="1055"/>
      <c r="P57" s="1055"/>
      <c r="Q57" s="1055"/>
      <c r="S57" s="1055"/>
      <c r="T57" s="1055"/>
      <c r="U57" s="1055"/>
      <c r="V57" s="1055"/>
      <c r="W57" s="1055"/>
      <c r="X57" s="1055"/>
      <c r="Z57" s="1055"/>
      <c r="AA57" s="1055"/>
      <c r="AB57" s="1055"/>
      <c r="AD57" s="1055"/>
      <c r="AE57" s="1055"/>
      <c r="AF57" s="1055"/>
      <c r="AG57" s="1055"/>
      <c r="AH57" s="1055"/>
      <c r="AI57" s="1055"/>
    </row>
    <row r="58">
      <c r="D58" s="1090" t="s">
        <v>718</v>
      </c>
      <c r="E58" s="222"/>
      <c r="F58" s="1088">
        <v>200.0</v>
      </c>
      <c r="G58" s="222"/>
      <c r="H58" s="1055"/>
      <c r="I58" s="1055"/>
      <c r="J58" s="1055"/>
      <c r="K58" s="1055"/>
      <c r="L58" s="1055"/>
      <c r="M58" s="1055"/>
      <c r="O58" s="1082" t="s">
        <v>715</v>
      </c>
      <c r="P58" s="222"/>
      <c r="Q58" s="1083"/>
      <c r="R58" s="222"/>
      <c r="S58" s="1055"/>
      <c r="T58" s="1055"/>
      <c r="U58" s="1055"/>
      <c r="V58" s="1055"/>
      <c r="W58" s="1055"/>
      <c r="X58" s="1055"/>
      <c r="Z58" s="1082" t="s">
        <v>715</v>
      </c>
      <c r="AA58" s="222"/>
      <c r="AB58" s="1083"/>
      <c r="AC58" s="222"/>
      <c r="AD58" s="1055"/>
      <c r="AE58" s="1055"/>
      <c r="AF58" s="1055"/>
      <c r="AG58" s="1055"/>
      <c r="AH58" s="1055"/>
      <c r="AI58" s="1055"/>
    </row>
    <row r="59">
      <c r="D59" s="1090" t="s">
        <v>656</v>
      </c>
      <c r="E59" s="222"/>
      <c r="F59" s="1088">
        <v>625.12</v>
      </c>
      <c r="G59" s="222"/>
      <c r="H59" s="1055"/>
      <c r="I59" s="1055"/>
      <c r="J59" s="1055"/>
      <c r="K59" s="1055"/>
      <c r="L59" s="1055"/>
      <c r="M59" s="1055"/>
      <c r="O59" s="1084"/>
      <c r="P59" s="222"/>
      <c r="Q59" s="1083"/>
      <c r="R59" s="222"/>
      <c r="S59" s="1055"/>
      <c r="T59" s="1055"/>
      <c r="U59" s="1085" t="s">
        <v>1497</v>
      </c>
      <c r="V59" s="211"/>
      <c r="W59" s="1086">
        <f>X48+Q56-Q64</f>
        <v>610</v>
      </c>
      <c r="X59" s="211"/>
      <c r="Z59" s="1084"/>
      <c r="AA59" s="222"/>
      <c r="AB59" s="1083"/>
      <c r="AC59" s="222"/>
      <c r="AD59" s="1055"/>
      <c r="AE59" s="1055"/>
      <c r="AF59" s="1085" t="s">
        <v>1497</v>
      </c>
      <c r="AG59" s="211"/>
      <c r="AH59" s="1086">
        <f>AI48+AB56-AB64</f>
        <v>610</v>
      </c>
      <c r="AI59" s="211"/>
    </row>
    <row r="60">
      <c r="D60" s="1090" t="s">
        <v>1501</v>
      </c>
      <c r="E60" s="222"/>
      <c r="F60" s="1088">
        <v>479.43</v>
      </c>
      <c r="G60" s="222"/>
      <c r="H60" s="1055"/>
      <c r="I60" s="1055"/>
      <c r="J60" s="1085" t="s">
        <v>1498</v>
      </c>
      <c r="K60" s="211"/>
      <c r="L60" s="1086">
        <f>M48+F53-F65</f>
        <v>445.45</v>
      </c>
      <c r="M60" s="211"/>
      <c r="O60" s="1084"/>
      <c r="P60" s="222"/>
      <c r="Q60" s="1083"/>
      <c r="R60" s="222"/>
      <c r="S60" s="1055"/>
      <c r="T60" s="1055"/>
      <c r="U60" s="278"/>
      <c r="V60" s="56"/>
      <c r="W60" s="278"/>
      <c r="X60" s="56"/>
      <c r="Z60" s="1084"/>
      <c r="AA60" s="222"/>
      <c r="AB60" s="1083"/>
      <c r="AC60" s="222"/>
      <c r="AD60" s="1055"/>
      <c r="AE60" s="1055"/>
      <c r="AF60" s="278"/>
      <c r="AG60" s="56"/>
      <c r="AH60" s="278"/>
      <c r="AI60" s="56"/>
    </row>
    <row r="61">
      <c r="D61" s="1084"/>
      <c r="E61" s="222"/>
      <c r="F61" s="1083"/>
      <c r="G61" s="222"/>
      <c r="H61" s="1055"/>
      <c r="I61" s="1055"/>
      <c r="J61" s="278"/>
      <c r="K61" s="56"/>
      <c r="L61" s="278"/>
      <c r="M61" s="56"/>
      <c r="O61" s="1084"/>
      <c r="P61" s="222"/>
      <c r="Q61" s="1083"/>
      <c r="R61" s="222"/>
      <c r="S61" s="1055"/>
      <c r="T61" s="1055"/>
      <c r="U61" s="215"/>
      <c r="V61" s="64"/>
      <c r="W61" s="215"/>
      <c r="X61" s="64"/>
      <c r="Z61" s="1084"/>
      <c r="AA61" s="222"/>
      <c r="AB61" s="1083"/>
      <c r="AC61" s="222"/>
      <c r="AD61" s="1055"/>
      <c r="AE61" s="1055"/>
      <c r="AF61" s="215"/>
      <c r="AG61" s="64"/>
      <c r="AH61" s="215"/>
      <c r="AI61" s="64"/>
    </row>
    <row r="62">
      <c r="D62" s="1084"/>
      <c r="E62" s="222"/>
      <c r="F62" s="1083"/>
      <c r="G62" s="222"/>
      <c r="H62" s="1055"/>
      <c r="I62" s="1055"/>
      <c r="J62" s="215"/>
      <c r="K62" s="64"/>
      <c r="L62" s="215"/>
      <c r="M62" s="64"/>
      <c r="O62" s="1084"/>
      <c r="P62" s="222"/>
      <c r="Q62" s="1083"/>
      <c r="R62" s="222"/>
      <c r="S62" s="1055"/>
      <c r="T62" s="1055"/>
      <c r="U62" s="1055"/>
      <c r="V62" s="1055"/>
      <c r="W62" s="1055"/>
      <c r="X62" s="1055"/>
      <c r="Z62" s="1084"/>
      <c r="AA62" s="222"/>
      <c r="AB62" s="1083"/>
      <c r="AC62" s="222"/>
      <c r="AD62" s="1055"/>
      <c r="AE62" s="1055"/>
      <c r="AF62" s="1055"/>
      <c r="AG62" s="1055"/>
      <c r="AH62" s="1055"/>
      <c r="AI62" s="1055"/>
    </row>
    <row r="63">
      <c r="D63" s="1084"/>
      <c r="E63" s="222"/>
      <c r="F63" s="1083"/>
      <c r="G63" s="222"/>
      <c r="H63" s="1055"/>
      <c r="I63" s="1055"/>
      <c r="J63" s="1055"/>
      <c r="K63" s="1055"/>
      <c r="L63" s="1055"/>
      <c r="M63" s="1055"/>
      <c r="O63" s="1084"/>
      <c r="P63" s="222"/>
      <c r="Q63" s="1083"/>
      <c r="R63" s="222"/>
      <c r="S63" s="1055"/>
      <c r="T63" s="1055"/>
      <c r="U63" s="1055"/>
      <c r="V63" s="1055"/>
      <c r="W63" s="1055"/>
      <c r="X63" s="1055"/>
      <c r="Z63" s="1084"/>
      <c r="AA63" s="222"/>
      <c r="AB63" s="1083"/>
      <c r="AC63" s="222"/>
      <c r="AD63" s="1055"/>
      <c r="AE63" s="1055"/>
      <c r="AF63" s="1055"/>
      <c r="AG63" s="1055"/>
      <c r="AH63" s="1055"/>
      <c r="AI63" s="1055"/>
    </row>
    <row r="64">
      <c r="D64" s="1084"/>
      <c r="E64" s="222"/>
      <c r="F64" s="1083"/>
      <c r="G64" s="222"/>
      <c r="H64" s="1055"/>
      <c r="I64" s="1055"/>
      <c r="J64" s="1055"/>
      <c r="K64" s="1055"/>
      <c r="L64" s="1055"/>
      <c r="M64" s="1055"/>
      <c r="O64" s="1087" t="s">
        <v>721</v>
      </c>
      <c r="P64" s="222"/>
      <c r="Q64" s="1088">
        <f>SUM(Q58:R63)</f>
        <v>0</v>
      </c>
      <c r="R64" s="222"/>
      <c r="S64" s="1055"/>
      <c r="T64" s="1055"/>
      <c r="U64" s="1055"/>
      <c r="V64" s="1055"/>
      <c r="W64" s="1055"/>
      <c r="X64" s="1055"/>
    </row>
    <row r="65">
      <c r="D65" s="1087" t="s">
        <v>721</v>
      </c>
      <c r="E65" s="222"/>
      <c r="F65" s="1088">
        <f>SUM(F56:G64)</f>
        <v>1854.55</v>
      </c>
      <c r="G65" s="222"/>
      <c r="H65" s="1055"/>
      <c r="I65" s="1055"/>
      <c r="J65" s="1055"/>
      <c r="K65" s="1055"/>
      <c r="L65" s="1055"/>
      <c r="M65" s="1055"/>
    </row>
    <row r="68">
      <c r="D68" s="1055"/>
      <c r="I68" s="1056" t="s">
        <v>700</v>
      </c>
      <c r="J68" s="211"/>
      <c r="K68" s="1057" t="s">
        <v>1493</v>
      </c>
      <c r="L68" s="213"/>
      <c r="M68" s="211"/>
      <c r="O68" s="1055"/>
      <c r="T68" s="1056" t="s">
        <v>700</v>
      </c>
      <c r="U68" s="211"/>
      <c r="V68" s="1057" t="s">
        <v>1493</v>
      </c>
      <c r="W68" s="213"/>
      <c r="X68" s="211"/>
    </row>
    <row r="69">
      <c r="I69" s="215"/>
      <c r="J69" s="64"/>
      <c r="K69" s="215"/>
      <c r="L69" s="216"/>
      <c r="M69" s="64"/>
      <c r="T69" s="215"/>
      <c r="U69" s="64"/>
      <c r="V69" s="215"/>
      <c r="W69" s="216"/>
      <c r="X69" s="64"/>
    </row>
    <row r="70">
      <c r="I70" s="1056" t="s">
        <v>702</v>
      </c>
      <c r="J70" s="211"/>
      <c r="K70" s="1057" t="s">
        <v>660</v>
      </c>
      <c r="L70" s="213"/>
      <c r="M70" s="211"/>
      <c r="T70" s="1056" t="s">
        <v>351</v>
      </c>
      <c r="U70" s="211"/>
      <c r="V70" s="1057" t="s">
        <v>506</v>
      </c>
      <c r="W70" s="213"/>
      <c r="X70" s="211"/>
    </row>
    <row r="71">
      <c r="I71" s="215"/>
      <c r="J71" s="64"/>
      <c r="K71" s="215"/>
      <c r="L71" s="216"/>
      <c r="M71" s="64"/>
      <c r="T71" s="215"/>
      <c r="U71" s="64"/>
      <c r="V71" s="215"/>
      <c r="W71" s="216"/>
      <c r="X71" s="64"/>
    </row>
    <row r="72">
      <c r="I72" s="1056" t="s">
        <v>703</v>
      </c>
      <c r="J72" s="211"/>
      <c r="K72" s="1057">
        <v>7048.0</v>
      </c>
      <c r="L72" s="213"/>
      <c r="M72" s="211"/>
      <c r="T72" s="1056" t="s">
        <v>703</v>
      </c>
      <c r="U72" s="211"/>
      <c r="V72" s="1057">
        <v>7048.0</v>
      </c>
      <c r="W72" s="213"/>
      <c r="X72" s="211"/>
    </row>
    <row r="73">
      <c r="I73" s="215"/>
      <c r="J73" s="64"/>
      <c r="K73" s="215"/>
      <c r="L73" s="216"/>
      <c r="M73" s="64"/>
      <c r="T73" s="215"/>
      <c r="U73" s="64"/>
      <c r="V73" s="215"/>
      <c r="W73" s="216"/>
      <c r="X73" s="64"/>
    </row>
    <row r="74">
      <c r="D74" s="1059" t="s">
        <v>704</v>
      </c>
      <c r="E74" s="222"/>
      <c r="F74" s="1059" t="s">
        <v>5</v>
      </c>
      <c r="G74" s="222"/>
      <c r="H74" s="1059" t="s">
        <v>705</v>
      </c>
      <c r="I74" s="224"/>
      <c r="J74" s="222"/>
      <c r="K74" s="1060" t="s">
        <v>8</v>
      </c>
      <c r="L74" s="1060" t="s">
        <v>706</v>
      </c>
      <c r="M74" s="1060" t="s">
        <v>707</v>
      </c>
      <c r="O74" s="1059" t="s">
        <v>704</v>
      </c>
      <c r="P74" s="222"/>
      <c r="Q74" s="1059" t="s">
        <v>5</v>
      </c>
      <c r="R74" s="222"/>
      <c r="S74" s="1059" t="s">
        <v>705</v>
      </c>
      <c r="T74" s="224"/>
      <c r="U74" s="222"/>
      <c r="V74" s="1060" t="s">
        <v>591</v>
      </c>
      <c r="W74" s="1060" t="s">
        <v>708</v>
      </c>
      <c r="X74" s="1060" t="s">
        <v>707</v>
      </c>
    </row>
    <row r="75">
      <c r="D75" s="1061">
        <v>45985.0</v>
      </c>
      <c r="E75" s="222"/>
      <c r="F75" s="1059">
        <v>1572898.0</v>
      </c>
      <c r="G75" s="222"/>
      <c r="H75" s="1059" t="s">
        <v>1502</v>
      </c>
      <c r="I75" s="224"/>
      <c r="J75" s="222"/>
      <c r="K75" s="1062">
        <v>3100.0</v>
      </c>
      <c r="L75" s="1063">
        <v>1.0</v>
      </c>
      <c r="M75" s="1062">
        <f t="shared" ref="M75:M78" si="6">K75*L75</f>
        <v>3100</v>
      </c>
      <c r="O75" s="1061">
        <v>45985.0</v>
      </c>
      <c r="P75" s="222"/>
      <c r="Q75" s="1059">
        <v>1572898.0</v>
      </c>
      <c r="R75" s="222"/>
      <c r="S75" s="1059" t="s">
        <v>1502</v>
      </c>
      <c r="T75" s="224"/>
      <c r="U75" s="222"/>
      <c r="V75" s="1060">
        <v>1528.0</v>
      </c>
      <c r="W75" s="1064">
        <v>0.7</v>
      </c>
      <c r="X75" s="1062">
        <f t="shared" ref="X75:X78" si="7">W75*V75</f>
        <v>1069.6</v>
      </c>
    </row>
    <row r="76">
      <c r="D76" s="1065"/>
      <c r="E76" s="222"/>
      <c r="F76" s="1066"/>
      <c r="G76" s="222"/>
      <c r="H76" s="1066"/>
      <c r="I76" s="224"/>
      <c r="J76" s="222"/>
      <c r="K76" s="1067"/>
      <c r="L76" s="1063">
        <v>1.0</v>
      </c>
      <c r="M76" s="1062">
        <f t="shared" si="6"/>
        <v>0</v>
      </c>
      <c r="O76" s="1065"/>
      <c r="P76" s="222"/>
      <c r="Q76" s="1066"/>
      <c r="R76" s="222"/>
      <c r="S76" s="1066"/>
      <c r="T76" s="224"/>
      <c r="U76" s="222"/>
      <c r="V76" s="1068"/>
      <c r="W76" s="1064">
        <v>0.7</v>
      </c>
      <c r="X76" s="1062">
        <f t="shared" si="7"/>
        <v>0</v>
      </c>
    </row>
    <row r="77">
      <c r="D77" s="1065"/>
      <c r="E77" s="222"/>
      <c r="F77" s="1066"/>
      <c r="G77" s="222"/>
      <c r="H77" s="1066"/>
      <c r="I77" s="224"/>
      <c r="J77" s="222"/>
      <c r="K77" s="1067"/>
      <c r="L77" s="1063">
        <v>1.0</v>
      </c>
      <c r="M77" s="1062">
        <f t="shared" si="6"/>
        <v>0</v>
      </c>
      <c r="O77" s="1065"/>
      <c r="P77" s="222"/>
      <c r="Q77" s="1066"/>
      <c r="R77" s="222"/>
      <c r="S77" s="1066"/>
      <c r="T77" s="224"/>
      <c r="U77" s="222"/>
      <c r="V77" s="1068"/>
      <c r="W77" s="1064">
        <v>0.7</v>
      </c>
      <c r="X77" s="1062">
        <f t="shared" si="7"/>
        <v>0</v>
      </c>
    </row>
    <row r="78">
      <c r="D78" s="1065"/>
      <c r="E78" s="222"/>
      <c r="F78" s="1066"/>
      <c r="G78" s="222"/>
      <c r="H78" s="1066"/>
      <c r="I78" s="224"/>
      <c r="J78" s="222"/>
      <c r="K78" s="1067"/>
      <c r="L78" s="1063">
        <v>1.0</v>
      </c>
      <c r="M78" s="1062">
        <f t="shared" si="6"/>
        <v>0</v>
      </c>
      <c r="O78" s="1065"/>
      <c r="P78" s="222"/>
      <c r="Q78" s="1066"/>
      <c r="R78" s="222"/>
      <c r="S78" s="1066"/>
      <c r="T78" s="224"/>
      <c r="U78" s="222"/>
      <c r="V78" s="1068"/>
      <c r="W78" s="1064">
        <v>0.7</v>
      </c>
      <c r="X78" s="1062">
        <f t="shared" si="7"/>
        <v>0</v>
      </c>
    </row>
    <row r="79">
      <c r="D79" s="1072" t="s">
        <v>711</v>
      </c>
      <c r="E79" s="224"/>
      <c r="F79" s="224"/>
      <c r="G79" s="224"/>
      <c r="H79" s="224"/>
      <c r="I79" s="224"/>
      <c r="J79" s="222"/>
      <c r="K79" s="1073">
        <f>SUM(K75:K78)</f>
        <v>3100</v>
      </c>
      <c r="L79" s="1069"/>
      <c r="M79" s="1073">
        <f>SUM(M75:M78)</f>
        <v>3100</v>
      </c>
      <c r="O79" s="1066"/>
      <c r="P79" s="222"/>
      <c r="Q79" s="1066"/>
      <c r="R79" s="222"/>
      <c r="S79" s="1066"/>
      <c r="T79" s="224"/>
      <c r="U79" s="222"/>
      <c r="V79" s="1068"/>
      <c r="W79" s="1068"/>
      <c r="X79" s="1067"/>
    </row>
    <row r="80">
      <c r="D80" s="1055"/>
      <c r="E80" s="1055"/>
      <c r="F80" s="1055"/>
      <c r="G80" s="1055"/>
      <c r="H80" s="1055"/>
      <c r="I80" s="1055"/>
      <c r="J80" s="1055"/>
      <c r="K80" s="1055"/>
      <c r="L80" s="1055"/>
      <c r="M80" s="1055"/>
      <c r="O80" s="1066"/>
      <c r="P80" s="222"/>
      <c r="Q80" s="1066"/>
      <c r="R80" s="222"/>
      <c r="S80" s="1066"/>
      <c r="T80" s="224"/>
      <c r="U80" s="222"/>
      <c r="V80" s="1068"/>
      <c r="W80" s="1068"/>
      <c r="X80" s="1067"/>
    </row>
    <row r="81">
      <c r="D81" s="1075" t="s">
        <v>712</v>
      </c>
      <c r="E81" s="222"/>
      <c r="F81" s="1076"/>
      <c r="G81" s="222"/>
      <c r="H81" s="1055"/>
      <c r="I81" s="1055"/>
      <c r="J81" s="1055"/>
      <c r="K81" s="1055"/>
      <c r="L81" s="1055"/>
      <c r="M81" s="1055"/>
      <c r="O81" s="1072" t="s">
        <v>711</v>
      </c>
      <c r="P81" s="224"/>
      <c r="Q81" s="224"/>
      <c r="R81" s="224"/>
      <c r="S81" s="224"/>
      <c r="T81" s="224"/>
      <c r="U81" s="222"/>
      <c r="V81" s="1060">
        <f>V77+V76+V75+V78+V79+V80</f>
        <v>1528</v>
      </c>
      <c r="W81" s="1074"/>
      <c r="X81" s="1062">
        <f>X77+X76+X75+X78+X79+X80</f>
        <v>1069.6</v>
      </c>
    </row>
    <row r="82">
      <c r="D82" s="1079"/>
      <c r="E82" s="222"/>
      <c r="F82" s="1076"/>
      <c r="G82" s="222"/>
      <c r="H82" s="1055"/>
      <c r="I82" s="1055"/>
      <c r="J82" s="1055"/>
      <c r="K82" s="1055"/>
      <c r="L82" s="1055"/>
      <c r="M82" s="1055"/>
      <c r="O82" s="1055"/>
      <c r="P82" s="1055"/>
      <c r="Q82" s="1055"/>
      <c r="R82" s="1055"/>
      <c r="S82" s="1055"/>
      <c r="T82" s="1055"/>
      <c r="U82" s="1055"/>
      <c r="V82" s="1055"/>
      <c r="W82" s="1055"/>
      <c r="X82" s="1055"/>
    </row>
    <row r="83">
      <c r="D83" s="1079"/>
      <c r="E83" s="222"/>
      <c r="F83" s="1076"/>
      <c r="G83" s="222"/>
      <c r="H83" s="1055"/>
      <c r="I83" s="1055"/>
      <c r="J83" s="1055"/>
      <c r="K83" s="1055"/>
      <c r="L83" s="1055"/>
      <c r="M83" s="1055"/>
      <c r="O83" s="1075" t="s">
        <v>712</v>
      </c>
      <c r="P83" s="222"/>
      <c r="Q83" s="1076"/>
      <c r="R83" s="222"/>
      <c r="S83" s="1055"/>
      <c r="T83" s="1055"/>
      <c r="U83" s="1055"/>
      <c r="V83" s="1055"/>
      <c r="W83" s="1055"/>
      <c r="X83" s="1055"/>
    </row>
    <row r="84">
      <c r="D84" s="1080" t="s">
        <v>714</v>
      </c>
      <c r="E84" s="222"/>
      <c r="F84" s="1078">
        <f>SUM(F81:G83)</f>
        <v>0</v>
      </c>
      <c r="G84" s="222"/>
      <c r="H84" s="1055"/>
      <c r="I84" s="1055"/>
      <c r="J84" s="1055"/>
      <c r="K84" s="1055"/>
      <c r="L84" s="1055"/>
      <c r="M84" s="1055"/>
      <c r="O84" s="1077" t="s">
        <v>1496</v>
      </c>
      <c r="P84" s="222"/>
      <c r="Q84" s="1078">
        <v>250.0</v>
      </c>
      <c r="R84" s="222"/>
      <c r="S84" s="1055"/>
      <c r="T84" s="1055"/>
      <c r="U84" s="1055"/>
      <c r="V84" s="1055"/>
      <c r="W84" s="1055"/>
      <c r="X84" s="1055"/>
    </row>
    <row r="85">
      <c r="D85" s="1081"/>
      <c r="E85" s="224"/>
      <c r="F85" s="224"/>
      <c r="G85" s="222"/>
      <c r="H85" s="1055"/>
      <c r="I85" s="1055"/>
      <c r="J85" s="1055"/>
      <c r="K85" s="1055"/>
      <c r="L85" s="1055"/>
      <c r="M85" s="1055"/>
      <c r="O85" s="1079"/>
      <c r="P85" s="222"/>
      <c r="Q85" s="1076"/>
      <c r="R85" s="222"/>
      <c r="S85" s="1055"/>
      <c r="T85" s="1055"/>
      <c r="U85" s="1055"/>
      <c r="V85" s="1055"/>
      <c r="W85" s="1055"/>
      <c r="X85" s="1055"/>
    </row>
    <row r="86">
      <c r="D86" s="1082" t="s">
        <v>715</v>
      </c>
      <c r="E86" s="222"/>
      <c r="F86" s="1083"/>
      <c r="G86" s="222"/>
      <c r="H86" s="1055"/>
      <c r="I86" s="1055"/>
      <c r="J86" s="1055"/>
      <c r="K86" s="1055"/>
      <c r="L86" s="1055"/>
      <c r="M86" s="1055"/>
      <c r="O86" s="1079"/>
      <c r="P86" s="222"/>
      <c r="Q86" s="1076"/>
      <c r="R86" s="222"/>
      <c r="S86" s="1055"/>
      <c r="T86" s="1055"/>
      <c r="U86" s="1055"/>
      <c r="V86" s="1055"/>
      <c r="W86" s="1055"/>
      <c r="X86" s="1055"/>
    </row>
    <row r="87">
      <c r="D87" s="1090" t="s">
        <v>716</v>
      </c>
      <c r="E87" s="222"/>
      <c r="F87" s="1088">
        <v>150.0</v>
      </c>
      <c r="G87" s="222"/>
      <c r="H87" s="1055"/>
      <c r="I87" s="1055"/>
      <c r="J87" s="1055"/>
      <c r="K87" s="1055"/>
      <c r="L87" s="1055"/>
      <c r="M87" s="1055"/>
      <c r="O87" s="1079"/>
      <c r="P87" s="222"/>
      <c r="Q87" s="1076"/>
      <c r="R87" s="222"/>
      <c r="S87" s="1055"/>
      <c r="T87" s="1055"/>
      <c r="U87" s="1055"/>
      <c r="V87" s="1055"/>
      <c r="W87" s="1055"/>
      <c r="X87" s="1055"/>
    </row>
    <row r="88">
      <c r="D88" s="1090" t="s">
        <v>717</v>
      </c>
      <c r="E88" s="222"/>
      <c r="F88" s="1088">
        <v>400.0</v>
      </c>
      <c r="G88" s="222"/>
      <c r="H88" s="1055"/>
      <c r="I88" s="1055"/>
      <c r="J88" s="1055"/>
      <c r="K88" s="1055"/>
      <c r="L88" s="1055"/>
      <c r="M88" s="1055"/>
      <c r="O88" s="1079"/>
      <c r="P88" s="222"/>
      <c r="Q88" s="1076"/>
      <c r="R88" s="222"/>
      <c r="S88" s="1055"/>
      <c r="T88" s="1055"/>
      <c r="U88" s="1055"/>
      <c r="V88" s="1055"/>
      <c r="W88" s="1055"/>
      <c r="X88" s="1055"/>
    </row>
    <row r="89">
      <c r="D89" s="1090" t="s">
        <v>718</v>
      </c>
      <c r="E89" s="222"/>
      <c r="F89" s="1088">
        <v>200.0</v>
      </c>
      <c r="G89" s="222"/>
      <c r="H89" s="1055"/>
      <c r="I89" s="1055"/>
      <c r="J89" s="1055"/>
      <c r="K89" s="1055"/>
      <c r="L89" s="1055"/>
      <c r="M89" s="1055"/>
      <c r="O89" s="1080" t="s">
        <v>714</v>
      </c>
      <c r="P89" s="222"/>
      <c r="Q89" s="1078">
        <f>SUM(Q83:R88)</f>
        <v>250</v>
      </c>
      <c r="R89" s="222"/>
      <c r="S89" s="1055"/>
      <c r="T89" s="1055"/>
      <c r="U89" s="1055"/>
      <c r="V89" s="1055"/>
      <c r="W89" s="1055"/>
      <c r="X89" s="1055"/>
    </row>
    <row r="90">
      <c r="D90" s="1090" t="s">
        <v>656</v>
      </c>
      <c r="E90" s="222"/>
      <c r="F90" s="1088">
        <v>1219.53</v>
      </c>
      <c r="G90" s="222"/>
      <c r="H90" s="1055"/>
      <c r="I90" s="1055"/>
      <c r="J90" s="1055"/>
      <c r="K90" s="1055"/>
      <c r="L90" s="1055"/>
      <c r="M90" s="1055"/>
      <c r="O90" s="1055"/>
      <c r="P90" s="1055"/>
      <c r="Q90" s="1055"/>
      <c r="S90" s="1055"/>
      <c r="T90" s="1055"/>
      <c r="U90" s="1055"/>
      <c r="V90" s="1055"/>
      <c r="W90" s="1055"/>
      <c r="X90" s="1055"/>
    </row>
    <row r="91">
      <c r="D91" s="1084"/>
      <c r="E91" s="222"/>
      <c r="F91" s="1083"/>
      <c r="G91" s="222"/>
      <c r="H91" s="1055"/>
      <c r="I91" s="1055"/>
      <c r="J91" s="1085" t="s">
        <v>1498</v>
      </c>
      <c r="K91" s="211"/>
      <c r="L91" s="1086">
        <f>M79+F84-F95</f>
        <v>1130.47</v>
      </c>
      <c r="M91" s="211"/>
      <c r="O91" s="1082" t="s">
        <v>715</v>
      </c>
      <c r="P91" s="222"/>
      <c r="Q91" s="1083"/>
      <c r="R91" s="222"/>
      <c r="S91" s="1055"/>
      <c r="T91" s="1055"/>
      <c r="U91" s="1055"/>
      <c r="V91" s="1055"/>
      <c r="W91" s="1055"/>
      <c r="X91" s="1055"/>
    </row>
    <row r="92">
      <c r="D92" s="1084"/>
      <c r="E92" s="222"/>
      <c r="F92" s="1083"/>
      <c r="G92" s="222"/>
      <c r="H92" s="1055"/>
      <c r="I92" s="1055"/>
      <c r="J92" s="278"/>
      <c r="K92" s="56"/>
      <c r="L92" s="278"/>
      <c r="M92" s="56"/>
      <c r="O92" s="1084"/>
      <c r="P92" s="222"/>
      <c r="Q92" s="1083"/>
      <c r="R92" s="222"/>
      <c r="S92" s="1055"/>
      <c r="T92" s="1055"/>
      <c r="U92" s="1085" t="s">
        <v>1497</v>
      </c>
      <c r="V92" s="211"/>
      <c r="W92" s="1086">
        <f>X81+Q89-Q97</f>
        <v>1319.6</v>
      </c>
      <c r="X92" s="211"/>
    </row>
    <row r="93">
      <c r="D93" s="1084"/>
      <c r="E93" s="222"/>
      <c r="F93" s="1083"/>
      <c r="G93" s="222"/>
      <c r="H93" s="1055"/>
      <c r="I93" s="1055"/>
      <c r="J93" s="215"/>
      <c r="K93" s="64"/>
      <c r="L93" s="215"/>
      <c r="M93" s="64"/>
      <c r="O93" s="1084"/>
      <c r="P93" s="222"/>
      <c r="Q93" s="1083"/>
      <c r="R93" s="222"/>
      <c r="S93" s="1055"/>
      <c r="T93" s="1055"/>
      <c r="U93" s="278"/>
      <c r="V93" s="56"/>
      <c r="W93" s="278"/>
      <c r="X93" s="56"/>
    </row>
    <row r="94">
      <c r="D94" s="1084"/>
      <c r="E94" s="222"/>
      <c r="F94" s="1083"/>
      <c r="G94" s="222"/>
      <c r="H94" s="1055"/>
      <c r="I94" s="1055"/>
      <c r="J94" s="1055"/>
      <c r="K94" s="1055"/>
      <c r="L94" s="1055"/>
      <c r="M94" s="1055"/>
      <c r="O94" s="1084"/>
      <c r="P94" s="222"/>
      <c r="Q94" s="1083"/>
      <c r="R94" s="222"/>
      <c r="S94" s="1055"/>
      <c r="T94" s="1055"/>
      <c r="U94" s="215"/>
      <c r="V94" s="64"/>
      <c r="W94" s="215"/>
      <c r="X94" s="64"/>
    </row>
    <row r="95">
      <c r="D95" s="1087" t="s">
        <v>721</v>
      </c>
      <c r="E95" s="222"/>
      <c r="F95" s="1088">
        <f>SUM(F87:G94)</f>
        <v>1969.53</v>
      </c>
      <c r="G95" s="222"/>
      <c r="H95" s="1055"/>
      <c r="I95" s="1055"/>
      <c r="J95" s="1055"/>
      <c r="K95" s="1055"/>
      <c r="L95" s="1055"/>
      <c r="M95" s="1055"/>
      <c r="O95" s="1084"/>
      <c r="P95" s="222"/>
      <c r="Q95" s="1083"/>
      <c r="R95" s="222"/>
      <c r="S95" s="1055"/>
      <c r="T95" s="1055"/>
      <c r="U95" s="1055"/>
      <c r="V95" s="1055"/>
      <c r="W95" s="1055"/>
      <c r="X95" s="1055"/>
    </row>
    <row r="96">
      <c r="O96" s="1084"/>
      <c r="P96" s="222"/>
      <c r="Q96" s="1083"/>
      <c r="R96" s="222"/>
      <c r="S96" s="1055"/>
      <c r="T96" s="1055"/>
      <c r="U96" s="1055"/>
      <c r="V96" s="1055"/>
      <c r="W96" s="1055"/>
      <c r="X96" s="1055"/>
    </row>
    <row r="97">
      <c r="O97" s="1087" t="s">
        <v>721</v>
      </c>
      <c r="P97" s="222"/>
      <c r="Q97" s="1088">
        <f>SUM(Q91:R96)</f>
        <v>0</v>
      </c>
      <c r="R97" s="222"/>
      <c r="S97" s="1055"/>
      <c r="T97" s="1055"/>
      <c r="U97" s="1055"/>
      <c r="V97" s="1055"/>
      <c r="W97" s="1055"/>
      <c r="X97" s="1055"/>
    </row>
    <row r="100">
      <c r="D100" s="1055"/>
      <c r="I100" s="1056" t="s">
        <v>700</v>
      </c>
      <c r="J100" s="211"/>
      <c r="K100" s="1057" t="s">
        <v>1493</v>
      </c>
      <c r="L100" s="213"/>
      <c r="M100" s="211"/>
      <c r="O100" s="1055"/>
      <c r="T100" s="1056" t="s">
        <v>700</v>
      </c>
      <c r="U100" s="211"/>
      <c r="V100" s="1057" t="s">
        <v>1493</v>
      </c>
      <c r="W100" s="213"/>
      <c r="X100" s="211"/>
    </row>
    <row r="101">
      <c r="I101" s="215"/>
      <c r="J101" s="64"/>
      <c r="K101" s="215"/>
      <c r="L101" s="216"/>
      <c r="M101" s="64"/>
      <c r="T101" s="215"/>
      <c r="U101" s="64"/>
      <c r="V101" s="215"/>
      <c r="W101" s="216"/>
      <c r="X101" s="64"/>
    </row>
    <row r="102">
      <c r="I102" s="1056" t="s">
        <v>702</v>
      </c>
      <c r="J102" s="211"/>
      <c r="K102" s="1057" t="s">
        <v>815</v>
      </c>
      <c r="L102" s="213"/>
      <c r="M102" s="211"/>
      <c r="T102" s="1056" t="s">
        <v>351</v>
      </c>
      <c r="U102" s="211"/>
      <c r="V102" s="1057" t="s">
        <v>595</v>
      </c>
      <c r="W102" s="213"/>
      <c r="X102" s="211"/>
    </row>
    <row r="103">
      <c r="I103" s="215"/>
      <c r="J103" s="64"/>
      <c r="K103" s="215"/>
      <c r="L103" s="216"/>
      <c r="M103" s="64"/>
      <c r="T103" s="215"/>
      <c r="U103" s="64"/>
      <c r="V103" s="215"/>
      <c r="W103" s="216"/>
      <c r="X103" s="64"/>
    </row>
    <row r="104">
      <c r="I104" s="1056" t="s">
        <v>703</v>
      </c>
      <c r="J104" s="211"/>
      <c r="K104" s="1057">
        <v>7265.0</v>
      </c>
      <c r="L104" s="213"/>
      <c r="M104" s="211"/>
      <c r="T104" s="1056" t="s">
        <v>703</v>
      </c>
      <c r="U104" s="211"/>
      <c r="V104" s="1057">
        <v>7265.0</v>
      </c>
      <c r="W104" s="213"/>
      <c r="X104" s="211"/>
    </row>
    <row r="105">
      <c r="I105" s="215"/>
      <c r="J105" s="64"/>
      <c r="K105" s="215"/>
      <c r="L105" s="216"/>
      <c r="M105" s="64"/>
      <c r="T105" s="215"/>
      <c r="U105" s="64"/>
      <c r="V105" s="215"/>
      <c r="W105" s="216"/>
      <c r="X105" s="64"/>
    </row>
    <row r="106">
      <c r="D106" s="1059" t="s">
        <v>704</v>
      </c>
      <c r="E106" s="222"/>
      <c r="F106" s="1059" t="s">
        <v>5</v>
      </c>
      <c r="G106" s="222"/>
      <c r="H106" s="1059" t="s">
        <v>705</v>
      </c>
      <c r="I106" s="224"/>
      <c r="J106" s="222"/>
      <c r="K106" s="1060" t="s">
        <v>8</v>
      </c>
      <c r="L106" s="1060" t="s">
        <v>706</v>
      </c>
      <c r="M106" s="1060" t="s">
        <v>707</v>
      </c>
      <c r="O106" s="1059" t="s">
        <v>704</v>
      </c>
      <c r="P106" s="222"/>
      <c r="Q106" s="1059" t="s">
        <v>5</v>
      </c>
      <c r="R106" s="222"/>
      <c r="S106" s="1059" t="s">
        <v>705</v>
      </c>
      <c r="T106" s="224"/>
      <c r="U106" s="222"/>
      <c r="V106" s="1060" t="s">
        <v>591</v>
      </c>
      <c r="W106" s="1060" t="s">
        <v>708</v>
      </c>
      <c r="X106" s="1060" t="s">
        <v>707</v>
      </c>
    </row>
    <row r="107">
      <c r="D107" s="1061">
        <v>45986.0</v>
      </c>
      <c r="E107" s="222"/>
      <c r="F107" s="1059">
        <v>1257186.0</v>
      </c>
      <c r="G107" s="222"/>
      <c r="H107" s="1059" t="s">
        <v>1503</v>
      </c>
      <c r="I107" s="224"/>
      <c r="J107" s="222"/>
      <c r="K107" s="1062">
        <v>978.25</v>
      </c>
      <c r="L107" s="1063">
        <v>1.0</v>
      </c>
      <c r="M107" s="1062">
        <f t="shared" ref="M107:M110" si="8">K107*L107</f>
        <v>978.25</v>
      </c>
      <c r="O107" s="1061">
        <v>45986.0</v>
      </c>
      <c r="P107" s="222"/>
      <c r="Q107" s="1059">
        <v>1257186.0</v>
      </c>
      <c r="R107" s="222"/>
      <c r="S107" s="1059" t="s">
        <v>1503</v>
      </c>
      <c r="T107" s="224"/>
      <c r="U107" s="222"/>
      <c r="V107" s="1060">
        <v>1505.0</v>
      </c>
      <c r="W107" s="1064">
        <v>0.65</v>
      </c>
      <c r="X107" s="1062">
        <f t="shared" ref="X107:X111" si="9">V107*W107</f>
        <v>978.25</v>
      </c>
    </row>
    <row r="108">
      <c r="D108" s="1065"/>
      <c r="E108" s="222"/>
      <c r="F108" s="1066"/>
      <c r="G108" s="222"/>
      <c r="H108" s="1066"/>
      <c r="I108" s="224"/>
      <c r="J108" s="222"/>
      <c r="K108" s="1067"/>
      <c r="L108" s="1063">
        <v>1.0</v>
      </c>
      <c r="M108" s="1062">
        <f t="shared" si="8"/>
        <v>0</v>
      </c>
      <c r="O108" s="1065"/>
      <c r="P108" s="222"/>
      <c r="Q108" s="1066"/>
      <c r="R108" s="222"/>
      <c r="S108" s="1066"/>
      <c r="T108" s="224"/>
      <c r="U108" s="222"/>
      <c r="V108" s="1068"/>
      <c r="W108" s="1064">
        <v>0.65</v>
      </c>
      <c r="X108" s="1062">
        <f t="shared" si="9"/>
        <v>0</v>
      </c>
    </row>
    <row r="109">
      <c r="D109" s="1065"/>
      <c r="E109" s="222"/>
      <c r="F109" s="1066"/>
      <c r="G109" s="222"/>
      <c r="H109" s="1066"/>
      <c r="I109" s="224"/>
      <c r="J109" s="222"/>
      <c r="K109" s="1067"/>
      <c r="L109" s="1063">
        <v>1.0</v>
      </c>
      <c r="M109" s="1062">
        <f t="shared" si="8"/>
        <v>0</v>
      </c>
      <c r="O109" s="1065"/>
      <c r="P109" s="222"/>
      <c r="Q109" s="1066"/>
      <c r="R109" s="222"/>
      <c r="S109" s="1066"/>
      <c r="T109" s="224"/>
      <c r="U109" s="222"/>
      <c r="V109" s="1068"/>
      <c r="W109" s="1064">
        <v>0.65</v>
      </c>
      <c r="X109" s="1062">
        <f t="shared" si="9"/>
        <v>0</v>
      </c>
    </row>
    <row r="110">
      <c r="D110" s="1065"/>
      <c r="E110" s="222"/>
      <c r="F110" s="1066"/>
      <c r="G110" s="222"/>
      <c r="H110" s="1066"/>
      <c r="I110" s="224"/>
      <c r="J110" s="222"/>
      <c r="K110" s="1067"/>
      <c r="L110" s="1063">
        <v>1.0</v>
      </c>
      <c r="M110" s="1062">
        <f t="shared" si="8"/>
        <v>0</v>
      </c>
      <c r="O110" s="1065"/>
      <c r="P110" s="222"/>
      <c r="Q110" s="1066"/>
      <c r="R110" s="222"/>
      <c r="S110" s="1066"/>
      <c r="T110" s="224"/>
      <c r="U110" s="222"/>
      <c r="V110" s="1068"/>
      <c r="W110" s="1064">
        <v>0.65</v>
      </c>
      <c r="X110" s="1062">
        <f t="shared" si="9"/>
        <v>0</v>
      </c>
    </row>
    <row r="111">
      <c r="D111" s="1065"/>
      <c r="E111" s="222"/>
      <c r="F111" s="1066"/>
      <c r="G111" s="222"/>
      <c r="H111" s="1066"/>
      <c r="I111" s="224"/>
      <c r="J111" s="222"/>
      <c r="K111" s="1067"/>
      <c r="L111" s="1069"/>
      <c r="M111" s="1067"/>
      <c r="O111" s="1065"/>
      <c r="P111" s="222"/>
      <c r="Q111" s="1066"/>
      <c r="R111" s="222"/>
      <c r="S111" s="1066"/>
      <c r="T111" s="224"/>
      <c r="U111" s="222"/>
      <c r="V111" s="1068"/>
      <c r="W111" s="1064">
        <v>0.65</v>
      </c>
      <c r="X111" s="1062">
        <f t="shared" si="9"/>
        <v>0</v>
      </c>
    </row>
    <row r="112">
      <c r="D112" s="1072" t="s">
        <v>711</v>
      </c>
      <c r="E112" s="224"/>
      <c r="F112" s="224"/>
      <c r="G112" s="224"/>
      <c r="H112" s="224"/>
      <c r="I112" s="224"/>
      <c r="J112" s="222"/>
      <c r="K112" s="1062">
        <f>SUM(K107:K111)</f>
        <v>978.25</v>
      </c>
      <c r="L112" s="1069"/>
      <c r="M112" s="1062">
        <f>SUM(M107:M111)</f>
        <v>978.25</v>
      </c>
      <c r="O112" s="1066"/>
      <c r="P112" s="222"/>
      <c r="Q112" s="1066"/>
      <c r="R112" s="222"/>
      <c r="S112" s="1066"/>
      <c r="T112" s="224"/>
      <c r="U112" s="222"/>
      <c r="V112" s="1068"/>
      <c r="W112" s="1068"/>
      <c r="X112" s="1067"/>
    </row>
    <row r="113">
      <c r="D113" s="1055"/>
      <c r="E113" s="1055"/>
      <c r="F113" s="1055"/>
      <c r="G113" s="1055"/>
      <c r="H113" s="1055"/>
      <c r="I113" s="1055"/>
      <c r="J113" s="1055"/>
      <c r="K113" s="1055"/>
      <c r="L113" s="1055"/>
      <c r="M113" s="1055"/>
      <c r="O113" s="1072" t="s">
        <v>711</v>
      </c>
      <c r="P113" s="224"/>
      <c r="Q113" s="224"/>
      <c r="R113" s="224"/>
      <c r="S113" s="224"/>
      <c r="T113" s="224"/>
      <c r="U113" s="222"/>
      <c r="V113" s="1060">
        <f>V109+V108+V107+V110+V111+V112</f>
        <v>1505</v>
      </c>
      <c r="W113" s="1074"/>
      <c r="X113" s="1062">
        <f>X109+X108+X107+X111+X110+X112</f>
        <v>978.25</v>
      </c>
    </row>
    <row r="114">
      <c r="D114" s="1075" t="s">
        <v>712</v>
      </c>
      <c r="E114" s="222"/>
      <c r="F114" s="1076"/>
      <c r="G114" s="222"/>
      <c r="H114" s="1055"/>
      <c r="I114" s="1055"/>
      <c r="J114" s="1055"/>
      <c r="K114" s="1055"/>
      <c r="L114" s="1055"/>
      <c r="M114" s="1055"/>
      <c r="O114" s="1055"/>
      <c r="P114" s="1055"/>
      <c r="Q114" s="1055"/>
      <c r="R114" s="1055"/>
      <c r="S114" s="1055"/>
      <c r="T114" s="1055"/>
      <c r="U114" s="1055"/>
      <c r="V114" s="1055"/>
      <c r="W114" s="1055"/>
      <c r="X114" s="1055"/>
    </row>
    <row r="115">
      <c r="D115" s="1077" t="s">
        <v>657</v>
      </c>
      <c r="E115" s="222"/>
      <c r="F115" s="1078">
        <v>555.55</v>
      </c>
      <c r="G115" s="222"/>
      <c r="H115" s="1055"/>
      <c r="I115" s="163"/>
      <c r="J115" s="163"/>
      <c r="K115" s="163"/>
      <c r="L115" s="163"/>
      <c r="M115" s="163"/>
      <c r="O115" s="1075" t="s">
        <v>712</v>
      </c>
      <c r="P115" s="222"/>
      <c r="Q115" s="1076"/>
      <c r="R115" s="222"/>
      <c r="S115" s="1055"/>
      <c r="T115" s="1055"/>
      <c r="U115" s="1055"/>
      <c r="V115" s="1055"/>
      <c r="W115" s="1055"/>
      <c r="X115" s="1055"/>
    </row>
    <row r="116">
      <c r="D116" s="1077" t="s">
        <v>1496</v>
      </c>
      <c r="E116" s="222"/>
      <c r="F116" s="1078">
        <v>250.0</v>
      </c>
      <c r="G116" s="222"/>
      <c r="H116" s="1055"/>
      <c r="I116" s="163"/>
      <c r="J116" s="163"/>
      <c r="K116" s="163"/>
      <c r="L116" s="163"/>
      <c r="M116" s="163"/>
      <c r="O116" s="1077" t="s">
        <v>1496</v>
      </c>
      <c r="P116" s="222"/>
      <c r="Q116" s="1078">
        <v>250.0</v>
      </c>
      <c r="R116" s="222"/>
      <c r="S116" s="1055"/>
      <c r="T116" s="1055"/>
      <c r="U116" s="1055"/>
      <c r="V116" s="1055"/>
      <c r="W116" s="1055"/>
      <c r="X116" s="1055"/>
    </row>
    <row r="117">
      <c r="D117" s="1080" t="s">
        <v>714</v>
      </c>
      <c r="E117" s="222"/>
      <c r="F117" s="1078">
        <f>SUM(F114:G116)</f>
        <v>805.55</v>
      </c>
      <c r="G117" s="222"/>
      <c r="H117" s="1055"/>
      <c r="I117" s="163"/>
      <c r="J117" s="163"/>
      <c r="K117" s="163"/>
      <c r="L117" s="163"/>
      <c r="M117" s="163"/>
      <c r="O117" s="1079"/>
      <c r="P117" s="222"/>
      <c r="Q117" s="1076"/>
      <c r="R117" s="222"/>
      <c r="S117" s="1055"/>
      <c r="T117" s="1055"/>
      <c r="U117" s="1055"/>
      <c r="V117" s="1055"/>
      <c r="W117" s="1055"/>
      <c r="X117" s="1055"/>
    </row>
    <row r="118">
      <c r="D118" s="1081"/>
      <c r="E118" s="224"/>
      <c r="F118" s="224"/>
      <c r="G118" s="222"/>
      <c r="H118" s="1055"/>
      <c r="I118" s="163"/>
      <c r="J118" s="163"/>
      <c r="K118" s="163"/>
      <c r="L118" s="163"/>
      <c r="M118" s="163"/>
      <c r="O118" s="1079"/>
      <c r="P118" s="222"/>
      <c r="Q118" s="1076"/>
      <c r="R118" s="222"/>
      <c r="S118" s="1055"/>
      <c r="T118" s="1055"/>
      <c r="U118" s="1055"/>
      <c r="V118" s="1055"/>
      <c r="W118" s="1055"/>
      <c r="X118" s="1055"/>
    </row>
    <row r="119">
      <c r="D119" s="1082" t="s">
        <v>715</v>
      </c>
      <c r="E119" s="222"/>
      <c r="F119" s="1083"/>
      <c r="G119" s="222"/>
      <c r="H119" s="1055"/>
      <c r="I119" s="163"/>
      <c r="J119" s="163"/>
      <c r="K119" s="163"/>
      <c r="L119" s="163"/>
      <c r="M119" s="163"/>
      <c r="O119" s="1079"/>
      <c r="P119" s="222"/>
      <c r="Q119" s="1076"/>
      <c r="R119" s="222"/>
      <c r="S119" s="1055"/>
      <c r="T119" s="1055"/>
      <c r="U119" s="1055"/>
      <c r="V119" s="1055"/>
      <c r="W119" s="1055"/>
      <c r="X119" s="1055"/>
    </row>
    <row r="120">
      <c r="D120" s="1084"/>
      <c r="E120" s="222"/>
      <c r="F120" s="1083"/>
      <c r="G120" s="222"/>
      <c r="H120" s="1055"/>
      <c r="I120" s="163"/>
      <c r="J120" s="163"/>
      <c r="K120" s="163"/>
      <c r="L120" s="163"/>
      <c r="M120" s="163"/>
      <c r="O120" s="1079"/>
      <c r="P120" s="222"/>
      <c r="Q120" s="1076"/>
      <c r="R120" s="222"/>
      <c r="S120" s="1055"/>
      <c r="T120" s="1055"/>
      <c r="U120" s="1055"/>
      <c r="V120" s="1055"/>
      <c r="W120" s="1055"/>
      <c r="X120" s="1055"/>
    </row>
    <row r="121">
      <c r="D121" s="1084"/>
      <c r="E121" s="222"/>
      <c r="F121" s="1083"/>
      <c r="G121" s="222"/>
      <c r="H121" s="1055"/>
      <c r="I121" s="163"/>
      <c r="J121" s="163"/>
      <c r="K121" s="163"/>
      <c r="L121" s="163"/>
      <c r="M121" s="163"/>
      <c r="O121" s="1080" t="s">
        <v>714</v>
      </c>
      <c r="P121" s="222"/>
      <c r="Q121" s="1078">
        <f>SUM(Q115:R120)</f>
        <v>250</v>
      </c>
      <c r="R121" s="222"/>
      <c r="S121" s="1055"/>
      <c r="T121" s="1055"/>
      <c r="U121" s="1055"/>
      <c r="V121" s="1055"/>
      <c r="W121" s="1055"/>
      <c r="X121" s="1055"/>
    </row>
    <row r="122">
      <c r="D122" s="1084"/>
      <c r="E122" s="222"/>
      <c r="F122" s="1083"/>
      <c r="G122" s="222"/>
      <c r="H122" s="1055"/>
      <c r="I122" s="163"/>
      <c r="J122" s="163"/>
      <c r="K122" s="163"/>
      <c r="L122" s="163"/>
      <c r="M122" s="163"/>
      <c r="O122" s="1055"/>
      <c r="P122" s="1055"/>
      <c r="Q122" s="1055"/>
      <c r="S122" s="1055"/>
      <c r="T122" s="1055"/>
      <c r="U122" s="1055"/>
      <c r="V122" s="1055"/>
      <c r="W122" s="1055"/>
      <c r="X122" s="1055"/>
    </row>
    <row r="123">
      <c r="D123" s="1084"/>
      <c r="E123" s="222"/>
      <c r="F123" s="1083"/>
      <c r="G123" s="222"/>
      <c r="H123" s="1055"/>
      <c r="I123" s="163"/>
      <c r="J123" s="163"/>
      <c r="K123" s="163"/>
      <c r="L123" s="163"/>
      <c r="M123" s="163"/>
      <c r="O123" s="1082" t="s">
        <v>715</v>
      </c>
      <c r="P123" s="222"/>
      <c r="Q123" s="1083"/>
      <c r="R123" s="222"/>
      <c r="S123" s="1055"/>
      <c r="T123" s="1055"/>
      <c r="U123" s="1055"/>
      <c r="V123" s="1055"/>
      <c r="W123" s="1055"/>
      <c r="X123" s="1055"/>
    </row>
    <row r="124">
      <c r="D124" s="1084"/>
      <c r="E124" s="222"/>
      <c r="F124" s="1083"/>
      <c r="G124" s="222"/>
      <c r="H124" s="1055"/>
      <c r="I124" s="1055"/>
      <c r="J124" s="1085" t="s">
        <v>1498</v>
      </c>
      <c r="K124" s="211"/>
      <c r="L124" s="1086">
        <f>M112+F117-F131</f>
        <v>1783.8</v>
      </c>
      <c r="M124" s="211"/>
      <c r="O124" s="1084"/>
      <c r="P124" s="222"/>
      <c r="Q124" s="1083"/>
      <c r="R124" s="222"/>
      <c r="S124" s="1055"/>
      <c r="T124" s="1055"/>
      <c r="U124" s="1085" t="s">
        <v>1497</v>
      </c>
      <c r="V124" s="211"/>
      <c r="W124" s="1086">
        <f>X113+Q121-Q129</f>
        <v>1228.25</v>
      </c>
      <c r="X124" s="211"/>
    </row>
    <row r="125">
      <c r="D125" s="1084"/>
      <c r="E125" s="222"/>
      <c r="F125" s="1083"/>
      <c r="G125" s="222"/>
      <c r="H125" s="1055"/>
      <c r="I125" s="1055"/>
      <c r="J125" s="278"/>
      <c r="K125" s="56"/>
      <c r="L125" s="278"/>
      <c r="M125" s="56"/>
      <c r="O125" s="1084"/>
      <c r="P125" s="222"/>
      <c r="Q125" s="1083"/>
      <c r="R125" s="222"/>
      <c r="S125" s="1055"/>
      <c r="T125" s="1055"/>
      <c r="U125" s="278"/>
      <c r="V125" s="56"/>
      <c r="W125" s="278"/>
      <c r="X125" s="56"/>
    </row>
    <row r="126">
      <c r="D126" s="1084"/>
      <c r="E126" s="222"/>
      <c r="F126" s="1083"/>
      <c r="G126" s="222"/>
      <c r="H126" s="1055"/>
      <c r="I126" s="1055"/>
      <c r="J126" s="215"/>
      <c r="K126" s="64"/>
      <c r="L126" s="215"/>
      <c r="M126" s="64"/>
      <c r="O126" s="1084"/>
      <c r="P126" s="222"/>
      <c r="Q126" s="1083"/>
      <c r="R126" s="222"/>
      <c r="S126" s="1055"/>
      <c r="T126" s="1055"/>
      <c r="U126" s="215"/>
      <c r="V126" s="64"/>
      <c r="W126" s="215"/>
      <c r="X126" s="64"/>
    </row>
    <row r="127">
      <c r="D127" s="1084"/>
      <c r="E127" s="222"/>
      <c r="F127" s="1083"/>
      <c r="G127" s="222"/>
      <c r="H127" s="1055"/>
      <c r="I127" s="1055"/>
      <c r="J127" s="1055"/>
      <c r="K127" s="1055"/>
      <c r="L127" s="1055"/>
      <c r="M127" s="1055"/>
      <c r="O127" s="1084"/>
      <c r="P127" s="222"/>
      <c r="Q127" s="1083"/>
      <c r="R127" s="222"/>
      <c r="S127" s="1055"/>
      <c r="T127" s="1055"/>
      <c r="U127" s="1055"/>
      <c r="V127" s="1055"/>
      <c r="W127" s="1055"/>
      <c r="X127" s="1055"/>
    </row>
    <row r="128">
      <c r="D128" s="1084"/>
      <c r="E128" s="222"/>
      <c r="F128" s="1083"/>
      <c r="G128" s="222"/>
      <c r="H128" s="1055"/>
      <c r="I128" s="1055"/>
      <c r="J128" s="1055"/>
      <c r="K128" s="1055"/>
      <c r="L128" s="1055"/>
      <c r="M128" s="1055"/>
      <c r="O128" s="1084"/>
      <c r="P128" s="222"/>
      <c r="Q128" s="1083"/>
      <c r="R128" s="222"/>
      <c r="S128" s="1055"/>
      <c r="T128" s="1055"/>
      <c r="U128" s="1055"/>
      <c r="V128" s="1055"/>
      <c r="W128" s="1055"/>
      <c r="X128" s="1055"/>
    </row>
    <row r="129">
      <c r="D129" s="1084"/>
      <c r="E129" s="222"/>
      <c r="F129" s="1083"/>
      <c r="G129" s="222"/>
      <c r="H129" s="1055"/>
      <c r="I129" s="1055"/>
      <c r="J129" s="1055"/>
      <c r="K129" s="1055"/>
      <c r="L129" s="1055"/>
      <c r="M129" s="1055"/>
      <c r="O129" s="1087" t="s">
        <v>721</v>
      </c>
      <c r="P129" s="222"/>
      <c r="Q129" s="1088">
        <f>SUM(Q123:R128)</f>
        <v>0</v>
      </c>
      <c r="R129" s="222"/>
      <c r="S129" s="1055"/>
      <c r="T129" s="1055"/>
      <c r="U129" s="1055"/>
      <c r="V129" s="1055"/>
      <c r="W129" s="1055"/>
      <c r="X129" s="1055"/>
    </row>
    <row r="130">
      <c r="D130" s="1084"/>
      <c r="E130" s="222"/>
      <c r="F130" s="1083"/>
      <c r="G130" s="222"/>
      <c r="H130" s="1055"/>
      <c r="I130" s="1055"/>
      <c r="J130" s="1055"/>
      <c r="K130" s="1055"/>
      <c r="L130" s="1055"/>
      <c r="M130" s="1055"/>
    </row>
    <row r="131">
      <c r="D131" s="1087" t="s">
        <v>721</v>
      </c>
      <c r="E131" s="222"/>
      <c r="F131" s="1088">
        <f>SUM(F120:G130)</f>
        <v>0</v>
      </c>
      <c r="G131" s="222"/>
      <c r="H131" s="1055"/>
      <c r="I131" s="1055"/>
      <c r="J131" s="1055"/>
      <c r="K131" s="1055"/>
      <c r="L131" s="1055"/>
      <c r="M131" s="1055"/>
    </row>
    <row r="134">
      <c r="D134" s="1055"/>
      <c r="H134" s="56"/>
      <c r="I134" s="1056" t="s">
        <v>700</v>
      </c>
      <c r="J134" s="211"/>
      <c r="K134" s="1057" t="s">
        <v>1493</v>
      </c>
      <c r="L134" s="213"/>
      <c r="M134" s="211"/>
      <c r="O134" s="1055"/>
      <c r="S134" s="56"/>
      <c r="T134" s="1056" t="s">
        <v>700</v>
      </c>
      <c r="U134" s="211"/>
      <c r="V134" s="1057" t="s">
        <v>1493</v>
      </c>
      <c r="W134" s="213"/>
      <c r="X134" s="211"/>
    </row>
    <row r="135">
      <c r="H135" s="56"/>
      <c r="I135" s="215"/>
      <c r="J135" s="64"/>
      <c r="K135" s="215"/>
      <c r="L135" s="216"/>
      <c r="M135" s="64"/>
      <c r="S135" s="56"/>
      <c r="T135" s="215"/>
      <c r="U135" s="64"/>
      <c r="V135" s="215"/>
      <c r="W135" s="216"/>
      <c r="X135" s="64"/>
    </row>
    <row r="136">
      <c r="H136" s="56"/>
      <c r="I136" s="1056" t="s">
        <v>702</v>
      </c>
      <c r="J136" s="211"/>
      <c r="K136" s="1057" t="s">
        <v>664</v>
      </c>
      <c r="L136" s="213"/>
      <c r="M136" s="211"/>
      <c r="S136" s="56"/>
      <c r="T136" s="1056" t="s">
        <v>351</v>
      </c>
      <c r="U136" s="211"/>
      <c r="V136" s="1057" t="s">
        <v>594</v>
      </c>
      <c r="W136" s="213"/>
      <c r="X136" s="211"/>
    </row>
    <row r="137">
      <c r="H137" s="56"/>
      <c r="I137" s="215"/>
      <c r="J137" s="64"/>
      <c r="K137" s="215"/>
      <c r="L137" s="216"/>
      <c r="M137" s="64"/>
      <c r="S137" s="56"/>
      <c r="T137" s="215"/>
      <c r="U137" s="64"/>
      <c r="V137" s="215"/>
      <c r="W137" s="216"/>
      <c r="X137" s="64"/>
    </row>
    <row r="138">
      <c r="H138" s="56"/>
      <c r="I138" s="1056" t="s">
        <v>703</v>
      </c>
      <c r="J138" s="211"/>
      <c r="K138" s="1057">
        <v>3819.0</v>
      </c>
      <c r="L138" s="213"/>
      <c r="M138" s="211"/>
      <c r="S138" s="56"/>
      <c r="T138" s="1056" t="s">
        <v>703</v>
      </c>
      <c r="U138" s="211"/>
      <c r="V138" s="1057">
        <v>3819.0</v>
      </c>
      <c r="W138" s="213"/>
      <c r="X138" s="211"/>
    </row>
    <row r="139">
      <c r="D139" s="216"/>
      <c r="E139" s="216"/>
      <c r="F139" s="216"/>
      <c r="G139" s="216"/>
      <c r="H139" s="64"/>
      <c r="I139" s="215"/>
      <c r="J139" s="64"/>
      <c r="K139" s="215"/>
      <c r="L139" s="216"/>
      <c r="M139" s="64"/>
      <c r="O139" s="216"/>
      <c r="P139" s="216"/>
      <c r="Q139" s="216"/>
      <c r="R139" s="216"/>
      <c r="S139" s="64"/>
      <c r="T139" s="215"/>
      <c r="U139" s="64"/>
      <c r="V139" s="215"/>
      <c r="W139" s="216"/>
      <c r="X139" s="64"/>
    </row>
    <row r="140">
      <c r="D140" s="1059" t="s">
        <v>704</v>
      </c>
      <c r="E140" s="222"/>
      <c r="F140" s="1059" t="s">
        <v>5</v>
      </c>
      <c r="G140" s="222"/>
      <c r="H140" s="1059" t="s">
        <v>705</v>
      </c>
      <c r="I140" s="224"/>
      <c r="J140" s="222"/>
      <c r="K140" s="1060" t="s">
        <v>8</v>
      </c>
      <c r="L140" s="1060" t="s">
        <v>706</v>
      </c>
      <c r="M140" s="1060" t="s">
        <v>707</v>
      </c>
      <c r="O140" s="1059" t="s">
        <v>704</v>
      </c>
      <c r="P140" s="222"/>
      <c r="Q140" s="1059" t="s">
        <v>5</v>
      </c>
      <c r="R140" s="222"/>
      <c r="S140" s="1059" t="s">
        <v>705</v>
      </c>
      <c r="T140" s="224"/>
      <c r="U140" s="222"/>
      <c r="V140" s="1060" t="s">
        <v>591</v>
      </c>
      <c r="W140" s="1060" t="s">
        <v>708</v>
      </c>
      <c r="X140" s="1060" t="s">
        <v>707</v>
      </c>
    </row>
    <row r="141">
      <c r="D141" s="1061">
        <v>45988.0</v>
      </c>
      <c r="E141" s="222"/>
      <c r="F141" s="1059" t="s">
        <v>1504</v>
      </c>
      <c r="G141" s="222"/>
      <c r="H141" s="1059" t="s">
        <v>1505</v>
      </c>
      <c r="I141" s="224"/>
      <c r="J141" s="222"/>
      <c r="K141" s="1062">
        <v>3800.0</v>
      </c>
      <c r="L141" s="1063">
        <v>0.88</v>
      </c>
      <c r="M141" s="1062">
        <f t="shared" ref="M141:M147" si="10">K141*L141</f>
        <v>3344</v>
      </c>
      <c r="O141" s="1061">
        <v>45988.0</v>
      </c>
      <c r="P141" s="222"/>
      <c r="Q141" s="1059" t="s">
        <v>1504</v>
      </c>
      <c r="R141" s="222"/>
      <c r="S141" s="1059" t="s">
        <v>1505</v>
      </c>
      <c r="T141" s="224"/>
      <c r="U141" s="222"/>
      <c r="V141" s="1060">
        <v>2155.0</v>
      </c>
      <c r="W141" s="1064">
        <v>0.65</v>
      </c>
      <c r="X141" s="1062">
        <f t="shared" ref="X141:X147" si="11">W141*V141</f>
        <v>1400.75</v>
      </c>
    </row>
    <row r="142">
      <c r="D142" s="1065"/>
      <c r="E142" s="222"/>
      <c r="F142" s="1066"/>
      <c r="G142" s="222"/>
      <c r="H142" s="1066"/>
      <c r="I142" s="224"/>
      <c r="J142" s="222"/>
      <c r="K142" s="1067"/>
      <c r="L142" s="1063">
        <v>0.88</v>
      </c>
      <c r="M142" s="1062">
        <f t="shared" si="10"/>
        <v>0</v>
      </c>
      <c r="O142" s="1065"/>
      <c r="P142" s="222"/>
      <c r="Q142" s="1066"/>
      <c r="R142" s="222"/>
      <c r="S142" s="1066"/>
      <c r="T142" s="224"/>
      <c r="U142" s="222"/>
      <c r="V142" s="1068"/>
      <c r="W142" s="1064">
        <v>0.65</v>
      </c>
      <c r="X142" s="1062">
        <f t="shared" si="11"/>
        <v>0</v>
      </c>
    </row>
    <row r="143">
      <c r="D143" s="1065"/>
      <c r="E143" s="222"/>
      <c r="F143" s="1066"/>
      <c r="G143" s="222"/>
      <c r="H143" s="1066"/>
      <c r="I143" s="224"/>
      <c r="J143" s="222"/>
      <c r="K143" s="1067"/>
      <c r="L143" s="1063">
        <v>0.88</v>
      </c>
      <c r="M143" s="1062">
        <f t="shared" si="10"/>
        <v>0</v>
      </c>
      <c r="O143" s="1065"/>
      <c r="P143" s="222"/>
      <c r="Q143" s="1066"/>
      <c r="R143" s="222"/>
      <c r="S143" s="1066"/>
      <c r="T143" s="224"/>
      <c r="U143" s="222"/>
      <c r="V143" s="1068"/>
      <c r="W143" s="1064">
        <v>0.65</v>
      </c>
      <c r="X143" s="1062">
        <f t="shared" si="11"/>
        <v>0</v>
      </c>
    </row>
    <row r="144">
      <c r="D144" s="1065"/>
      <c r="E144" s="222"/>
      <c r="F144" s="1066"/>
      <c r="G144" s="222"/>
      <c r="H144" s="1066"/>
      <c r="I144" s="224"/>
      <c r="J144" s="222"/>
      <c r="K144" s="1067"/>
      <c r="L144" s="1063">
        <v>0.88</v>
      </c>
      <c r="M144" s="1062">
        <f t="shared" si="10"/>
        <v>0</v>
      </c>
      <c r="O144" s="1065"/>
      <c r="P144" s="222"/>
      <c r="Q144" s="1066"/>
      <c r="R144" s="222"/>
      <c r="S144" s="1066"/>
      <c r="T144" s="224"/>
      <c r="U144" s="222"/>
      <c r="V144" s="1068"/>
      <c r="W144" s="1064">
        <v>0.65</v>
      </c>
      <c r="X144" s="1062">
        <f t="shared" si="11"/>
        <v>0</v>
      </c>
    </row>
    <row r="145">
      <c r="D145" s="1065"/>
      <c r="E145" s="222"/>
      <c r="F145" s="1066"/>
      <c r="G145" s="222"/>
      <c r="H145" s="1066"/>
      <c r="I145" s="224"/>
      <c r="J145" s="222"/>
      <c r="K145" s="1067"/>
      <c r="L145" s="1063">
        <v>0.88</v>
      </c>
      <c r="M145" s="1062">
        <f t="shared" si="10"/>
        <v>0</v>
      </c>
      <c r="O145" s="1065"/>
      <c r="P145" s="222"/>
      <c r="Q145" s="1066"/>
      <c r="R145" s="222"/>
      <c r="S145" s="1066"/>
      <c r="T145" s="224"/>
      <c r="U145" s="222"/>
      <c r="V145" s="1068"/>
      <c r="W145" s="1071"/>
      <c r="X145" s="1062">
        <f t="shared" si="11"/>
        <v>0</v>
      </c>
    </row>
    <row r="146">
      <c r="D146" s="1065"/>
      <c r="E146" s="222"/>
      <c r="F146" s="1066"/>
      <c r="G146" s="222"/>
      <c r="H146" s="1066"/>
      <c r="I146" s="224"/>
      <c r="J146" s="222"/>
      <c r="K146" s="1067"/>
      <c r="L146" s="1063">
        <v>0.88</v>
      </c>
      <c r="M146" s="1062">
        <f t="shared" si="10"/>
        <v>0</v>
      </c>
      <c r="O146" s="1065"/>
      <c r="P146" s="222"/>
      <c r="Q146" s="1066"/>
      <c r="R146" s="222"/>
      <c r="S146" s="1066"/>
      <c r="T146" s="224"/>
      <c r="U146" s="222"/>
      <c r="V146" s="1068"/>
      <c r="W146" s="1071"/>
      <c r="X146" s="1062">
        <f t="shared" si="11"/>
        <v>0</v>
      </c>
    </row>
    <row r="147">
      <c r="D147" s="1065"/>
      <c r="E147" s="222"/>
      <c r="F147" s="1066"/>
      <c r="G147" s="222"/>
      <c r="H147" s="1066"/>
      <c r="I147" s="224"/>
      <c r="J147" s="222"/>
      <c r="K147" s="1067"/>
      <c r="L147" s="1063">
        <v>0.88</v>
      </c>
      <c r="M147" s="1062">
        <f t="shared" si="10"/>
        <v>0</v>
      </c>
      <c r="O147" s="1065"/>
      <c r="P147" s="222"/>
      <c r="Q147" s="1066"/>
      <c r="R147" s="222"/>
      <c r="S147" s="1066"/>
      <c r="T147" s="224"/>
      <c r="U147" s="222"/>
      <c r="V147" s="1068"/>
      <c r="W147" s="1071"/>
      <c r="X147" s="1062">
        <f t="shared" si="11"/>
        <v>0</v>
      </c>
    </row>
    <row r="148">
      <c r="D148" s="1072" t="s">
        <v>711</v>
      </c>
      <c r="E148" s="224"/>
      <c r="F148" s="224"/>
      <c r="G148" s="224"/>
      <c r="H148" s="224"/>
      <c r="I148" s="224"/>
      <c r="J148" s="222"/>
      <c r="K148" s="1073">
        <f>SUM(K141:K147)</f>
        <v>3800</v>
      </c>
      <c r="L148" s="1069"/>
      <c r="M148" s="1073">
        <f>SUM(M141:M147)</f>
        <v>3344</v>
      </c>
      <c r="O148" s="1072" t="s">
        <v>711</v>
      </c>
      <c r="P148" s="224"/>
      <c r="Q148" s="224"/>
      <c r="R148" s="224"/>
      <c r="S148" s="224"/>
      <c r="T148" s="224"/>
      <c r="U148" s="222"/>
      <c r="V148" s="1060">
        <f>SUM(V141:V147)</f>
        <v>2155</v>
      </c>
      <c r="W148" s="1074"/>
      <c r="X148" s="1062">
        <f>SUM(X141:X147)</f>
        <v>1400.75</v>
      </c>
    </row>
    <row r="149">
      <c r="D149" s="1055"/>
      <c r="E149" s="1055"/>
      <c r="F149" s="1055"/>
      <c r="G149" s="1055"/>
      <c r="H149" s="1055"/>
      <c r="I149" s="1055"/>
      <c r="J149" s="1055"/>
      <c r="K149" s="1055"/>
      <c r="L149" s="1055"/>
      <c r="M149" s="1055"/>
      <c r="O149" s="1055"/>
      <c r="P149" s="1055"/>
      <c r="Q149" s="1055"/>
      <c r="R149" s="1055"/>
      <c r="S149" s="1055"/>
      <c r="T149" s="1055"/>
      <c r="U149" s="1055"/>
      <c r="V149" s="1055"/>
      <c r="W149" s="1055"/>
      <c r="X149" s="1055"/>
    </row>
    <row r="150">
      <c r="D150" s="1075" t="s">
        <v>712</v>
      </c>
      <c r="E150" s="222"/>
      <c r="F150" s="1076"/>
      <c r="G150" s="222"/>
      <c r="H150" s="1055"/>
      <c r="I150" s="1055"/>
      <c r="J150" s="1055"/>
      <c r="K150" s="1055"/>
      <c r="L150" s="1055"/>
      <c r="M150" s="1055"/>
      <c r="O150" s="1075" t="s">
        <v>712</v>
      </c>
      <c r="P150" s="222"/>
      <c r="Q150" s="1076"/>
      <c r="R150" s="222"/>
      <c r="S150" s="1055"/>
      <c r="T150" s="1055"/>
      <c r="U150" s="1055"/>
      <c r="V150" s="1055"/>
      <c r="W150" s="1055"/>
      <c r="X150" s="1055"/>
    </row>
    <row r="151">
      <c r="D151" s="1077" t="s">
        <v>1496</v>
      </c>
      <c r="E151" s="222"/>
      <c r="F151" s="1078">
        <v>250.0</v>
      </c>
      <c r="G151" s="222"/>
      <c r="H151" s="1055"/>
      <c r="I151" s="1055"/>
      <c r="J151" s="1055"/>
      <c r="K151" s="1055"/>
      <c r="L151" s="1055"/>
      <c r="M151" s="1055"/>
      <c r="O151" s="1077" t="s">
        <v>1496</v>
      </c>
      <c r="P151" s="222"/>
      <c r="Q151" s="1078">
        <v>250.0</v>
      </c>
      <c r="R151" s="222"/>
      <c r="S151" s="1055"/>
      <c r="T151" s="1055"/>
      <c r="U151" s="1055"/>
      <c r="V151" s="1055"/>
      <c r="W151" s="1055"/>
      <c r="X151" s="1055"/>
    </row>
    <row r="152">
      <c r="D152" s="1079"/>
      <c r="E152" s="222"/>
      <c r="F152" s="1076"/>
      <c r="G152" s="222"/>
      <c r="H152" s="1055"/>
      <c r="I152" s="1055"/>
      <c r="J152" s="1055"/>
      <c r="K152" s="1055"/>
      <c r="L152" s="1055"/>
      <c r="M152" s="1055"/>
      <c r="O152" s="1079"/>
      <c r="P152" s="222"/>
      <c r="Q152" s="1076"/>
      <c r="R152" s="222"/>
      <c r="S152" s="1055"/>
      <c r="T152" s="1055"/>
      <c r="U152" s="1055"/>
      <c r="V152" s="1055"/>
      <c r="W152" s="1055"/>
      <c r="X152" s="1055"/>
    </row>
    <row r="153">
      <c r="D153" s="1080" t="s">
        <v>714</v>
      </c>
      <c r="E153" s="222"/>
      <c r="F153" s="1078">
        <f>SUM(F150:G152)</f>
        <v>250</v>
      </c>
      <c r="G153" s="222"/>
      <c r="H153" s="1055"/>
      <c r="I153" s="1055"/>
      <c r="J153" s="1055"/>
      <c r="K153" s="1055"/>
      <c r="L153" s="1055"/>
      <c r="M153" s="1055"/>
      <c r="O153" s="1079"/>
      <c r="P153" s="222"/>
      <c r="Q153" s="1076"/>
      <c r="R153" s="222"/>
      <c r="S153" s="1055"/>
      <c r="T153" s="1055"/>
      <c r="U153" s="1055"/>
      <c r="V153" s="1055"/>
      <c r="W153" s="1055"/>
      <c r="X153" s="1055"/>
    </row>
    <row r="154">
      <c r="D154" s="1081"/>
      <c r="E154" s="224"/>
      <c r="F154" s="224"/>
      <c r="G154" s="222"/>
      <c r="H154" s="1055"/>
      <c r="I154" s="1055"/>
      <c r="J154" s="1055"/>
      <c r="K154" s="1055"/>
      <c r="L154" s="1055"/>
      <c r="M154" s="1055"/>
      <c r="O154" s="1079"/>
      <c r="P154" s="222"/>
      <c r="Q154" s="1076"/>
      <c r="R154" s="222"/>
      <c r="S154" s="1055"/>
      <c r="T154" s="1055"/>
      <c r="U154" s="1055"/>
      <c r="V154" s="1055"/>
      <c r="W154" s="1055"/>
      <c r="X154" s="1055"/>
    </row>
    <row r="155">
      <c r="D155" s="1082" t="s">
        <v>715</v>
      </c>
      <c r="E155" s="222"/>
      <c r="F155" s="1083"/>
      <c r="G155" s="222"/>
      <c r="H155" s="1055"/>
      <c r="I155" s="1055"/>
      <c r="J155" s="1055"/>
      <c r="K155" s="1055"/>
      <c r="L155" s="1055"/>
      <c r="M155" s="1055"/>
      <c r="O155" s="1079"/>
      <c r="P155" s="222"/>
      <c r="Q155" s="1076"/>
      <c r="R155" s="222"/>
      <c r="S155" s="1055"/>
      <c r="T155" s="1055"/>
      <c r="U155" s="1055"/>
      <c r="V155" s="1055"/>
      <c r="W155" s="1055"/>
      <c r="X155" s="1055"/>
    </row>
    <row r="156">
      <c r="D156" s="1090" t="s">
        <v>716</v>
      </c>
      <c r="E156" s="222"/>
      <c r="F156" s="1088">
        <v>150.0</v>
      </c>
      <c r="G156" s="222"/>
      <c r="H156" s="1055"/>
      <c r="I156" s="1055"/>
      <c r="J156" s="1055"/>
      <c r="K156" s="1055"/>
      <c r="L156" s="1055"/>
      <c r="M156" s="1055"/>
      <c r="O156" s="1080" t="s">
        <v>714</v>
      </c>
      <c r="P156" s="222"/>
      <c r="Q156" s="1078">
        <f>SUM(Q150:R155)</f>
        <v>250</v>
      </c>
      <c r="R156" s="222"/>
      <c r="S156" s="1055"/>
      <c r="T156" s="1055"/>
      <c r="U156" s="1055"/>
      <c r="V156" s="1055"/>
      <c r="W156" s="1055"/>
      <c r="X156" s="1055"/>
    </row>
    <row r="157">
      <c r="D157" s="1090" t="s">
        <v>717</v>
      </c>
      <c r="E157" s="222"/>
      <c r="F157" s="1088">
        <v>400.0</v>
      </c>
      <c r="G157" s="222"/>
      <c r="H157" s="1055"/>
      <c r="I157" s="1055"/>
      <c r="J157" s="1055"/>
      <c r="K157" s="1055"/>
      <c r="L157" s="1055"/>
      <c r="M157" s="1055"/>
      <c r="O157" s="1055"/>
      <c r="P157" s="1055"/>
      <c r="Q157" s="1091"/>
      <c r="R157" s="224"/>
      <c r="S157" s="1055"/>
      <c r="T157" s="1055"/>
      <c r="U157" s="1055"/>
      <c r="V157" s="1055"/>
      <c r="W157" s="1055"/>
      <c r="X157" s="1055"/>
    </row>
    <row r="158">
      <c r="D158" s="1090" t="s">
        <v>718</v>
      </c>
      <c r="E158" s="222"/>
      <c r="F158" s="1088">
        <v>200.0</v>
      </c>
      <c r="G158" s="222"/>
      <c r="H158" s="1055"/>
      <c r="I158" s="1055"/>
      <c r="J158" s="1055"/>
      <c r="K158" s="1055"/>
      <c r="L158" s="1055"/>
      <c r="M158" s="1055"/>
      <c r="O158" s="1082" t="s">
        <v>715</v>
      </c>
      <c r="P158" s="222"/>
      <c r="Q158" s="1083"/>
      <c r="R158" s="222"/>
      <c r="S158" s="1055"/>
      <c r="T158" s="1055"/>
      <c r="U158" s="1055"/>
      <c r="V158" s="1055"/>
      <c r="W158" s="1055"/>
      <c r="X158" s="1055"/>
    </row>
    <row r="159">
      <c r="D159" s="1090" t="s">
        <v>656</v>
      </c>
      <c r="E159" s="222"/>
      <c r="F159" s="1088">
        <v>1111.82</v>
      </c>
      <c r="G159" s="222"/>
      <c r="H159" s="1055"/>
      <c r="I159" s="1055"/>
      <c r="J159" s="1055"/>
      <c r="K159" s="1055"/>
      <c r="L159" s="1055"/>
      <c r="M159" s="1055"/>
      <c r="O159" s="1092" t="s">
        <v>1506</v>
      </c>
      <c r="P159" s="211"/>
      <c r="Q159" s="1093">
        <v>1000.0</v>
      </c>
      <c r="R159" s="211"/>
      <c r="S159" s="1055"/>
      <c r="T159" s="1055"/>
      <c r="U159" s="1085" t="s">
        <v>1497</v>
      </c>
      <c r="V159" s="211"/>
      <c r="W159" s="1086">
        <f>X148+Q156-Q164</f>
        <v>650.75</v>
      </c>
      <c r="X159" s="211"/>
    </row>
    <row r="160">
      <c r="D160" s="1090" t="s">
        <v>1188</v>
      </c>
      <c r="E160" s="222"/>
      <c r="F160" s="1088">
        <v>295.0</v>
      </c>
      <c r="G160" s="222"/>
      <c r="H160" s="1055"/>
      <c r="I160" s="1055"/>
      <c r="J160" s="1085" t="s">
        <v>1498</v>
      </c>
      <c r="K160" s="211"/>
      <c r="L160" s="1086">
        <f>M148+F153-F164</f>
        <v>1437.18</v>
      </c>
      <c r="M160" s="211"/>
      <c r="O160" s="215"/>
      <c r="P160" s="64"/>
      <c r="Q160" s="215"/>
      <c r="R160" s="64"/>
      <c r="S160" s="1055"/>
      <c r="T160" s="1055"/>
      <c r="U160" s="278"/>
      <c r="V160" s="56"/>
      <c r="W160" s="278"/>
      <c r="X160" s="56"/>
    </row>
    <row r="161">
      <c r="D161" s="1084"/>
      <c r="E161" s="222"/>
      <c r="F161" s="1083"/>
      <c r="G161" s="222"/>
      <c r="H161" s="1055"/>
      <c r="I161" s="1055"/>
      <c r="J161" s="278"/>
      <c r="K161" s="56"/>
      <c r="L161" s="278"/>
      <c r="M161" s="56"/>
      <c r="O161" s="1084"/>
      <c r="P161" s="222"/>
      <c r="Q161" s="1083"/>
      <c r="R161" s="222"/>
      <c r="S161" s="1055"/>
      <c r="T161" s="1055"/>
      <c r="U161" s="215"/>
      <c r="V161" s="64"/>
      <c r="W161" s="215"/>
      <c r="X161" s="64"/>
    </row>
    <row r="162">
      <c r="D162" s="1084"/>
      <c r="E162" s="222"/>
      <c r="F162" s="1083"/>
      <c r="G162" s="222"/>
      <c r="H162" s="1055"/>
      <c r="I162" s="1055"/>
      <c r="J162" s="215"/>
      <c r="K162" s="64"/>
      <c r="L162" s="215"/>
      <c r="M162" s="64"/>
      <c r="O162" s="1084"/>
      <c r="P162" s="222"/>
      <c r="Q162" s="1083"/>
      <c r="R162" s="222"/>
      <c r="S162" s="1055"/>
      <c r="T162" s="1055"/>
      <c r="U162" s="1055"/>
      <c r="V162" s="1055"/>
      <c r="W162" s="1055"/>
      <c r="X162" s="1055"/>
    </row>
    <row r="163">
      <c r="D163" s="1084"/>
      <c r="E163" s="222"/>
      <c r="F163" s="1083"/>
      <c r="G163" s="222"/>
      <c r="H163" s="1055"/>
      <c r="I163" s="1055"/>
      <c r="J163" s="1055"/>
      <c r="K163" s="1055"/>
      <c r="L163" s="1055"/>
      <c r="M163" s="1055"/>
      <c r="O163" s="1084"/>
      <c r="P163" s="222"/>
      <c r="Q163" s="1083"/>
      <c r="R163" s="222"/>
      <c r="S163" s="1055"/>
      <c r="T163" s="1055"/>
      <c r="U163" s="1055"/>
      <c r="V163" s="1055"/>
      <c r="W163" s="1055"/>
      <c r="X163" s="1055"/>
    </row>
    <row r="164">
      <c r="D164" s="1087" t="s">
        <v>721</v>
      </c>
      <c r="E164" s="222"/>
      <c r="F164" s="1088">
        <f>SUM(F156:G163)</f>
        <v>2156.82</v>
      </c>
      <c r="G164" s="222"/>
      <c r="H164" s="1055"/>
      <c r="I164" s="1055"/>
      <c r="J164" s="1055"/>
      <c r="K164" s="1055"/>
      <c r="L164" s="1055"/>
      <c r="M164" s="1055"/>
      <c r="O164" s="1087" t="s">
        <v>721</v>
      </c>
      <c r="P164" s="222"/>
      <c r="Q164" s="1088">
        <f>SUM(Q158:R163)</f>
        <v>1000</v>
      </c>
      <c r="R164" s="222"/>
      <c r="S164" s="1055"/>
      <c r="T164" s="1055"/>
      <c r="U164" s="1055"/>
      <c r="V164" s="1055"/>
      <c r="W164" s="1055"/>
      <c r="X164" s="1055"/>
    </row>
    <row r="167">
      <c r="D167" s="1055"/>
      <c r="I167" s="1056" t="s">
        <v>700</v>
      </c>
      <c r="J167" s="211"/>
      <c r="K167" s="1057" t="s">
        <v>1493</v>
      </c>
      <c r="L167" s="213"/>
      <c r="M167" s="211"/>
      <c r="O167" s="1055"/>
      <c r="T167" s="1056" t="s">
        <v>700</v>
      </c>
      <c r="U167" s="211"/>
      <c r="V167" s="1057" t="s">
        <v>1493</v>
      </c>
      <c r="W167" s="213"/>
      <c r="X167" s="211"/>
    </row>
    <row r="168">
      <c r="I168" s="215"/>
      <c r="J168" s="64"/>
      <c r="K168" s="215"/>
      <c r="L168" s="216"/>
      <c r="M168" s="64"/>
      <c r="T168" s="215"/>
      <c r="U168" s="64"/>
      <c r="V168" s="215"/>
      <c r="W168" s="216"/>
      <c r="X168" s="64"/>
    </row>
    <row r="169">
      <c r="I169" s="1056" t="s">
        <v>702</v>
      </c>
      <c r="J169" s="211"/>
      <c r="K169" s="1057" t="s">
        <v>664</v>
      </c>
      <c r="L169" s="213"/>
      <c r="M169" s="211"/>
      <c r="T169" s="1056" t="s">
        <v>351</v>
      </c>
      <c r="U169" s="211"/>
      <c r="V169" s="1057" t="s">
        <v>528</v>
      </c>
      <c r="W169" s="213"/>
      <c r="X169" s="211"/>
    </row>
    <row r="170">
      <c r="I170" s="215"/>
      <c r="J170" s="64"/>
      <c r="K170" s="215"/>
      <c r="L170" s="216"/>
      <c r="M170" s="64"/>
      <c r="T170" s="215"/>
      <c r="U170" s="64"/>
      <c r="V170" s="215"/>
      <c r="W170" s="216"/>
      <c r="X170" s="64"/>
    </row>
    <row r="171">
      <c r="I171" s="1056" t="s">
        <v>703</v>
      </c>
      <c r="J171" s="211"/>
      <c r="K171" s="1057">
        <v>9348.0</v>
      </c>
      <c r="L171" s="213"/>
      <c r="M171" s="211"/>
      <c r="T171" s="1056" t="s">
        <v>703</v>
      </c>
      <c r="U171" s="211"/>
      <c r="V171" s="1057">
        <v>9348.0</v>
      </c>
      <c r="W171" s="213"/>
      <c r="X171" s="211"/>
    </row>
    <row r="172">
      <c r="I172" s="215"/>
      <c r="J172" s="64"/>
      <c r="K172" s="215"/>
      <c r="L172" s="216"/>
      <c r="M172" s="64"/>
      <c r="T172" s="215"/>
      <c r="U172" s="64"/>
      <c r="V172" s="215"/>
      <c r="W172" s="216"/>
      <c r="X172" s="64"/>
    </row>
    <row r="173">
      <c r="D173" s="1059" t="s">
        <v>704</v>
      </c>
      <c r="E173" s="222"/>
      <c r="F173" s="1059" t="s">
        <v>5</v>
      </c>
      <c r="G173" s="222"/>
      <c r="H173" s="1059" t="s">
        <v>705</v>
      </c>
      <c r="I173" s="224"/>
      <c r="J173" s="222"/>
      <c r="K173" s="1060" t="s">
        <v>8</v>
      </c>
      <c r="L173" s="1060" t="s">
        <v>706</v>
      </c>
      <c r="M173" s="1060" t="s">
        <v>707</v>
      </c>
      <c r="O173" s="1059" t="s">
        <v>704</v>
      </c>
      <c r="P173" s="222"/>
      <c r="Q173" s="1059" t="s">
        <v>5</v>
      </c>
      <c r="R173" s="222"/>
      <c r="S173" s="1059" t="s">
        <v>705</v>
      </c>
      <c r="T173" s="224"/>
      <c r="U173" s="222"/>
      <c r="V173" s="1060" t="s">
        <v>591</v>
      </c>
      <c r="W173" s="1060" t="s">
        <v>708</v>
      </c>
      <c r="X173" s="1060" t="s">
        <v>707</v>
      </c>
    </row>
    <row r="174">
      <c r="D174" s="1061">
        <v>45985.0</v>
      </c>
      <c r="E174" s="222"/>
      <c r="F174" s="1059" t="s">
        <v>992</v>
      </c>
      <c r="G174" s="222"/>
      <c r="H174" s="1059" t="s">
        <v>1507</v>
      </c>
      <c r="I174" s="224"/>
      <c r="J174" s="222"/>
      <c r="K174" s="1062">
        <v>365.3</v>
      </c>
      <c r="L174" s="1063">
        <v>1.0</v>
      </c>
      <c r="M174" s="1062">
        <f t="shared" ref="M174:M177" si="12">K174*L174</f>
        <v>365.3</v>
      </c>
      <c r="O174" s="1061">
        <v>45985.0</v>
      </c>
      <c r="P174" s="222"/>
      <c r="Q174" s="1059" t="s">
        <v>992</v>
      </c>
      <c r="R174" s="222"/>
      <c r="S174" s="1059" t="s">
        <v>1507</v>
      </c>
      <c r="T174" s="224"/>
      <c r="U174" s="222"/>
      <c r="V174" s="1060">
        <v>562.0</v>
      </c>
      <c r="W174" s="1064">
        <v>0.65</v>
      </c>
      <c r="X174" s="1062">
        <f t="shared" ref="X174:X178" si="13">V174*W174</f>
        <v>365.3</v>
      </c>
    </row>
    <row r="175">
      <c r="D175" s="1061">
        <v>45986.0</v>
      </c>
      <c r="E175" s="222"/>
      <c r="F175" s="1059" t="s">
        <v>1081</v>
      </c>
      <c r="G175" s="222"/>
      <c r="H175" s="1059" t="s">
        <v>1508</v>
      </c>
      <c r="I175" s="224"/>
      <c r="J175" s="222"/>
      <c r="K175" s="1062">
        <v>566.15</v>
      </c>
      <c r="L175" s="1063">
        <v>1.0</v>
      </c>
      <c r="M175" s="1062">
        <f t="shared" si="12"/>
        <v>566.15</v>
      </c>
      <c r="O175" s="1061">
        <v>45986.0</v>
      </c>
      <c r="P175" s="222"/>
      <c r="Q175" s="1059" t="s">
        <v>1081</v>
      </c>
      <c r="R175" s="222"/>
      <c r="S175" s="1059" t="s">
        <v>1508</v>
      </c>
      <c r="T175" s="224"/>
      <c r="U175" s="222"/>
      <c r="V175" s="1060">
        <v>871.0</v>
      </c>
      <c r="W175" s="1064">
        <v>0.65</v>
      </c>
      <c r="X175" s="1062">
        <f t="shared" si="13"/>
        <v>566.15</v>
      </c>
    </row>
    <row r="176">
      <c r="D176" s="1061">
        <v>45987.0</v>
      </c>
      <c r="E176" s="222"/>
      <c r="F176" s="1059">
        <v>1.5486212E7</v>
      </c>
      <c r="G176" s="222"/>
      <c r="H176" s="1059" t="s">
        <v>1509</v>
      </c>
      <c r="I176" s="224"/>
      <c r="J176" s="222"/>
      <c r="K176" s="1062">
        <v>1997.45</v>
      </c>
      <c r="L176" s="1063">
        <v>1.0</v>
      </c>
      <c r="M176" s="1062">
        <f t="shared" si="12"/>
        <v>1997.45</v>
      </c>
      <c r="O176" s="1061">
        <v>45987.0</v>
      </c>
      <c r="P176" s="222"/>
      <c r="Q176" s="1059">
        <v>1.5486212E7</v>
      </c>
      <c r="R176" s="222"/>
      <c r="S176" s="1059" t="s">
        <v>1509</v>
      </c>
      <c r="T176" s="224"/>
      <c r="U176" s="222"/>
      <c r="V176" s="1060">
        <v>3073.0</v>
      </c>
      <c r="W176" s="1064">
        <v>0.65</v>
      </c>
      <c r="X176" s="1062">
        <f t="shared" si="13"/>
        <v>1997.45</v>
      </c>
    </row>
    <row r="177">
      <c r="D177" s="1065"/>
      <c r="E177" s="222"/>
      <c r="F177" s="1066"/>
      <c r="G177" s="222"/>
      <c r="H177" s="1066"/>
      <c r="I177" s="224"/>
      <c r="J177" s="222"/>
      <c r="K177" s="1067"/>
      <c r="L177" s="1063">
        <v>1.0</v>
      </c>
      <c r="M177" s="1062">
        <f t="shared" si="12"/>
        <v>0</v>
      </c>
      <c r="O177" s="1065"/>
      <c r="P177" s="222"/>
      <c r="Q177" s="1066"/>
      <c r="R177" s="222"/>
      <c r="S177" s="1066"/>
      <c r="T177" s="224"/>
      <c r="U177" s="222"/>
      <c r="V177" s="1068"/>
      <c r="W177" s="1064">
        <v>0.65</v>
      </c>
      <c r="X177" s="1062">
        <f t="shared" si="13"/>
        <v>0</v>
      </c>
    </row>
    <row r="178">
      <c r="D178" s="1065"/>
      <c r="E178" s="222"/>
      <c r="F178" s="1066"/>
      <c r="G178" s="222"/>
      <c r="H178" s="1066"/>
      <c r="I178" s="224"/>
      <c r="J178" s="222"/>
      <c r="K178" s="1067"/>
      <c r="L178" s="1069"/>
      <c r="M178" s="1067"/>
      <c r="O178" s="1065"/>
      <c r="P178" s="222"/>
      <c r="Q178" s="1066"/>
      <c r="R178" s="222"/>
      <c r="S178" s="1066"/>
      <c r="T178" s="224"/>
      <c r="U178" s="222"/>
      <c r="V178" s="1068"/>
      <c r="W178" s="1064">
        <v>0.65</v>
      </c>
      <c r="X178" s="1062">
        <f t="shared" si="13"/>
        <v>0</v>
      </c>
    </row>
    <row r="179">
      <c r="D179" s="1072" t="s">
        <v>711</v>
      </c>
      <c r="E179" s="224"/>
      <c r="F179" s="224"/>
      <c r="G179" s="224"/>
      <c r="H179" s="224"/>
      <c r="I179" s="224"/>
      <c r="J179" s="222"/>
      <c r="K179" s="1073">
        <f>SUM(K174:K178)</f>
        <v>2928.9</v>
      </c>
      <c r="L179" s="1069"/>
      <c r="M179" s="1073">
        <f>SUM(M174:M178)</f>
        <v>2928.9</v>
      </c>
      <c r="O179" s="1066"/>
      <c r="P179" s="222"/>
      <c r="Q179" s="1066"/>
      <c r="R179" s="222"/>
      <c r="S179" s="1066"/>
      <c r="T179" s="224"/>
      <c r="U179" s="222"/>
      <c r="V179" s="1068"/>
      <c r="W179" s="1068"/>
      <c r="X179" s="1067"/>
    </row>
    <row r="180">
      <c r="D180" s="1055"/>
      <c r="E180" s="1055"/>
      <c r="F180" s="1055"/>
      <c r="G180" s="1055"/>
      <c r="H180" s="1055"/>
      <c r="I180" s="1055"/>
      <c r="J180" s="1055"/>
      <c r="K180" s="1055"/>
      <c r="L180" s="1055"/>
      <c r="M180" s="1055"/>
      <c r="O180" s="1072" t="s">
        <v>711</v>
      </c>
      <c r="P180" s="224"/>
      <c r="Q180" s="224"/>
      <c r="R180" s="224"/>
      <c r="S180" s="224"/>
      <c r="T180" s="224"/>
      <c r="U180" s="222"/>
      <c r="V180" s="1060">
        <f>SUM(V174:V179)</f>
        <v>4506</v>
      </c>
      <c r="W180" s="1074"/>
      <c r="X180" s="1062">
        <f>SUM(X174:X179)</f>
        <v>2928.9</v>
      </c>
    </row>
    <row r="181">
      <c r="D181" s="1075" t="s">
        <v>712</v>
      </c>
      <c r="E181" s="222"/>
      <c r="F181" s="1076"/>
      <c r="G181" s="222"/>
      <c r="H181" s="1055"/>
      <c r="I181" s="1055"/>
      <c r="J181" s="1055"/>
      <c r="K181" s="1055"/>
      <c r="L181" s="1055"/>
      <c r="M181" s="1055"/>
      <c r="O181" s="1055"/>
      <c r="P181" s="1055"/>
      <c r="Q181" s="1055"/>
      <c r="R181" s="1055"/>
      <c r="S181" s="1055"/>
      <c r="T181" s="1055"/>
      <c r="U181" s="1055"/>
      <c r="V181" s="1055"/>
      <c r="W181" s="1055"/>
      <c r="X181" s="1055"/>
    </row>
    <row r="182">
      <c r="D182" s="1077" t="s">
        <v>657</v>
      </c>
      <c r="E182" s="222"/>
      <c r="F182" s="1078">
        <v>555.55</v>
      </c>
      <c r="G182" s="222"/>
      <c r="H182" s="1055"/>
      <c r="I182" s="1055"/>
      <c r="J182" s="1055"/>
      <c r="K182" s="1055"/>
      <c r="L182" s="1055"/>
      <c r="M182" s="1055"/>
      <c r="O182" s="1075" t="s">
        <v>712</v>
      </c>
      <c r="P182" s="222"/>
      <c r="Q182" s="1076"/>
      <c r="R182" s="222"/>
      <c r="S182" s="1055"/>
      <c r="T182" s="1055"/>
      <c r="U182" s="1055"/>
      <c r="V182" s="1055"/>
      <c r="W182" s="1055"/>
      <c r="X182" s="1055"/>
    </row>
    <row r="183">
      <c r="D183" s="1077" t="s">
        <v>1190</v>
      </c>
      <c r="E183" s="222"/>
      <c r="F183" s="1078">
        <v>20.0</v>
      </c>
      <c r="G183" s="222"/>
      <c r="H183" s="1055"/>
      <c r="I183" s="1055"/>
      <c r="J183" s="1055"/>
      <c r="K183" s="1055"/>
      <c r="L183" s="1055"/>
      <c r="M183" s="1055"/>
      <c r="O183" s="1077" t="s">
        <v>1496</v>
      </c>
      <c r="P183" s="222"/>
      <c r="Q183" s="1078">
        <v>250.0</v>
      </c>
      <c r="R183" s="222"/>
      <c r="S183" s="1055"/>
      <c r="T183" s="1055"/>
      <c r="U183" s="1055"/>
      <c r="V183" s="1055"/>
      <c r="W183" s="1055"/>
      <c r="X183" s="1055"/>
    </row>
    <row r="184">
      <c r="D184" s="1077" t="s">
        <v>1496</v>
      </c>
      <c r="E184" s="222"/>
      <c r="F184" s="1078">
        <v>250.0</v>
      </c>
      <c r="G184" s="222"/>
      <c r="H184" s="1055"/>
      <c r="I184" s="1055"/>
      <c r="J184" s="1055"/>
      <c r="K184" s="1055"/>
      <c r="L184" s="1055"/>
      <c r="M184" s="1055"/>
      <c r="O184" s="1077" t="s">
        <v>1190</v>
      </c>
      <c r="P184" s="222"/>
      <c r="Q184" s="1078">
        <v>20.0</v>
      </c>
      <c r="R184" s="222"/>
      <c r="S184" s="1055"/>
      <c r="T184" s="1055"/>
      <c r="U184" s="1055"/>
      <c r="V184" s="1055"/>
      <c r="W184" s="1055"/>
      <c r="X184" s="1055"/>
    </row>
    <row r="185">
      <c r="D185" s="1080" t="s">
        <v>714</v>
      </c>
      <c r="E185" s="222"/>
      <c r="F185" s="1078">
        <f>SUM(F181:G184)</f>
        <v>825.55</v>
      </c>
      <c r="G185" s="222"/>
      <c r="H185" s="1055"/>
      <c r="I185" s="1055"/>
      <c r="J185" s="1055"/>
      <c r="K185" s="1055"/>
      <c r="L185" s="1055"/>
      <c r="M185" s="1055"/>
      <c r="O185" s="1079"/>
      <c r="P185" s="222"/>
      <c r="Q185" s="1076"/>
      <c r="R185" s="222"/>
      <c r="S185" s="1055"/>
      <c r="T185" s="1055"/>
      <c r="U185" s="1055"/>
      <c r="V185" s="1055"/>
      <c r="W185" s="1055"/>
      <c r="X185" s="1055"/>
    </row>
    <row r="186">
      <c r="D186" s="1081"/>
      <c r="E186" s="224"/>
      <c r="F186" s="224"/>
      <c r="G186" s="222"/>
      <c r="H186" s="1055"/>
      <c r="I186" s="1055"/>
      <c r="J186" s="1055"/>
      <c r="K186" s="1055"/>
      <c r="L186" s="1055"/>
      <c r="M186" s="1055"/>
      <c r="O186" s="1079"/>
      <c r="P186" s="222"/>
      <c r="Q186" s="1076"/>
      <c r="R186" s="222"/>
      <c r="S186" s="1055"/>
      <c r="T186" s="1055"/>
      <c r="U186" s="1055"/>
      <c r="V186" s="1055"/>
      <c r="W186" s="1055"/>
      <c r="X186" s="1055"/>
    </row>
    <row r="187">
      <c r="D187" s="1082" t="s">
        <v>715</v>
      </c>
      <c r="E187" s="222"/>
      <c r="F187" s="1083"/>
      <c r="G187" s="222"/>
      <c r="H187" s="1055"/>
      <c r="I187" s="1055"/>
      <c r="J187" s="1055"/>
      <c r="K187" s="1055"/>
      <c r="L187" s="1055"/>
      <c r="M187" s="1055"/>
      <c r="O187" s="1079"/>
      <c r="P187" s="222"/>
      <c r="Q187" s="1076"/>
      <c r="R187" s="222"/>
      <c r="S187" s="1055"/>
      <c r="T187" s="1055"/>
      <c r="U187" s="1055"/>
      <c r="V187" s="1055"/>
      <c r="W187" s="1055"/>
      <c r="X187" s="1055"/>
    </row>
    <row r="188">
      <c r="D188" s="1084"/>
      <c r="E188" s="222"/>
      <c r="F188" s="1083"/>
      <c r="G188" s="222"/>
      <c r="H188" s="1055"/>
      <c r="I188" s="1055"/>
      <c r="J188" s="1055"/>
      <c r="K188" s="1055"/>
      <c r="L188" s="1055"/>
      <c r="M188" s="1055"/>
      <c r="O188" s="1080" t="s">
        <v>714</v>
      </c>
      <c r="P188" s="222"/>
      <c r="Q188" s="1078">
        <f>SUM(Q182:R187)</f>
        <v>270</v>
      </c>
      <c r="R188" s="222"/>
      <c r="S188" s="1055"/>
      <c r="T188" s="1055"/>
      <c r="U188" s="1055"/>
      <c r="V188" s="1055"/>
      <c r="W188" s="1055"/>
      <c r="X188" s="1055"/>
    </row>
    <row r="189">
      <c r="D189" s="1084"/>
      <c r="E189" s="222"/>
      <c r="F189" s="1083"/>
      <c r="G189" s="222"/>
      <c r="H189" s="1055"/>
      <c r="I189" s="1055"/>
      <c r="J189" s="1055"/>
      <c r="K189" s="1055"/>
      <c r="L189" s="1055"/>
      <c r="M189" s="1055"/>
      <c r="O189" s="1055"/>
      <c r="P189" s="1055"/>
      <c r="Q189" s="1055"/>
      <c r="S189" s="1055"/>
      <c r="T189" s="1055"/>
      <c r="U189" s="1055"/>
      <c r="V189" s="1055"/>
      <c r="W189" s="1055"/>
      <c r="X189" s="1055"/>
    </row>
    <row r="190">
      <c r="D190" s="1084"/>
      <c r="E190" s="222"/>
      <c r="F190" s="1083"/>
      <c r="G190" s="222"/>
      <c r="H190" s="1055"/>
      <c r="I190" s="1055"/>
      <c r="J190" s="1055"/>
      <c r="K190" s="1055"/>
      <c r="L190" s="1055"/>
      <c r="M190" s="1055"/>
      <c r="O190" s="1082" t="s">
        <v>715</v>
      </c>
      <c r="P190" s="222"/>
      <c r="Q190" s="1083"/>
      <c r="R190" s="222"/>
      <c r="S190" s="1055"/>
      <c r="T190" s="1055"/>
      <c r="U190" s="1055"/>
      <c r="V190" s="1055"/>
      <c r="W190" s="1055"/>
      <c r="X190" s="1055"/>
    </row>
    <row r="191">
      <c r="D191" s="1084"/>
      <c r="E191" s="222"/>
      <c r="F191" s="1083"/>
      <c r="G191" s="222"/>
      <c r="H191" s="1055"/>
      <c r="I191" s="1055"/>
      <c r="J191" s="1055"/>
      <c r="K191" s="1055"/>
      <c r="L191" s="1055"/>
      <c r="M191" s="1055"/>
      <c r="O191" s="1084"/>
      <c r="P191" s="222"/>
      <c r="Q191" s="1083"/>
      <c r="R191" s="222"/>
      <c r="S191" s="1055"/>
      <c r="T191" s="1055"/>
      <c r="U191" s="1085" t="s">
        <v>1497</v>
      </c>
      <c r="V191" s="211"/>
      <c r="W191" s="1086">
        <f>X180+Q188-Q196</f>
        <v>3198.9</v>
      </c>
      <c r="X191" s="211"/>
    </row>
    <row r="192">
      <c r="D192" s="1084"/>
      <c r="E192" s="222"/>
      <c r="F192" s="1083"/>
      <c r="G192" s="222"/>
      <c r="H192" s="1055"/>
      <c r="I192" s="1055"/>
      <c r="J192" s="1055"/>
      <c r="K192" s="1055"/>
      <c r="L192" s="1055"/>
      <c r="M192" s="1055"/>
      <c r="O192" s="1084"/>
      <c r="P192" s="222"/>
      <c r="Q192" s="1083"/>
      <c r="R192" s="222"/>
      <c r="S192" s="1055"/>
      <c r="T192" s="1055"/>
      <c r="U192" s="278"/>
      <c r="V192" s="56"/>
      <c r="W192" s="278"/>
      <c r="X192" s="56"/>
    </row>
    <row r="193">
      <c r="D193" s="1084"/>
      <c r="E193" s="222"/>
      <c r="F193" s="1083"/>
      <c r="G193" s="222"/>
      <c r="H193" s="1055"/>
      <c r="I193" s="1055"/>
      <c r="J193" s="1085" t="s">
        <v>1498</v>
      </c>
      <c r="K193" s="211"/>
      <c r="L193" s="1086">
        <f>M179+F185-F198</f>
        <v>3754.45</v>
      </c>
      <c r="M193" s="211"/>
      <c r="O193" s="1084"/>
      <c r="P193" s="222"/>
      <c r="Q193" s="1083"/>
      <c r="R193" s="222"/>
      <c r="S193" s="1055"/>
      <c r="T193" s="1055"/>
      <c r="U193" s="215"/>
      <c r="V193" s="64"/>
      <c r="W193" s="215"/>
      <c r="X193" s="64"/>
    </row>
    <row r="194">
      <c r="D194" s="1084"/>
      <c r="E194" s="222"/>
      <c r="F194" s="1083"/>
      <c r="G194" s="222"/>
      <c r="H194" s="1055"/>
      <c r="I194" s="1055"/>
      <c r="J194" s="278"/>
      <c r="K194" s="56"/>
      <c r="L194" s="278"/>
      <c r="M194" s="56"/>
      <c r="O194" s="1084"/>
      <c r="P194" s="222"/>
      <c r="Q194" s="1083"/>
      <c r="R194" s="222"/>
      <c r="S194" s="1055"/>
      <c r="T194" s="1055"/>
      <c r="U194" s="1055"/>
      <c r="V194" s="1055"/>
      <c r="W194" s="1055"/>
      <c r="X194" s="1055"/>
    </row>
    <row r="195">
      <c r="D195" s="1084"/>
      <c r="E195" s="222"/>
      <c r="F195" s="1083"/>
      <c r="G195" s="222"/>
      <c r="H195" s="1055"/>
      <c r="I195" s="1055"/>
      <c r="J195" s="215"/>
      <c r="K195" s="64"/>
      <c r="L195" s="215"/>
      <c r="M195" s="64"/>
      <c r="O195" s="1084"/>
      <c r="P195" s="222"/>
      <c r="Q195" s="1083"/>
      <c r="R195" s="222"/>
      <c r="S195" s="1055"/>
      <c r="T195" s="1055"/>
      <c r="U195" s="1055"/>
      <c r="V195" s="1055"/>
      <c r="W195" s="1055"/>
      <c r="X195" s="1055"/>
    </row>
    <row r="196">
      <c r="D196" s="1084"/>
      <c r="E196" s="222"/>
      <c r="F196" s="1083"/>
      <c r="G196" s="222"/>
      <c r="H196" s="1055"/>
      <c r="I196" s="1055"/>
      <c r="J196" s="1055"/>
      <c r="K196" s="1055"/>
      <c r="L196" s="1055"/>
      <c r="M196" s="1055"/>
      <c r="O196" s="1087" t="s">
        <v>721</v>
      </c>
      <c r="P196" s="222"/>
      <c r="Q196" s="1088">
        <f>SUM(Q190:R195)</f>
        <v>0</v>
      </c>
      <c r="R196" s="222"/>
      <c r="S196" s="1055"/>
      <c r="T196" s="1055"/>
      <c r="U196" s="1055"/>
      <c r="V196" s="1055"/>
      <c r="W196" s="1055"/>
      <c r="X196" s="1055"/>
    </row>
    <row r="197">
      <c r="D197" s="1084"/>
      <c r="E197" s="222"/>
      <c r="F197" s="1083"/>
      <c r="G197" s="222"/>
      <c r="H197" s="1055"/>
      <c r="I197" s="1055"/>
      <c r="J197" s="1055"/>
      <c r="K197" s="1055"/>
      <c r="L197" s="1055"/>
      <c r="M197" s="1055"/>
    </row>
    <row r="198">
      <c r="D198" s="1087" t="s">
        <v>721</v>
      </c>
      <c r="E198" s="222"/>
      <c r="F198" s="1088">
        <f>SUM(F188:G197)</f>
        <v>0</v>
      </c>
      <c r="G198" s="222"/>
      <c r="H198" s="1055"/>
      <c r="I198" s="1055"/>
      <c r="J198" s="1055"/>
      <c r="K198" s="1055"/>
      <c r="L198" s="1055"/>
      <c r="M198" s="1055"/>
    </row>
    <row r="201">
      <c r="D201" s="1055"/>
      <c r="H201" s="56"/>
      <c r="I201" s="1056" t="s">
        <v>700</v>
      </c>
      <c r="J201" s="211"/>
      <c r="K201" s="1057" t="s">
        <v>1493</v>
      </c>
      <c r="L201" s="213"/>
      <c r="M201" s="211"/>
      <c r="O201" s="1055"/>
      <c r="T201" s="1056" t="s">
        <v>700</v>
      </c>
      <c r="U201" s="211"/>
      <c r="V201" s="1057" t="s">
        <v>1493</v>
      </c>
      <c r="W201" s="213"/>
      <c r="X201" s="211"/>
    </row>
    <row r="202">
      <c r="H202" s="56"/>
      <c r="I202" s="215"/>
      <c r="J202" s="64"/>
      <c r="K202" s="215"/>
      <c r="L202" s="216"/>
      <c r="M202" s="64"/>
      <c r="T202" s="215"/>
      <c r="U202" s="64"/>
      <c r="V202" s="215"/>
      <c r="W202" s="216"/>
      <c r="X202" s="64"/>
    </row>
    <row r="203">
      <c r="H203" s="56"/>
      <c r="I203" s="1056" t="s">
        <v>702</v>
      </c>
      <c r="J203" s="211"/>
      <c r="K203" s="1057" t="s">
        <v>665</v>
      </c>
      <c r="L203" s="213"/>
      <c r="M203" s="211"/>
      <c r="T203" s="1056" t="s">
        <v>351</v>
      </c>
      <c r="U203" s="211"/>
      <c r="V203" s="1057" t="s">
        <v>552</v>
      </c>
      <c r="W203" s="213"/>
      <c r="X203" s="211"/>
    </row>
    <row r="204">
      <c r="H204" s="56"/>
      <c r="I204" s="215"/>
      <c r="J204" s="64"/>
      <c r="K204" s="215"/>
      <c r="L204" s="216"/>
      <c r="M204" s="64"/>
      <c r="T204" s="215"/>
      <c r="U204" s="64"/>
      <c r="V204" s="215"/>
      <c r="W204" s="216"/>
      <c r="X204" s="64"/>
    </row>
    <row r="205">
      <c r="H205" s="56"/>
      <c r="I205" s="1056" t="s">
        <v>703</v>
      </c>
      <c r="J205" s="211"/>
      <c r="K205" s="1057">
        <v>7807.0</v>
      </c>
      <c r="L205" s="213"/>
      <c r="M205" s="211"/>
      <c r="T205" s="1056" t="s">
        <v>703</v>
      </c>
      <c r="U205" s="211"/>
      <c r="V205" s="1057">
        <v>7807.0</v>
      </c>
      <c r="W205" s="213"/>
      <c r="X205" s="211"/>
    </row>
    <row r="206">
      <c r="D206" s="216"/>
      <c r="E206" s="216"/>
      <c r="F206" s="216"/>
      <c r="G206" s="216"/>
      <c r="H206" s="64"/>
      <c r="I206" s="215"/>
      <c r="J206" s="64"/>
      <c r="K206" s="215"/>
      <c r="L206" s="216"/>
      <c r="M206" s="64"/>
      <c r="T206" s="215"/>
      <c r="U206" s="64"/>
      <c r="V206" s="215"/>
      <c r="W206" s="216"/>
      <c r="X206" s="64"/>
    </row>
    <row r="207">
      <c r="D207" s="1059" t="s">
        <v>704</v>
      </c>
      <c r="E207" s="222"/>
      <c r="F207" s="1059" t="s">
        <v>5</v>
      </c>
      <c r="G207" s="222"/>
      <c r="H207" s="1059" t="s">
        <v>705</v>
      </c>
      <c r="I207" s="224"/>
      <c r="J207" s="222"/>
      <c r="K207" s="1060" t="s">
        <v>8</v>
      </c>
      <c r="L207" s="1060" t="s">
        <v>706</v>
      </c>
      <c r="M207" s="1060" t="s">
        <v>707</v>
      </c>
      <c r="O207" s="1059" t="s">
        <v>704</v>
      </c>
      <c r="P207" s="222"/>
      <c r="Q207" s="1059" t="s">
        <v>5</v>
      </c>
      <c r="R207" s="222"/>
      <c r="S207" s="1059" t="s">
        <v>705</v>
      </c>
      <c r="T207" s="224"/>
      <c r="U207" s="222"/>
      <c r="V207" s="1060" t="s">
        <v>591</v>
      </c>
      <c r="W207" s="1060" t="s">
        <v>708</v>
      </c>
      <c r="X207" s="1060" t="s">
        <v>707</v>
      </c>
    </row>
    <row r="208">
      <c r="D208" s="1061">
        <v>45985.0</v>
      </c>
      <c r="E208" s="222"/>
      <c r="F208" s="1059">
        <v>794771.0</v>
      </c>
      <c r="G208" s="222"/>
      <c r="H208" s="1059" t="s">
        <v>1510</v>
      </c>
      <c r="I208" s="224"/>
      <c r="J208" s="222"/>
      <c r="K208" s="1062">
        <v>371.15</v>
      </c>
      <c r="L208" s="1063">
        <v>1.0</v>
      </c>
      <c r="M208" s="1062">
        <f t="shared" ref="M208:M211" si="14">K208*L208</f>
        <v>371.15</v>
      </c>
      <c r="O208" s="1061">
        <v>45985.0</v>
      </c>
      <c r="P208" s="222"/>
      <c r="Q208" s="1059">
        <v>794771.0</v>
      </c>
      <c r="R208" s="222"/>
      <c r="S208" s="1059" t="s">
        <v>1510</v>
      </c>
      <c r="T208" s="224"/>
      <c r="U208" s="222"/>
      <c r="V208" s="1060">
        <v>571.0</v>
      </c>
      <c r="W208" s="1064">
        <v>0.65</v>
      </c>
      <c r="X208" s="1062">
        <f t="shared" ref="X208:X212" si="15">W208*V208</f>
        <v>371.15</v>
      </c>
    </row>
    <row r="209">
      <c r="D209" s="1061">
        <v>45986.0</v>
      </c>
      <c r="E209" s="222"/>
      <c r="F209" s="1089" t="s">
        <v>1511</v>
      </c>
      <c r="G209" s="222"/>
      <c r="H209" s="1059" t="s">
        <v>1512</v>
      </c>
      <c r="I209" s="224"/>
      <c r="J209" s="222"/>
      <c r="K209" s="1062">
        <v>663.0</v>
      </c>
      <c r="L209" s="1063">
        <v>1.0</v>
      </c>
      <c r="M209" s="1062">
        <f t="shared" si="14"/>
        <v>663</v>
      </c>
      <c r="O209" s="1061">
        <v>45986.0</v>
      </c>
      <c r="P209" s="222"/>
      <c r="Q209" s="1089" t="s">
        <v>1511</v>
      </c>
      <c r="R209" s="222"/>
      <c r="S209" s="1059" t="s">
        <v>1512</v>
      </c>
      <c r="T209" s="224"/>
      <c r="U209" s="222"/>
      <c r="V209" s="1060">
        <v>1020.0</v>
      </c>
      <c r="W209" s="1064">
        <v>0.65</v>
      </c>
      <c r="X209" s="1062">
        <f t="shared" si="15"/>
        <v>663</v>
      </c>
    </row>
    <row r="210">
      <c r="D210" s="1065"/>
      <c r="E210" s="222"/>
      <c r="F210" s="1066"/>
      <c r="G210" s="222"/>
      <c r="H210" s="1066"/>
      <c r="I210" s="224"/>
      <c r="J210" s="222"/>
      <c r="K210" s="1067"/>
      <c r="L210" s="1063">
        <v>1.0</v>
      </c>
      <c r="M210" s="1062">
        <f t="shared" si="14"/>
        <v>0</v>
      </c>
      <c r="O210" s="1065"/>
      <c r="P210" s="222"/>
      <c r="Q210" s="1066"/>
      <c r="R210" s="222"/>
      <c r="S210" s="1066"/>
      <c r="T210" s="224"/>
      <c r="U210" s="222"/>
      <c r="V210" s="1068"/>
      <c r="W210" s="1064">
        <v>0.65</v>
      </c>
      <c r="X210" s="1062">
        <f t="shared" si="15"/>
        <v>0</v>
      </c>
    </row>
    <row r="211">
      <c r="D211" s="1065"/>
      <c r="E211" s="222"/>
      <c r="F211" s="1066"/>
      <c r="G211" s="222"/>
      <c r="H211" s="1066"/>
      <c r="I211" s="224"/>
      <c r="J211" s="222"/>
      <c r="K211" s="1067"/>
      <c r="L211" s="1063">
        <v>1.0</v>
      </c>
      <c r="M211" s="1062">
        <f t="shared" si="14"/>
        <v>0</v>
      </c>
      <c r="O211" s="1065"/>
      <c r="P211" s="222"/>
      <c r="Q211" s="1066"/>
      <c r="R211" s="222"/>
      <c r="S211" s="1066"/>
      <c r="T211" s="224"/>
      <c r="U211" s="222"/>
      <c r="V211" s="1068"/>
      <c r="W211" s="1071"/>
      <c r="X211" s="1062">
        <f t="shared" si="15"/>
        <v>0</v>
      </c>
    </row>
    <row r="212">
      <c r="D212" s="1065"/>
      <c r="E212" s="222"/>
      <c r="F212" s="1070"/>
      <c r="G212" s="222"/>
      <c r="H212" s="1066"/>
      <c r="I212" s="224"/>
      <c r="J212" s="222"/>
      <c r="K212" s="1067"/>
      <c r="L212" s="1069"/>
      <c r="M212" s="1067"/>
      <c r="O212" s="1065"/>
      <c r="P212" s="222"/>
      <c r="Q212" s="1070"/>
      <c r="R212" s="222"/>
      <c r="S212" s="1066"/>
      <c r="T212" s="224"/>
      <c r="U212" s="222"/>
      <c r="V212" s="1068"/>
      <c r="W212" s="1071"/>
      <c r="X212" s="1062">
        <f t="shared" si="15"/>
        <v>0</v>
      </c>
    </row>
    <row r="213">
      <c r="D213" s="1072" t="s">
        <v>711</v>
      </c>
      <c r="E213" s="224"/>
      <c r="F213" s="224"/>
      <c r="G213" s="224"/>
      <c r="H213" s="224"/>
      <c r="I213" s="224"/>
      <c r="J213" s="222"/>
      <c r="K213" s="1073">
        <f>SUM(K208:K212)</f>
        <v>1034.15</v>
      </c>
      <c r="L213" s="1069"/>
      <c r="M213" s="1073">
        <f>SUM(M208:M212)</f>
        <v>1034.15</v>
      </c>
      <c r="O213" s="1066"/>
      <c r="P213" s="222"/>
      <c r="Q213" s="1066"/>
      <c r="R213" s="222"/>
      <c r="S213" s="1066"/>
      <c r="T213" s="224"/>
      <c r="U213" s="222"/>
      <c r="V213" s="1068"/>
      <c r="W213" s="1068"/>
      <c r="X213" s="1067"/>
    </row>
    <row r="214">
      <c r="D214" s="1055"/>
      <c r="E214" s="1055"/>
      <c r="F214" s="1055"/>
      <c r="G214" s="1055"/>
      <c r="H214" s="1055"/>
      <c r="I214" s="1055"/>
      <c r="J214" s="1055"/>
      <c r="K214" s="1055"/>
      <c r="L214" s="1055"/>
      <c r="M214" s="1055"/>
      <c r="O214" s="1072" t="s">
        <v>711</v>
      </c>
      <c r="P214" s="224"/>
      <c r="Q214" s="224"/>
      <c r="R214" s="224"/>
      <c r="S214" s="224"/>
      <c r="T214" s="224"/>
      <c r="U214" s="222"/>
      <c r="V214" s="1060">
        <f>SUM(V208:V213)</f>
        <v>1591</v>
      </c>
      <c r="W214" s="1074"/>
      <c r="X214" s="1062">
        <f>SUM(X208:X213)</f>
        <v>1034.15</v>
      </c>
    </row>
    <row r="215">
      <c r="D215" s="1075" t="s">
        <v>712</v>
      </c>
      <c r="E215" s="222"/>
      <c r="F215" s="1076"/>
      <c r="G215" s="222"/>
      <c r="H215" s="1055"/>
      <c r="I215" s="1055"/>
      <c r="J215" s="1055"/>
      <c r="K215" s="1055"/>
      <c r="L215" s="1055"/>
      <c r="M215" s="1055"/>
      <c r="O215" s="1055"/>
      <c r="P215" s="1055"/>
      <c r="Q215" s="1055"/>
      <c r="R215" s="1055"/>
      <c r="S215" s="1055"/>
      <c r="T215" s="1055"/>
      <c r="U215" s="1055"/>
      <c r="V215" s="1055"/>
      <c r="W215" s="1055"/>
      <c r="X215" s="1055"/>
    </row>
    <row r="216">
      <c r="D216" s="1077" t="s">
        <v>657</v>
      </c>
      <c r="E216" s="222"/>
      <c r="F216" s="1078">
        <v>611.1</v>
      </c>
      <c r="G216" s="222"/>
      <c r="H216" s="1055"/>
      <c r="I216" s="1055"/>
      <c r="J216" s="1055"/>
      <c r="K216" s="1055"/>
      <c r="L216" s="1055"/>
      <c r="M216" s="1055"/>
      <c r="O216" s="1075" t="s">
        <v>712</v>
      </c>
      <c r="P216" s="222"/>
      <c r="Q216" s="1076"/>
      <c r="R216" s="222"/>
      <c r="S216" s="1055"/>
      <c r="T216" s="1055"/>
      <c r="U216" s="1055"/>
      <c r="V216" s="1055"/>
      <c r="W216" s="1055"/>
      <c r="X216" s="1055"/>
    </row>
    <row r="217">
      <c r="D217" s="1077" t="s">
        <v>1496</v>
      </c>
      <c r="E217" s="222"/>
      <c r="F217" s="1078">
        <v>250.0</v>
      </c>
      <c r="G217" s="222"/>
      <c r="H217" s="1055"/>
      <c r="I217" s="1055"/>
      <c r="J217" s="1055"/>
      <c r="K217" s="1055"/>
      <c r="L217" s="1055"/>
      <c r="M217" s="1055"/>
      <c r="O217" s="1077" t="s">
        <v>1496</v>
      </c>
      <c r="P217" s="222"/>
      <c r="Q217" s="1078">
        <v>250.0</v>
      </c>
      <c r="R217" s="222"/>
      <c r="S217" s="1055"/>
      <c r="T217" s="1055"/>
      <c r="U217" s="1055"/>
      <c r="V217" s="1055"/>
      <c r="W217" s="1055"/>
      <c r="X217" s="1055"/>
    </row>
    <row r="218">
      <c r="D218" s="1080" t="s">
        <v>714</v>
      </c>
      <c r="E218" s="222"/>
      <c r="F218" s="1078">
        <f>SUM(F215:G217)</f>
        <v>861.1</v>
      </c>
      <c r="G218" s="222"/>
      <c r="H218" s="1055"/>
      <c r="I218" s="1055"/>
      <c r="J218" s="1055"/>
      <c r="K218" s="1055"/>
      <c r="L218" s="1055"/>
      <c r="M218" s="1055"/>
      <c r="O218" s="1079"/>
      <c r="P218" s="222"/>
      <c r="Q218" s="1076"/>
      <c r="R218" s="222"/>
      <c r="S218" s="1055"/>
      <c r="T218" s="1055"/>
      <c r="U218" s="1055"/>
      <c r="V218" s="1055"/>
      <c r="W218" s="1055"/>
      <c r="X218" s="1055"/>
    </row>
    <row r="219">
      <c r="D219" s="1081"/>
      <c r="E219" s="224"/>
      <c r="F219" s="224"/>
      <c r="G219" s="222"/>
      <c r="H219" s="1055"/>
      <c r="I219" s="1055"/>
      <c r="J219" s="1055"/>
      <c r="K219" s="1055"/>
      <c r="L219" s="1055"/>
      <c r="M219" s="1055"/>
      <c r="O219" s="1079"/>
      <c r="P219" s="222"/>
      <c r="Q219" s="1076"/>
      <c r="R219" s="222"/>
      <c r="S219" s="1055"/>
      <c r="T219" s="1055"/>
      <c r="U219" s="1055"/>
      <c r="V219" s="1055"/>
      <c r="W219" s="1055"/>
      <c r="X219" s="1055"/>
    </row>
    <row r="220">
      <c r="D220" s="1082" t="s">
        <v>715</v>
      </c>
      <c r="E220" s="222"/>
      <c r="F220" s="1083"/>
      <c r="G220" s="222"/>
      <c r="H220" s="1055"/>
      <c r="I220" s="1055"/>
      <c r="J220" s="1055"/>
      <c r="K220" s="1055"/>
      <c r="L220" s="1055"/>
      <c r="M220" s="1055"/>
      <c r="O220" s="1079"/>
      <c r="P220" s="222"/>
      <c r="Q220" s="1076"/>
      <c r="R220" s="222"/>
      <c r="S220" s="1055"/>
      <c r="T220" s="1055"/>
      <c r="U220" s="1055"/>
      <c r="V220" s="1055"/>
      <c r="W220" s="1055"/>
      <c r="X220" s="1055"/>
    </row>
    <row r="221">
      <c r="D221" s="1084"/>
      <c r="E221" s="222"/>
      <c r="F221" s="1083"/>
      <c r="G221" s="222"/>
      <c r="H221" s="1055"/>
      <c r="I221" s="1055"/>
      <c r="J221" s="1055"/>
      <c r="K221" s="1055"/>
      <c r="L221" s="1055"/>
      <c r="M221" s="1055"/>
      <c r="O221" s="1079"/>
      <c r="P221" s="222"/>
      <c r="Q221" s="1076"/>
      <c r="R221" s="222"/>
      <c r="S221" s="1055"/>
      <c r="T221" s="1055"/>
      <c r="U221" s="1055"/>
      <c r="V221" s="1055"/>
      <c r="W221" s="1055"/>
      <c r="X221" s="1055"/>
    </row>
    <row r="222">
      <c r="D222" s="1084"/>
      <c r="E222" s="222"/>
      <c r="F222" s="1083"/>
      <c r="G222" s="222"/>
      <c r="H222" s="1055"/>
      <c r="I222" s="1055"/>
      <c r="J222" s="1055"/>
      <c r="K222" s="1055"/>
      <c r="L222" s="1055"/>
      <c r="M222" s="1055"/>
      <c r="O222" s="1080" t="s">
        <v>714</v>
      </c>
      <c r="P222" s="222"/>
      <c r="Q222" s="1078">
        <f>SUM(Q216:R221)</f>
        <v>250</v>
      </c>
      <c r="R222" s="222"/>
      <c r="S222" s="1055"/>
      <c r="T222" s="1055"/>
      <c r="U222" s="1055"/>
      <c r="V222" s="1055"/>
      <c r="W222" s="1055"/>
      <c r="X222" s="1055"/>
    </row>
    <row r="223">
      <c r="D223" s="1084"/>
      <c r="E223" s="222"/>
      <c r="F223" s="1083"/>
      <c r="G223" s="222"/>
      <c r="H223" s="1055"/>
      <c r="I223" s="1055"/>
      <c r="J223" s="1085" t="s">
        <v>1498</v>
      </c>
      <c r="K223" s="211"/>
      <c r="L223" s="1086">
        <f>M213+F218-F228</f>
        <v>1895.25</v>
      </c>
      <c r="M223" s="211"/>
      <c r="O223" s="1055"/>
      <c r="P223" s="1055"/>
      <c r="Q223" s="1055"/>
      <c r="S223" s="1055"/>
      <c r="T223" s="1055"/>
      <c r="U223" s="1055"/>
      <c r="V223" s="1055"/>
      <c r="W223" s="1055"/>
      <c r="X223" s="1055"/>
    </row>
    <row r="224">
      <c r="D224" s="1084"/>
      <c r="E224" s="222"/>
      <c r="F224" s="1083"/>
      <c r="G224" s="222"/>
      <c r="H224" s="1055"/>
      <c r="I224" s="1055"/>
      <c r="J224" s="278"/>
      <c r="K224" s="56"/>
      <c r="L224" s="278"/>
      <c r="M224" s="56"/>
      <c r="O224" s="1082" t="s">
        <v>715</v>
      </c>
      <c r="P224" s="222"/>
      <c r="Q224" s="1083"/>
      <c r="R224" s="222"/>
      <c r="S224" s="1055"/>
      <c r="T224" s="1055"/>
      <c r="U224" s="1055"/>
      <c r="V224" s="1055"/>
      <c r="W224" s="1055"/>
      <c r="X224" s="1055"/>
    </row>
    <row r="225">
      <c r="D225" s="1084"/>
      <c r="E225" s="222"/>
      <c r="F225" s="1083"/>
      <c r="G225" s="222"/>
      <c r="H225" s="1055"/>
      <c r="I225" s="1055"/>
      <c r="J225" s="215"/>
      <c r="K225" s="64"/>
      <c r="L225" s="215"/>
      <c r="M225" s="64"/>
      <c r="O225" s="1084"/>
      <c r="P225" s="222"/>
      <c r="Q225" s="1083"/>
      <c r="R225" s="222"/>
      <c r="S225" s="1055"/>
      <c r="T225" s="1055"/>
      <c r="U225" s="1085" t="s">
        <v>1497</v>
      </c>
      <c r="V225" s="211"/>
      <c r="W225" s="1086">
        <f>X214+Q222-Q230</f>
        <v>1284.15</v>
      </c>
      <c r="X225" s="211"/>
    </row>
    <row r="226">
      <c r="D226" s="1084"/>
      <c r="E226" s="222"/>
      <c r="F226" s="1083"/>
      <c r="G226" s="222"/>
      <c r="H226" s="1055"/>
      <c r="I226" s="1055"/>
      <c r="J226" s="1055"/>
      <c r="K226" s="1055"/>
      <c r="L226" s="1055"/>
      <c r="M226" s="1055"/>
      <c r="O226" s="1084"/>
      <c r="P226" s="222"/>
      <c r="Q226" s="1083"/>
      <c r="R226" s="222"/>
      <c r="S226" s="1055"/>
      <c r="T226" s="1055"/>
      <c r="U226" s="278"/>
      <c r="V226" s="56"/>
      <c r="W226" s="278"/>
      <c r="X226" s="56"/>
    </row>
    <row r="227">
      <c r="D227" s="1084"/>
      <c r="E227" s="222"/>
      <c r="F227" s="1083"/>
      <c r="G227" s="222"/>
      <c r="H227" s="1055"/>
      <c r="I227" s="1055"/>
      <c r="J227" s="1055"/>
      <c r="K227" s="1055"/>
      <c r="L227" s="1055"/>
      <c r="M227" s="1055"/>
      <c r="O227" s="1084"/>
      <c r="P227" s="222"/>
      <c r="Q227" s="1083"/>
      <c r="R227" s="222"/>
      <c r="S227" s="1055"/>
      <c r="T227" s="1055"/>
      <c r="U227" s="215"/>
      <c r="V227" s="64"/>
      <c r="W227" s="215"/>
      <c r="X227" s="64"/>
    </row>
    <row r="228">
      <c r="D228" s="1087" t="s">
        <v>721</v>
      </c>
      <c r="E228" s="222"/>
      <c r="F228" s="1088">
        <f>SUM(F221:G227)</f>
        <v>0</v>
      </c>
      <c r="G228" s="222"/>
      <c r="H228" s="1055"/>
      <c r="I228" s="1055"/>
      <c r="J228" s="1055"/>
      <c r="K228" s="1055"/>
      <c r="L228" s="1055"/>
      <c r="M228" s="1055"/>
      <c r="O228" s="1084"/>
      <c r="P228" s="222"/>
      <c r="Q228" s="1083"/>
      <c r="R228" s="222"/>
      <c r="S228" s="1055"/>
      <c r="T228" s="1055"/>
      <c r="U228" s="1055"/>
      <c r="V228" s="1055"/>
      <c r="W228" s="1055"/>
      <c r="X228" s="1055"/>
    </row>
    <row r="229">
      <c r="O229" s="1084"/>
      <c r="P229" s="222"/>
      <c r="Q229" s="1083"/>
      <c r="R229" s="222"/>
      <c r="S229" s="1055"/>
      <c r="T229" s="1055"/>
      <c r="U229" s="1055"/>
      <c r="V229" s="1055"/>
      <c r="W229" s="1055"/>
      <c r="X229" s="1055"/>
    </row>
    <row r="230">
      <c r="O230" s="1087" t="s">
        <v>721</v>
      </c>
      <c r="P230" s="222"/>
      <c r="Q230" s="1088">
        <f>SUM(Q224:R229)</f>
        <v>0</v>
      </c>
      <c r="R230" s="222"/>
      <c r="S230" s="1055"/>
      <c r="T230" s="1055"/>
      <c r="U230" s="1055"/>
      <c r="V230" s="1055"/>
      <c r="W230" s="1055"/>
      <c r="X230" s="1055"/>
    </row>
    <row r="233">
      <c r="D233" s="1055"/>
      <c r="H233" s="56"/>
      <c r="I233" s="1056" t="s">
        <v>700</v>
      </c>
      <c r="J233" s="211"/>
      <c r="K233" s="1057" t="s">
        <v>1493</v>
      </c>
      <c r="L233" s="213"/>
      <c r="M233" s="211"/>
      <c r="O233" s="1055"/>
      <c r="T233" s="1056" t="s">
        <v>700</v>
      </c>
      <c r="U233" s="211"/>
      <c r="V233" s="1057" t="s">
        <v>1493</v>
      </c>
      <c r="W233" s="213"/>
      <c r="X233" s="211"/>
    </row>
    <row r="234">
      <c r="H234" s="56"/>
      <c r="I234" s="215"/>
      <c r="J234" s="64"/>
      <c r="K234" s="215"/>
      <c r="L234" s="216"/>
      <c r="M234" s="64"/>
      <c r="T234" s="215"/>
      <c r="U234" s="64"/>
      <c r="V234" s="215"/>
      <c r="W234" s="216"/>
      <c r="X234" s="64"/>
    </row>
    <row r="235">
      <c r="H235" s="56"/>
      <c r="I235" s="1056" t="s">
        <v>702</v>
      </c>
      <c r="J235" s="211"/>
      <c r="K235" s="1057" t="s">
        <v>674</v>
      </c>
      <c r="L235" s="213"/>
      <c r="M235" s="211"/>
      <c r="T235" s="1056" t="s">
        <v>351</v>
      </c>
      <c r="U235" s="211"/>
      <c r="V235" s="1057" t="s">
        <v>501</v>
      </c>
      <c r="W235" s="213"/>
      <c r="X235" s="211"/>
    </row>
    <row r="236">
      <c r="H236" s="56"/>
      <c r="I236" s="215"/>
      <c r="J236" s="64"/>
      <c r="K236" s="215"/>
      <c r="L236" s="216"/>
      <c r="M236" s="64"/>
      <c r="T236" s="215"/>
      <c r="U236" s="64"/>
      <c r="V236" s="215"/>
      <c r="W236" s="216"/>
      <c r="X236" s="64"/>
    </row>
    <row r="237">
      <c r="H237" s="56"/>
      <c r="I237" s="1056" t="s">
        <v>703</v>
      </c>
      <c r="J237" s="211"/>
      <c r="K237" s="1057">
        <v>2693.0</v>
      </c>
      <c r="L237" s="213"/>
      <c r="M237" s="211"/>
      <c r="T237" s="1056" t="s">
        <v>703</v>
      </c>
      <c r="U237" s="211"/>
      <c r="V237" s="1057">
        <v>2693.0</v>
      </c>
      <c r="W237" s="213"/>
      <c r="X237" s="211"/>
    </row>
    <row r="238">
      <c r="D238" s="216"/>
      <c r="E238" s="216"/>
      <c r="F238" s="216"/>
      <c r="G238" s="216"/>
      <c r="H238" s="64"/>
      <c r="I238" s="215"/>
      <c r="J238" s="64"/>
      <c r="K238" s="215"/>
      <c r="L238" s="216"/>
      <c r="M238" s="64"/>
      <c r="T238" s="215"/>
      <c r="U238" s="64"/>
      <c r="V238" s="215"/>
      <c r="W238" s="216"/>
      <c r="X238" s="64"/>
    </row>
    <row r="239">
      <c r="D239" s="1059" t="s">
        <v>704</v>
      </c>
      <c r="E239" s="222"/>
      <c r="F239" s="1059" t="s">
        <v>5</v>
      </c>
      <c r="G239" s="222"/>
      <c r="H239" s="1059" t="s">
        <v>705</v>
      </c>
      <c r="I239" s="224"/>
      <c r="J239" s="222"/>
      <c r="K239" s="1060" t="s">
        <v>8</v>
      </c>
      <c r="L239" s="1060" t="s">
        <v>706</v>
      </c>
      <c r="M239" s="1060" t="s">
        <v>707</v>
      </c>
      <c r="O239" s="1059" t="s">
        <v>704</v>
      </c>
      <c r="P239" s="222"/>
      <c r="Q239" s="1059" t="s">
        <v>5</v>
      </c>
      <c r="R239" s="222"/>
      <c r="S239" s="1059" t="s">
        <v>705</v>
      </c>
      <c r="T239" s="224"/>
      <c r="U239" s="222"/>
      <c r="V239" s="1060" t="s">
        <v>591</v>
      </c>
      <c r="W239" s="1060" t="s">
        <v>708</v>
      </c>
      <c r="X239" s="1060" t="s">
        <v>707</v>
      </c>
    </row>
    <row r="240">
      <c r="D240" s="1061">
        <v>45986.0</v>
      </c>
      <c r="E240" s="222"/>
      <c r="F240" s="1059">
        <v>2884255.0</v>
      </c>
      <c r="G240" s="222"/>
      <c r="H240" s="1059" t="s">
        <v>1513</v>
      </c>
      <c r="I240" s="224"/>
      <c r="J240" s="222"/>
      <c r="K240" s="1062">
        <v>2185.0</v>
      </c>
      <c r="L240" s="1063">
        <v>0.88</v>
      </c>
      <c r="M240" s="1062">
        <f t="shared" ref="M240:M243" si="16">K240*88/100</f>
        <v>1922.8</v>
      </c>
      <c r="O240" s="1061">
        <v>45986.0</v>
      </c>
      <c r="P240" s="222"/>
      <c r="Q240" s="1059">
        <v>2884255.0</v>
      </c>
      <c r="R240" s="222"/>
      <c r="S240" s="1059" t="s">
        <v>1513</v>
      </c>
      <c r="T240" s="224"/>
      <c r="U240" s="222"/>
      <c r="V240" s="1060">
        <v>847.0</v>
      </c>
      <c r="W240" s="1064">
        <v>0.65</v>
      </c>
      <c r="X240" s="1062">
        <f t="shared" ref="X240:X243" si="17">W240*V240</f>
        <v>550.55</v>
      </c>
    </row>
    <row r="241">
      <c r="D241" s="1061">
        <v>45987.0</v>
      </c>
      <c r="E241" s="222"/>
      <c r="F241" s="1059">
        <v>1.26138229E8</v>
      </c>
      <c r="G241" s="222"/>
      <c r="H241" s="1059" t="s">
        <v>1514</v>
      </c>
      <c r="I241" s="224"/>
      <c r="J241" s="222"/>
      <c r="K241" s="1062">
        <v>2500.0</v>
      </c>
      <c r="L241" s="1063">
        <v>0.88</v>
      </c>
      <c r="M241" s="1062">
        <f t="shared" si="16"/>
        <v>2200</v>
      </c>
      <c r="O241" s="1061">
        <v>45987.0</v>
      </c>
      <c r="P241" s="222"/>
      <c r="Q241" s="1059">
        <v>1.26138229E8</v>
      </c>
      <c r="R241" s="222"/>
      <c r="S241" s="1059" t="s">
        <v>1514</v>
      </c>
      <c r="T241" s="224"/>
      <c r="U241" s="222"/>
      <c r="V241" s="1060">
        <v>1361.0</v>
      </c>
      <c r="W241" s="1064">
        <v>0.65</v>
      </c>
      <c r="X241" s="1062">
        <f t="shared" si="17"/>
        <v>884.65</v>
      </c>
    </row>
    <row r="242">
      <c r="D242" s="1061">
        <v>45990.0</v>
      </c>
      <c r="E242" s="222"/>
      <c r="F242" s="1059" t="s">
        <v>1170</v>
      </c>
      <c r="G242" s="222"/>
      <c r="H242" s="1059" t="s">
        <v>1515</v>
      </c>
      <c r="I242" s="224"/>
      <c r="J242" s="222"/>
      <c r="K242" s="1062">
        <v>5500.0</v>
      </c>
      <c r="L242" s="1063">
        <v>0.88</v>
      </c>
      <c r="M242" s="1062">
        <f t="shared" si="16"/>
        <v>4840</v>
      </c>
      <c r="O242" s="1061">
        <v>45990.0</v>
      </c>
      <c r="P242" s="222"/>
      <c r="Q242" s="1059" t="s">
        <v>1170</v>
      </c>
      <c r="R242" s="222"/>
      <c r="S242" s="1059" t="s">
        <v>1515</v>
      </c>
      <c r="T242" s="224"/>
      <c r="U242" s="222"/>
      <c r="V242" s="1060">
        <v>2810.0</v>
      </c>
      <c r="W242" s="1064">
        <v>0.65</v>
      </c>
      <c r="X242" s="1062">
        <f t="shared" si="17"/>
        <v>1826.5</v>
      </c>
    </row>
    <row r="243">
      <c r="D243" s="1065"/>
      <c r="E243" s="222"/>
      <c r="F243" s="1066"/>
      <c r="G243" s="222"/>
      <c r="H243" s="1066"/>
      <c r="I243" s="224"/>
      <c r="J243" s="222"/>
      <c r="K243" s="1067"/>
      <c r="L243" s="1063">
        <v>0.88</v>
      </c>
      <c r="M243" s="1062">
        <f t="shared" si="16"/>
        <v>0</v>
      </c>
      <c r="O243" s="1065"/>
      <c r="P243" s="222"/>
      <c r="Q243" s="1066"/>
      <c r="R243" s="222"/>
      <c r="S243" s="1066"/>
      <c r="T243" s="224"/>
      <c r="U243" s="222"/>
      <c r="V243" s="1068"/>
      <c r="W243" s="1064">
        <v>0.65</v>
      </c>
      <c r="X243" s="1062">
        <f t="shared" si="17"/>
        <v>0</v>
      </c>
    </row>
    <row r="244">
      <c r="D244" s="1065"/>
      <c r="E244" s="222"/>
      <c r="F244" s="1070"/>
      <c r="G244" s="222"/>
      <c r="H244" s="1066"/>
      <c r="I244" s="224"/>
      <c r="J244" s="222"/>
      <c r="K244" s="1067"/>
      <c r="L244" s="1069"/>
      <c r="M244" s="1067"/>
      <c r="O244" s="1066"/>
      <c r="P244" s="222"/>
      <c r="Q244" s="1066"/>
      <c r="R244" s="222"/>
      <c r="S244" s="1066"/>
      <c r="T244" s="224"/>
      <c r="U244" s="222"/>
      <c r="V244" s="1068"/>
      <c r="W244" s="1068"/>
      <c r="X244" s="1067"/>
    </row>
    <row r="245">
      <c r="D245" s="1072" t="s">
        <v>711</v>
      </c>
      <c r="E245" s="224"/>
      <c r="F245" s="224"/>
      <c r="G245" s="224"/>
      <c r="H245" s="224"/>
      <c r="I245" s="224"/>
      <c r="J245" s="222"/>
      <c r="K245" s="1073">
        <f>SUM(K240:K244)</f>
        <v>10185</v>
      </c>
      <c r="L245" s="1069"/>
      <c r="M245" s="1073">
        <f>SUM(M240:M244)</f>
        <v>8962.8</v>
      </c>
      <c r="O245" s="1066"/>
      <c r="P245" s="222"/>
      <c r="Q245" s="1066"/>
      <c r="R245" s="222"/>
      <c r="S245" s="1066"/>
      <c r="T245" s="224"/>
      <c r="U245" s="222"/>
      <c r="V245" s="1068"/>
      <c r="W245" s="1068"/>
      <c r="X245" s="1067"/>
    </row>
    <row r="246">
      <c r="D246" s="1055"/>
      <c r="E246" s="1055"/>
      <c r="F246" s="1055"/>
      <c r="G246" s="1055"/>
      <c r="H246" s="1055"/>
      <c r="I246" s="1055"/>
      <c r="J246" s="1055"/>
      <c r="K246" s="1055"/>
      <c r="L246" s="1055"/>
      <c r="M246" s="1055"/>
      <c r="O246" s="1072" t="s">
        <v>711</v>
      </c>
      <c r="P246" s="224"/>
      <c r="Q246" s="224"/>
      <c r="R246" s="224"/>
      <c r="S246" s="224"/>
      <c r="T246" s="224"/>
      <c r="U246" s="222"/>
      <c r="V246" s="1060">
        <f>V242+V241+V240+V243+V244+V245</f>
        <v>5018</v>
      </c>
      <c r="W246" s="1074"/>
      <c r="X246" s="1062">
        <f>X242+X241+X240+X243+X244+X245</f>
        <v>3261.7</v>
      </c>
    </row>
    <row r="247">
      <c r="D247" s="1075" t="s">
        <v>712</v>
      </c>
      <c r="E247" s="222"/>
      <c r="F247" s="1076"/>
      <c r="G247" s="222"/>
      <c r="H247" s="1055"/>
      <c r="I247" s="1055"/>
      <c r="J247" s="1055"/>
      <c r="K247" s="1055"/>
      <c r="L247" s="1055"/>
      <c r="M247" s="1055"/>
      <c r="O247" s="1055"/>
      <c r="P247" s="1055"/>
      <c r="Q247" s="1055"/>
      <c r="R247" s="1055"/>
      <c r="S247" s="1055"/>
      <c r="T247" s="1055"/>
      <c r="U247" s="1055"/>
      <c r="V247" s="1055"/>
      <c r="W247" s="1055"/>
      <c r="X247" s="1055"/>
    </row>
    <row r="248">
      <c r="D248" s="1077" t="s">
        <v>1496</v>
      </c>
      <c r="E248" s="222"/>
      <c r="F248" s="1078">
        <v>250.0</v>
      </c>
      <c r="G248" s="222"/>
      <c r="H248" s="1055"/>
      <c r="I248" s="1055"/>
      <c r="J248" s="1055"/>
      <c r="K248" s="1055"/>
      <c r="L248" s="1055"/>
      <c r="M248" s="1055"/>
      <c r="O248" s="1075" t="s">
        <v>712</v>
      </c>
      <c r="P248" s="222"/>
      <c r="Q248" s="1076"/>
      <c r="R248" s="222"/>
      <c r="S248" s="1055"/>
      <c r="T248" s="1055"/>
      <c r="U248" s="1055"/>
      <c r="V248" s="1055"/>
      <c r="W248" s="1055"/>
      <c r="X248" s="1055"/>
    </row>
    <row r="249">
      <c r="D249" s="1079"/>
      <c r="E249" s="222"/>
      <c r="F249" s="1076"/>
      <c r="G249" s="222"/>
      <c r="H249" s="1055"/>
      <c r="I249" s="1055"/>
      <c r="J249" s="1055"/>
      <c r="K249" s="1055"/>
      <c r="L249" s="1055"/>
      <c r="M249" s="1055"/>
      <c r="O249" s="1077" t="s">
        <v>1496</v>
      </c>
      <c r="P249" s="222"/>
      <c r="Q249" s="1078">
        <v>250.0</v>
      </c>
      <c r="R249" s="222"/>
      <c r="S249" s="1055"/>
      <c r="T249" s="1055"/>
      <c r="U249" s="1055"/>
      <c r="V249" s="1055"/>
      <c r="W249" s="1055"/>
      <c r="X249" s="1055"/>
    </row>
    <row r="250">
      <c r="D250" s="1080" t="s">
        <v>714</v>
      </c>
      <c r="E250" s="222"/>
      <c r="F250" s="1078">
        <f>SUM(F247:G249)</f>
        <v>250</v>
      </c>
      <c r="G250" s="222"/>
      <c r="H250" s="1055"/>
      <c r="I250" s="1055"/>
      <c r="J250" s="1055"/>
      <c r="K250" s="1055"/>
      <c r="L250" s="1055"/>
      <c r="M250" s="1055"/>
      <c r="O250" s="1079"/>
      <c r="P250" s="222"/>
      <c r="Q250" s="1076"/>
      <c r="R250" s="222"/>
      <c r="S250" s="1055"/>
      <c r="T250" s="1055"/>
      <c r="U250" s="1055"/>
      <c r="V250" s="1055"/>
      <c r="W250" s="1055"/>
      <c r="X250" s="1055"/>
    </row>
    <row r="251">
      <c r="D251" s="1081"/>
      <c r="E251" s="224"/>
      <c r="F251" s="224"/>
      <c r="G251" s="222"/>
      <c r="H251" s="1055"/>
      <c r="I251" s="1055"/>
      <c r="J251" s="1055"/>
      <c r="K251" s="1055"/>
      <c r="L251" s="1055"/>
      <c r="M251" s="1055"/>
      <c r="O251" s="1079"/>
      <c r="P251" s="222"/>
      <c r="Q251" s="1076"/>
      <c r="R251" s="222"/>
      <c r="S251" s="1055"/>
      <c r="T251" s="1055"/>
      <c r="U251" s="1055"/>
      <c r="V251" s="1055"/>
      <c r="W251" s="1055"/>
      <c r="X251" s="1055"/>
    </row>
    <row r="252">
      <c r="D252" s="1082" t="s">
        <v>715</v>
      </c>
      <c r="E252" s="222"/>
      <c r="F252" s="1083"/>
      <c r="G252" s="222"/>
      <c r="H252" s="1055"/>
      <c r="I252" s="1055"/>
      <c r="J252" s="1055"/>
      <c r="K252" s="1055"/>
      <c r="L252" s="1055"/>
      <c r="M252" s="1055"/>
      <c r="O252" s="1079"/>
      <c r="P252" s="222"/>
      <c r="Q252" s="1076"/>
      <c r="R252" s="222"/>
      <c r="S252" s="1055"/>
      <c r="T252" s="1055"/>
      <c r="U252" s="1055"/>
      <c r="V252" s="1055"/>
      <c r="W252" s="1055"/>
      <c r="X252" s="1055"/>
    </row>
    <row r="253">
      <c r="D253" s="1090" t="s">
        <v>716</v>
      </c>
      <c r="E253" s="222"/>
      <c r="F253" s="1088">
        <v>150.0</v>
      </c>
      <c r="G253" s="222"/>
      <c r="H253" s="1055"/>
      <c r="I253" s="1055"/>
      <c r="J253" s="1055"/>
      <c r="K253" s="1055"/>
      <c r="L253" s="1055"/>
      <c r="M253" s="1055"/>
      <c r="O253" s="1079"/>
      <c r="P253" s="222"/>
      <c r="Q253" s="1076"/>
      <c r="R253" s="222"/>
      <c r="S253" s="1055"/>
      <c r="T253" s="1055"/>
      <c r="U253" s="1055"/>
      <c r="V253" s="1055"/>
      <c r="W253" s="1055"/>
      <c r="X253" s="1055"/>
    </row>
    <row r="254">
      <c r="D254" s="1090" t="s">
        <v>717</v>
      </c>
      <c r="E254" s="222"/>
      <c r="F254" s="1088">
        <v>400.0</v>
      </c>
      <c r="G254" s="222"/>
      <c r="H254" s="1055"/>
      <c r="I254" s="1055"/>
      <c r="J254" s="1055"/>
      <c r="K254" s="1055"/>
      <c r="L254" s="1055"/>
      <c r="M254" s="1055"/>
      <c r="O254" s="1080" t="s">
        <v>714</v>
      </c>
      <c r="P254" s="222"/>
      <c r="Q254" s="1078">
        <f>SUM(Q248:R253)</f>
        <v>250</v>
      </c>
      <c r="R254" s="222"/>
      <c r="S254" s="1055"/>
      <c r="T254" s="1055"/>
      <c r="U254" s="1055"/>
      <c r="V254" s="1055"/>
      <c r="W254" s="1055"/>
      <c r="X254" s="1055"/>
    </row>
    <row r="255">
      <c r="D255" s="1090" t="s">
        <v>718</v>
      </c>
      <c r="E255" s="222"/>
      <c r="F255" s="1088">
        <v>200.0</v>
      </c>
      <c r="G255" s="222"/>
      <c r="H255" s="1055"/>
      <c r="I255" s="1055"/>
      <c r="J255" s="1055"/>
      <c r="K255" s="1055"/>
      <c r="L255" s="1055"/>
      <c r="M255" s="1055"/>
      <c r="O255" s="1055"/>
      <c r="P255" s="1055"/>
      <c r="Q255" s="1055"/>
      <c r="S255" s="1055"/>
      <c r="T255" s="1055"/>
      <c r="U255" s="1055"/>
      <c r="V255" s="1055"/>
      <c r="W255" s="1055"/>
      <c r="X255" s="1055"/>
    </row>
    <row r="256">
      <c r="D256" s="1090" t="s">
        <v>656</v>
      </c>
      <c r="E256" s="222"/>
      <c r="F256" s="1088">
        <v>3387.6</v>
      </c>
      <c r="G256" s="222"/>
      <c r="H256" s="1055"/>
      <c r="I256" s="1055"/>
      <c r="J256" s="1055"/>
      <c r="K256" s="1055"/>
      <c r="L256" s="1055"/>
      <c r="M256" s="1055"/>
      <c r="O256" s="1082" t="s">
        <v>715</v>
      </c>
      <c r="P256" s="222"/>
      <c r="Q256" s="1083"/>
      <c r="R256" s="222"/>
      <c r="S256" s="1055"/>
      <c r="T256" s="1055"/>
      <c r="U256" s="1055"/>
      <c r="V256" s="1055"/>
      <c r="W256" s="1055"/>
      <c r="X256" s="1055"/>
    </row>
    <row r="257">
      <c r="D257" s="1084"/>
      <c r="E257" s="222"/>
      <c r="F257" s="1083"/>
      <c r="G257" s="222"/>
      <c r="H257" s="1055"/>
      <c r="I257" s="1055"/>
      <c r="J257" s="1085" t="s">
        <v>1498</v>
      </c>
      <c r="K257" s="211"/>
      <c r="L257" s="1086">
        <f>M245+F250-F262</f>
        <v>5075.2</v>
      </c>
      <c r="M257" s="211"/>
      <c r="O257" s="1084"/>
      <c r="P257" s="222"/>
      <c r="Q257" s="1083"/>
      <c r="R257" s="222"/>
      <c r="S257" s="1055"/>
      <c r="T257" s="1055"/>
      <c r="U257" s="1085" t="s">
        <v>1497</v>
      </c>
      <c r="V257" s="211"/>
      <c r="W257" s="1086">
        <f>X246+Q254-Q262</f>
        <v>3511.7</v>
      </c>
      <c r="X257" s="211"/>
    </row>
    <row r="258">
      <c r="D258" s="1084"/>
      <c r="E258" s="222"/>
      <c r="F258" s="1083"/>
      <c r="G258" s="222"/>
      <c r="H258" s="1055"/>
      <c r="I258" s="1055"/>
      <c r="J258" s="278"/>
      <c r="K258" s="56"/>
      <c r="L258" s="278"/>
      <c r="M258" s="56"/>
      <c r="O258" s="1084"/>
      <c r="P258" s="222"/>
      <c r="Q258" s="1083"/>
      <c r="R258" s="222"/>
      <c r="S258" s="1055"/>
      <c r="T258" s="1055"/>
      <c r="U258" s="278"/>
      <c r="V258" s="56"/>
      <c r="W258" s="278"/>
      <c r="X258" s="56"/>
    </row>
    <row r="259">
      <c r="D259" s="1084"/>
      <c r="E259" s="222"/>
      <c r="F259" s="1083"/>
      <c r="G259" s="222"/>
      <c r="H259" s="1055"/>
      <c r="I259" s="1055"/>
      <c r="J259" s="215"/>
      <c r="K259" s="64"/>
      <c r="L259" s="215"/>
      <c r="M259" s="64"/>
      <c r="O259" s="1084"/>
      <c r="P259" s="222"/>
      <c r="Q259" s="1083"/>
      <c r="R259" s="222"/>
      <c r="S259" s="1055"/>
      <c r="T259" s="1055"/>
      <c r="U259" s="215"/>
      <c r="V259" s="64"/>
      <c r="W259" s="215"/>
      <c r="X259" s="64"/>
    </row>
    <row r="260">
      <c r="D260" s="1084"/>
      <c r="E260" s="222"/>
      <c r="F260" s="1083"/>
      <c r="G260" s="222"/>
      <c r="H260" s="1055"/>
      <c r="I260" s="1055"/>
      <c r="J260" s="1055"/>
      <c r="K260" s="1055"/>
      <c r="L260" s="1055"/>
      <c r="M260" s="1055"/>
      <c r="O260" s="1084"/>
      <c r="P260" s="222"/>
      <c r="Q260" s="1083"/>
      <c r="R260" s="222"/>
      <c r="S260" s="1055"/>
      <c r="T260" s="1055"/>
      <c r="U260" s="1055"/>
      <c r="V260" s="1055"/>
      <c r="W260" s="1055"/>
      <c r="X260" s="1055"/>
    </row>
    <row r="261">
      <c r="D261" s="1084"/>
      <c r="E261" s="222"/>
      <c r="F261" s="1083"/>
      <c r="G261" s="222"/>
      <c r="H261" s="1055"/>
      <c r="I261" s="1055"/>
      <c r="J261" s="1055"/>
      <c r="K261" s="1055"/>
      <c r="L261" s="1055"/>
      <c r="M261" s="1055"/>
      <c r="O261" s="1084"/>
      <c r="P261" s="222"/>
      <c r="Q261" s="1083"/>
      <c r="R261" s="222"/>
      <c r="S261" s="1055"/>
      <c r="T261" s="1055"/>
      <c r="U261" s="1055"/>
      <c r="V261" s="1055"/>
      <c r="W261" s="1055"/>
      <c r="X261" s="1055"/>
    </row>
    <row r="262">
      <c r="D262" s="1087" t="s">
        <v>721</v>
      </c>
      <c r="E262" s="222"/>
      <c r="F262" s="1088">
        <f>SUM(F253:G261)</f>
        <v>4137.6</v>
      </c>
      <c r="G262" s="222"/>
      <c r="H262" s="1055"/>
      <c r="I262" s="1055"/>
      <c r="J262" s="1055"/>
      <c r="K262" s="1055"/>
      <c r="L262" s="1055"/>
      <c r="M262" s="1055"/>
      <c r="O262" s="1087" t="s">
        <v>721</v>
      </c>
      <c r="P262" s="222"/>
      <c r="Q262" s="1088">
        <f>SUM(Q256:R261)</f>
        <v>0</v>
      </c>
      <c r="R262" s="222"/>
      <c r="S262" s="1055"/>
      <c r="T262" s="1055"/>
      <c r="U262" s="1055"/>
      <c r="V262" s="1055"/>
      <c r="W262" s="1055"/>
      <c r="X262" s="1055"/>
    </row>
    <row r="265">
      <c r="D265" s="1055"/>
      <c r="I265" s="1056" t="s">
        <v>700</v>
      </c>
      <c r="J265" s="211"/>
      <c r="K265" s="1057" t="s">
        <v>1493</v>
      </c>
      <c r="L265" s="213"/>
      <c r="M265" s="211"/>
      <c r="O265" s="1055"/>
      <c r="T265" s="1056" t="s">
        <v>700</v>
      </c>
      <c r="U265" s="211"/>
      <c r="V265" s="1057" t="s">
        <v>1493</v>
      </c>
      <c r="W265" s="213"/>
      <c r="X265" s="211"/>
    </row>
    <row r="266">
      <c r="I266" s="215"/>
      <c r="J266" s="64"/>
      <c r="K266" s="215"/>
      <c r="L266" s="216"/>
      <c r="M266" s="64"/>
      <c r="T266" s="215"/>
      <c r="U266" s="64"/>
      <c r="V266" s="215"/>
      <c r="W266" s="216"/>
      <c r="X266" s="64"/>
    </row>
    <row r="267">
      <c r="I267" s="1056" t="s">
        <v>702</v>
      </c>
      <c r="J267" s="211"/>
      <c r="K267" s="1057" t="s">
        <v>675</v>
      </c>
      <c r="L267" s="213"/>
      <c r="M267" s="211"/>
      <c r="T267" s="1056" t="s">
        <v>351</v>
      </c>
      <c r="U267" s="211"/>
      <c r="V267" s="1057" t="s">
        <v>443</v>
      </c>
      <c r="W267" s="213"/>
      <c r="X267" s="211"/>
    </row>
    <row r="268">
      <c r="I268" s="215"/>
      <c r="J268" s="64"/>
      <c r="K268" s="215"/>
      <c r="L268" s="216"/>
      <c r="M268" s="64"/>
      <c r="T268" s="215"/>
      <c r="U268" s="64"/>
      <c r="V268" s="215"/>
      <c r="W268" s="216"/>
      <c r="X268" s="64"/>
    </row>
    <row r="269">
      <c r="I269" s="1056" t="s">
        <v>703</v>
      </c>
      <c r="J269" s="211"/>
      <c r="K269" s="1057">
        <v>9334.0</v>
      </c>
      <c r="L269" s="213"/>
      <c r="M269" s="211"/>
      <c r="T269" s="1056" t="s">
        <v>703</v>
      </c>
      <c r="U269" s="211"/>
      <c r="V269" s="1057">
        <v>9334.0</v>
      </c>
      <c r="W269" s="213"/>
      <c r="X269" s="211"/>
    </row>
    <row r="270">
      <c r="I270" s="215"/>
      <c r="J270" s="64"/>
      <c r="K270" s="215"/>
      <c r="L270" s="216"/>
      <c r="M270" s="64"/>
      <c r="T270" s="215"/>
      <c r="U270" s="64"/>
      <c r="V270" s="215"/>
      <c r="W270" s="216"/>
      <c r="X270" s="64"/>
    </row>
    <row r="271">
      <c r="D271" s="1059" t="s">
        <v>704</v>
      </c>
      <c r="E271" s="222"/>
      <c r="F271" s="1059" t="s">
        <v>5</v>
      </c>
      <c r="G271" s="222"/>
      <c r="H271" s="1059" t="s">
        <v>705</v>
      </c>
      <c r="I271" s="224"/>
      <c r="J271" s="222"/>
      <c r="K271" s="1060" t="s">
        <v>8</v>
      </c>
      <c r="L271" s="1060" t="s">
        <v>706</v>
      </c>
      <c r="M271" s="1060" t="s">
        <v>707</v>
      </c>
      <c r="O271" s="1059" t="s">
        <v>704</v>
      </c>
      <c r="P271" s="222"/>
      <c r="Q271" s="1059" t="s">
        <v>5</v>
      </c>
      <c r="R271" s="222"/>
      <c r="S271" s="1059" t="s">
        <v>705</v>
      </c>
      <c r="T271" s="224"/>
      <c r="U271" s="222"/>
      <c r="V271" s="1060" t="s">
        <v>591</v>
      </c>
      <c r="W271" s="1060" t="s">
        <v>708</v>
      </c>
      <c r="X271" s="1060" t="s">
        <v>707</v>
      </c>
    </row>
    <row r="272">
      <c r="D272" s="1061">
        <v>45985.0</v>
      </c>
      <c r="E272" s="222"/>
      <c r="F272" s="1059">
        <v>1259248.0</v>
      </c>
      <c r="G272" s="222"/>
      <c r="H272" s="1059" t="s">
        <v>1516</v>
      </c>
      <c r="I272" s="224"/>
      <c r="J272" s="222"/>
      <c r="K272" s="1062">
        <v>2000.0</v>
      </c>
      <c r="L272" s="1063">
        <v>0.88</v>
      </c>
      <c r="M272" s="1062">
        <f t="shared" ref="M272:M276" si="18">K272*88/100</f>
        <v>1760</v>
      </c>
      <c r="O272" s="1061">
        <v>45985.0</v>
      </c>
      <c r="P272" s="222"/>
      <c r="Q272" s="1059">
        <v>1259248.0</v>
      </c>
      <c r="R272" s="222"/>
      <c r="S272" s="1059" t="s">
        <v>1516</v>
      </c>
      <c r="T272" s="224"/>
      <c r="U272" s="222"/>
      <c r="V272" s="1060">
        <v>774.0</v>
      </c>
      <c r="W272" s="1064">
        <v>0.65</v>
      </c>
      <c r="X272" s="1062">
        <f t="shared" ref="X272:X276" si="19">V272*W272</f>
        <v>503.1</v>
      </c>
    </row>
    <row r="273">
      <c r="D273" s="1061">
        <v>45986.0</v>
      </c>
      <c r="E273" s="222"/>
      <c r="F273" s="1089" t="s">
        <v>1517</v>
      </c>
      <c r="G273" s="222"/>
      <c r="H273" s="1059" t="s">
        <v>1518</v>
      </c>
      <c r="I273" s="224"/>
      <c r="J273" s="222"/>
      <c r="K273" s="1062">
        <v>750.0</v>
      </c>
      <c r="L273" s="1063">
        <v>0.88</v>
      </c>
      <c r="M273" s="1062">
        <f t="shared" si="18"/>
        <v>660</v>
      </c>
      <c r="O273" s="1061">
        <v>45986.0</v>
      </c>
      <c r="P273" s="222"/>
      <c r="Q273" s="1089" t="s">
        <v>1517</v>
      </c>
      <c r="R273" s="222"/>
      <c r="S273" s="1059" t="s">
        <v>1518</v>
      </c>
      <c r="T273" s="224"/>
      <c r="U273" s="222"/>
      <c r="V273" s="1060">
        <v>531.0</v>
      </c>
      <c r="W273" s="1064">
        <v>0.65</v>
      </c>
      <c r="X273" s="1062">
        <f t="shared" si="19"/>
        <v>345.15</v>
      </c>
    </row>
    <row r="274">
      <c r="D274" s="1061">
        <v>45987.0</v>
      </c>
      <c r="E274" s="222"/>
      <c r="F274" s="1059" t="s">
        <v>1107</v>
      </c>
      <c r="G274" s="222"/>
      <c r="H274" s="1059" t="s">
        <v>1519</v>
      </c>
      <c r="I274" s="224"/>
      <c r="J274" s="222"/>
      <c r="K274" s="1062">
        <v>4100.0</v>
      </c>
      <c r="L274" s="1063">
        <v>0.88</v>
      </c>
      <c r="M274" s="1062">
        <f t="shared" si="18"/>
        <v>3608</v>
      </c>
      <c r="O274" s="1061">
        <v>45987.0</v>
      </c>
      <c r="P274" s="222"/>
      <c r="Q274" s="1059" t="s">
        <v>1107</v>
      </c>
      <c r="R274" s="222"/>
      <c r="S274" s="1059" t="s">
        <v>1519</v>
      </c>
      <c r="T274" s="224"/>
      <c r="U274" s="222"/>
      <c r="V274" s="1060">
        <v>2219.0</v>
      </c>
      <c r="W274" s="1064">
        <v>0.65</v>
      </c>
      <c r="X274" s="1062">
        <f t="shared" si="19"/>
        <v>1442.35</v>
      </c>
    </row>
    <row r="275">
      <c r="D275" s="1065"/>
      <c r="E275" s="222"/>
      <c r="F275" s="1066"/>
      <c r="G275" s="222"/>
      <c r="H275" s="1066"/>
      <c r="I275" s="224"/>
      <c r="J275" s="222"/>
      <c r="K275" s="1067"/>
      <c r="L275" s="1063">
        <v>0.88</v>
      </c>
      <c r="M275" s="1062">
        <f t="shared" si="18"/>
        <v>0</v>
      </c>
      <c r="O275" s="1065"/>
      <c r="P275" s="222"/>
      <c r="Q275" s="1066"/>
      <c r="R275" s="222"/>
      <c r="S275" s="1066"/>
      <c r="T275" s="224"/>
      <c r="U275" s="222"/>
      <c r="V275" s="1068"/>
      <c r="W275" s="1064">
        <v>0.65</v>
      </c>
      <c r="X275" s="1062">
        <f t="shared" si="19"/>
        <v>0</v>
      </c>
    </row>
    <row r="276">
      <c r="D276" s="1065"/>
      <c r="E276" s="222"/>
      <c r="F276" s="1066"/>
      <c r="G276" s="222"/>
      <c r="H276" s="1066"/>
      <c r="I276" s="224"/>
      <c r="J276" s="222"/>
      <c r="K276" s="1067"/>
      <c r="L276" s="1063">
        <v>0.88</v>
      </c>
      <c r="M276" s="1062">
        <f t="shared" si="18"/>
        <v>0</v>
      </c>
      <c r="O276" s="1065"/>
      <c r="P276" s="222"/>
      <c r="Q276" s="1066"/>
      <c r="R276" s="222"/>
      <c r="S276" s="1066"/>
      <c r="T276" s="224"/>
      <c r="U276" s="222"/>
      <c r="V276" s="1068"/>
      <c r="W276" s="1064">
        <v>0.65</v>
      </c>
      <c r="X276" s="1062">
        <f t="shared" si="19"/>
        <v>0</v>
      </c>
    </row>
    <row r="277">
      <c r="D277" s="1072" t="s">
        <v>711</v>
      </c>
      <c r="E277" s="224"/>
      <c r="F277" s="224"/>
      <c r="G277" s="224"/>
      <c r="H277" s="224"/>
      <c r="I277" s="224"/>
      <c r="J277" s="222"/>
      <c r="K277" s="1073">
        <f>SUM(K272:K276)</f>
        <v>6850</v>
      </c>
      <c r="L277" s="1069"/>
      <c r="M277" s="1073">
        <f>SUM(M272:M276)</f>
        <v>6028</v>
      </c>
      <c r="O277" s="1072" t="s">
        <v>711</v>
      </c>
      <c r="P277" s="224"/>
      <c r="Q277" s="224"/>
      <c r="R277" s="224"/>
      <c r="S277" s="224"/>
      <c r="T277" s="224"/>
      <c r="U277" s="222"/>
      <c r="V277" s="1060">
        <f>SUM(V272:V276)</f>
        <v>3524</v>
      </c>
      <c r="W277" s="1074"/>
      <c r="X277" s="1062">
        <f>SUM(X272:X276)</f>
        <v>2290.6</v>
      </c>
    </row>
    <row r="278">
      <c r="D278" s="1055"/>
      <c r="E278" s="1055"/>
      <c r="F278" s="1055"/>
      <c r="G278" s="1055"/>
      <c r="H278" s="1055"/>
      <c r="I278" s="1055"/>
      <c r="J278" s="1055"/>
      <c r="K278" s="1055"/>
      <c r="L278" s="1055"/>
      <c r="M278" s="1055"/>
      <c r="O278" s="1055"/>
      <c r="P278" s="1055"/>
      <c r="Q278" s="1055"/>
      <c r="R278" s="1055"/>
      <c r="S278" s="1055"/>
      <c r="T278" s="1055"/>
      <c r="U278" s="1055"/>
      <c r="V278" s="1055"/>
      <c r="W278" s="1055"/>
      <c r="X278" s="1055"/>
    </row>
    <row r="279">
      <c r="D279" s="1075" t="s">
        <v>712</v>
      </c>
      <c r="E279" s="222"/>
      <c r="F279" s="1076"/>
      <c r="G279" s="222"/>
      <c r="H279" s="1055"/>
      <c r="I279" s="1055"/>
      <c r="J279" s="1055"/>
      <c r="K279" s="1055"/>
      <c r="L279" s="1055"/>
      <c r="M279" s="1055"/>
      <c r="O279" s="1075" t="s">
        <v>712</v>
      </c>
      <c r="P279" s="222"/>
      <c r="Q279" s="1076"/>
      <c r="R279" s="222"/>
      <c r="S279" s="1055"/>
      <c r="T279" s="1055"/>
      <c r="U279" s="1055"/>
      <c r="V279" s="1055"/>
      <c r="W279" s="1055"/>
      <c r="X279" s="1055"/>
    </row>
    <row r="280">
      <c r="D280" s="1077" t="s">
        <v>1496</v>
      </c>
      <c r="E280" s="222"/>
      <c r="F280" s="1078">
        <v>250.0</v>
      </c>
      <c r="G280" s="222"/>
      <c r="H280" s="1055"/>
      <c r="I280" s="1055"/>
      <c r="J280" s="1055"/>
      <c r="K280" s="1055"/>
      <c r="L280" s="1055"/>
      <c r="M280" s="1055"/>
      <c r="O280" s="1077" t="s">
        <v>1496</v>
      </c>
      <c r="P280" s="222"/>
      <c r="Q280" s="1078">
        <v>250.0</v>
      </c>
      <c r="R280" s="222"/>
      <c r="S280" s="1055"/>
      <c r="T280" s="1055"/>
      <c r="U280" s="1055"/>
      <c r="V280" s="1055"/>
      <c r="W280" s="1055"/>
      <c r="X280" s="1055"/>
    </row>
    <row r="281">
      <c r="D281" s="1079"/>
      <c r="E281" s="222"/>
      <c r="F281" s="1076"/>
      <c r="G281" s="222"/>
      <c r="H281" s="1055"/>
      <c r="I281" s="163"/>
      <c r="J281" s="163"/>
      <c r="K281" s="163"/>
      <c r="L281" s="163"/>
      <c r="M281" s="163"/>
      <c r="O281" s="1079"/>
      <c r="P281" s="222"/>
      <c r="Q281" s="1076"/>
      <c r="R281" s="222"/>
      <c r="S281" s="1055"/>
      <c r="T281" s="1055"/>
      <c r="U281" s="1055"/>
      <c r="V281" s="1055"/>
      <c r="W281" s="1055"/>
      <c r="X281" s="1055"/>
    </row>
    <row r="282">
      <c r="D282" s="1080" t="s">
        <v>714</v>
      </c>
      <c r="E282" s="222"/>
      <c r="F282" s="1078">
        <f>SUM(F279:G281)</f>
        <v>250</v>
      </c>
      <c r="G282" s="222"/>
      <c r="H282" s="1055"/>
      <c r="I282" s="163"/>
      <c r="J282" s="163"/>
      <c r="K282" s="163"/>
      <c r="L282" s="163"/>
      <c r="M282" s="163"/>
      <c r="O282" s="1079"/>
      <c r="P282" s="222"/>
      <c r="Q282" s="1076"/>
      <c r="R282" s="222"/>
      <c r="S282" s="1055"/>
      <c r="T282" s="1055"/>
      <c r="U282" s="1055"/>
      <c r="V282" s="1055"/>
      <c r="W282" s="1055"/>
      <c r="X282" s="1055"/>
    </row>
    <row r="283">
      <c r="D283" s="1081"/>
      <c r="E283" s="224"/>
      <c r="F283" s="224"/>
      <c r="G283" s="222"/>
      <c r="H283" s="1055"/>
      <c r="I283" s="163"/>
      <c r="J283" s="163"/>
      <c r="K283" s="163"/>
      <c r="L283" s="163"/>
      <c r="M283" s="163"/>
      <c r="O283" s="1079"/>
      <c r="P283" s="222"/>
      <c r="Q283" s="1076"/>
      <c r="R283" s="222"/>
      <c r="S283" s="1055"/>
      <c r="T283" s="1055"/>
      <c r="U283" s="1055"/>
      <c r="V283" s="1055"/>
      <c r="W283" s="1055"/>
      <c r="X283" s="1055"/>
    </row>
    <row r="284">
      <c r="D284" s="1082" t="s">
        <v>715</v>
      </c>
      <c r="E284" s="222"/>
      <c r="F284" s="1083"/>
      <c r="G284" s="222"/>
      <c r="H284" s="1055"/>
      <c r="I284" s="163"/>
      <c r="J284" s="163"/>
      <c r="K284" s="163"/>
      <c r="L284" s="163"/>
      <c r="M284" s="163"/>
      <c r="O284" s="1079"/>
      <c r="P284" s="222"/>
      <c r="Q284" s="1076"/>
      <c r="R284" s="222"/>
      <c r="S284" s="1055"/>
      <c r="T284" s="1055"/>
      <c r="U284" s="1055"/>
      <c r="V284" s="1055"/>
      <c r="W284" s="1055"/>
      <c r="X284" s="1055"/>
    </row>
    <row r="285">
      <c r="D285" s="1090" t="s">
        <v>716</v>
      </c>
      <c r="E285" s="222"/>
      <c r="F285" s="1088">
        <v>150.0</v>
      </c>
      <c r="G285" s="222"/>
      <c r="H285" s="1055"/>
      <c r="I285" s="163"/>
      <c r="J285" s="163"/>
      <c r="K285" s="163"/>
      <c r="L285" s="163"/>
      <c r="M285" s="163"/>
      <c r="O285" s="1080" t="s">
        <v>714</v>
      </c>
      <c r="P285" s="222"/>
      <c r="Q285" s="1078">
        <f>SUM(Q279:R284)</f>
        <v>250</v>
      </c>
      <c r="R285" s="222"/>
      <c r="S285" s="1055"/>
      <c r="T285" s="1055"/>
      <c r="U285" s="1055"/>
      <c r="V285" s="1055"/>
      <c r="W285" s="1055"/>
      <c r="X285" s="1055"/>
    </row>
    <row r="286">
      <c r="D286" s="1090" t="s">
        <v>717</v>
      </c>
      <c r="E286" s="222"/>
      <c r="F286" s="1088">
        <v>400.0</v>
      </c>
      <c r="G286" s="222"/>
      <c r="H286" s="1055"/>
      <c r="I286" s="163"/>
      <c r="J286" s="163"/>
      <c r="K286" s="163"/>
      <c r="L286" s="163"/>
      <c r="M286" s="163"/>
      <c r="O286" s="1055"/>
      <c r="P286" s="1055"/>
      <c r="Q286" s="1055"/>
      <c r="S286" s="1055"/>
      <c r="T286" s="1055"/>
      <c r="U286" s="1055"/>
      <c r="V286" s="1055"/>
      <c r="W286" s="1055"/>
      <c r="X286" s="1055"/>
    </row>
    <row r="287">
      <c r="D287" s="1090" t="s">
        <v>718</v>
      </c>
      <c r="E287" s="222"/>
      <c r="F287" s="1088">
        <v>200.0</v>
      </c>
      <c r="G287" s="222"/>
      <c r="H287" s="1055"/>
      <c r="I287" s="163"/>
      <c r="J287" s="163"/>
      <c r="K287" s="163"/>
      <c r="L287" s="163"/>
      <c r="M287" s="163"/>
      <c r="O287" s="1082" t="s">
        <v>715</v>
      </c>
      <c r="P287" s="222"/>
      <c r="Q287" s="1083"/>
      <c r="R287" s="222"/>
      <c r="S287" s="1055"/>
      <c r="T287" s="1055"/>
      <c r="U287" s="1055"/>
      <c r="V287" s="1055"/>
      <c r="W287" s="1055"/>
      <c r="X287" s="1055"/>
    </row>
    <row r="288">
      <c r="D288" s="1090" t="s">
        <v>656</v>
      </c>
      <c r="E288" s="222"/>
      <c r="F288" s="1088">
        <v>1934.41</v>
      </c>
      <c r="G288" s="222"/>
      <c r="H288" s="1055"/>
      <c r="I288" s="163"/>
      <c r="J288" s="163"/>
      <c r="K288" s="163"/>
      <c r="L288" s="163"/>
      <c r="M288" s="163"/>
      <c r="O288" s="1084"/>
      <c r="P288" s="222"/>
      <c r="Q288" s="1083"/>
      <c r="R288" s="222"/>
      <c r="S288" s="1055"/>
      <c r="T288" s="1055"/>
      <c r="U288" s="1085" t="s">
        <v>1497</v>
      </c>
      <c r="V288" s="211"/>
      <c r="W288" s="1086">
        <f>X277+Q285-Q293</f>
        <v>2540.6</v>
      </c>
      <c r="X288" s="211"/>
    </row>
    <row r="289">
      <c r="D289" s="1090" t="s">
        <v>1520</v>
      </c>
      <c r="E289" s="222"/>
      <c r="F289" s="1088">
        <v>187.03</v>
      </c>
      <c r="G289" s="222"/>
      <c r="H289" s="1055"/>
      <c r="I289" s="1055"/>
      <c r="J289" s="1085" t="s">
        <v>1498</v>
      </c>
      <c r="K289" s="211"/>
      <c r="L289" s="1086">
        <f>M277+F282-F294</f>
        <v>3406.56</v>
      </c>
      <c r="M289" s="211"/>
      <c r="O289" s="1084"/>
      <c r="P289" s="222"/>
      <c r="Q289" s="1083"/>
      <c r="R289" s="222"/>
      <c r="S289" s="1055"/>
      <c r="T289" s="1055"/>
      <c r="U289" s="278"/>
      <c r="V289" s="56"/>
      <c r="W289" s="278"/>
      <c r="X289" s="56"/>
    </row>
    <row r="290">
      <c r="D290" s="1084"/>
      <c r="E290" s="222"/>
      <c r="F290" s="1083"/>
      <c r="G290" s="222"/>
      <c r="H290" s="1055"/>
      <c r="I290" s="1055"/>
      <c r="J290" s="278"/>
      <c r="K290" s="56"/>
      <c r="L290" s="278"/>
      <c r="M290" s="56"/>
      <c r="O290" s="1084"/>
      <c r="P290" s="222"/>
      <c r="Q290" s="1083"/>
      <c r="R290" s="222"/>
      <c r="S290" s="1055"/>
      <c r="T290" s="1055"/>
      <c r="U290" s="215"/>
      <c r="V290" s="64"/>
      <c r="W290" s="215"/>
      <c r="X290" s="64"/>
    </row>
    <row r="291">
      <c r="D291" s="1084"/>
      <c r="E291" s="222"/>
      <c r="F291" s="1083"/>
      <c r="G291" s="222"/>
      <c r="H291" s="1055"/>
      <c r="I291" s="1055"/>
      <c r="J291" s="215"/>
      <c r="K291" s="64"/>
      <c r="L291" s="215"/>
      <c r="M291" s="64"/>
      <c r="O291" s="1084"/>
      <c r="P291" s="222"/>
      <c r="Q291" s="1083"/>
      <c r="R291" s="222"/>
      <c r="S291" s="1055"/>
      <c r="T291" s="1055"/>
      <c r="U291" s="1055"/>
      <c r="V291" s="1055"/>
      <c r="W291" s="1055"/>
      <c r="X291" s="1055"/>
    </row>
    <row r="292">
      <c r="D292" s="1084"/>
      <c r="E292" s="222"/>
      <c r="F292" s="1083"/>
      <c r="G292" s="222"/>
      <c r="H292" s="1055"/>
      <c r="I292" s="1055"/>
      <c r="J292" s="1055"/>
      <c r="K292" s="1055"/>
      <c r="L292" s="1055"/>
      <c r="M292" s="1055"/>
      <c r="O292" s="1084"/>
      <c r="P292" s="222"/>
      <c r="Q292" s="1083"/>
      <c r="R292" s="222"/>
      <c r="S292" s="1055"/>
      <c r="T292" s="1055"/>
      <c r="U292" s="1055"/>
      <c r="V292" s="1055"/>
      <c r="W292" s="1055"/>
      <c r="X292" s="1055"/>
    </row>
    <row r="293">
      <c r="D293" s="1084"/>
      <c r="E293" s="222"/>
      <c r="F293" s="1083"/>
      <c r="G293" s="222"/>
      <c r="H293" s="1055"/>
      <c r="I293" s="1055"/>
      <c r="J293" s="1055"/>
      <c r="K293" s="1055"/>
      <c r="L293" s="1055"/>
      <c r="M293" s="1055"/>
      <c r="O293" s="1087" t="s">
        <v>721</v>
      </c>
      <c r="P293" s="222"/>
      <c r="Q293" s="1088">
        <f>SUM(Q287:R292)</f>
        <v>0</v>
      </c>
      <c r="R293" s="222"/>
      <c r="S293" s="1055"/>
      <c r="T293" s="1055"/>
      <c r="U293" s="1055"/>
      <c r="V293" s="1055"/>
      <c r="W293" s="1055"/>
      <c r="X293" s="1055"/>
    </row>
    <row r="294">
      <c r="D294" s="1087" t="s">
        <v>721</v>
      </c>
      <c r="E294" s="222"/>
      <c r="F294" s="1088">
        <f>SUM(F285:G293)</f>
        <v>2871.44</v>
      </c>
      <c r="G294" s="222"/>
      <c r="H294" s="1055"/>
      <c r="I294" s="1055"/>
      <c r="J294" s="1055"/>
      <c r="K294" s="1055"/>
      <c r="L294" s="1055"/>
      <c r="M294" s="1055"/>
    </row>
    <row r="297">
      <c r="D297" s="1055"/>
      <c r="I297" s="1056" t="s">
        <v>700</v>
      </c>
      <c r="J297" s="211"/>
      <c r="K297" s="1057" t="s">
        <v>1493</v>
      </c>
      <c r="L297" s="213"/>
      <c r="M297" s="211"/>
      <c r="O297" s="1055"/>
      <c r="T297" s="1056" t="s">
        <v>700</v>
      </c>
      <c r="U297" s="211"/>
      <c r="V297" s="1057" t="s">
        <v>1493</v>
      </c>
      <c r="W297" s="213"/>
      <c r="X297" s="211"/>
    </row>
    <row r="298">
      <c r="I298" s="215"/>
      <c r="J298" s="64"/>
      <c r="K298" s="215"/>
      <c r="L298" s="216"/>
      <c r="M298" s="64"/>
      <c r="T298" s="215"/>
      <c r="U298" s="64"/>
      <c r="V298" s="215"/>
      <c r="W298" s="216"/>
      <c r="X298" s="64"/>
    </row>
    <row r="299">
      <c r="I299" s="1056" t="s">
        <v>702</v>
      </c>
      <c r="J299" s="211"/>
      <c r="K299" s="1057" t="s">
        <v>676</v>
      </c>
      <c r="L299" s="213"/>
      <c r="M299" s="211"/>
      <c r="T299" s="1056" t="s">
        <v>351</v>
      </c>
      <c r="U299" s="211"/>
      <c r="V299" s="1057" t="s">
        <v>465</v>
      </c>
      <c r="W299" s="213"/>
      <c r="X299" s="211"/>
    </row>
    <row r="300">
      <c r="I300" s="215"/>
      <c r="J300" s="64"/>
      <c r="K300" s="215"/>
      <c r="L300" s="216"/>
      <c r="M300" s="64"/>
      <c r="T300" s="215"/>
      <c r="U300" s="64"/>
      <c r="V300" s="215"/>
      <c r="W300" s="216"/>
      <c r="X300" s="64"/>
    </row>
    <row r="301">
      <c r="I301" s="1056" t="s">
        <v>778</v>
      </c>
      <c r="J301" s="211"/>
      <c r="K301" s="1057">
        <v>2890.0</v>
      </c>
      <c r="L301" s="213"/>
      <c r="M301" s="211"/>
      <c r="T301" s="1056" t="s">
        <v>778</v>
      </c>
      <c r="U301" s="211"/>
      <c r="V301" s="1058" t="s">
        <v>1521</v>
      </c>
      <c r="W301" s="213"/>
      <c r="X301" s="211"/>
    </row>
    <row r="302">
      <c r="I302" s="215"/>
      <c r="J302" s="64"/>
      <c r="K302" s="215"/>
      <c r="L302" s="216"/>
      <c r="M302" s="64"/>
      <c r="T302" s="215"/>
      <c r="U302" s="64"/>
      <c r="V302" s="215"/>
      <c r="W302" s="216"/>
      <c r="X302" s="64"/>
    </row>
    <row r="303">
      <c r="D303" s="1059" t="s">
        <v>704</v>
      </c>
      <c r="E303" s="222"/>
      <c r="F303" s="1059" t="s">
        <v>5</v>
      </c>
      <c r="G303" s="222"/>
      <c r="H303" s="1059" t="s">
        <v>705</v>
      </c>
      <c r="I303" s="224"/>
      <c r="J303" s="222"/>
      <c r="K303" s="1060" t="s">
        <v>8</v>
      </c>
      <c r="L303" s="1060" t="s">
        <v>706</v>
      </c>
      <c r="M303" s="1060" t="s">
        <v>707</v>
      </c>
      <c r="O303" s="1059" t="s">
        <v>704</v>
      </c>
      <c r="P303" s="222"/>
      <c r="Q303" s="1059" t="s">
        <v>5</v>
      </c>
      <c r="R303" s="222"/>
      <c r="S303" s="1059" t="s">
        <v>705</v>
      </c>
      <c r="T303" s="224"/>
      <c r="U303" s="222"/>
      <c r="V303" s="1060" t="s">
        <v>591</v>
      </c>
      <c r="W303" s="1060" t="s">
        <v>708</v>
      </c>
      <c r="X303" s="1060" t="s">
        <v>707</v>
      </c>
    </row>
    <row r="304">
      <c r="D304" s="1061">
        <v>45986.0</v>
      </c>
      <c r="E304" s="222"/>
      <c r="F304" s="1059">
        <v>170800.0</v>
      </c>
      <c r="G304" s="222"/>
      <c r="H304" s="1059" t="s">
        <v>1522</v>
      </c>
      <c r="I304" s="224"/>
      <c r="J304" s="222"/>
      <c r="K304" s="1062">
        <v>2300.0</v>
      </c>
      <c r="L304" s="1063">
        <v>0.88</v>
      </c>
      <c r="M304" s="1062">
        <f t="shared" ref="M304:M308" si="20">K304*L304</f>
        <v>2024</v>
      </c>
      <c r="O304" s="1061">
        <v>45986.0</v>
      </c>
      <c r="P304" s="222"/>
      <c r="Q304" s="1059">
        <v>170800.0</v>
      </c>
      <c r="R304" s="222"/>
      <c r="S304" s="1059" t="s">
        <v>1522</v>
      </c>
      <c r="T304" s="224"/>
      <c r="U304" s="222"/>
      <c r="V304" s="1060">
        <v>1080.0</v>
      </c>
      <c r="W304" s="1064">
        <v>0.65</v>
      </c>
      <c r="X304" s="1062">
        <f t="shared" ref="X304:X308" si="21">V304*W304</f>
        <v>702</v>
      </c>
    </row>
    <row r="305">
      <c r="D305" s="1065"/>
      <c r="E305" s="222"/>
      <c r="F305" s="1066"/>
      <c r="G305" s="222"/>
      <c r="H305" s="1066"/>
      <c r="I305" s="224"/>
      <c r="J305" s="222"/>
      <c r="K305" s="1067"/>
      <c r="L305" s="1063">
        <v>0.88</v>
      </c>
      <c r="M305" s="1062">
        <f t="shared" si="20"/>
        <v>0</v>
      </c>
      <c r="O305" s="1065"/>
      <c r="P305" s="222"/>
      <c r="Q305" s="1066"/>
      <c r="R305" s="222"/>
      <c r="S305" s="1066"/>
      <c r="T305" s="224"/>
      <c r="U305" s="222"/>
      <c r="V305" s="1068"/>
      <c r="W305" s="1064">
        <v>0.65</v>
      </c>
      <c r="X305" s="1062">
        <f t="shared" si="21"/>
        <v>0</v>
      </c>
    </row>
    <row r="306">
      <c r="D306" s="1065"/>
      <c r="E306" s="222"/>
      <c r="F306" s="1066"/>
      <c r="G306" s="222"/>
      <c r="H306" s="1066"/>
      <c r="I306" s="224"/>
      <c r="J306" s="222"/>
      <c r="K306" s="1067"/>
      <c r="L306" s="1063">
        <v>0.88</v>
      </c>
      <c r="M306" s="1062">
        <f t="shared" si="20"/>
        <v>0</v>
      </c>
      <c r="O306" s="1065"/>
      <c r="P306" s="222"/>
      <c r="Q306" s="1066"/>
      <c r="R306" s="222"/>
      <c r="S306" s="1066"/>
      <c r="T306" s="224"/>
      <c r="U306" s="222"/>
      <c r="V306" s="1068"/>
      <c r="W306" s="1064">
        <v>0.65</v>
      </c>
      <c r="X306" s="1062">
        <f t="shared" si="21"/>
        <v>0</v>
      </c>
    </row>
    <row r="307">
      <c r="D307" s="1065"/>
      <c r="E307" s="222"/>
      <c r="F307" s="1066"/>
      <c r="G307" s="222"/>
      <c r="H307" s="1066"/>
      <c r="I307" s="224"/>
      <c r="J307" s="222"/>
      <c r="K307" s="1067"/>
      <c r="L307" s="1063">
        <v>0.88</v>
      </c>
      <c r="M307" s="1062">
        <f t="shared" si="20"/>
        <v>0</v>
      </c>
      <c r="O307" s="1065"/>
      <c r="P307" s="222"/>
      <c r="Q307" s="1066"/>
      <c r="R307" s="222"/>
      <c r="S307" s="1066"/>
      <c r="T307" s="224"/>
      <c r="U307" s="222"/>
      <c r="V307" s="1068"/>
      <c r="W307" s="1064">
        <v>0.65</v>
      </c>
      <c r="X307" s="1062">
        <f t="shared" si="21"/>
        <v>0</v>
      </c>
    </row>
    <row r="308">
      <c r="D308" s="1065"/>
      <c r="E308" s="222"/>
      <c r="F308" s="1066"/>
      <c r="G308" s="222"/>
      <c r="H308" s="1066"/>
      <c r="I308" s="224"/>
      <c r="J308" s="222"/>
      <c r="K308" s="1067"/>
      <c r="L308" s="1063">
        <v>0.88</v>
      </c>
      <c r="M308" s="1062">
        <f t="shared" si="20"/>
        <v>0</v>
      </c>
      <c r="O308" s="1065"/>
      <c r="P308" s="222"/>
      <c r="Q308" s="1066"/>
      <c r="R308" s="222"/>
      <c r="S308" s="1066"/>
      <c r="T308" s="224"/>
      <c r="U308" s="222"/>
      <c r="V308" s="1068"/>
      <c r="W308" s="1064">
        <v>0.65</v>
      </c>
      <c r="X308" s="1062">
        <f t="shared" si="21"/>
        <v>0</v>
      </c>
    </row>
    <row r="309">
      <c r="D309" s="1072" t="s">
        <v>711</v>
      </c>
      <c r="E309" s="224"/>
      <c r="F309" s="224"/>
      <c r="G309" s="224"/>
      <c r="H309" s="224"/>
      <c r="I309" s="224"/>
      <c r="J309" s="222"/>
      <c r="K309" s="1073">
        <f>SUM(K304:K308)</f>
        <v>2300</v>
      </c>
      <c r="L309" s="1069"/>
      <c r="M309" s="1073">
        <f>SUM(M304:M308)</f>
        <v>2024</v>
      </c>
      <c r="O309" s="1072" t="s">
        <v>711</v>
      </c>
      <c r="P309" s="224"/>
      <c r="Q309" s="224"/>
      <c r="R309" s="224"/>
      <c r="S309" s="224"/>
      <c r="T309" s="224"/>
      <c r="U309" s="222"/>
      <c r="V309" s="1060">
        <f>SUM(V304:V308)</f>
        <v>1080</v>
      </c>
      <c r="W309" s="1074"/>
      <c r="X309" s="1062">
        <f>SUM(X304:X308)</f>
        <v>702</v>
      </c>
    </row>
    <row r="310">
      <c r="D310" s="1055"/>
      <c r="E310" s="1055"/>
      <c r="F310" s="1055"/>
      <c r="G310" s="1055"/>
      <c r="H310" s="1055"/>
      <c r="I310" s="1055"/>
      <c r="J310" s="1055"/>
      <c r="K310" s="1055"/>
      <c r="L310" s="1055"/>
      <c r="M310" s="1055"/>
      <c r="O310" s="1055"/>
      <c r="P310" s="1055"/>
      <c r="Q310" s="1055"/>
      <c r="R310" s="1055"/>
      <c r="S310" s="1055"/>
      <c r="T310" s="1055"/>
      <c r="U310" s="1055"/>
      <c r="V310" s="1055"/>
      <c r="W310" s="1055"/>
      <c r="X310" s="1055"/>
    </row>
    <row r="311">
      <c r="D311" s="1075" t="s">
        <v>712</v>
      </c>
      <c r="E311" s="222"/>
      <c r="F311" s="1076"/>
      <c r="G311" s="222"/>
      <c r="H311" s="1055"/>
      <c r="I311" s="1055"/>
      <c r="J311" s="1055"/>
      <c r="K311" s="1055"/>
      <c r="L311" s="1055"/>
      <c r="M311" s="1055"/>
      <c r="O311" s="1075" t="s">
        <v>712</v>
      </c>
      <c r="P311" s="222"/>
      <c r="Q311" s="1076"/>
      <c r="R311" s="222"/>
      <c r="S311" s="1055"/>
      <c r="T311" s="1055"/>
      <c r="U311" s="1055"/>
      <c r="V311" s="1055"/>
      <c r="W311" s="1055"/>
      <c r="X311" s="1055"/>
    </row>
    <row r="312">
      <c r="D312" s="1077" t="s">
        <v>1496</v>
      </c>
      <c r="E312" s="222"/>
      <c r="F312" s="1078">
        <v>250.0</v>
      </c>
      <c r="G312" s="222"/>
      <c r="H312" s="1055"/>
      <c r="I312" s="1055"/>
      <c r="J312" s="1055"/>
      <c r="K312" s="1055"/>
      <c r="L312" s="1055"/>
      <c r="M312" s="1055"/>
      <c r="O312" s="1077" t="s">
        <v>1496</v>
      </c>
      <c r="P312" s="222"/>
      <c r="Q312" s="1078">
        <v>250.0</v>
      </c>
      <c r="R312" s="222"/>
      <c r="S312" s="1055"/>
      <c r="T312" s="1055"/>
      <c r="U312" s="1055"/>
      <c r="V312" s="1055"/>
      <c r="W312" s="1055"/>
      <c r="X312" s="1055"/>
    </row>
    <row r="313">
      <c r="D313" s="1079"/>
      <c r="E313" s="222"/>
      <c r="F313" s="1076"/>
      <c r="G313" s="222"/>
      <c r="H313" s="1055"/>
      <c r="I313" s="1055"/>
      <c r="J313" s="1055"/>
      <c r="K313" s="1055"/>
      <c r="L313" s="1055"/>
      <c r="M313" s="1055"/>
      <c r="O313" s="1079"/>
      <c r="P313" s="222"/>
      <c r="Q313" s="1076"/>
      <c r="R313" s="222"/>
      <c r="S313" s="1055"/>
      <c r="T313" s="1055"/>
      <c r="U313" s="1055"/>
      <c r="V313" s="1055"/>
      <c r="W313" s="1055"/>
      <c r="X313" s="1055"/>
    </row>
    <row r="314">
      <c r="D314" s="1080" t="s">
        <v>714</v>
      </c>
      <c r="E314" s="222"/>
      <c r="F314" s="1078">
        <f>SUM(F311:G313)</f>
        <v>250</v>
      </c>
      <c r="G314" s="222"/>
      <c r="H314" s="1055"/>
      <c r="I314" s="1055"/>
      <c r="J314" s="1055"/>
      <c r="K314" s="1055"/>
      <c r="L314" s="1055"/>
      <c r="M314" s="1055"/>
      <c r="O314" s="1079"/>
      <c r="P314" s="222"/>
      <c r="Q314" s="1076"/>
      <c r="R314" s="222"/>
      <c r="S314" s="1055"/>
      <c r="T314" s="1055"/>
      <c r="U314" s="1055"/>
      <c r="V314" s="1055"/>
      <c r="W314" s="1055"/>
      <c r="X314" s="1055"/>
    </row>
    <row r="315">
      <c r="D315" s="1081"/>
      <c r="E315" s="224"/>
      <c r="F315" s="224"/>
      <c r="G315" s="222"/>
      <c r="H315" s="1055"/>
      <c r="I315" s="1055"/>
      <c r="J315" s="1055"/>
      <c r="K315" s="1055"/>
      <c r="L315" s="1055"/>
      <c r="M315" s="1055"/>
      <c r="O315" s="1079"/>
      <c r="P315" s="222"/>
      <c r="Q315" s="1076"/>
      <c r="R315" s="222"/>
      <c r="S315" s="1055"/>
      <c r="T315" s="1055"/>
      <c r="U315" s="1055"/>
      <c r="V315" s="1055"/>
      <c r="W315" s="1055"/>
      <c r="X315" s="1055"/>
    </row>
    <row r="316">
      <c r="D316" s="1082" t="s">
        <v>715</v>
      </c>
      <c r="E316" s="222"/>
      <c r="F316" s="1083"/>
      <c r="G316" s="222"/>
      <c r="H316" s="1055"/>
      <c r="I316" s="1055"/>
      <c r="J316" s="1055"/>
      <c r="K316" s="1055"/>
      <c r="L316" s="1055"/>
      <c r="M316" s="1055"/>
      <c r="O316" s="1079"/>
      <c r="P316" s="222"/>
      <c r="Q316" s="1076"/>
      <c r="R316" s="222"/>
      <c r="S316" s="1055"/>
      <c r="T316" s="1055"/>
      <c r="U316" s="1055"/>
      <c r="V316" s="1055"/>
      <c r="W316" s="1055"/>
      <c r="X316" s="1055"/>
    </row>
    <row r="317">
      <c r="D317" s="1090" t="s">
        <v>716</v>
      </c>
      <c r="E317" s="222"/>
      <c r="F317" s="1088">
        <v>150.0</v>
      </c>
      <c r="G317" s="222"/>
      <c r="H317" s="1055"/>
      <c r="I317" s="1055"/>
      <c r="J317" s="1055"/>
      <c r="K317" s="1055"/>
      <c r="L317" s="1055"/>
      <c r="M317" s="1055"/>
      <c r="O317" s="1080" t="s">
        <v>714</v>
      </c>
      <c r="P317" s="222"/>
      <c r="Q317" s="1078">
        <f>SUM(Q311:R316)</f>
        <v>250</v>
      </c>
      <c r="R317" s="222"/>
      <c r="S317" s="1055"/>
      <c r="T317" s="1055"/>
      <c r="U317" s="1055"/>
      <c r="V317" s="1055"/>
      <c r="W317" s="1055"/>
      <c r="X317" s="1055"/>
    </row>
    <row r="318">
      <c r="D318" s="1090" t="s">
        <v>717</v>
      </c>
      <c r="E318" s="222"/>
      <c r="F318" s="1088">
        <v>400.0</v>
      </c>
      <c r="G318" s="222"/>
      <c r="H318" s="1055"/>
      <c r="I318" s="1055"/>
      <c r="J318" s="1055"/>
      <c r="K318" s="1055"/>
      <c r="L318" s="1055"/>
      <c r="M318" s="1055"/>
      <c r="O318" s="1055"/>
      <c r="P318" s="1055"/>
      <c r="Q318" s="1055"/>
      <c r="S318" s="1055"/>
      <c r="T318" s="1055"/>
      <c r="U318" s="1055"/>
      <c r="V318" s="1055"/>
      <c r="W318" s="1055"/>
      <c r="X318" s="1055"/>
    </row>
    <row r="319">
      <c r="D319" s="1090" t="s">
        <v>718</v>
      </c>
      <c r="E319" s="222"/>
      <c r="F319" s="1088">
        <v>200.0</v>
      </c>
      <c r="G319" s="222"/>
      <c r="H319" s="1055"/>
      <c r="I319" s="1055"/>
      <c r="J319" s="1055"/>
      <c r="K319" s="1055"/>
      <c r="L319" s="1055"/>
      <c r="M319" s="1055"/>
      <c r="O319" s="1082" t="s">
        <v>715</v>
      </c>
      <c r="P319" s="222"/>
      <c r="Q319" s="1083"/>
      <c r="R319" s="222"/>
      <c r="S319" s="1055"/>
      <c r="T319" s="1055"/>
      <c r="U319" s="1055"/>
      <c r="V319" s="1055"/>
      <c r="W319" s="1055"/>
      <c r="X319" s="1055"/>
    </row>
    <row r="320">
      <c r="D320" s="1090" t="s">
        <v>656</v>
      </c>
      <c r="E320" s="222"/>
      <c r="F320" s="1088">
        <v>1094.4</v>
      </c>
      <c r="G320" s="222"/>
      <c r="H320" s="1055"/>
      <c r="I320" s="1055"/>
      <c r="J320" s="1055"/>
      <c r="K320" s="1055"/>
      <c r="L320" s="1055"/>
      <c r="M320" s="1055"/>
      <c r="O320" s="1084"/>
      <c r="P320" s="222"/>
      <c r="Q320" s="1083"/>
      <c r="R320" s="222"/>
      <c r="S320" s="1055"/>
      <c r="T320" s="1055"/>
      <c r="U320" s="1085" t="s">
        <v>1497</v>
      </c>
      <c r="V320" s="211"/>
      <c r="W320" s="1086">
        <f>X309+Q317-Q325</f>
        <v>952</v>
      </c>
      <c r="X320" s="211"/>
    </row>
    <row r="321">
      <c r="D321" s="1090" t="s">
        <v>748</v>
      </c>
      <c r="E321" s="222"/>
      <c r="F321" s="1088">
        <f>223.65+42.55</f>
        <v>266.2</v>
      </c>
      <c r="G321" s="222"/>
      <c r="H321" s="1055"/>
      <c r="I321" s="1055"/>
      <c r="J321" s="1085" t="s">
        <v>1498</v>
      </c>
      <c r="K321" s="211"/>
      <c r="L321" s="1086">
        <f>M309+F314-F326</f>
        <v>163.4</v>
      </c>
      <c r="M321" s="211"/>
      <c r="O321" s="1084"/>
      <c r="P321" s="222"/>
      <c r="Q321" s="1083"/>
      <c r="R321" s="222"/>
      <c r="S321" s="1055"/>
      <c r="T321" s="1055"/>
      <c r="U321" s="278"/>
      <c r="V321" s="56"/>
      <c r="W321" s="278"/>
      <c r="X321" s="56"/>
    </row>
    <row r="322">
      <c r="D322" s="1084"/>
      <c r="E322" s="222"/>
      <c r="F322" s="1083"/>
      <c r="G322" s="222"/>
      <c r="H322" s="1055"/>
      <c r="I322" s="1055"/>
      <c r="J322" s="278"/>
      <c r="K322" s="56"/>
      <c r="L322" s="278"/>
      <c r="M322" s="56"/>
      <c r="O322" s="1084"/>
      <c r="P322" s="222"/>
      <c r="Q322" s="1083"/>
      <c r="R322" s="222"/>
      <c r="S322" s="1055"/>
      <c r="T322" s="1055"/>
      <c r="U322" s="215"/>
      <c r="V322" s="64"/>
      <c r="W322" s="215"/>
      <c r="X322" s="64"/>
    </row>
    <row r="323">
      <c r="D323" s="1084"/>
      <c r="E323" s="222"/>
      <c r="F323" s="1083"/>
      <c r="G323" s="222"/>
      <c r="H323" s="1055"/>
      <c r="I323" s="1055"/>
      <c r="J323" s="215"/>
      <c r="K323" s="64"/>
      <c r="L323" s="215"/>
      <c r="M323" s="64"/>
      <c r="O323" s="1084"/>
      <c r="P323" s="222"/>
      <c r="Q323" s="1083"/>
      <c r="R323" s="222"/>
      <c r="S323" s="1055"/>
      <c r="T323" s="1055"/>
      <c r="U323" s="1055"/>
      <c r="V323" s="1055"/>
      <c r="W323" s="1055"/>
      <c r="X323" s="1055"/>
    </row>
    <row r="324">
      <c r="D324" s="1084"/>
      <c r="E324" s="222"/>
      <c r="F324" s="1083"/>
      <c r="G324" s="222"/>
      <c r="H324" s="1055"/>
      <c r="I324" s="1055"/>
      <c r="J324" s="1055"/>
      <c r="K324" s="1055"/>
      <c r="L324" s="1055"/>
      <c r="M324" s="1055"/>
      <c r="O324" s="1084"/>
      <c r="P324" s="222"/>
      <c r="Q324" s="1083"/>
      <c r="R324" s="222"/>
      <c r="S324" s="1055"/>
      <c r="T324" s="1055"/>
      <c r="U324" s="1055"/>
      <c r="V324" s="1055"/>
      <c r="W324" s="1055"/>
      <c r="X324" s="1055"/>
    </row>
    <row r="325">
      <c r="D325" s="1084"/>
      <c r="E325" s="222"/>
      <c r="F325" s="1083"/>
      <c r="G325" s="222"/>
      <c r="H325" s="1055"/>
      <c r="I325" s="1055"/>
      <c r="J325" s="1055"/>
      <c r="K325" s="1055"/>
      <c r="L325" s="1055"/>
      <c r="M325" s="1055"/>
      <c r="O325" s="1087" t="s">
        <v>721</v>
      </c>
      <c r="P325" s="222"/>
      <c r="Q325" s="1088">
        <f>SUM(Q319:R324)</f>
        <v>0</v>
      </c>
      <c r="R325" s="222"/>
      <c r="S325" s="1055"/>
      <c r="T325" s="1055"/>
      <c r="U325" s="1055"/>
      <c r="V325" s="1055"/>
      <c r="W325" s="1055"/>
      <c r="X325" s="1055"/>
    </row>
    <row r="326">
      <c r="D326" s="1087" t="s">
        <v>721</v>
      </c>
      <c r="E326" s="222"/>
      <c r="F326" s="1088">
        <f>SUM(F317:G325)</f>
        <v>2110.6</v>
      </c>
      <c r="G326" s="222"/>
      <c r="H326" s="1055"/>
      <c r="I326" s="1055"/>
      <c r="J326" s="1055"/>
      <c r="K326" s="1055"/>
      <c r="L326" s="1055"/>
      <c r="M326" s="1055"/>
    </row>
    <row r="329">
      <c r="D329" s="1055"/>
      <c r="H329" s="56"/>
      <c r="I329" s="1056" t="s">
        <v>700</v>
      </c>
      <c r="J329" s="211"/>
      <c r="K329" s="1057" t="s">
        <v>1493</v>
      </c>
      <c r="L329" s="213"/>
      <c r="M329" s="211"/>
      <c r="O329" s="1055"/>
      <c r="T329" s="1056" t="s">
        <v>700</v>
      </c>
      <c r="U329" s="211"/>
      <c r="V329" s="1057" t="s">
        <v>1493</v>
      </c>
      <c r="W329" s="213"/>
      <c r="X329" s="211"/>
    </row>
    <row r="330">
      <c r="H330" s="56"/>
      <c r="I330" s="215"/>
      <c r="J330" s="64"/>
      <c r="K330" s="215"/>
      <c r="L330" s="216"/>
      <c r="M330" s="64"/>
      <c r="T330" s="215"/>
      <c r="U330" s="64"/>
      <c r="V330" s="215"/>
      <c r="W330" s="216"/>
      <c r="X330" s="64"/>
    </row>
    <row r="331">
      <c r="H331" s="56"/>
      <c r="I331" s="1056" t="s">
        <v>702</v>
      </c>
      <c r="J331" s="211"/>
      <c r="K331" s="1057" t="s">
        <v>676</v>
      </c>
      <c r="L331" s="213"/>
      <c r="M331" s="211"/>
      <c r="T331" s="1056" t="s">
        <v>351</v>
      </c>
      <c r="U331" s="211"/>
      <c r="V331" s="1057" t="s">
        <v>615</v>
      </c>
      <c r="W331" s="213"/>
      <c r="X331" s="211"/>
    </row>
    <row r="332">
      <c r="H332" s="56"/>
      <c r="I332" s="215"/>
      <c r="J332" s="64"/>
      <c r="K332" s="215"/>
      <c r="L332" s="216"/>
      <c r="M332" s="64"/>
      <c r="T332" s="215"/>
      <c r="U332" s="64"/>
      <c r="V332" s="215"/>
      <c r="W332" s="216"/>
      <c r="X332" s="64"/>
    </row>
    <row r="333">
      <c r="H333" s="56"/>
      <c r="I333" s="1056" t="s">
        <v>703</v>
      </c>
      <c r="J333" s="211"/>
      <c r="K333" s="1057">
        <v>2316.0</v>
      </c>
      <c r="L333" s="213"/>
      <c r="M333" s="211"/>
      <c r="T333" s="1056" t="s">
        <v>703</v>
      </c>
      <c r="U333" s="211"/>
      <c r="V333" s="1057">
        <v>2316.0</v>
      </c>
      <c r="W333" s="213"/>
      <c r="X333" s="211"/>
    </row>
    <row r="334">
      <c r="D334" s="216"/>
      <c r="E334" s="216"/>
      <c r="F334" s="216"/>
      <c r="G334" s="216"/>
      <c r="H334" s="64"/>
      <c r="I334" s="215"/>
      <c r="J334" s="64"/>
      <c r="K334" s="215"/>
      <c r="L334" s="216"/>
      <c r="M334" s="64"/>
      <c r="T334" s="215"/>
      <c r="U334" s="64"/>
      <c r="V334" s="215"/>
      <c r="W334" s="216"/>
      <c r="X334" s="64"/>
    </row>
    <row r="335">
      <c r="D335" s="1059" t="s">
        <v>704</v>
      </c>
      <c r="E335" s="222"/>
      <c r="F335" s="1059" t="s">
        <v>5</v>
      </c>
      <c r="G335" s="222"/>
      <c r="H335" s="1059" t="s">
        <v>705</v>
      </c>
      <c r="I335" s="224"/>
      <c r="J335" s="222"/>
      <c r="K335" s="1060" t="s">
        <v>8</v>
      </c>
      <c r="L335" s="1060" t="s">
        <v>706</v>
      </c>
      <c r="M335" s="1060" t="s">
        <v>707</v>
      </c>
      <c r="O335" s="1059" t="s">
        <v>704</v>
      </c>
      <c r="P335" s="222"/>
      <c r="Q335" s="1059" t="s">
        <v>5</v>
      </c>
      <c r="R335" s="222"/>
      <c r="S335" s="1059" t="s">
        <v>705</v>
      </c>
      <c r="T335" s="224"/>
      <c r="U335" s="222"/>
      <c r="V335" s="1060" t="s">
        <v>591</v>
      </c>
      <c r="W335" s="1060" t="s">
        <v>708</v>
      </c>
      <c r="X335" s="1060" t="s">
        <v>707</v>
      </c>
    </row>
    <row r="336">
      <c r="D336" s="1061">
        <v>45987.0</v>
      </c>
      <c r="E336" s="222"/>
      <c r="F336" s="1059">
        <v>6.5171572E7</v>
      </c>
      <c r="G336" s="222"/>
      <c r="H336" s="1059" t="s">
        <v>1523</v>
      </c>
      <c r="I336" s="224"/>
      <c r="J336" s="222"/>
      <c r="K336" s="1062">
        <v>4700.0</v>
      </c>
      <c r="L336" s="1063">
        <v>0.88</v>
      </c>
      <c r="M336" s="1062">
        <f t="shared" ref="M336:M340" si="22">K336*L336</f>
        <v>4136</v>
      </c>
      <c r="O336" s="1061">
        <v>45987.0</v>
      </c>
      <c r="P336" s="222"/>
      <c r="Q336" s="1059">
        <v>6.5171572E7</v>
      </c>
      <c r="R336" s="222"/>
      <c r="S336" s="1059" t="s">
        <v>1523</v>
      </c>
      <c r="T336" s="224"/>
      <c r="U336" s="222"/>
      <c r="V336" s="1060">
        <v>2887.0</v>
      </c>
      <c r="W336" s="1064">
        <v>0.65</v>
      </c>
      <c r="X336" s="1062">
        <f t="shared" ref="X336:X341" si="23">W336*V336</f>
        <v>1876.55</v>
      </c>
    </row>
    <row r="337">
      <c r="D337" s="1065"/>
      <c r="E337" s="222"/>
      <c r="F337" s="1066"/>
      <c r="G337" s="222"/>
      <c r="H337" s="1066"/>
      <c r="I337" s="224"/>
      <c r="J337" s="222"/>
      <c r="K337" s="1067"/>
      <c r="L337" s="1063">
        <v>0.88</v>
      </c>
      <c r="M337" s="1062">
        <f t="shared" si="22"/>
        <v>0</v>
      </c>
      <c r="O337" s="1065"/>
      <c r="P337" s="222"/>
      <c r="Q337" s="1066"/>
      <c r="R337" s="222"/>
      <c r="S337" s="1066"/>
      <c r="T337" s="224"/>
      <c r="U337" s="222"/>
      <c r="V337" s="1068"/>
      <c r="W337" s="1064">
        <v>0.65</v>
      </c>
      <c r="X337" s="1062">
        <f t="shared" si="23"/>
        <v>0</v>
      </c>
    </row>
    <row r="338">
      <c r="D338" s="1065"/>
      <c r="E338" s="222"/>
      <c r="F338" s="1066"/>
      <c r="G338" s="222"/>
      <c r="H338" s="1066"/>
      <c r="I338" s="224"/>
      <c r="J338" s="222"/>
      <c r="K338" s="1067"/>
      <c r="L338" s="1063">
        <v>0.88</v>
      </c>
      <c r="M338" s="1062">
        <f t="shared" si="22"/>
        <v>0</v>
      </c>
      <c r="O338" s="1065"/>
      <c r="P338" s="222"/>
      <c r="Q338" s="1066"/>
      <c r="R338" s="222"/>
      <c r="S338" s="1066"/>
      <c r="T338" s="224"/>
      <c r="U338" s="222"/>
      <c r="V338" s="1068"/>
      <c r="W338" s="1064">
        <v>0.65</v>
      </c>
      <c r="X338" s="1062">
        <f t="shared" si="23"/>
        <v>0</v>
      </c>
    </row>
    <row r="339">
      <c r="D339" s="1065"/>
      <c r="E339" s="222"/>
      <c r="F339" s="1066"/>
      <c r="G339" s="222"/>
      <c r="H339" s="1066"/>
      <c r="I339" s="224"/>
      <c r="J339" s="222"/>
      <c r="K339" s="1067"/>
      <c r="L339" s="1063">
        <v>0.88</v>
      </c>
      <c r="M339" s="1062">
        <f t="shared" si="22"/>
        <v>0</v>
      </c>
      <c r="O339" s="1065"/>
      <c r="P339" s="222"/>
      <c r="Q339" s="1066"/>
      <c r="R339" s="222"/>
      <c r="S339" s="1066"/>
      <c r="T339" s="224"/>
      <c r="U339" s="222"/>
      <c r="V339" s="1068"/>
      <c r="W339" s="1064">
        <v>0.65</v>
      </c>
      <c r="X339" s="1062">
        <f t="shared" si="23"/>
        <v>0</v>
      </c>
    </row>
    <row r="340">
      <c r="D340" s="1065"/>
      <c r="E340" s="222"/>
      <c r="F340" s="1070"/>
      <c r="G340" s="222"/>
      <c r="H340" s="1066"/>
      <c r="I340" s="224"/>
      <c r="J340" s="222"/>
      <c r="K340" s="1067"/>
      <c r="L340" s="1063">
        <v>0.88</v>
      </c>
      <c r="M340" s="1062">
        <f t="shared" si="22"/>
        <v>0</v>
      </c>
      <c r="O340" s="1065"/>
      <c r="P340" s="222"/>
      <c r="Q340" s="1070"/>
      <c r="R340" s="222"/>
      <c r="S340" s="1066"/>
      <c r="T340" s="224"/>
      <c r="U340" s="222"/>
      <c r="V340" s="1068"/>
      <c r="W340" s="1064">
        <v>0.65</v>
      </c>
      <c r="X340" s="1062">
        <f t="shared" si="23"/>
        <v>0</v>
      </c>
    </row>
    <row r="341">
      <c r="D341" s="1072" t="s">
        <v>711</v>
      </c>
      <c r="E341" s="224"/>
      <c r="F341" s="224"/>
      <c r="G341" s="224"/>
      <c r="H341" s="224"/>
      <c r="I341" s="224"/>
      <c r="J341" s="222"/>
      <c r="K341" s="1073">
        <f>SUM(K336:K340)</f>
        <v>4700</v>
      </c>
      <c r="L341" s="1069"/>
      <c r="M341" s="1073">
        <f>SUM(M336:M340)</f>
        <v>4136</v>
      </c>
      <c r="O341" s="1065"/>
      <c r="P341" s="222"/>
      <c r="Q341" s="1066"/>
      <c r="R341" s="222"/>
      <c r="S341" s="1066"/>
      <c r="T341" s="224"/>
      <c r="U341" s="222"/>
      <c r="V341" s="1068"/>
      <c r="W341" s="1064">
        <v>0.65</v>
      </c>
      <c r="X341" s="1062">
        <f t="shared" si="23"/>
        <v>0</v>
      </c>
    </row>
    <row r="342">
      <c r="D342" s="1055"/>
      <c r="E342" s="1055"/>
      <c r="F342" s="1055"/>
      <c r="G342" s="1055"/>
      <c r="H342" s="1055"/>
      <c r="I342" s="1055"/>
      <c r="J342" s="1055"/>
      <c r="K342" s="1055"/>
      <c r="L342" s="1055"/>
      <c r="M342" s="1055"/>
      <c r="O342" s="1072" t="s">
        <v>711</v>
      </c>
      <c r="P342" s="224"/>
      <c r="Q342" s="224"/>
      <c r="R342" s="224"/>
      <c r="S342" s="224"/>
      <c r="T342" s="224"/>
      <c r="U342" s="222"/>
      <c r="V342" s="1060">
        <f>SUM(V336:V341)</f>
        <v>2887</v>
      </c>
      <c r="W342" s="1074"/>
      <c r="X342" s="1062">
        <f>SUM(X336:X341)</f>
        <v>1876.55</v>
      </c>
    </row>
    <row r="343">
      <c r="D343" s="1075" t="s">
        <v>712</v>
      </c>
      <c r="E343" s="222"/>
      <c r="F343" s="1076"/>
      <c r="G343" s="222"/>
      <c r="H343" s="1055"/>
      <c r="I343" s="1055"/>
      <c r="J343" s="1055"/>
      <c r="K343" s="1055"/>
      <c r="L343" s="1055"/>
      <c r="M343" s="1055"/>
      <c r="O343" s="1055"/>
      <c r="P343" s="1055"/>
      <c r="Q343" s="1055"/>
      <c r="R343" s="1055"/>
      <c r="S343" s="1055"/>
      <c r="T343" s="1055"/>
      <c r="U343" s="1055"/>
      <c r="V343" s="1055"/>
      <c r="W343" s="1055"/>
      <c r="X343" s="1055"/>
    </row>
    <row r="344">
      <c r="D344" s="1077" t="s">
        <v>1496</v>
      </c>
      <c r="E344" s="222"/>
      <c r="F344" s="1078">
        <v>250.0</v>
      </c>
      <c r="G344" s="222"/>
      <c r="H344" s="1055"/>
      <c r="I344" s="1055"/>
      <c r="J344" s="1055"/>
      <c r="K344" s="1055"/>
      <c r="L344" s="1055"/>
      <c r="M344" s="1055"/>
      <c r="O344" s="1075" t="s">
        <v>712</v>
      </c>
      <c r="P344" s="222"/>
      <c r="Q344" s="1076"/>
      <c r="R344" s="222"/>
      <c r="S344" s="1055"/>
      <c r="T344" s="1055"/>
      <c r="U344" s="1055"/>
      <c r="V344" s="1055"/>
      <c r="W344" s="1055"/>
      <c r="X344" s="1055"/>
    </row>
    <row r="345">
      <c r="D345" s="1079"/>
      <c r="E345" s="222"/>
      <c r="F345" s="1076"/>
      <c r="G345" s="222"/>
      <c r="H345" s="1055"/>
      <c r="I345" s="1055"/>
      <c r="J345" s="1055"/>
      <c r="K345" s="1055"/>
      <c r="L345" s="1055"/>
      <c r="M345" s="1055"/>
      <c r="O345" s="1077" t="s">
        <v>1496</v>
      </c>
      <c r="P345" s="222"/>
      <c r="Q345" s="1078">
        <v>250.0</v>
      </c>
      <c r="R345" s="222"/>
      <c r="S345" s="1055"/>
      <c r="T345" s="1055"/>
      <c r="U345" s="1055"/>
      <c r="V345" s="1055"/>
      <c r="W345" s="1055"/>
      <c r="X345" s="1055"/>
    </row>
    <row r="346">
      <c r="D346" s="1080" t="s">
        <v>714</v>
      </c>
      <c r="E346" s="222"/>
      <c r="F346" s="1078">
        <f>SUM(F343:G345)</f>
        <v>250</v>
      </c>
      <c r="G346" s="222"/>
      <c r="H346" s="1055"/>
      <c r="I346" s="1055"/>
      <c r="J346" s="1055"/>
      <c r="K346" s="1055"/>
      <c r="L346" s="1055"/>
      <c r="M346" s="1055"/>
      <c r="O346" s="1079"/>
      <c r="P346" s="222"/>
      <c r="Q346" s="1076"/>
      <c r="R346" s="222"/>
      <c r="S346" s="1055"/>
      <c r="T346" s="1055"/>
      <c r="U346" s="1055"/>
      <c r="V346" s="1055"/>
      <c r="W346" s="1055"/>
      <c r="X346" s="1055"/>
    </row>
    <row r="347">
      <c r="D347" s="1081"/>
      <c r="E347" s="224"/>
      <c r="F347" s="224"/>
      <c r="G347" s="222"/>
      <c r="H347" s="1055"/>
      <c r="I347" s="1055"/>
      <c r="J347" s="1055"/>
      <c r="K347" s="1055"/>
      <c r="L347" s="1055"/>
      <c r="M347" s="1055"/>
      <c r="O347" s="1079"/>
      <c r="P347" s="222"/>
      <c r="Q347" s="1076"/>
      <c r="R347" s="222"/>
      <c r="S347" s="1055"/>
      <c r="T347" s="1055"/>
      <c r="U347" s="1055"/>
      <c r="V347" s="1055"/>
      <c r="W347" s="1055"/>
      <c r="X347" s="1055"/>
    </row>
    <row r="348">
      <c r="D348" s="1082" t="s">
        <v>715</v>
      </c>
      <c r="E348" s="222"/>
      <c r="F348" s="1083"/>
      <c r="G348" s="222"/>
      <c r="H348" s="1055"/>
      <c r="I348" s="1055"/>
      <c r="J348" s="1055"/>
      <c r="K348" s="1055"/>
      <c r="L348" s="1055"/>
      <c r="M348" s="1055"/>
      <c r="O348" s="1079"/>
      <c r="P348" s="222"/>
      <c r="Q348" s="1076"/>
      <c r="R348" s="222"/>
      <c r="S348" s="1055"/>
      <c r="T348" s="1055"/>
      <c r="U348" s="1055"/>
      <c r="V348" s="1055"/>
      <c r="W348" s="1055"/>
      <c r="X348" s="1055"/>
    </row>
    <row r="349">
      <c r="D349" s="1090" t="s">
        <v>716</v>
      </c>
      <c r="E349" s="222"/>
      <c r="F349" s="1088">
        <v>150.0</v>
      </c>
      <c r="G349" s="222"/>
      <c r="H349" s="1055"/>
      <c r="I349" s="1055"/>
      <c r="J349" s="1055"/>
      <c r="K349" s="1055"/>
      <c r="L349" s="1055"/>
      <c r="M349" s="1055"/>
      <c r="O349" s="1079"/>
      <c r="P349" s="222"/>
      <c r="Q349" s="1076"/>
      <c r="R349" s="222"/>
      <c r="S349" s="1055"/>
      <c r="T349" s="1055"/>
      <c r="U349" s="1055"/>
      <c r="V349" s="1055"/>
      <c r="W349" s="1055"/>
      <c r="X349" s="1055"/>
    </row>
    <row r="350">
      <c r="D350" s="1090" t="s">
        <v>717</v>
      </c>
      <c r="E350" s="222"/>
      <c r="F350" s="1088">
        <v>400.0</v>
      </c>
      <c r="G350" s="222"/>
      <c r="H350" s="1055"/>
      <c r="I350" s="1055"/>
      <c r="J350" s="1055"/>
      <c r="K350" s="1055"/>
      <c r="L350" s="1055"/>
      <c r="M350" s="1055"/>
      <c r="O350" s="1080" t="s">
        <v>714</v>
      </c>
      <c r="P350" s="222"/>
      <c r="Q350" s="1078">
        <f>SUM(Q344:R349)</f>
        <v>250</v>
      </c>
      <c r="R350" s="222"/>
      <c r="S350" s="1055"/>
      <c r="T350" s="1055"/>
      <c r="U350" s="1055"/>
      <c r="V350" s="1055"/>
      <c r="W350" s="1055"/>
      <c r="X350" s="1055"/>
    </row>
    <row r="351">
      <c r="D351" s="1090" t="s">
        <v>718</v>
      </c>
      <c r="E351" s="222"/>
      <c r="F351" s="1088">
        <v>200.0</v>
      </c>
      <c r="G351" s="222"/>
      <c r="H351" s="1055"/>
      <c r="I351" s="1055"/>
      <c r="J351" s="1055"/>
      <c r="K351" s="1055"/>
      <c r="L351" s="1055"/>
      <c r="M351" s="1055"/>
      <c r="O351" s="1055"/>
      <c r="P351" s="1055"/>
      <c r="Q351" s="1055"/>
      <c r="S351" s="1055"/>
      <c r="T351" s="1055"/>
      <c r="U351" s="1055"/>
      <c r="V351" s="1055"/>
      <c r="W351" s="1055"/>
      <c r="X351" s="1055"/>
    </row>
    <row r="352">
      <c r="D352" s="1090" t="s">
        <v>656</v>
      </c>
      <c r="E352" s="222"/>
      <c r="F352" s="1088">
        <v>2729.63</v>
      </c>
      <c r="G352" s="222"/>
      <c r="H352" s="1055"/>
      <c r="I352" s="1055"/>
      <c r="J352" s="1055"/>
      <c r="K352" s="1055"/>
      <c r="L352" s="1055"/>
      <c r="M352" s="1055"/>
      <c r="O352" s="1082" t="s">
        <v>715</v>
      </c>
      <c r="P352" s="222"/>
      <c r="Q352" s="1083"/>
      <c r="R352" s="222"/>
      <c r="S352" s="1055"/>
      <c r="T352" s="1055"/>
      <c r="U352" s="1055"/>
      <c r="V352" s="1055"/>
      <c r="W352" s="1055"/>
      <c r="X352" s="1055"/>
    </row>
    <row r="353">
      <c r="D353" s="1084"/>
      <c r="E353" s="222"/>
      <c r="F353" s="1083"/>
      <c r="G353" s="222"/>
      <c r="H353" s="1055"/>
      <c r="I353" s="1055"/>
      <c r="J353" s="1085" t="s">
        <v>1498</v>
      </c>
      <c r="K353" s="211"/>
      <c r="L353" s="1086">
        <f>M341+F346-F358</f>
        <v>906.37</v>
      </c>
      <c r="M353" s="211"/>
      <c r="O353" s="1084"/>
      <c r="P353" s="222"/>
      <c r="Q353" s="1083"/>
      <c r="R353" s="222"/>
      <c r="S353" s="1055"/>
      <c r="T353" s="1055"/>
      <c r="U353" s="1085" t="s">
        <v>1497</v>
      </c>
      <c r="V353" s="211"/>
      <c r="W353" s="1086">
        <f>X342+Q350-Q358</f>
        <v>2126.55</v>
      </c>
      <c r="X353" s="211"/>
    </row>
    <row r="354">
      <c r="D354" s="1084"/>
      <c r="E354" s="222"/>
      <c r="F354" s="1083"/>
      <c r="G354" s="222"/>
      <c r="H354" s="1055"/>
      <c r="I354" s="1055"/>
      <c r="J354" s="278"/>
      <c r="K354" s="56"/>
      <c r="L354" s="278"/>
      <c r="M354" s="56"/>
      <c r="O354" s="1084"/>
      <c r="P354" s="222"/>
      <c r="Q354" s="1083"/>
      <c r="R354" s="222"/>
      <c r="S354" s="1055"/>
      <c r="T354" s="1055"/>
      <c r="U354" s="278"/>
      <c r="V354" s="56"/>
      <c r="W354" s="278"/>
      <c r="X354" s="56"/>
    </row>
    <row r="355">
      <c r="D355" s="1084"/>
      <c r="E355" s="222"/>
      <c r="F355" s="1083"/>
      <c r="G355" s="222"/>
      <c r="H355" s="1055"/>
      <c r="I355" s="1055"/>
      <c r="J355" s="215"/>
      <c r="K355" s="64"/>
      <c r="L355" s="215"/>
      <c r="M355" s="64"/>
      <c r="O355" s="1084"/>
      <c r="P355" s="222"/>
      <c r="Q355" s="1083"/>
      <c r="R355" s="222"/>
      <c r="S355" s="1055"/>
      <c r="T355" s="1055"/>
      <c r="U355" s="215"/>
      <c r="V355" s="64"/>
      <c r="W355" s="215"/>
      <c r="X355" s="64"/>
    </row>
    <row r="356">
      <c r="D356" s="1084"/>
      <c r="E356" s="222"/>
      <c r="F356" s="1083"/>
      <c r="G356" s="222"/>
      <c r="H356" s="1055"/>
      <c r="I356" s="1055"/>
      <c r="J356" s="1055"/>
      <c r="K356" s="1055"/>
      <c r="L356" s="1055"/>
      <c r="M356" s="1055"/>
      <c r="O356" s="1084"/>
      <c r="P356" s="222"/>
      <c r="Q356" s="1083"/>
      <c r="R356" s="222"/>
      <c r="S356" s="1055"/>
      <c r="T356" s="1055"/>
      <c r="U356" s="1055"/>
      <c r="V356" s="1055"/>
      <c r="W356" s="1055"/>
      <c r="X356" s="1055"/>
    </row>
    <row r="357">
      <c r="D357" s="1084"/>
      <c r="E357" s="222"/>
      <c r="F357" s="1083"/>
      <c r="G357" s="222"/>
      <c r="H357" s="1055"/>
      <c r="I357" s="1055"/>
      <c r="J357" s="1055"/>
      <c r="K357" s="1055"/>
      <c r="L357" s="1055"/>
      <c r="M357" s="1055"/>
      <c r="O357" s="1084"/>
      <c r="P357" s="222"/>
      <c r="Q357" s="1083"/>
      <c r="R357" s="222"/>
      <c r="S357" s="1055"/>
      <c r="T357" s="1055"/>
      <c r="U357" s="1055"/>
      <c r="V357" s="1055"/>
      <c r="W357" s="1055"/>
      <c r="X357" s="1055"/>
    </row>
    <row r="358">
      <c r="D358" s="1087" t="s">
        <v>721</v>
      </c>
      <c r="E358" s="222"/>
      <c r="F358" s="1088">
        <f>SUM(F349:G357)</f>
        <v>3479.63</v>
      </c>
      <c r="G358" s="222"/>
      <c r="H358" s="1055"/>
      <c r="I358" s="1055"/>
      <c r="J358" s="1055"/>
      <c r="K358" s="1055"/>
      <c r="L358" s="1055"/>
      <c r="M358" s="1055"/>
      <c r="O358" s="1087" t="s">
        <v>721</v>
      </c>
      <c r="P358" s="222"/>
      <c r="Q358" s="1088">
        <f>SUM(Q352:R357)</f>
        <v>0</v>
      </c>
      <c r="R358" s="222"/>
      <c r="S358" s="1055"/>
      <c r="T358" s="1055"/>
      <c r="U358" s="1055"/>
      <c r="V358" s="1055"/>
      <c r="W358" s="1055"/>
      <c r="X358" s="1055"/>
    </row>
    <row r="361">
      <c r="D361" s="1055"/>
      <c r="H361" s="56"/>
      <c r="I361" s="1056" t="s">
        <v>700</v>
      </c>
      <c r="J361" s="211"/>
      <c r="K361" s="1057" t="s">
        <v>1493</v>
      </c>
      <c r="L361" s="213"/>
      <c r="M361" s="211"/>
      <c r="O361" s="1055"/>
      <c r="T361" s="1056" t="s">
        <v>700</v>
      </c>
      <c r="U361" s="211"/>
      <c r="V361" s="1057" t="s">
        <v>1493</v>
      </c>
      <c r="W361" s="213"/>
      <c r="X361" s="211"/>
    </row>
    <row r="362">
      <c r="H362" s="56"/>
      <c r="I362" s="215"/>
      <c r="J362" s="64"/>
      <c r="K362" s="215"/>
      <c r="L362" s="216"/>
      <c r="M362" s="64"/>
      <c r="T362" s="215"/>
      <c r="U362" s="64"/>
      <c r="V362" s="215"/>
      <c r="W362" s="216"/>
      <c r="X362" s="64"/>
    </row>
    <row r="363">
      <c r="H363" s="56"/>
      <c r="I363" s="1056" t="s">
        <v>702</v>
      </c>
      <c r="J363" s="211"/>
      <c r="K363" s="1057" t="s">
        <v>680</v>
      </c>
      <c r="L363" s="213"/>
      <c r="M363" s="211"/>
      <c r="T363" s="1056" t="s">
        <v>351</v>
      </c>
      <c r="U363" s="211"/>
      <c r="V363" s="1057" t="s">
        <v>482</v>
      </c>
      <c r="W363" s="213"/>
      <c r="X363" s="211"/>
    </row>
    <row r="364">
      <c r="H364" s="56"/>
      <c r="I364" s="215"/>
      <c r="J364" s="64"/>
      <c r="K364" s="215"/>
      <c r="L364" s="216"/>
      <c r="M364" s="64"/>
      <c r="T364" s="215"/>
      <c r="U364" s="64"/>
      <c r="V364" s="215"/>
      <c r="W364" s="216"/>
      <c r="X364" s="64"/>
    </row>
    <row r="365">
      <c r="H365" s="56"/>
      <c r="I365" s="1056" t="s">
        <v>703</v>
      </c>
      <c r="J365" s="211"/>
      <c r="K365" s="1057">
        <v>2774.0</v>
      </c>
      <c r="L365" s="213"/>
      <c r="M365" s="211"/>
      <c r="T365" s="1056" t="s">
        <v>703</v>
      </c>
      <c r="U365" s="211"/>
      <c r="V365" s="1057">
        <v>2774.0</v>
      </c>
      <c r="W365" s="213"/>
      <c r="X365" s="211"/>
    </row>
    <row r="366">
      <c r="D366" s="216"/>
      <c r="E366" s="216"/>
      <c r="F366" s="216"/>
      <c r="G366" s="216"/>
      <c r="H366" s="64"/>
      <c r="I366" s="215"/>
      <c r="J366" s="64"/>
      <c r="K366" s="215"/>
      <c r="L366" s="216"/>
      <c r="M366" s="64"/>
      <c r="T366" s="215"/>
      <c r="U366" s="64"/>
      <c r="V366" s="215"/>
      <c r="W366" s="216"/>
      <c r="X366" s="64"/>
    </row>
    <row r="367">
      <c r="D367" s="1059" t="s">
        <v>704</v>
      </c>
      <c r="E367" s="222"/>
      <c r="F367" s="1059" t="s">
        <v>5</v>
      </c>
      <c r="G367" s="222"/>
      <c r="H367" s="1059" t="s">
        <v>705</v>
      </c>
      <c r="I367" s="224"/>
      <c r="J367" s="222"/>
      <c r="K367" s="1060" t="s">
        <v>8</v>
      </c>
      <c r="L367" s="1060" t="s">
        <v>706</v>
      </c>
      <c r="M367" s="1060" t="s">
        <v>707</v>
      </c>
      <c r="O367" s="1059" t="s">
        <v>704</v>
      </c>
      <c r="P367" s="222"/>
      <c r="Q367" s="1059" t="s">
        <v>5</v>
      </c>
      <c r="R367" s="222"/>
      <c r="S367" s="1059" t="s">
        <v>705</v>
      </c>
      <c r="T367" s="224"/>
      <c r="U367" s="222"/>
      <c r="V367" s="1060" t="s">
        <v>591</v>
      </c>
      <c r="W367" s="1060" t="s">
        <v>708</v>
      </c>
      <c r="X367" s="1060" t="s">
        <v>707</v>
      </c>
    </row>
    <row r="368">
      <c r="D368" s="1061">
        <v>45989.0</v>
      </c>
      <c r="E368" s="222"/>
      <c r="F368" s="1059">
        <v>5.35457817E8</v>
      </c>
      <c r="G368" s="222"/>
      <c r="H368" s="1059" t="s">
        <v>1524</v>
      </c>
      <c r="I368" s="224"/>
      <c r="J368" s="222"/>
      <c r="K368" s="1062">
        <v>2350.0</v>
      </c>
      <c r="L368" s="1063">
        <v>0.88</v>
      </c>
      <c r="M368" s="1062">
        <f t="shared" ref="M368:M372" si="24">K368*88/100</f>
        <v>2068</v>
      </c>
      <c r="O368" s="1061">
        <v>45989.0</v>
      </c>
      <c r="P368" s="222"/>
      <c r="Q368" s="1059">
        <v>5.35457817E8</v>
      </c>
      <c r="R368" s="222"/>
      <c r="S368" s="1059" t="s">
        <v>1524</v>
      </c>
      <c r="T368" s="224"/>
      <c r="U368" s="222"/>
      <c r="V368" s="1094">
        <v>1254.0</v>
      </c>
      <c r="W368" s="1064">
        <v>0.65</v>
      </c>
      <c r="X368" s="1062">
        <f t="shared" ref="X368:X372" si="25">V368*W368</f>
        <v>815.1</v>
      </c>
    </row>
    <row r="369">
      <c r="D369" s="1065"/>
      <c r="E369" s="222"/>
      <c r="F369" s="1070"/>
      <c r="G369" s="222"/>
      <c r="H369" s="1066"/>
      <c r="I369" s="224"/>
      <c r="J369" s="222"/>
      <c r="K369" s="1067"/>
      <c r="L369" s="1063">
        <v>0.88</v>
      </c>
      <c r="M369" s="1062">
        <f t="shared" si="24"/>
        <v>0</v>
      </c>
      <c r="O369" s="1065"/>
      <c r="P369" s="222"/>
      <c r="Q369" s="1070"/>
      <c r="R369" s="222"/>
      <c r="S369" s="1066"/>
      <c r="T369" s="224"/>
      <c r="U369" s="222"/>
      <c r="V369" s="1095"/>
      <c r="W369" s="1064">
        <v>0.65</v>
      </c>
      <c r="X369" s="1062">
        <f t="shared" si="25"/>
        <v>0</v>
      </c>
    </row>
    <row r="370">
      <c r="D370" s="1065"/>
      <c r="E370" s="222"/>
      <c r="F370" s="1066"/>
      <c r="G370" s="222"/>
      <c r="H370" s="1066"/>
      <c r="I370" s="224"/>
      <c r="J370" s="222"/>
      <c r="K370" s="1067"/>
      <c r="L370" s="1063">
        <v>0.88</v>
      </c>
      <c r="M370" s="1062">
        <f t="shared" si="24"/>
        <v>0</v>
      </c>
      <c r="O370" s="1065"/>
      <c r="P370" s="222"/>
      <c r="Q370" s="1066"/>
      <c r="R370" s="222"/>
      <c r="S370" s="1066"/>
      <c r="T370" s="224"/>
      <c r="U370" s="222"/>
      <c r="V370" s="1095"/>
      <c r="W370" s="1064">
        <v>0.65</v>
      </c>
      <c r="X370" s="1062">
        <f t="shared" si="25"/>
        <v>0</v>
      </c>
    </row>
    <row r="371">
      <c r="D371" s="1065"/>
      <c r="E371" s="222"/>
      <c r="F371" s="1066"/>
      <c r="G371" s="222"/>
      <c r="H371" s="1066"/>
      <c r="I371" s="224"/>
      <c r="J371" s="222"/>
      <c r="K371" s="1067"/>
      <c r="L371" s="1063">
        <v>0.88</v>
      </c>
      <c r="M371" s="1062">
        <f t="shared" si="24"/>
        <v>0</v>
      </c>
      <c r="O371" s="1065"/>
      <c r="P371" s="222"/>
      <c r="Q371" s="1070"/>
      <c r="R371" s="222"/>
      <c r="S371" s="1066"/>
      <c r="T371" s="224"/>
      <c r="U371" s="222"/>
      <c r="V371" s="1095"/>
      <c r="W371" s="1064">
        <v>0.65</v>
      </c>
      <c r="X371" s="1062">
        <f t="shared" si="25"/>
        <v>0</v>
      </c>
    </row>
    <row r="372">
      <c r="D372" s="1065"/>
      <c r="E372" s="222"/>
      <c r="F372" s="1070"/>
      <c r="G372" s="222"/>
      <c r="H372" s="1066"/>
      <c r="I372" s="224"/>
      <c r="J372" s="222"/>
      <c r="K372" s="1067"/>
      <c r="L372" s="1063">
        <v>0.88</v>
      </c>
      <c r="M372" s="1062">
        <f t="shared" si="24"/>
        <v>0</v>
      </c>
      <c r="O372" s="1065"/>
      <c r="P372" s="222"/>
      <c r="Q372" s="1066"/>
      <c r="R372" s="222"/>
      <c r="S372" s="1066"/>
      <c r="T372" s="224"/>
      <c r="U372" s="222"/>
      <c r="V372" s="1095"/>
      <c r="W372" s="1064">
        <v>0.65</v>
      </c>
      <c r="X372" s="1062">
        <f t="shared" si="25"/>
        <v>0</v>
      </c>
    </row>
    <row r="373">
      <c r="D373" s="1072" t="s">
        <v>711</v>
      </c>
      <c r="E373" s="224"/>
      <c r="F373" s="224"/>
      <c r="G373" s="224"/>
      <c r="H373" s="224"/>
      <c r="I373" s="224"/>
      <c r="J373" s="222"/>
      <c r="K373" s="1073">
        <f>SUM(K368:K372)</f>
        <v>2350</v>
      </c>
      <c r="L373" s="1069"/>
      <c r="M373" s="1073">
        <f>SUM(M368:M372)</f>
        <v>2068</v>
      </c>
      <c r="O373" s="1066"/>
      <c r="P373" s="222"/>
      <c r="Q373" s="1066"/>
      <c r="R373" s="222"/>
      <c r="S373" s="1066"/>
      <c r="T373" s="224"/>
      <c r="U373" s="222"/>
      <c r="V373" s="1095"/>
      <c r="W373" s="1068"/>
      <c r="X373" s="1067"/>
    </row>
    <row r="374">
      <c r="D374" s="1055"/>
      <c r="E374" s="1055"/>
      <c r="F374" s="1055"/>
      <c r="G374" s="1055"/>
      <c r="H374" s="1055"/>
      <c r="I374" s="1055"/>
      <c r="J374" s="1055"/>
      <c r="K374" s="1055"/>
      <c r="L374" s="1055"/>
      <c r="M374" s="1055"/>
      <c r="O374" s="1072" t="s">
        <v>711</v>
      </c>
      <c r="P374" s="224"/>
      <c r="Q374" s="224"/>
      <c r="R374" s="224"/>
      <c r="S374" s="224"/>
      <c r="T374" s="224"/>
      <c r="U374" s="222"/>
      <c r="V374" s="1094">
        <f>SUM(V368:V373)</f>
        <v>1254</v>
      </c>
      <c r="W374" s="1074"/>
      <c r="X374" s="1062">
        <f>SUM(X368:X373)</f>
        <v>815.1</v>
      </c>
    </row>
    <row r="375">
      <c r="D375" s="1075" t="s">
        <v>712</v>
      </c>
      <c r="E375" s="222"/>
      <c r="F375" s="1076"/>
      <c r="G375" s="222"/>
      <c r="H375" s="1055"/>
      <c r="I375" s="1055"/>
      <c r="J375" s="1055"/>
      <c r="K375" s="1055"/>
      <c r="L375" s="1055"/>
      <c r="M375" s="1055"/>
      <c r="O375" s="1055"/>
      <c r="P375" s="1055"/>
      <c r="Q375" s="1055"/>
      <c r="R375" s="1055"/>
      <c r="S375" s="1055"/>
      <c r="T375" s="1055"/>
      <c r="U375" s="1055"/>
      <c r="V375" s="1055"/>
      <c r="W375" s="1055"/>
      <c r="X375" s="1055"/>
    </row>
    <row r="376">
      <c r="D376" s="1077" t="s">
        <v>1496</v>
      </c>
      <c r="E376" s="222"/>
      <c r="F376" s="1078">
        <v>250.0</v>
      </c>
      <c r="G376" s="222"/>
      <c r="H376" s="1055"/>
      <c r="I376" s="1055"/>
      <c r="J376" s="1055"/>
      <c r="K376" s="1055"/>
      <c r="L376" s="1055"/>
      <c r="M376" s="1055"/>
      <c r="O376" s="1075" t="s">
        <v>712</v>
      </c>
      <c r="P376" s="222"/>
      <c r="Q376" s="1076"/>
      <c r="R376" s="222"/>
      <c r="S376" s="1055"/>
      <c r="T376" s="1055"/>
      <c r="U376" s="1055"/>
      <c r="V376" s="1055"/>
      <c r="W376" s="1055"/>
      <c r="X376" s="1055"/>
    </row>
    <row r="377">
      <c r="D377" s="1079"/>
      <c r="E377" s="222"/>
      <c r="F377" s="1076"/>
      <c r="G377" s="222"/>
      <c r="H377" s="1055"/>
      <c r="I377" s="1055"/>
      <c r="J377" s="1055"/>
      <c r="K377" s="1055"/>
      <c r="L377" s="1055"/>
      <c r="M377" s="1055"/>
      <c r="O377" s="1077" t="s">
        <v>1496</v>
      </c>
      <c r="P377" s="222"/>
      <c r="Q377" s="1078">
        <v>250.0</v>
      </c>
      <c r="R377" s="222"/>
      <c r="S377" s="1055"/>
      <c r="T377" s="1055"/>
      <c r="U377" s="1055"/>
      <c r="V377" s="1055"/>
      <c r="W377" s="1055"/>
      <c r="X377" s="1055"/>
    </row>
    <row r="378">
      <c r="D378" s="1080" t="s">
        <v>714</v>
      </c>
      <c r="E378" s="222"/>
      <c r="F378" s="1078">
        <f>SUM(F375:G377)</f>
        <v>250</v>
      </c>
      <c r="G378" s="222"/>
      <c r="H378" s="1055"/>
      <c r="I378" s="1055"/>
      <c r="J378" s="1055"/>
      <c r="K378" s="1055"/>
      <c r="L378" s="1055"/>
      <c r="M378" s="1055"/>
      <c r="O378" s="1079"/>
      <c r="P378" s="222"/>
      <c r="Q378" s="1076"/>
      <c r="R378" s="222"/>
      <c r="S378" s="1055"/>
      <c r="T378" s="1055"/>
      <c r="U378" s="1055"/>
      <c r="V378" s="1055"/>
      <c r="W378" s="1055"/>
      <c r="X378" s="1055"/>
    </row>
    <row r="379">
      <c r="D379" s="1081"/>
      <c r="E379" s="224"/>
      <c r="F379" s="224"/>
      <c r="G379" s="222"/>
      <c r="H379" s="1055"/>
      <c r="I379" s="1055"/>
      <c r="J379" s="1055"/>
      <c r="K379" s="1055"/>
      <c r="L379" s="1055"/>
      <c r="M379" s="1055"/>
      <c r="O379" s="1079"/>
      <c r="P379" s="222"/>
      <c r="Q379" s="1076"/>
      <c r="R379" s="222"/>
      <c r="S379" s="1055"/>
      <c r="T379" s="1055"/>
      <c r="U379" s="1055"/>
      <c r="V379" s="1055"/>
      <c r="W379" s="1055"/>
      <c r="X379" s="1055"/>
    </row>
    <row r="380">
      <c r="D380" s="1082" t="s">
        <v>715</v>
      </c>
      <c r="E380" s="222"/>
      <c r="F380" s="1083"/>
      <c r="G380" s="222"/>
      <c r="H380" s="1055"/>
      <c r="I380" s="1055"/>
      <c r="J380" s="1055"/>
      <c r="K380" s="1055"/>
      <c r="L380" s="1055"/>
      <c r="M380" s="1055"/>
      <c r="O380" s="1079"/>
      <c r="P380" s="222"/>
      <c r="Q380" s="1076"/>
      <c r="R380" s="222"/>
      <c r="S380" s="1055"/>
      <c r="T380" s="1055"/>
      <c r="U380" s="1055"/>
      <c r="V380" s="1055"/>
      <c r="W380" s="1055"/>
      <c r="X380" s="1055"/>
    </row>
    <row r="381">
      <c r="D381" s="1090" t="s">
        <v>716</v>
      </c>
      <c r="E381" s="222"/>
      <c r="F381" s="1088">
        <v>150.0</v>
      </c>
      <c r="G381" s="222"/>
      <c r="H381" s="1055"/>
      <c r="I381" s="1055"/>
      <c r="J381" s="1055"/>
      <c r="K381" s="1055"/>
      <c r="L381" s="1055"/>
      <c r="M381" s="1055"/>
      <c r="O381" s="1079"/>
      <c r="P381" s="222"/>
      <c r="Q381" s="1076"/>
      <c r="R381" s="222"/>
      <c r="S381" s="1055"/>
      <c r="T381" s="1055"/>
      <c r="U381" s="1055"/>
      <c r="V381" s="1055"/>
      <c r="W381" s="1055"/>
      <c r="X381" s="1055"/>
    </row>
    <row r="382">
      <c r="D382" s="1090" t="s">
        <v>717</v>
      </c>
      <c r="E382" s="222"/>
      <c r="F382" s="1088">
        <v>400.0</v>
      </c>
      <c r="G382" s="222"/>
      <c r="H382" s="1055"/>
      <c r="I382" s="1055"/>
      <c r="J382" s="1055"/>
      <c r="K382" s="1055"/>
      <c r="L382" s="1055"/>
      <c r="M382" s="1055"/>
      <c r="O382" s="1080" t="s">
        <v>714</v>
      </c>
      <c r="P382" s="222"/>
      <c r="Q382" s="1078">
        <f>SUM(Q376:R381)</f>
        <v>250</v>
      </c>
      <c r="R382" s="222"/>
      <c r="S382" s="1055"/>
      <c r="T382" s="1055"/>
      <c r="U382" s="1055"/>
      <c r="V382" s="1055"/>
      <c r="W382" s="1055"/>
      <c r="X382" s="1055"/>
    </row>
    <row r="383">
      <c r="D383" s="1090" t="s">
        <v>718</v>
      </c>
      <c r="E383" s="222"/>
      <c r="F383" s="1088">
        <v>200.0</v>
      </c>
      <c r="G383" s="222"/>
      <c r="H383" s="1055"/>
      <c r="I383" s="1055"/>
      <c r="J383" s="1055"/>
      <c r="K383" s="1055"/>
      <c r="L383" s="1055"/>
      <c r="M383" s="1055"/>
      <c r="O383" s="1055"/>
      <c r="P383" s="1055"/>
      <c r="Q383" s="1055"/>
      <c r="S383" s="1055"/>
      <c r="T383" s="1055"/>
      <c r="U383" s="1055"/>
      <c r="V383" s="1055"/>
      <c r="W383" s="1055"/>
      <c r="X383" s="1055"/>
    </row>
    <row r="384">
      <c r="D384" s="1090" t="s">
        <v>656</v>
      </c>
      <c r="E384" s="222"/>
      <c r="F384" s="1088">
        <v>973.82</v>
      </c>
      <c r="G384" s="222"/>
      <c r="H384" s="1055"/>
      <c r="I384" s="1055"/>
      <c r="J384" s="1055"/>
      <c r="K384" s="1055"/>
      <c r="L384" s="1055"/>
      <c r="M384" s="1055"/>
      <c r="O384" s="1082" t="s">
        <v>715</v>
      </c>
      <c r="P384" s="222"/>
      <c r="Q384" s="1083"/>
      <c r="R384" s="222"/>
      <c r="S384" s="1055"/>
      <c r="T384" s="1055"/>
      <c r="U384" s="1055"/>
      <c r="V384" s="1055"/>
      <c r="W384" s="1055"/>
      <c r="X384" s="1055"/>
    </row>
    <row r="385">
      <c r="D385" s="1084"/>
      <c r="E385" s="222"/>
      <c r="F385" s="1083"/>
      <c r="G385" s="222"/>
      <c r="H385" s="1055"/>
      <c r="I385" s="1055"/>
      <c r="J385" s="1085" t="s">
        <v>1498</v>
      </c>
      <c r="K385" s="211"/>
      <c r="L385" s="1086">
        <f>M373+F378-F392</f>
        <v>594.18</v>
      </c>
      <c r="M385" s="211"/>
      <c r="O385" s="1084"/>
      <c r="P385" s="222"/>
      <c r="Q385" s="1083"/>
      <c r="R385" s="222"/>
      <c r="S385" s="1055"/>
      <c r="T385" s="1055"/>
      <c r="U385" s="1085" t="s">
        <v>1497</v>
      </c>
      <c r="V385" s="211"/>
      <c r="W385" s="1086">
        <f>X374+Q382-Q390</f>
        <v>1065.1</v>
      </c>
      <c r="X385" s="211"/>
    </row>
    <row r="386">
      <c r="D386" s="1084"/>
      <c r="E386" s="222"/>
      <c r="F386" s="1083"/>
      <c r="G386" s="222"/>
      <c r="H386" s="1055"/>
      <c r="I386" s="1055"/>
      <c r="J386" s="278"/>
      <c r="K386" s="56"/>
      <c r="L386" s="278"/>
      <c r="M386" s="56"/>
      <c r="O386" s="1084"/>
      <c r="P386" s="222"/>
      <c r="Q386" s="1083"/>
      <c r="R386" s="222"/>
      <c r="S386" s="1055"/>
      <c r="T386" s="1055"/>
      <c r="U386" s="278"/>
      <c r="V386" s="56"/>
      <c r="W386" s="278"/>
      <c r="X386" s="56"/>
    </row>
    <row r="387">
      <c r="D387" s="1084"/>
      <c r="E387" s="222"/>
      <c r="F387" s="1083"/>
      <c r="G387" s="222"/>
      <c r="H387" s="1055"/>
      <c r="I387" s="1055"/>
      <c r="J387" s="215"/>
      <c r="K387" s="64"/>
      <c r="L387" s="215"/>
      <c r="M387" s="64"/>
      <c r="O387" s="1084"/>
      <c r="P387" s="222"/>
      <c r="Q387" s="1083"/>
      <c r="R387" s="222"/>
      <c r="S387" s="1055"/>
      <c r="T387" s="1055"/>
      <c r="U387" s="215"/>
      <c r="V387" s="64"/>
      <c r="W387" s="215"/>
      <c r="X387" s="64"/>
    </row>
    <row r="388">
      <c r="D388" s="1084"/>
      <c r="E388" s="222"/>
      <c r="F388" s="1083"/>
      <c r="G388" s="222"/>
      <c r="H388" s="1055"/>
      <c r="I388" s="1055"/>
      <c r="J388" s="1055"/>
      <c r="K388" s="1055"/>
      <c r="L388" s="1055"/>
      <c r="M388" s="1055"/>
      <c r="O388" s="1084"/>
      <c r="P388" s="222"/>
      <c r="Q388" s="1083"/>
      <c r="R388" s="222"/>
      <c r="S388" s="1055"/>
      <c r="T388" s="1055"/>
      <c r="U388" s="1055"/>
      <c r="V388" s="1055"/>
      <c r="W388" s="1055"/>
      <c r="X388" s="1055"/>
    </row>
    <row r="389">
      <c r="D389" s="1084"/>
      <c r="E389" s="222"/>
      <c r="F389" s="1083"/>
      <c r="G389" s="222"/>
      <c r="H389" s="1055"/>
      <c r="I389" s="1055"/>
      <c r="J389" s="1055"/>
      <c r="K389" s="1055"/>
      <c r="L389" s="1055"/>
      <c r="M389" s="1055"/>
      <c r="O389" s="1084"/>
      <c r="P389" s="222"/>
      <c r="Q389" s="1083"/>
      <c r="R389" s="222"/>
      <c r="S389" s="1055"/>
      <c r="T389" s="1055"/>
      <c r="U389" s="1055"/>
      <c r="V389" s="1055"/>
      <c r="W389" s="1055"/>
      <c r="X389" s="1055"/>
    </row>
    <row r="390">
      <c r="D390" s="1084"/>
      <c r="E390" s="222"/>
      <c r="F390" s="1083"/>
      <c r="G390" s="222"/>
      <c r="H390" s="1055"/>
      <c r="I390" s="1055"/>
      <c r="J390" s="1055"/>
      <c r="K390" s="1055"/>
      <c r="L390" s="1055"/>
      <c r="M390" s="1055"/>
      <c r="O390" s="1087" t="s">
        <v>721</v>
      </c>
      <c r="P390" s="222"/>
      <c r="Q390" s="1088">
        <f>SUM(Q384:R389)</f>
        <v>0</v>
      </c>
      <c r="R390" s="222"/>
      <c r="S390" s="1055"/>
      <c r="T390" s="1055"/>
      <c r="U390" s="1055"/>
      <c r="V390" s="1055"/>
      <c r="W390" s="1055"/>
      <c r="X390" s="1055"/>
    </row>
    <row r="391">
      <c r="D391" s="1084"/>
      <c r="E391" s="222"/>
      <c r="F391" s="1083"/>
      <c r="G391" s="222"/>
      <c r="H391" s="1055"/>
      <c r="I391" s="1055"/>
      <c r="J391" s="1055"/>
      <c r="K391" s="1055"/>
      <c r="L391" s="1055"/>
      <c r="M391" s="1055"/>
    </row>
    <row r="392">
      <c r="D392" s="1087" t="s">
        <v>721</v>
      </c>
      <c r="E392" s="222"/>
      <c r="F392" s="1088">
        <f>SUM(F381:G391)</f>
        <v>1723.82</v>
      </c>
      <c r="G392" s="222"/>
      <c r="H392" s="1055"/>
      <c r="I392" s="1055"/>
      <c r="J392" s="1055"/>
      <c r="K392" s="1055"/>
      <c r="L392" s="1055"/>
      <c r="M392" s="1055"/>
    </row>
    <row r="395">
      <c r="D395" s="1055"/>
      <c r="I395" s="1056" t="s">
        <v>700</v>
      </c>
      <c r="J395" s="211"/>
      <c r="K395" s="1057" t="s">
        <v>1493</v>
      </c>
      <c r="L395" s="213"/>
      <c r="M395" s="211"/>
      <c r="O395" s="1055"/>
      <c r="T395" s="1056" t="s">
        <v>700</v>
      </c>
      <c r="U395" s="211"/>
      <c r="V395" s="1057" t="s">
        <v>1493</v>
      </c>
      <c r="W395" s="213"/>
      <c r="X395" s="211"/>
    </row>
    <row r="396">
      <c r="I396" s="215"/>
      <c r="J396" s="64"/>
      <c r="K396" s="215"/>
      <c r="L396" s="216"/>
      <c r="M396" s="64"/>
      <c r="T396" s="215"/>
      <c r="U396" s="64"/>
      <c r="V396" s="215"/>
      <c r="W396" s="216"/>
      <c r="X396" s="64"/>
    </row>
    <row r="397">
      <c r="I397" s="1056" t="s">
        <v>702</v>
      </c>
      <c r="J397" s="211"/>
      <c r="K397" s="1057" t="s">
        <v>680</v>
      </c>
      <c r="L397" s="213"/>
      <c r="M397" s="211"/>
      <c r="T397" s="1056" t="s">
        <v>351</v>
      </c>
      <c r="U397" s="211"/>
      <c r="V397" s="1057" t="s">
        <v>681</v>
      </c>
      <c r="W397" s="213"/>
      <c r="X397" s="211"/>
    </row>
    <row r="398">
      <c r="I398" s="215"/>
      <c r="J398" s="64"/>
      <c r="K398" s="215"/>
      <c r="L398" s="216"/>
      <c r="M398" s="64"/>
      <c r="T398" s="215"/>
      <c r="U398" s="64"/>
      <c r="V398" s="215"/>
      <c r="W398" s="216"/>
      <c r="X398" s="64"/>
    </row>
    <row r="399">
      <c r="I399" s="1056" t="s">
        <v>703</v>
      </c>
      <c r="J399" s="211"/>
      <c r="K399" s="1058" t="s">
        <v>973</v>
      </c>
      <c r="L399" s="213"/>
      <c r="M399" s="211"/>
      <c r="T399" s="1056" t="s">
        <v>703</v>
      </c>
      <c r="U399" s="211"/>
      <c r="V399" s="1058" t="s">
        <v>973</v>
      </c>
      <c r="W399" s="213"/>
      <c r="X399" s="211"/>
    </row>
    <row r="400">
      <c r="I400" s="215"/>
      <c r="J400" s="64"/>
      <c r="K400" s="215"/>
      <c r="L400" s="216"/>
      <c r="M400" s="64"/>
      <c r="T400" s="215"/>
      <c r="U400" s="64"/>
      <c r="V400" s="215"/>
      <c r="W400" s="216"/>
      <c r="X400" s="64"/>
    </row>
    <row r="401">
      <c r="D401" s="1059" t="s">
        <v>704</v>
      </c>
      <c r="E401" s="222"/>
      <c r="F401" s="1059" t="s">
        <v>5</v>
      </c>
      <c r="G401" s="222"/>
      <c r="H401" s="1059" t="s">
        <v>705</v>
      </c>
      <c r="I401" s="224"/>
      <c r="J401" s="222"/>
      <c r="K401" s="1060" t="s">
        <v>8</v>
      </c>
      <c r="L401" s="1060" t="s">
        <v>706</v>
      </c>
      <c r="M401" s="1060" t="s">
        <v>707</v>
      </c>
      <c r="O401" s="1059" t="s">
        <v>704</v>
      </c>
      <c r="P401" s="222"/>
      <c r="Q401" s="1059" t="s">
        <v>5</v>
      </c>
      <c r="R401" s="222"/>
      <c r="S401" s="1059" t="s">
        <v>705</v>
      </c>
      <c r="T401" s="224"/>
      <c r="U401" s="222"/>
      <c r="V401" s="1060" t="s">
        <v>591</v>
      </c>
      <c r="W401" s="1060" t="s">
        <v>708</v>
      </c>
      <c r="X401" s="1060" t="s">
        <v>707</v>
      </c>
    </row>
    <row r="402">
      <c r="D402" s="1061">
        <v>45986.0</v>
      </c>
      <c r="E402" s="222"/>
      <c r="F402" s="1059">
        <v>5.35758159E8</v>
      </c>
      <c r="G402" s="222"/>
      <c r="H402" s="1059" t="s">
        <v>1525</v>
      </c>
      <c r="I402" s="224"/>
      <c r="J402" s="222"/>
      <c r="K402" s="1062">
        <v>708.8</v>
      </c>
      <c r="L402" s="1063">
        <v>0.88</v>
      </c>
      <c r="M402" s="1062">
        <f t="shared" ref="M402:M405" si="26">K402*88/100</f>
        <v>623.744</v>
      </c>
      <c r="O402" s="1061">
        <v>45986.0</v>
      </c>
      <c r="P402" s="222"/>
      <c r="Q402" s="1059">
        <v>5.35758159E8</v>
      </c>
      <c r="R402" s="222"/>
      <c r="S402" s="1059" t="s">
        <v>1525</v>
      </c>
      <c r="T402" s="224"/>
      <c r="U402" s="222"/>
      <c r="V402" s="1060">
        <v>352.0</v>
      </c>
      <c r="W402" s="1064">
        <v>0.65</v>
      </c>
      <c r="X402" s="1062">
        <f t="shared" ref="X402:X407" si="27">V402*W402</f>
        <v>228.8</v>
      </c>
    </row>
    <row r="403">
      <c r="D403" s="1061">
        <v>45987.0</v>
      </c>
      <c r="E403" s="222"/>
      <c r="F403" s="1059">
        <v>2.0714865E7</v>
      </c>
      <c r="G403" s="222"/>
      <c r="H403" s="1059" t="s">
        <v>1526</v>
      </c>
      <c r="I403" s="224"/>
      <c r="J403" s="222"/>
      <c r="K403" s="1062">
        <v>800.0</v>
      </c>
      <c r="L403" s="1063">
        <v>0.88</v>
      </c>
      <c r="M403" s="1062">
        <f t="shared" si="26"/>
        <v>704</v>
      </c>
      <c r="O403" s="1061">
        <v>45987.0</v>
      </c>
      <c r="P403" s="222"/>
      <c r="Q403" s="1059">
        <v>2.0714865E7</v>
      </c>
      <c r="R403" s="222"/>
      <c r="S403" s="1059" t="s">
        <v>1526</v>
      </c>
      <c r="T403" s="224"/>
      <c r="U403" s="222"/>
      <c r="V403" s="1060">
        <v>430.0</v>
      </c>
      <c r="W403" s="1064">
        <v>0.65</v>
      </c>
      <c r="X403" s="1062">
        <f t="shared" si="27"/>
        <v>279.5</v>
      </c>
    </row>
    <row r="404">
      <c r="D404" s="1061">
        <v>45989.0</v>
      </c>
      <c r="E404" s="222"/>
      <c r="F404" s="1059" t="s">
        <v>1147</v>
      </c>
      <c r="G404" s="222"/>
      <c r="H404" s="1059" t="s">
        <v>1527</v>
      </c>
      <c r="I404" s="224"/>
      <c r="J404" s="222"/>
      <c r="K404" s="1062">
        <v>6400.0</v>
      </c>
      <c r="L404" s="1063">
        <v>0.88</v>
      </c>
      <c r="M404" s="1062">
        <f t="shared" si="26"/>
        <v>5632</v>
      </c>
      <c r="O404" s="1061">
        <v>45989.0</v>
      </c>
      <c r="P404" s="222"/>
      <c r="Q404" s="1059" t="s">
        <v>1147</v>
      </c>
      <c r="R404" s="222"/>
      <c r="S404" s="1059" t="s">
        <v>1527</v>
      </c>
      <c r="T404" s="224"/>
      <c r="U404" s="222"/>
      <c r="V404" s="1060">
        <v>2663.0</v>
      </c>
      <c r="W404" s="1064">
        <v>0.65</v>
      </c>
      <c r="X404" s="1062">
        <f t="shared" si="27"/>
        <v>1730.95</v>
      </c>
    </row>
    <row r="405">
      <c r="D405" s="1065"/>
      <c r="E405" s="222"/>
      <c r="F405" s="1066"/>
      <c r="G405" s="222"/>
      <c r="H405" s="1066"/>
      <c r="I405" s="224"/>
      <c r="J405" s="222"/>
      <c r="K405" s="1067"/>
      <c r="L405" s="1063">
        <v>0.88</v>
      </c>
      <c r="M405" s="1062">
        <f t="shared" si="26"/>
        <v>0</v>
      </c>
      <c r="O405" s="1065"/>
      <c r="P405" s="222"/>
      <c r="Q405" s="1066"/>
      <c r="R405" s="222"/>
      <c r="S405" s="1066"/>
      <c r="T405" s="224"/>
      <c r="U405" s="222"/>
      <c r="V405" s="1068"/>
      <c r="W405" s="1064">
        <v>0.65</v>
      </c>
      <c r="X405" s="1062">
        <f t="shared" si="27"/>
        <v>0</v>
      </c>
    </row>
    <row r="406">
      <c r="D406" s="1072" t="s">
        <v>711</v>
      </c>
      <c r="E406" s="224"/>
      <c r="F406" s="224"/>
      <c r="G406" s="224"/>
      <c r="H406" s="224"/>
      <c r="I406" s="224"/>
      <c r="J406" s="222"/>
      <c r="K406" s="1062">
        <f>SUM(K402:K405)</f>
        <v>7908.8</v>
      </c>
      <c r="L406" s="1069"/>
      <c r="M406" s="1062">
        <f>SUM(M402:M405)</f>
        <v>6959.744</v>
      </c>
      <c r="O406" s="1065"/>
      <c r="P406" s="222"/>
      <c r="Q406" s="1066"/>
      <c r="R406" s="222"/>
      <c r="S406" s="1066"/>
      <c r="T406" s="224"/>
      <c r="U406" s="222"/>
      <c r="V406" s="1068"/>
      <c r="W406" s="1064">
        <v>0.65</v>
      </c>
      <c r="X406" s="1062">
        <f t="shared" si="27"/>
        <v>0</v>
      </c>
    </row>
    <row r="407">
      <c r="D407" s="1055"/>
      <c r="E407" s="1055"/>
      <c r="F407" s="1055"/>
      <c r="G407" s="1055"/>
      <c r="H407" s="1055"/>
      <c r="I407" s="1055"/>
      <c r="J407" s="1055"/>
      <c r="K407" s="1055"/>
      <c r="L407" s="1055"/>
      <c r="M407" s="1055"/>
      <c r="O407" s="1065"/>
      <c r="P407" s="222"/>
      <c r="Q407" s="1066"/>
      <c r="R407" s="222"/>
      <c r="S407" s="1066"/>
      <c r="T407" s="224"/>
      <c r="U407" s="222"/>
      <c r="V407" s="1068"/>
      <c r="W407" s="1064">
        <v>0.65</v>
      </c>
      <c r="X407" s="1062">
        <f t="shared" si="27"/>
        <v>0</v>
      </c>
    </row>
    <row r="408">
      <c r="D408" s="1075" t="s">
        <v>712</v>
      </c>
      <c r="E408" s="222"/>
      <c r="F408" s="1076"/>
      <c r="G408" s="222"/>
      <c r="H408" s="1055"/>
      <c r="I408" s="1055"/>
      <c r="J408" s="1055"/>
      <c r="K408" s="1055"/>
      <c r="L408" s="1055"/>
      <c r="M408" s="1055"/>
      <c r="O408" s="1072" t="s">
        <v>711</v>
      </c>
      <c r="P408" s="224"/>
      <c r="Q408" s="224"/>
      <c r="R408" s="224"/>
      <c r="S408" s="224"/>
      <c r="T408" s="224"/>
      <c r="U408" s="222"/>
      <c r="V408" s="1060">
        <f>SUM(V402:V407)</f>
        <v>3445</v>
      </c>
      <c r="W408" s="1074"/>
      <c r="X408" s="1062">
        <f>SUM(X402:X407)</f>
        <v>2239.25</v>
      </c>
    </row>
    <row r="409">
      <c r="D409" s="1077" t="s">
        <v>1496</v>
      </c>
      <c r="E409" s="222"/>
      <c r="F409" s="1078">
        <v>250.0</v>
      </c>
      <c r="G409" s="222"/>
      <c r="H409" s="1055"/>
      <c r="I409" s="1055"/>
      <c r="J409" s="1055"/>
      <c r="K409" s="1055"/>
      <c r="L409" s="1055"/>
      <c r="M409" s="1055"/>
      <c r="O409" s="1055"/>
      <c r="P409" s="1055"/>
      <c r="Q409" s="1055"/>
      <c r="R409" s="1055"/>
      <c r="S409" s="1055"/>
      <c r="T409" s="1055"/>
      <c r="U409" s="1055"/>
      <c r="V409" s="1055"/>
      <c r="W409" s="1055"/>
      <c r="X409" s="1055"/>
    </row>
    <row r="410">
      <c r="D410" s="1077" t="s">
        <v>1190</v>
      </c>
      <c r="E410" s="222"/>
      <c r="F410" s="1078">
        <v>20.0</v>
      </c>
      <c r="G410" s="222"/>
      <c r="H410" s="1055"/>
      <c r="I410" s="1055"/>
      <c r="J410" s="1055"/>
      <c r="K410" s="1055"/>
      <c r="L410" s="1055"/>
      <c r="M410" s="1055"/>
      <c r="O410" s="1075" t="s">
        <v>712</v>
      </c>
      <c r="P410" s="222"/>
      <c r="Q410" s="1076"/>
      <c r="R410" s="222"/>
      <c r="S410" s="1055"/>
      <c r="T410" s="1055"/>
      <c r="U410" s="1055"/>
      <c r="V410" s="1055"/>
      <c r="W410" s="1055"/>
      <c r="X410" s="1055"/>
    </row>
    <row r="411">
      <c r="D411" s="1079"/>
      <c r="E411" s="222"/>
      <c r="F411" s="1076"/>
      <c r="G411" s="222"/>
      <c r="H411" s="1055"/>
      <c r="I411" s="163"/>
      <c r="J411" s="163"/>
      <c r="K411" s="163"/>
      <c r="L411" s="163"/>
      <c r="M411" s="163"/>
      <c r="O411" s="1077" t="s">
        <v>1195</v>
      </c>
      <c r="P411" s="222"/>
      <c r="Q411" s="1078">
        <v>318.95</v>
      </c>
      <c r="R411" s="222"/>
      <c r="S411" s="1055"/>
      <c r="T411" s="1055"/>
      <c r="U411" s="1055"/>
      <c r="V411" s="1055"/>
      <c r="W411" s="1055"/>
      <c r="X411" s="1055"/>
    </row>
    <row r="412">
      <c r="D412" s="1080" t="s">
        <v>714</v>
      </c>
      <c r="E412" s="222"/>
      <c r="F412" s="1078">
        <f>SUM(F408:G411)</f>
        <v>270</v>
      </c>
      <c r="G412" s="222"/>
      <c r="H412" s="1055"/>
      <c r="I412" s="163"/>
      <c r="J412" s="163"/>
      <c r="K412" s="163"/>
      <c r="L412" s="163"/>
      <c r="M412" s="163"/>
      <c r="O412" s="1077" t="s">
        <v>1496</v>
      </c>
      <c r="P412" s="222"/>
      <c r="Q412" s="1078">
        <v>250.0</v>
      </c>
      <c r="R412" s="222"/>
      <c r="S412" s="1055"/>
      <c r="T412" s="1055"/>
      <c r="U412" s="1055"/>
      <c r="V412" s="1055"/>
      <c r="W412" s="1055"/>
      <c r="X412" s="1055"/>
    </row>
    <row r="413">
      <c r="D413" s="1081"/>
      <c r="E413" s="224"/>
      <c r="F413" s="224"/>
      <c r="G413" s="222"/>
      <c r="H413" s="1055"/>
      <c r="I413" s="163"/>
      <c r="J413" s="163"/>
      <c r="K413" s="163"/>
      <c r="L413" s="163"/>
      <c r="M413" s="163"/>
      <c r="O413" s="1077" t="s">
        <v>1190</v>
      </c>
      <c r="P413" s="222"/>
      <c r="Q413" s="1078">
        <v>20.0</v>
      </c>
      <c r="R413" s="222"/>
      <c r="S413" s="1055"/>
      <c r="T413" s="1055"/>
      <c r="U413" s="1055"/>
      <c r="V413" s="1055"/>
      <c r="W413" s="1055"/>
      <c r="X413" s="1055"/>
    </row>
    <row r="414">
      <c r="D414" s="1082" t="s">
        <v>715</v>
      </c>
      <c r="E414" s="222"/>
      <c r="F414" s="1083"/>
      <c r="G414" s="222"/>
      <c r="H414" s="1055"/>
      <c r="I414" s="163"/>
      <c r="J414" s="163"/>
      <c r="K414" s="163"/>
      <c r="L414" s="163"/>
      <c r="M414" s="163"/>
      <c r="O414" s="1079"/>
      <c r="P414" s="222"/>
      <c r="Q414" s="1076"/>
      <c r="R414" s="222"/>
      <c r="S414" s="1055"/>
      <c r="T414" s="1055"/>
      <c r="U414" s="1055"/>
      <c r="V414" s="1055"/>
      <c r="W414" s="1055"/>
      <c r="X414" s="1055"/>
    </row>
    <row r="415">
      <c r="D415" s="1090" t="s">
        <v>716</v>
      </c>
      <c r="E415" s="222"/>
      <c r="F415" s="1088">
        <v>150.0</v>
      </c>
      <c r="G415" s="222"/>
      <c r="H415" s="1055"/>
      <c r="I415" s="163"/>
      <c r="J415" s="163"/>
      <c r="K415" s="163"/>
      <c r="L415" s="163"/>
      <c r="M415" s="163"/>
      <c r="O415" s="1079"/>
      <c r="P415" s="222"/>
      <c r="Q415" s="1076"/>
      <c r="R415" s="222"/>
      <c r="S415" s="1055"/>
      <c r="T415" s="1055"/>
      <c r="U415" s="1055"/>
      <c r="V415" s="1055"/>
      <c r="W415" s="1055"/>
      <c r="X415" s="1055"/>
    </row>
    <row r="416">
      <c r="D416" s="1090" t="s">
        <v>717</v>
      </c>
      <c r="E416" s="222"/>
      <c r="F416" s="1088">
        <v>400.0</v>
      </c>
      <c r="G416" s="222"/>
      <c r="H416" s="1055"/>
      <c r="I416" s="163"/>
      <c r="J416" s="163"/>
      <c r="K416" s="163"/>
      <c r="L416" s="163"/>
      <c r="M416" s="163"/>
      <c r="O416" s="1080" t="s">
        <v>714</v>
      </c>
      <c r="P416" s="222"/>
      <c r="Q416" s="1078">
        <f>SUM(Q410:R415)</f>
        <v>588.95</v>
      </c>
      <c r="R416" s="222"/>
      <c r="S416" s="1055"/>
      <c r="T416" s="1055"/>
      <c r="U416" s="1055"/>
      <c r="V416" s="1055"/>
      <c r="W416" s="1055"/>
      <c r="X416" s="1055"/>
    </row>
    <row r="417">
      <c r="D417" s="1090" t="s">
        <v>718</v>
      </c>
      <c r="E417" s="222"/>
      <c r="F417" s="1088">
        <v>200.0</v>
      </c>
      <c r="G417" s="222"/>
      <c r="H417" s="1055"/>
      <c r="I417" s="163"/>
      <c r="J417" s="163"/>
      <c r="K417" s="163"/>
      <c r="L417" s="163"/>
      <c r="M417" s="163"/>
      <c r="O417" s="1055"/>
      <c r="P417" s="1055"/>
      <c r="Q417" s="1055"/>
      <c r="S417" s="1055"/>
      <c r="T417" s="1055"/>
      <c r="U417" s="1055"/>
      <c r="V417" s="1055"/>
      <c r="W417" s="1055"/>
      <c r="X417" s="1055"/>
    </row>
    <row r="418">
      <c r="D418" s="1090" t="s">
        <v>656</v>
      </c>
      <c r="E418" s="222"/>
      <c r="F418" s="1088">
        <v>2673.12</v>
      </c>
      <c r="G418" s="222"/>
      <c r="H418" s="1055"/>
      <c r="I418" s="163"/>
      <c r="J418" s="163"/>
      <c r="K418" s="163"/>
      <c r="L418" s="163"/>
      <c r="M418" s="163"/>
      <c r="O418" s="1082" t="s">
        <v>715</v>
      </c>
      <c r="P418" s="222"/>
      <c r="Q418" s="1083"/>
      <c r="R418" s="222"/>
      <c r="S418" s="1055"/>
      <c r="T418" s="1055"/>
      <c r="U418" s="1055"/>
      <c r="V418" s="1055"/>
      <c r="W418" s="1055"/>
      <c r="X418" s="1055"/>
    </row>
    <row r="419">
      <c r="D419" s="1084"/>
      <c r="E419" s="222"/>
      <c r="F419" s="1083"/>
      <c r="G419" s="222"/>
      <c r="H419" s="1055"/>
      <c r="I419" s="1055"/>
      <c r="J419" s="1085" t="s">
        <v>1498</v>
      </c>
      <c r="K419" s="211"/>
      <c r="L419" s="1086">
        <f>M406+F412-F424</f>
        <v>3806.624</v>
      </c>
      <c r="M419" s="211"/>
      <c r="O419" s="1084"/>
      <c r="P419" s="222"/>
      <c r="Q419" s="1083"/>
      <c r="R419" s="222"/>
      <c r="S419" s="1055"/>
      <c r="T419" s="1055"/>
      <c r="U419" s="1085" t="s">
        <v>1497</v>
      </c>
      <c r="V419" s="211"/>
      <c r="W419" s="1086">
        <f>X408+Q416-Q424</f>
        <v>2828.2</v>
      </c>
      <c r="X419" s="211"/>
    </row>
    <row r="420">
      <c r="D420" s="1084"/>
      <c r="E420" s="222"/>
      <c r="F420" s="1083"/>
      <c r="G420" s="222"/>
      <c r="H420" s="1055"/>
      <c r="I420" s="1055"/>
      <c r="J420" s="278"/>
      <c r="K420" s="56"/>
      <c r="L420" s="278"/>
      <c r="M420" s="56"/>
      <c r="O420" s="1084"/>
      <c r="P420" s="222"/>
      <c r="Q420" s="1083"/>
      <c r="R420" s="222"/>
      <c r="S420" s="1055"/>
      <c r="T420" s="1055"/>
      <c r="U420" s="278"/>
      <c r="V420" s="56"/>
      <c r="W420" s="278"/>
      <c r="X420" s="56"/>
    </row>
    <row r="421">
      <c r="D421" s="1084"/>
      <c r="E421" s="222"/>
      <c r="F421" s="1083"/>
      <c r="G421" s="222"/>
      <c r="H421" s="1055"/>
      <c r="I421" s="1055"/>
      <c r="J421" s="215"/>
      <c r="K421" s="64"/>
      <c r="L421" s="215"/>
      <c r="M421" s="64"/>
      <c r="O421" s="1084"/>
      <c r="P421" s="222"/>
      <c r="Q421" s="1083"/>
      <c r="R421" s="222"/>
      <c r="S421" s="1055"/>
      <c r="T421" s="1055"/>
      <c r="U421" s="215"/>
      <c r="V421" s="64"/>
      <c r="W421" s="215"/>
      <c r="X421" s="64"/>
    </row>
    <row r="422">
      <c r="D422" s="1084"/>
      <c r="E422" s="222"/>
      <c r="F422" s="1083"/>
      <c r="G422" s="222"/>
      <c r="H422" s="1055"/>
      <c r="I422" s="1055"/>
      <c r="J422" s="1055"/>
      <c r="K422" s="1055"/>
      <c r="L422" s="1055"/>
      <c r="M422" s="1055"/>
      <c r="O422" s="1084"/>
      <c r="P422" s="222"/>
      <c r="Q422" s="1083"/>
      <c r="R422" s="222"/>
      <c r="S422" s="1055"/>
      <c r="T422" s="1055"/>
      <c r="U422" s="1055"/>
      <c r="V422" s="1055"/>
      <c r="W422" s="1055"/>
      <c r="X422" s="1055"/>
    </row>
    <row r="423">
      <c r="D423" s="1084"/>
      <c r="E423" s="222"/>
      <c r="F423" s="1083"/>
      <c r="G423" s="222"/>
      <c r="H423" s="1055"/>
      <c r="I423" s="1055"/>
      <c r="J423" s="1055"/>
      <c r="K423" s="1055"/>
      <c r="L423" s="1055"/>
      <c r="M423" s="1055"/>
      <c r="O423" s="1084"/>
      <c r="P423" s="222"/>
      <c r="Q423" s="1083"/>
      <c r="R423" s="222"/>
      <c r="S423" s="1055"/>
      <c r="T423" s="1055"/>
      <c r="U423" s="1055"/>
      <c r="V423" s="1055"/>
      <c r="W423" s="1055"/>
      <c r="X423" s="1055"/>
    </row>
    <row r="424">
      <c r="D424" s="1087" t="s">
        <v>721</v>
      </c>
      <c r="E424" s="222"/>
      <c r="F424" s="1088">
        <f>SUM(F415:G423)</f>
        <v>3423.12</v>
      </c>
      <c r="G424" s="222"/>
      <c r="H424" s="1055"/>
      <c r="I424" s="1055"/>
      <c r="J424" s="1055"/>
      <c r="K424" s="1055"/>
      <c r="L424" s="1055"/>
      <c r="M424" s="1055"/>
      <c r="O424" s="1087" t="s">
        <v>721</v>
      </c>
      <c r="P424" s="222"/>
      <c r="Q424" s="1088">
        <f>SUM(Q418:R423)</f>
        <v>0</v>
      </c>
      <c r="R424" s="222"/>
      <c r="S424" s="1055"/>
      <c r="T424" s="1055"/>
      <c r="U424" s="1055"/>
      <c r="V424" s="1055"/>
      <c r="W424" s="1055"/>
      <c r="X424" s="1055"/>
    </row>
    <row r="427">
      <c r="D427" s="1055"/>
      <c r="I427" s="1056" t="s">
        <v>700</v>
      </c>
      <c r="J427" s="211"/>
      <c r="K427" s="1057" t="s">
        <v>1493</v>
      </c>
      <c r="L427" s="213"/>
      <c r="M427" s="211"/>
      <c r="O427" s="1055"/>
      <c r="T427" s="1056" t="s">
        <v>700</v>
      </c>
      <c r="U427" s="211"/>
      <c r="V427" s="1057" t="s">
        <v>1493</v>
      </c>
      <c r="W427" s="213"/>
      <c r="X427" s="211"/>
    </row>
    <row r="428">
      <c r="I428" s="215"/>
      <c r="J428" s="64"/>
      <c r="K428" s="215"/>
      <c r="L428" s="216"/>
      <c r="M428" s="64"/>
      <c r="T428" s="215"/>
      <c r="U428" s="64"/>
      <c r="V428" s="215"/>
      <c r="W428" s="216"/>
      <c r="X428" s="64"/>
    </row>
    <row r="429">
      <c r="I429" s="1056" t="s">
        <v>702</v>
      </c>
      <c r="J429" s="211"/>
      <c r="K429" s="1057" t="s">
        <v>682</v>
      </c>
      <c r="L429" s="213"/>
      <c r="M429" s="211"/>
      <c r="T429" s="1056" t="s">
        <v>351</v>
      </c>
      <c r="U429" s="211"/>
      <c r="V429" s="1057" t="s">
        <v>616</v>
      </c>
      <c r="W429" s="213"/>
      <c r="X429" s="211"/>
    </row>
    <row r="430">
      <c r="I430" s="215"/>
      <c r="J430" s="64"/>
      <c r="K430" s="215"/>
      <c r="L430" s="216"/>
      <c r="M430" s="64"/>
      <c r="T430" s="215"/>
      <c r="U430" s="64"/>
      <c r="V430" s="215"/>
      <c r="W430" s="216"/>
      <c r="X430" s="64"/>
    </row>
    <row r="431">
      <c r="I431" s="1056" t="s">
        <v>703</v>
      </c>
      <c r="J431" s="211"/>
      <c r="K431" s="1057">
        <v>3301.0</v>
      </c>
      <c r="L431" s="213"/>
      <c r="M431" s="211"/>
      <c r="T431" s="1056" t="s">
        <v>703</v>
      </c>
      <c r="U431" s="211"/>
      <c r="V431" s="1057">
        <v>3301.0</v>
      </c>
      <c r="W431" s="213"/>
      <c r="X431" s="211"/>
    </row>
    <row r="432">
      <c r="I432" s="215"/>
      <c r="J432" s="64"/>
      <c r="K432" s="215"/>
      <c r="L432" s="216"/>
      <c r="M432" s="64"/>
      <c r="T432" s="215"/>
      <c r="U432" s="64"/>
      <c r="V432" s="215"/>
      <c r="W432" s="216"/>
      <c r="X432" s="64"/>
    </row>
    <row r="433">
      <c r="D433" s="1059" t="s">
        <v>704</v>
      </c>
      <c r="E433" s="222"/>
      <c r="F433" s="1059" t="s">
        <v>5</v>
      </c>
      <c r="G433" s="222"/>
      <c r="H433" s="1059" t="s">
        <v>705</v>
      </c>
      <c r="I433" s="224"/>
      <c r="J433" s="222"/>
      <c r="K433" s="1060" t="s">
        <v>8</v>
      </c>
      <c r="L433" s="1060" t="s">
        <v>706</v>
      </c>
      <c r="M433" s="1060" t="s">
        <v>707</v>
      </c>
      <c r="O433" s="1059" t="s">
        <v>704</v>
      </c>
      <c r="P433" s="222"/>
      <c r="Q433" s="1059" t="s">
        <v>5</v>
      </c>
      <c r="R433" s="222"/>
      <c r="S433" s="1059" t="s">
        <v>705</v>
      </c>
      <c r="T433" s="224"/>
      <c r="U433" s="222"/>
      <c r="V433" s="1060" t="s">
        <v>591</v>
      </c>
      <c r="W433" s="1060" t="s">
        <v>708</v>
      </c>
      <c r="X433" s="1060" t="s">
        <v>707</v>
      </c>
    </row>
    <row r="434">
      <c r="D434" s="1061">
        <v>45985.0</v>
      </c>
      <c r="E434" s="222"/>
      <c r="F434" s="1059">
        <v>5.3548805E8</v>
      </c>
      <c r="G434" s="222"/>
      <c r="H434" s="1059" t="s">
        <v>1528</v>
      </c>
      <c r="I434" s="224"/>
      <c r="J434" s="222"/>
      <c r="K434" s="1062">
        <v>820.0</v>
      </c>
      <c r="L434" s="1063">
        <v>0.88</v>
      </c>
      <c r="M434" s="1062">
        <f t="shared" ref="M434:M438" si="28">K434*88/100</f>
        <v>721.6</v>
      </c>
      <c r="O434" s="1061">
        <v>45985.0</v>
      </c>
      <c r="P434" s="222"/>
      <c r="Q434" s="1059">
        <v>5.3548805E8</v>
      </c>
      <c r="R434" s="222"/>
      <c r="S434" s="1059" t="s">
        <v>1528</v>
      </c>
      <c r="T434" s="224"/>
      <c r="U434" s="222"/>
      <c r="V434" s="1060">
        <v>498.0</v>
      </c>
      <c r="W434" s="1064">
        <v>0.65</v>
      </c>
      <c r="X434" s="1062">
        <f t="shared" ref="X434:X438" si="29">V434*W434</f>
        <v>323.7</v>
      </c>
    </row>
    <row r="435">
      <c r="D435" s="1061">
        <v>45986.0</v>
      </c>
      <c r="E435" s="222"/>
      <c r="F435" s="1059" t="s">
        <v>1064</v>
      </c>
      <c r="G435" s="222"/>
      <c r="H435" s="1059" t="s">
        <v>1529</v>
      </c>
      <c r="I435" s="224"/>
      <c r="J435" s="222"/>
      <c r="K435" s="1062">
        <v>1600.0</v>
      </c>
      <c r="L435" s="1063">
        <v>0.88</v>
      </c>
      <c r="M435" s="1062">
        <f t="shared" si="28"/>
        <v>1408</v>
      </c>
      <c r="O435" s="1061">
        <v>45986.0</v>
      </c>
      <c r="P435" s="222"/>
      <c r="Q435" s="1059" t="s">
        <v>1064</v>
      </c>
      <c r="R435" s="222"/>
      <c r="S435" s="1059" t="s">
        <v>1529</v>
      </c>
      <c r="T435" s="224"/>
      <c r="U435" s="222"/>
      <c r="V435" s="1060">
        <v>357.0</v>
      </c>
      <c r="W435" s="1064">
        <v>0.65</v>
      </c>
      <c r="X435" s="1062">
        <f t="shared" si="29"/>
        <v>232.05</v>
      </c>
    </row>
    <row r="436">
      <c r="D436" s="1061">
        <v>45987.0</v>
      </c>
      <c r="E436" s="222"/>
      <c r="F436" s="1059" t="s">
        <v>1074</v>
      </c>
      <c r="G436" s="222"/>
      <c r="H436" s="1059" t="s">
        <v>1530</v>
      </c>
      <c r="I436" s="224"/>
      <c r="J436" s="222"/>
      <c r="K436" s="1062">
        <v>1900.0</v>
      </c>
      <c r="L436" s="1063">
        <v>0.88</v>
      </c>
      <c r="M436" s="1062">
        <f t="shared" si="28"/>
        <v>1672</v>
      </c>
      <c r="O436" s="1061">
        <v>45987.0</v>
      </c>
      <c r="P436" s="222"/>
      <c r="Q436" s="1059" t="s">
        <v>1074</v>
      </c>
      <c r="R436" s="222"/>
      <c r="S436" s="1059" t="s">
        <v>1530</v>
      </c>
      <c r="T436" s="224"/>
      <c r="U436" s="222"/>
      <c r="V436" s="1060">
        <v>1346.0</v>
      </c>
      <c r="W436" s="1064">
        <v>0.65</v>
      </c>
      <c r="X436" s="1062">
        <f t="shared" si="29"/>
        <v>874.9</v>
      </c>
    </row>
    <row r="437">
      <c r="D437" s="1061">
        <v>45989.0</v>
      </c>
      <c r="E437" s="222"/>
      <c r="F437" s="1089" t="s">
        <v>1531</v>
      </c>
      <c r="G437" s="222"/>
      <c r="H437" s="1059" t="s">
        <v>1532</v>
      </c>
      <c r="I437" s="224"/>
      <c r="J437" s="222"/>
      <c r="K437" s="1062">
        <v>870.0</v>
      </c>
      <c r="L437" s="1063">
        <v>0.88</v>
      </c>
      <c r="M437" s="1062">
        <f t="shared" si="28"/>
        <v>765.6</v>
      </c>
      <c r="O437" s="1061">
        <v>45989.0</v>
      </c>
      <c r="P437" s="222"/>
      <c r="Q437" s="1089" t="s">
        <v>1531</v>
      </c>
      <c r="R437" s="222"/>
      <c r="S437" s="1059" t="s">
        <v>1532</v>
      </c>
      <c r="T437" s="224"/>
      <c r="U437" s="222"/>
      <c r="V437" s="1060">
        <v>397.0</v>
      </c>
      <c r="W437" s="1064">
        <v>0.65</v>
      </c>
      <c r="X437" s="1062">
        <f t="shared" si="29"/>
        <v>258.05</v>
      </c>
    </row>
    <row r="438">
      <c r="D438" s="1061">
        <v>45990.0</v>
      </c>
      <c r="E438" s="222"/>
      <c r="F438" s="1059" t="s">
        <v>1159</v>
      </c>
      <c r="G438" s="222"/>
      <c r="H438" s="1059" t="s">
        <v>1533</v>
      </c>
      <c r="I438" s="224"/>
      <c r="J438" s="222"/>
      <c r="K438" s="1062">
        <v>2100.0</v>
      </c>
      <c r="L438" s="1063">
        <v>0.88</v>
      </c>
      <c r="M438" s="1062">
        <f t="shared" si="28"/>
        <v>1848</v>
      </c>
      <c r="O438" s="1061">
        <v>45990.0</v>
      </c>
      <c r="P438" s="222"/>
      <c r="Q438" s="1059" t="s">
        <v>1159</v>
      </c>
      <c r="R438" s="222"/>
      <c r="S438" s="1059" t="s">
        <v>1533</v>
      </c>
      <c r="T438" s="224"/>
      <c r="U438" s="222"/>
      <c r="V438" s="1060">
        <v>1012.0</v>
      </c>
      <c r="W438" s="1064">
        <v>0.65</v>
      </c>
      <c r="X438" s="1062">
        <f t="shared" si="29"/>
        <v>657.8</v>
      </c>
    </row>
    <row r="439">
      <c r="D439" s="1072" t="s">
        <v>711</v>
      </c>
      <c r="E439" s="224"/>
      <c r="F439" s="224"/>
      <c r="G439" s="224"/>
      <c r="H439" s="224"/>
      <c r="I439" s="224"/>
      <c r="J439" s="222"/>
      <c r="K439" s="1073">
        <f>SUM(K434:K438)</f>
        <v>7290</v>
      </c>
      <c r="L439" s="1069"/>
      <c r="M439" s="1073">
        <f>SUM(M434:M438)</f>
        <v>6415.2</v>
      </c>
      <c r="O439" s="1072" t="s">
        <v>711</v>
      </c>
      <c r="P439" s="224"/>
      <c r="Q439" s="224"/>
      <c r="R439" s="224"/>
      <c r="S439" s="224"/>
      <c r="T439" s="224"/>
      <c r="U439" s="222"/>
      <c r="V439" s="1060">
        <f>V436+V435+V434+V437+V438</f>
        <v>3610</v>
      </c>
      <c r="W439" s="1074"/>
      <c r="X439" s="1062">
        <f>X436+X435+X434+X437+X438</f>
        <v>2346.5</v>
      </c>
    </row>
    <row r="440">
      <c r="D440" s="1055"/>
      <c r="E440" s="1055"/>
      <c r="F440" s="1055"/>
      <c r="G440" s="1055"/>
      <c r="H440" s="1055"/>
      <c r="I440" s="1055"/>
      <c r="J440" s="1055"/>
      <c r="K440" s="1055"/>
      <c r="L440" s="1055"/>
      <c r="M440" s="1055"/>
      <c r="O440" s="1055"/>
      <c r="P440" s="1055"/>
      <c r="Q440" s="1055"/>
      <c r="R440" s="1055"/>
      <c r="S440" s="1055"/>
      <c r="T440" s="1055"/>
      <c r="U440" s="1055"/>
      <c r="V440" s="1055"/>
      <c r="W440" s="1055"/>
      <c r="X440" s="1055"/>
    </row>
    <row r="441">
      <c r="D441" s="1075" t="s">
        <v>712</v>
      </c>
      <c r="E441" s="222"/>
      <c r="F441" s="1076"/>
      <c r="G441" s="222"/>
      <c r="H441" s="1055"/>
      <c r="I441" s="1055"/>
      <c r="J441" s="1055"/>
      <c r="K441" s="1055"/>
      <c r="L441" s="1055"/>
      <c r="M441" s="1055"/>
      <c r="O441" s="1075" t="s">
        <v>712</v>
      </c>
      <c r="P441" s="222"/>
      <c r="Q441" s="1076"/>
      <c r="R441" s="222"/>
      <c r="S441" s="1055"/>
      <c r="T441" s="1055"/>
      <c r="U441" s="1055"/>
      <c r="V441" s="1055"/>
      <c r="W441" s="1055"/>
      <c r="X441" s="1055"/>
    </row>
    <row r="442">
      <c r="D442" s="1077" t="s">
        <v>1496</v>
      </c>
      <c r="E442" s="222"/>
      <c r="F442" s="1078">
        <v>250.0</v>
      </c>
      <c r="G442" s="222"/>
      <c r="H442" s="1055"/>
      <c r="I442" s="1055"/>
      <c r="J442" s="1055"/>
      <c r="K442" s="1055"/>
      <c r="L442" s="1055"/>
      <c r="M442" s="1055"/>
      <c r="O442" s="1077" t="s">
        <v>1496</v>
      </c>
      <c r="P442" s="222"/>
      <c r="Q442" s="1078">
        <v>250.0</v>
      </c>
      <c r="R442" s="222"/>
      <c r="S442" s="1055"/>
      <c r="T442" s="1055"/>
      <c r="U442" s="1055"/>
      <c r="V442" s="1055"/>
      <c r="W442" s="1055"/>
      <c r="X442" s="1055"/>
    </row>
    <row r="443">
      <c r="D443" s="1079"/>
      <c r="E443" s="222"/>
      <c r="F443" s="1076"/>
      <c r="G443" s="222"/>
      <c r="H443" s="1055"/>
      <c r="I443" s="163"/>
      <c r="J443" s="163"/>
      <c r="K443" s="163"/>
      <c r="L443" s="163"/>
      <c r="M443" s="163"/>
      <c r="O443" s="1079"/>
      <c r="P443" s="222"/>
      <c r="Q443" s="1076"/>
      <c r="R443" s="222"/>
      <c r="S443" s="1055"/>
      <c r="T443" s="1055"/>
      <c r="U443" s="1055"/>
      <c r="V443" s="1055"/>
      <c r="W443" s="1055"/>
      <c r="X443" s="1055"/>
    </row>
    <row r="444">
      <c r="D444" s="1080" t="s">
        <v>714</v>
      </c>
      <c r="E444" s="222"/>
      <c r="F444" s="1078">
        <f>SUM(F441:G443)</f>
        <v>250</v>
      </c>
      <c r="G444" s="222"/>
      <c r="H444" s="1055"/>
      <c r="I444" s="163"/>
      <c r="J444" s="163"/>
      <c r="K444" s="163"/>
      <c r="L444" s="163"/>
      <c r="M444" s="163"/>
      <c r="O444" s="1079"/>
      <c r="P444" s="222"/>
      <c r="Q444" s="1076"/>
      <c r="R444" s="222"/>
      <c r="S444" s="1055"/>
      <c r="T444" s="1055"/>
      <c r="U444" s="1055"/>
      <c r="V444" s="1055"/>
      <c r="W444" s="1055"/>
      <c r="X444" s="1055"/>
    </row>
    <row r="445">
      <c r="D445" s="1081"/>
      <c r="E445" s="224"/>
      <c r="F445" s="224"/>
      <c r="G445" s="222"/>
      <c r="H445" s="1055"/>
      <c r="I445" s="163"/>
      <c r="J445" s="163"/>
      <c r="K445" s="163"/>
      <c r="L445" s="163"/>
      <c r="M445" s="163"/>
      <c r="O445" s="1079"/>
      <c r="P445" s="222"/>
      <c r="Q445" s="1076"/>
      <c r="R445" s="222"/>
      <c r="S445" s="1055"/>
      <c r="T445" s="1055"/>
      <c r="U445" s="1055"/>
      <c r="V445" s="1055"/>
      <c r="W445" s="1055"/>
      <c r="X445" s="1055"/>
    </row>
    <row r="446">
      <c r="D446" s="1082" t="s">
        <v>715</v>
      </c>
      <c r="E446" s="222"/>
      <c r="F446" s="1083"/>
      <c r="G446" s="222"/>
      <c r="H446" s="1055"/>
      <c r="I446" s="163"/>
      <c r="J446" s="163"/>
      <c r="K446" s="163"/>
      <c r="L446" s="163"/>
      <c r="M446" s="163"/>
      <c r="O446" s="1079"/>
      <c r="P446" s="222"/>
      <c r="Q446" s="1076"/>
      <c r="R446" s="222"/>
      <c r="S446" s="1055"/>
      <c r="T446" s="1055"/>
      <c r="U446" s="1055"/>
      <c r="V446" s="1055"/>
      <c r="W446" s="1055"/>
      <c r="X446" s="1055"/>
    </row>
    <row r="447">
      <c r="D447" s="1090" t="s">
        <v>716</v>
      </c>
      <c r="E447" s="222"/>
      <c r="F447" s="1088">
        <v>150.0</v>
      </c>
      <c r="G447" s="222"/>
      <c r="H447" s="1055"/>
      <c r="I447" s="163"/>
      <c r="J447" s="163"/>
      <c r="K447" s="163"/>
      <c r="L447" s="163"/>
      <c r="M447" s="163"/>
      <c r="O447" s="1080" t="s">
        <v>714</v>
      </c>
      <c r="P447" s="222"/>
      <c r="Q447" s="1078">
        <f>SUM(Q441:R446)</f>
        <v>250</v>
      </c>
      <c r="R447" s="222"/>
      <c r="S447" s="1055"/>
      <c r="T447" s="1055"/>
      <c r="U447" s="1055"/>
      <c r="V447" s="1055"/>
      <c r="W447" s="1055"/>
      <c r="X447" s="1055"/>
    </row>
    <row r="448">
      <c r="D448" s="1090" t="s">
        <v>717</v>
      </c>
      <c r="E448" s="222"/>
      <c r="F448" s="1088">
        <v>400.0</v>
      </c>
      <c r="G448" s="222"/>
      <c r="H448" s="1055"/>
      <c r="I448" s="163"/>
      <c r="J448" s="163"/>
      <c r="K448" s="163"/>
      <c r="L448" s="163"/>
      <c r="M448" s="163"/>
      <c r="O448" s="1055"/>
      <c r="P448" s="1055"/>
      <c r="Q448" s="1055"/>
      <c r="S448" s="1055"/>
      <c r="T448" s="1055"/>
      <c r="U448" s="1055"/>
      <c r="V448" s="1055"/>
      <c r="W448" s="1055"/>
      <c r="X448" s="1055"/>
    </row>
    <row r="449">
      <c r="D449" s="1090" t="s">
        <v>718</v>
      </c>
      <c r="E449" s="222"/>
      <c r="F449" s="1088">
        <v>200.0</v>
      </c>
      <c r="G449" s="222"/>
      <c r="H449" s="1055"/>
      <c r="I449" s="163"/>
      <c r="J449" s="163"/>
      <c r="K449" s="163"/>
      <c r="L449" s="163"/>
      <c r="M449" s="163"/>
      <c r="O449" s="1082" t="s">
        <v>715</v>
      </c>
      <c r="P449" s="222"/>
      <c r="Q449" s="1083"/>
      <c r="R449" s="222"/>
      <c r="S449" s="1055"/>
      <c r="T449" s="1055"/>
      <c r="U449" s="1055"/>
      <c r="V449" s="1055"/>
      <c r="W449" s="1055"/>
      <c r="X449" s="1055"/>
    </row>
    <row r="450">
      <c r="D450" s="1090" t="s">
        <v>656</v>
      </c>
      <c r="E450" s="222"/>
      <c r="F450" s="1088">
        <v>2517.8</v>
      </c>
      <c r="G450" s="222"/>
      <c r="H450" s="1055"/>
      <c r="I450" s="163"/>
      <c r="J450" s="163"/>
      <c r="K450" s="163"/>
      <c r="L450" s="163"/>
      <c r="M450" s="163"/>
      <c r="O450" s="1092" t="s">
        <v>1534</v>
      </c>
      <c r="P450" s="211"/>
      <c r="Q450" s="1093">
        <f>3834/13</f>
        <v>294.9230769</v>
      </c>
      <c r="R450" s="211"/>
      <c r="S450" s="1055"/>
      <c r="T450" s="1055"/>
      <c r="U450" s="1085" t="s">
        <v>1497</v>
      </c>
      <c r="V450" s="211"/>
      <c r="W450" s="1086">
        <f>X439+Q447-Q455</f>
        <v>1790.52359</v>
      </c>
      <c r="X450" s="211"/>
    </row>
    <row r="451">
      <c r="D451" s="1092" t="s">
        <v>1534</v>
      </c>
      <c r="E451" s="211"/>
      <c r="F451" s="1093">
        <f>3834/13</f>
        <v>294.9230769</v>
      </c>
      <c r="G451" s="211"/>
      <c r="H451" s="1055"/>
      <c r="I451" s="1055"/>
      <c r="J451" s="1085" t="s">
        <v>1498</v>
      </c>
      <c r="K451" s="211"/>
      <c r="L451" s="1086">
        <f>M439+F444-F456</f>
        <v>3102.476923</v>
      </c>
      <c r="M451" s="211"/>
      <c r="O451" s="215"/>
      <c r="P451" s="64"/>
      <c r="Q451" s="215"/>
      <c r="R451" s="64"/>
      <c r="S451" s="1055"/>
      <c r="T451" s="1055"/>
      <c r="U451" s="278"/>
      <c r="V451" s="56"/>
      <c r="W451" s="278"/>
      <c r="X451" s="56"/>
    </row>
    <row r="452">
      <c r="D452" s="215"/>
      <c r="E452" s="64"/>
      <c r="F452" s="215"/>
      <c r="G452" s="64"/>
      <c r="H452" s="1055"/>
      <c r="I452" s="1055"/>
      <c r="J452" s="278"/>
      <c r="K452" s="56"/>
      <c r="L452" s="278"/>
      <c r="M452" s="56"/>
      <c r="O452" s="1084"/>
      <c r="P452" s="222"/>
      <c r="Q452" s="1083"/>
      <c r="R452" s="222"/>
      <c r="S452" s="1055"/>
      <c r="T452" s="1055"/>
      <c r="U452" s="215"/>
      <c r="V452" s="64"/>
      <c r="W452" s="215"/>
      <c r="X452" s="64"/>
    </row>
    <row r="453">
      <c r="D453" s="1084"/>
      <c r="E453" s="222"/>
      <c r="F453" s="1083"/>
      <c r="G453" s="222"/>
      <c r="H453" s="1055"/>
      <c r="I453" s="1055"/>
      <c r="J453" s="215"/>
      <c r="K453" s="64"/>
      <c r="L453" s="215"/>
      <c r="M453" s="64"/>
      <c r="O453" s="1092" t="s">
        <v>1535</v>
      </c>
      <c r="P453" s="211"/>
      <c r="Q453" s="1093">
        <f>1533.16/3</f>
        <v>511.0533333</v>
      </c>
      <c r="R453" s="211"/>
      <c r="S453" s="1055"/>
      <c r="T453" s="1055"/>
      <c r="U453" s="1055"/>
      <c r="V453" s="1055"/>
      <c r="W453" s="1055"/>
      <c r="X453" s="1055"/>
    </row>
    <row r="454">
      <c r="D454" s="1084"/>
      <c r="E454" s="222"/>
      <c r="F454" s="1083"/>
      <c r="G454" s="222"/>
      <c r="H454" s="1055"/>
      <c r="I454" s="1055"/>
      <c r="J454" s="1055"/>
      <c r="K454" s="1055"/>
      <c r="L454" s="1055"/>
      <c r="M454" s="1055"/>
      <c r="O454" s="215"/>
      <c r="P454" s="64"/>
      <c r="Q454" s="215"/>
      <c r="R454" s="64"/>
      <c r="S454" s="1055"/>
      <c r="T454" s="1055"/>
      <c r="U454" s="1055"/>
      <c r="V454" s="1055"/>
      <c r="W454" s="1055"/>
      <c r="X454" s="1055"/>
    </row>
    <row r="455">
      <c r="D455" s="1084"/>
      <c r="E455" s="222"/>
      <c r="F455" s="1083"/>
      <c r="G455" s="222"/>
      <c r="H455" s="1055"/>
      <c r="I455" s="1055"/>
      <c r="J455" s="1055"/>
      <c r="K455" s="1055"/>
      <c r="L455" s="1055"/>
      <c r="M455" s="1055"/>
      <c r="O455" s="1087" t="s">
        <v>721</v>
      </c>
      <c r="P455" s="222"/>
      <c r="Q455" s="1088">
        <f>SUM(Q449:R454)</f>
        <v>805.9764103</v>
      </c>
      <c r="R455" s="222"/>
      <c r="S455" s="1055"/>
      <c r="T455" s="1055"/>
      <c r="U455" s="1055"/>
      <c r="V455" s="1055"/>
      <c r="W455" s="1055"/>
      <c r="X455" s="1055"/>
    </row>
    <row r="456">
      <c r="D456" s="1087" t="s">
        <v>721</v>
      </c>
      <c r="E456" s="222"/>
      <c r="F456" s="1088">
        <f>SUM(F447:G455)</f>
        <v>3562.723077</v>
      </c>
      <c r="G456" s="222"/>
      <c r="H456" s="1055"/>
      <c r="I456" s="1055"/>
      <c r="J456" s="1055"/>
      <c r="K456" s="1055"/>
      <c r="L456" s="1055"/>
      <c r="M456" s="1055"/>
    </row>
    <row r="459">
      <c r="D459" s="1055"/>
      <c r="I459" s="1056" t="s">
        <v>700</v>
      </c>
      <c r="J459" s="211"/>
      <c r="K459" s="1057" t="s">
        <v>1493</v>
      </c>
      <c r="L459" s="213"/>
      <c r="M459" s="211"/>
      <c r="O459" s="1055"/>
      <c r="T459" s="1056" t="s">
        <v>700</v>
      </c>
      <c r="U459" s="211"/>
      <c r="V459" s="1057" t="s">
        <v>1493</v>
      </c>
      <c r="W459" s="213"/>
      <c r="X459" s="211"/>
    </row>
    <row r="460">
      <c r="I460" s="215"/>
      <c r="J460" s="64"/>
      <c r="K460" s="215"/>
      <c r="L460" s="216"/>
      <c r="M460" s="64"/>
      <c r="T460" s="215"/>
      <c r="U460" s="64"/>
      <c r="V460" s="215"/>
      <c r="W460" s="216"/>
      <c r="X460" s="64"/>
    </row>
    <row r="461">
      <c r="I461" s="1056" t="s">
        <v>702</v>
      </c>
      <c r="J461" s="211"/>
      <c r="K461" s="1057" t="s">
        <v>911</v>
      </c>
      <c r="L461" s="213"/>
      <c r="M461" s="211"/>
      <c r="T461" s="1056" t="s">
        <v>351</v>
      </c>
      <c r="U461" s="211"/>
      <c r="V461" s="1057" t="s">
        <v>630</v>
      </c>
      <c r="W461" s="213"/>
      <c r="X461" s="211"/>
    </row>
    <row r="462">
      <c r="I462" s="215"/>
      <c r="J462" s="64"/>
      <c r="K462" s="215"/>
      <c r="L462" s="216"/>
      <c r="M462" s="64"/>
      <c r="T462" s="215"/>
      <c r="U462" s="64"/>
      <c r="V462" s="215"/>
      <c r="W462" s="216"/>
      <c r="X462" s="64"/>
    </row>
    <row r="463">
      <c r="I463" s="1056" t="s">
        <v>703</v>
      </c>
      <c r="J463" s="211"/>
      <c r="K463" s="1058" t="s">
        <v>513</v>
      </c>
      <c r="L463" s="213"/>
      <c r="M463" s="211"/>
      <c r="T463" s="1056" t="s">
        <v>703</v>
      </c>
      <c r="U463" s="211"/>
      <c r="V463" s="1058" t="s">
        <v>513</v>
      </c>
      <c r="W463" s="213"/>
      <c r="X463" s="211"/>
    </row>
    <row r="464">
      <c r="I464" s="215"/>
      <c r="J464" s="64"/>
      <c r="K464" s="215"/>
      <c r="L464" s="216"/>
      <c r="M464" s="64"/>
      <c r="T464" s="215"/>
      <c r="U464" s="64"/>
      <c r="V464" s="215"/>
      <c r="W464" s="216"/>
      <c r="X464" s="64"/>
    </row>
    <row r="465">
      <c r="D465" s="1059" t="s">
        <v>704</v>
      </c>
      <c r="E465" s="222"/>
      <c r="F465" s="1059" t="s">
        <v>5</v>
      </c>
      <c r="G465" s="222"/>
      <c r="H465" s="1059" t="s">
        <v>705</v>
      </c>
      <c r="I465" s="224"/>
      <c r="J465" s="222"/>
      <c r="K465" s="1060" t="s">
        <v>8</v>
      </c>
      <c r="L465" s="1060" t="s">
        <v>706</v>
      </c>
      <c r="M465" s="1060" t="s">
        <v>707</v>
      </c>
      <c r="O465" s="1059" t="s">
        <v>704</v>
      </c>
      <c r="P465" s="222"/>
      <c r="Q465" s="1059" t="s">
        <v>5</v>
      </c>
      <c r="R465" s="222"/>
      <c r="S465" s="1059" t="s">
        <v>705</v>
      </c>
      <c r="T465" s="224"/>
      <c r="U465" s="222"/>
      <c r="V465" s="1060" t="s">
        <v>591</v>
      </c>
      <c r="W465" s="1060" t="s">
        <v>708</v>
      </c>
      <c r="X465" s="1060" t="s">
        <v>707</v>
      </c>
    </row>
    <row r="466">
      <c r="D466" s="1061">
        <v>45986.0</v>
      </c>
      <c r="E466" s="222"/>
      <c r="F466" s="1059">
        <v>642799.0</v>
      </c>
      <c r="G466" s="222"/>
      <c r="H466" s="1059" t="s">
        <v>1536</v>
      </c>
      <c r="I466" s="224"/>
      <c r="J466" s="222"/>
      <c r="K466" s="1062">
        <v>472.55</v>
      </c>
      <c r="L466" s="1063">
        <v>1.0</v>
      </c>
      <c r="M466" s="1062">
        <f t="shared" ref="M466:M469" si="30">K466*L466</f>
        <v>472.55</v>
      </c>
      <c r="O466" s="1061">
        <v>45986.0</v>
      </c>
      <c r="P466" s="222"/>
      <c r="Q466" s="1059">
        <v>642799.0</v>
      </c>
      <c r="R466" s="222"/>
      <c r="S466" s="1059" t="s">
        <v>1536</v>
      </c>
      <c r="T466" s="224"/>
      <c r="U466" s="222"/>
      <c r="V466" s="1060">
        <v>727.0</v>
      </c>
      <c r="W466" s="1064">
        <v>0.65</v>
      </c>
      <c r="X466" s="1062">
        <f t="shared" ref="X466:X469" si="31">V466*W466</f>
        <v>472.55</v>
      </c>
    </row>
    <row r="467">
      <c r="D467" s="1061">
        <v>45987.0</v>
      </c>
      <c r="E467" s="222"/>
      <c r="F467" s="1059">
        <v>5.36172052E8</v>
      </c>
      <c r="G467" s="222"/>
      <c r="H467" s="1059" t="s">
        <v>1537</v>
      </c>
      <c r="I467" s="224"/>
      <c r="J467" s="222"/>
      <c r="K467" s="1062">
        <v>604.5</v>
      </c>
      <c r="L467" s="1063">
        <v>1.0</v>
      </c>
      <c r="M467" s="1062">
        <f t="shared" si="30"/>
        <v>604.5</v>
      </c>
      <c r="O467" s="1061">
        <v>45987.0</v>
      </c>
      <c r="P467" s="222"/>
      <c r="Q467" s="1059">
        <v>5.36172052E8</v>
      </c>
      <c r="R467" s="222"/>
      <c r="S467" s="1059" t="s">
        <v>1537</v>
      </c>
      <c r="T467" s="224"/>
      <c r="U467" s="222"/>
      <c r="V467" s="1060">
        <v>930.0</v>
      </c>
      <c r="W467" s="1064">
        <v>0.65</v>
      </c>
      <c r="X467" s="1062">
        <f t="shared" si="31"/>
        <v>604.5</v>
      </c>
    </row>
    <row r="468">
      <c r="D468" s="1065"/>
      <c r="E468" s="222"/>
      <c r="F468" s="1066"/>
      <c r="G468" s="222"/>
      <c r="H468" s="1066"/>
      <c r="I468" s="224"/>
      <c r="J468" s="222"/>
      <c r="K468" s="1067"/>
      <c r="L468" s="1063">
        <v>1.0</v>
      </c>
      <c r="M468" s="1062">
        <f t="shared" si="30"/>
        <v>0</v>
      </c>
      <c r="O468" s="1065"/>
      <c r="P468" s="222"/>
      <c r="Q468" s="1066"/>
      <c r="R468" s="222"/>
      <c r="S468" s="1066"/>
      <c r="T468" s="224"/>
      <c r="U468" s="222"/>
      <c r="V468" s="1068"/>
      <c r="W468" s="1064">
        <v>0.65</v>
      </c>
      <c r="X468" s="1062">
        <f t="shared" si="31"/>
        <v>0</v>
      </c>
    </row>
    <row r="469">
      <c r="D469" s="1065"/>
      <c r="E469" s="222"/>
      <c r="F469" s="1066"/>
      <c r="G469" s="222"/>
      <c r="H469" s="1066"/>
      <c r="I469" s="224"/>
      <c r="J469" s="222"/>
      <c r="K469" s="1067"/>
      <c r="L469" s="1063">
        <v>1.0</v>
      </c>
      <c r="M469" s="1062">
        <f t="shared" si="30"/>
        <v>0</v>
      </c>
      <c r="O469" s="1065"/>
      <c r="P469" s="222"/>
      <c r="Q469" s="1066"/>
      <c r="R469" s="222"/>
      <c r="S469" s="1066"/>
      <c r="T469" s="224"/>
      <c r="U469" s="222"/>
      <c r="V469" s="1068"/>
      <c r="W469" s="1064">
        <v>0.65</v>
      </c>
      <c r="X469" s="1062">
        <f t="shared" si="31"/>
        <v>0</v>
      </c>
    </row>
    <row r="470">
      <c r="D470" s="1072" t="s">
        <v>711</v>
      </c>
      <c r="E470" s="224"/>
      <c r="F470" s="224"/>
      <c r="G470" s="224"/>
      <c r="H470" s="224"/>
      <c r="I470" s="224"/>
      <c r="J470" s="222"/>
      <c r="K470" s="1073">
        <f>SUM(K466:K469)</f>
        <v>1077.05</v>
      </c>
      <c r="L470" s="1069"/>
      <c r="M470" s="1073">
        <f>SUM(M466:M469)</f>
        <v>1077.05</v>
      </c>
      <c r="O470" s="1072" t="s">
        <v>711</v>
      </c>
      <c r="P470" s="224"/>
      <c r="Q470" s="224"/>
      <c r="R470" s="224"/>
      <c r="S470" s="224"/>
      <c r="T470" s="224"/>
      <c r="U470" s="222"/>
      <c r="V470" s="1060">
        <f>SUM(V466:V469)</f>
        <v>1657</v>
      </c>
      <c r="W470" s="1074"/>
      <c r="X470" s="1062">
        <f>SUM(X466:X469)</f>
        <v>1077.05</v>
      </c>
    </row>
    <row r="471">
      <c r="D471" s="1055"/>
      <c r="E471" s="1055"/>
      <c r="F471" s="1055"/>
      <c r="G471" s="1055"/>
      <c r="H471" s="1055"/>
      <c r="I471" s="1055"/>
      <c r="J471" s="1055"/>
      <c r="K471" s="1055"/>
      <c r="L471" s="1055"/>
      <c r="M471" s="1055"/>
      <c r="O471" s="1055"/>
      <c r="P471" s="1055"/>
      <c r="Q471" s="1055"/>
      <c r="R471" s="1055"/>
      <c r="S471" s="1055"/>
      <c r="T471" s="1055"/>
      <c r="U471" s="1055"/>
      <c r="V471" s="1055"/>
      <c r="W471" s="1055"/>
      <c r="X471" s="1055"/>
    </row>
    <row r="472">
      <c r="D472" s="1075" t="s">
        <v>712</v>
      </c>
      <c r="E472" s="222"/>
      <c r="F472" s="1076"/>
      <c r="G472" s="222"/>
      <c r="H472" s="1055"/>
      <c r="I472" s="1055"/>
      <c r="J472" s="1055"/>
      <c r="K472" s="1055"/>
      <c r="L472" s="1055"/>
      <c r="M472" s="1055"/>
      <c r="O472" s="1075" t="s">
        <v>712</v>
      </c>
      <c r="P472" s="222"/>
      <c r="Q472" s="1076"/>
      <c r="R472" s="222"/>
      <c r="S472" s="1055"/>
      <c r="T472" s="1055"/>
      <c r="U472" s="1055"/>
      <c r="V472" s="1055"/>
      <c r="W472" s="1055"/>
      <c r="X472" s="1055"/>
    </row>
    <row r="473">
      <c r="D473" s="1077" t="s">
        <v>1496</v>
      </c>
      <c r="E473" s="222"/>
      <c r="F473" s="1078">
        <v>250.0</v>
      </c>
      <c r="G473" s="222"/>
      <c r="H473" s="1055"/>
      <c r="I473" s="1055"/>
      <c r="J473" s="1055"/>
      <c r="K473" s="1055"/>
      <c r="L473" s="1055"/>
      <c r="M473" s="1055"/>
      <c r="O473" s="1077" t="s">
        <v>1496</v>
      </c>
      <c r="P473" s="222"/>
      <c r="Q473" s="1078">
        <v>250.0</v>
      </c>
      <c r="R473" s="222"/>
      <c r="S473" s="1055"/>
      <c r="T473" s="1055"/>
      <c r="U473" s="1055"/>
      <c r="V473" s="1055"/>
      <c r="W473" s="1055"/>
      <c r="X473" s="1055"/>
    </row>
    <row r="474">
      <c r="D474" s="1077" t="s">
        <v>657</v>
      </c>
      <c r="E474" s="222"/>
      <c r="F474" s="1078">
        <v>577.0</v>
      </c>
      <c r="G474" s="222"/>
      <c r="H474" s="1055"/>
      <c r="I474" s="1055"/>
      <c r="J474" s="1055"/>
      <c r="K474" s="1055"/>
      <c r="L474" s="1055"/>
      <c r="M474" s="1055"/>
      <c r="O474" s="1079"/>
      <c r="P474" s="222"/>
      <c r="Q474" s="1076"/>
      <c r="R474" s="222"/>
      <c r="S474" s="1055"/>
      <c r="T474" s="1055"/>
      <c r="U474" s="1055"/>
      <c r="V474" s="1055"/>
      <c r="W474" s="1055"/>
      <c r="X474" s="1055"/>
    </row>
    <row r="475">
      <c r="D475" s="1079"/>
      <c r="E475" s="222"/>
      <c r="F475" s="1076"/>
      <c r="G475" s="222"/>
      <c r="H475" s="1055"/>
      <c r="I475" s="1055"/>
      <c r="J475" s="1055"/>
      <c r="K475" s="1055"/>
      <c r="L475" s="1055"/>
      <c r="M475" s="1055"/>
      <c r="O475" s="1079"/>
      <c r="P475" s="222"/>
      <c r="Q475" s="1076"/>
      <c r="R475" s="222"/>
      <c r="S475" s="1055"/>
      <c r="T475" s="1055"/>
      <c r="U475" s="1055"/>
      <c r="V475" s="1055"/>
      <c r="W475" s="1055"/>
      <c r="X475" s="1055"/>
    </row>
    <row r="476">
      <c r="D476" s="1080" t="s">
        <v>714</v>
      </c>
      <c r="E476" s="222"/>
      <c r="F476" s="1078">
        <f>SUM(F472:G475)</f>
        <v>827</v>
      </c>
      <c r="G476" s="222"/>
      <c r="H476" s="1055"/>
      <c r="I476" s="1055"/>
      <c r="J476" s="1055"/>
      <c r="K476" s="1055"/>
      <c r="L476" s="1055"/>
      <c r="M476" s="1055"/>
      <c r="O476" s="1079"/>
      <c r="P476" s="222"/>
      <c r="Q476" s="1076"/>
      <c r="R476" s="222"/>
      <c r="S476" s="1055"/>
      <c r="T476" s="1055"/>
      <c r="U476" s="1055"/>
      <c r="V476" s="1055"/>
      <c r="W476" s="1055"/>
      <c r="X476" s="1055"/>
    </row>
    <row r="477">
      <c r="D477" s="1081"/>
      <c r="E477" s="224"/>
      <c r="F477" s="224"/>
      <c r="G477" s="222"/>
      <c r="H477" s="1055"/>
      <c r="I477" s="1055"/>
      <c r="J477" s="1055"/>
      <c r="K477" s="1055"/>
      <c r="L477" s="1055"/>
      <c r="M477" s="1055"/>
      <c r="O477" s="1079"/>
      <c r="P477" s="222"/>
      <c r="Q477" s="1076"/>
      <c r="R477" s="222"/>
      <c r="S477" s="1055"/>
      <c r="T477" s="1055"/>
      <c r="U477" s="1055"/>
      <c r="V477" s="1055"/>
      <c r="W477" s="1055"/>
      <c r="X477" s="1055"/>
    </row>
    <row r="478">
      <c r="D478" s="1082" t="s">
        <v>715</v>
      </c>
      <c r="E478" s="222"/>
      <c r="F478" s="1083"/>
      <c r="G478" s="222"/>
      <c r="H478" s="1055"/>
      <c r="I478" s="1055"/>
      <c r="J478" s="1055"/>
      <c r="K478" s="1055"/>
      <c r="L478" s="1055"/>
      <c r="M478" s="1055"/>
      <c r="O478" s="1080" t="s">
        <v>714</v>
      </c>
      <c r="P478" s="222"/>
      <c r="Q478" s="1078">
        <f>SUM(Q472:R477)</f>
        <v>250</v>
      </c>
      <c r="R478" s="222"/>
      <c r="S478" s="1055"/>
      <c r="T478" s="1055"/>
      <c r="U478" s="1055"/>
      <c r="V478" s="1055"/>
      <c r="W478" s="1055"/>
      <c r="X478" s="1055"/>
    </row>
    <row r="479">
      <c r="D479" s="1084"/>
      <c r="E479" s="222"/>
      <c r="F479" s="1083"/>
      <c r="G479" s="222"/>
      <c r="H479" s="1055"/>
      <c r="I479" s="1055"/>
      <c r="J479" s="1055"/>
      <c r="K479" s="1055"/>
      <c r="L479" s="1055"/>
      <c r="M479" s="1055"/>
      <c r="O479" s="1055"/>
      <c r="P479" s="1055"/>
      <c r="Q479" s="1055"/>
      <c r="S479" s="1055"/>
      <c r="T479" s="1055"/>
      <c r="U479" s="1055"/>
      <c r="V479" s="1055"/>
      <c r="W479" s="1055"/>
      <c r="X479" s="1055"/>
    </row>
    <row r="480">
      <c r="D480" s="1084"/>
      <c r="E480" s="222"/>
      <c r="F480" s="1083"/>
      <c r="G480" s="222"/>
      <c r="H480" s="1055"/>
      <c r="I480" s="1055"/>
      <c r="J480" s="1055"/>
      <c r="K480" s="1055"/>
      <c r="L480" s="1055"/>
      <c r="M480" s="1055"/>
      <c r="O480" s="1082" t="s">
        <v>715</v>
      </c>
      <c r="P480" s="222"/>
      <c r="Q480" s="1083"/>
      <c r="R480" s="222"/>
      <c r="S480" s="1055"/>
      <c r="T480" s="1055"/>
      <c r="U480" s="1055"/>
      <c r="V480" s="1055"/>
      <c r="W480" s="1055"/>
      <c r="X480" s="1055"/>
    </row>
    <row r="481">
      <c r="D481" s="1084"/>
      <c r="E481" s="222"/>
      <c r="F481" s="1083"/>
      <c r="G481" s="222"/>
      <c r="H481" s="1055"/>
      <c r="I481" s="1055"/>
      <c r="J481" s="1055"/>
      <c r="K481" s="1055"/>
      <c r="L481" s="1055"/>
      <c r="M481" s="1055"/>
      <c r="O481" s="1084"/>
      <c r="P481" s="222"/>
      <c r="Q481" s="1083"/>
      <c r="R481" s="222"/>
      <c r="S481" s="1055"/>
      <c r="T481" s="1055"/>
      <c r="U481" s="1085" t="s">
        <v>1497</v>
      </c>
      <c r="V481" s="211"/>
      <c r="W481" s="1086">
        <f>X470+Q478-Q486</f>
        <v>1327.05</v>
      </c>
      <c r="X481" s="211"/>
    </row>
    <row r="482">
      <c r="D482" s="1084"/>
      <c r="E482" s="222"/>
      <c r="F482" s="1083"/>
      <c r="G482" s="222"/>
      <c r="H482" s="1055"/>
      <c r="I482" s="1055"/>
      <c r="J482" s="1055"/>
      <c r="K482" s="1055"/>
      <c r="L482" s="1055"/>
      <c r="M482" s="1055"/>
      <c r="O482" s="1084"/>
      <c r="P482" s="222"/>
      <c r="Q482" s="1083"/>
      <c r="R482" s="222"/>
      <c r="S482" s="1055"/>
      <c r="T482" s="1055"/>
      <c r="U482" s="278"/>
      <c r="V482" s="56"/>
      <c r="W482" s="278"/>
      <c r="X482" s="56"/>
    </row>
    <row r="483">
      <c r="D483" s="1084"/>
      <c r="E483" s="222"/>
      <c r="F483" s="1083"/>
      <c r="G483" s="222"/>
      <c r="H483" s="1055"/>
      <c r="I483" s="1055"/>
      <c r="J483" s="1085" t="s">
        <v>1498</v>
      </c>
      <c r="K483" s="211"/>
      <c r="L483" s="1086">
        <f>M470+F476-F487</f>
        <v>1904.05</v>
      </c>
      <c r="M483" s="211"/>
      <c r="O483" s="1084"/>
      <c r="P483" s="222"/>
      <c r="Q483" s="1083"/>
      <c r="R483" s="222"/>
      <c r="S483" s="1055"/>
      <c r="T483" s="1055"/>
      <c r="U483" s="215"/>
      <c r="V483" s="64"/>
      <c r="W483" s="215"/>
      <c r="X483" s="64"/>
    </row>
    <row r="484">
      <c r="D484" s="1084"/>
      <c r="E484" s="222"/>
      <c r="F484" s="1083"/>
      <c r="G484" s="222"/>
      <c r="H484" s="1055"/>
      <c r="I484" s="1055"/>
      <c r="J484" s="278"/>
      <c r="K484" s="56"/>
      <c r="L484" s="278"/>
      <c r="M484" s="56"/>
      <c r="O484" s="1084"/>
      <c r="P484" s="222"/>
      <c r="Q484" s="1083"/>
      <c r="R484" s="222"/>
      <c r="S484" s="1055"/>
      <c r="T484" s="1055"/>
      <c r="U484" s="1055"/>
      <c r="V484" s="1055"/>
      <c r="W484" s="1055"/>
      <c r="X484" s="1055"/>
    </row>
    <row r="485">
      <c r="D485" s="1084"/>
      <c r="E485" s="222"/>
      <c r="F485" s="1083"/>
      <c r="G485" s="222"/>
      <c r="H485" s="1055"/>
      <c r="I485" s="1055"/>
      <c r="J485" s="215"/>
      <c r="K485" s="64"/>
      <c r="L485" s="215"/>
      <c r="M485" s="64"/>
      <c r="O485" s="1084"/>
      <c r="P485" s="222"/>
      <c r="Q485" s="1083"/>
      <c r="R485" s="222"/>
      <c r="S485" s="1055"/>
      <c r="T485" s="1055"/>
      <c r="U485" s="1055"/>
      <c r="V485" s="1055"/>
      <c r="W485" s="1055"/>
      <c r="X485" s="1055"/>
    </row>
    <row r="486">
      <c r="D486" s="1084"/>
      <c r="E486" s="222"/>
      <c r="F486" s="1083"/>
      <c r="G486" s="222"/>
      <c r="H486" s="1055"/>
      <c r="I486" s="1055"/>
      <c r="J486" s="1055"/>
      <c r="K486" s="1055"/>
      <c r="L486" s="1055"/>
      <c r="M486" s="1055"/>
      <c r="O486" s="1087" t="s">
        <v>721</v>
      </c>
      <c r="P486" s="222"/>
      <c r="Q486" s="1088">
        <f>SUM(Q480:R485)</f>
        <v>0</v>
      </c>
      <c r="R486" s="222"/>
      <c r="S486" s="1055"/>
      <c r="T486" s="1055"/>
      <c r="U486" s="1055"/>
      <c r="V486" s="1055"/>
      <c r="W486" s="1055"/>
      <c r="X486" s="1055"/>
    </row>
    <row r="487">
      <c r="D487" s="1087" t="s">
        <v>721</v>
      </c>
      <c r="E487" s="222"/>
      <c r="F487" s="1088">
        <f>SUM(F479:G486)</f>
        <v>0</v>
      </c>
      <c r="G487" s="222"/>
      <c r="H487" s="1055"/>
      <c r="I487" s="1055"/>
      <c r="J487" s="1055"/>
      <c r="K487" s="1055"/>
      <c r="L487" s="1055"/>
      <c r="M487" s="1055"/>
    </row>
    <row r="488"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</row>
    <row r="490">
      <c r="D490" s="1055"/>
      <c r="H490" s="56"/>
      <c r="I490" s="1056" t="s">
        <v>700</v>
      </c>
      <c r="J490" s="211"/>
      <c r="K490" s="1057" t="s">
        <v>1493</v>
      </c>
      <c r="L490" s="213"/>
      <c r="M490" s="211"/>
      <c r="O490" s="1055"/>
      <c r="T490" s="1056" t="s">
        <v>700</v>
      </c>
      <c r="U490" s="211"/>
      <c r="V490" s="1057" t="s">
        <v>1493</v>
      </c>
      <c r="W490" s="213"/>
      <c r="X490" s="211"/>
    </row>
    <row r="491">
      <c r="H491" s="56"/>
      <c r="I491" s="215"/>
      <c r="J491" s="64"/>
      <c r="K491" s="215"/>
      <c r="L491" s="216"/>
      <c r="M491" s="64"/>
      <c r="T491" s="215"/>
      <c r="U491" s="64"/>
      <c r="V491" s="215"/>
      <c r="W491" s="216"/>
      <c r="X491" s="64"/>
    </row>
    <row r="492">
      <c r="H492" s="56"/>
      <c r="I492" s="1056" t="s">
        <v>702</v>
      </c>
      <c r="J492" s="211"/>
      <c r="K492" s="1057" t="s">
        <v>684</v>
      </c>
      <c r="L492" s="213"/>
      <c r="M492" s="211"/>
      <c r="T492" s="1056" t="s">
        <v>351</v>
      </c>
      <c r="U492" s="211"/>
      <c r="V492" s="1057" t="s">
        <v>619</v>
      </c>
      <c r="W492" s="213"/>
      <c r="X492" s="211"/>
    </row>
    <row r="493">
      <c r="H493" s="56"/>
      <c r="I493" s="215"/>
      <c r="J493" s="64"/>
      <c r="K493" s="215"/>
      <c r="L493" s="216"/>
      <c r="M493" s="64"/>
      <c r="T493" s="215"/>
      <c r="U493" s="64"/>
      <c r="V493" s="215"/>
      <c r="W493" s="216"/>
      <c r="X493" s="64"/>
    </row>
    <row r="494">
      <c r="H494" s="56"/>
      <c r="I494" s="1056" t="s">
        <v>703</v>
      </c>
      <c r="J494" s="211"/>
      <c r="K494" s="1057">
        <v>2516.0</v>
      </c>
      <c r="L494" s="213"/>
      <c r="M494" s="211"/>
      <c r="T494" s="1056" t="s">
        <v>703</v>
      </c>
      <c r="U494" s="211"/>
      <c r="V494" s="1057">
        <v>2516.0</v>
      </c>
      <c r="W494" s="213"/>
      <c r="X494" s="211"/>
    </row>
    <row r="495">
      <c r="D495" s="216"/>
      <c r="E495" s="216"/>
      <c r="F495" s="216"/>
      <c r="G495" s="216"/>
      <c r="H495" s="64"/>
      <c r="I495" s="215"/>
      <c r="J495" s="64"/>
      <c r="K495" s="215"/>
      <c r="L495" s="216"/>
      <c r="M495" s="64"/>
      <c r="T495" s="215"/>
      <c r="U495" s="64"/>
      <c r="V495" s="215"/>
      <c r="W495" s="216"/>
      <c r="X495" s="64"/>
    </row>
    <row r="496">
      <c r="D496" s="1059" t="s">
        <v>704</v>
      </c>
      <c r="E496" s="222"/>
      <c r="F496" s="1059" t="s">
        <v>5</v>
      </c>
      <c r="G496" s="222"/>
      <c r="H496" s="1059" t="s">
        <v>705</v>
      </c>
      <c r="I496" s="224"/>
      <c r="J496" s="222"/>
      <c r="K496" s="1060" t="s">
        <v>8</v>
      </c>
      <c r="L496" s="1060" t="s">
        <v>706</v>
      </c>
      <c r="M496" s="1060" t="s">
        <v>707</v>
      </c>
      <c r="O496" s="1059" t="s">
        <v>704</v>
      </c>
      <c r="P496" s="222"/>
      <c r="Q496" s="1059" t="s">
        <v>5</v>
      </c>
      <c r="R496" s="222"/>
      <c r="S496" s="1059" t="s">
        <v>705</v>
      </c>
      <c r="T496" s="224"/>
      <c r="U496" s="222"/>
      <c r="V496" s="1060" t="s">
        <v>591</v>
      </c>
      <c r="W496" s="1060" t="s">
        <v>708</v>
      </c>
      <c r="X496" s="1060" t="s">
        <v>707</v>
      </c>
    </row>
    <row r="497">
      <c r="D497" s="1061">
        <v>45985.0</v>
      </c>
      <c r="E497" s="222"/>
      <c r="F497" s="1059">
        <v>14626.0</v>
      </c>
      <c r="G497" s="222"/>
      <c r="H497" s="1059" t="s">
        <v>1538</v>
      </c>
      <c r="I497" s="224"/>
      <c r="J497" s="222"/>
      <c r="K497" s="1062">
        <v>2800.0</v>
      </c>
      <c r="L497" s="1063">
        <v>0.88</v>
      </c>
      <c r="M497" s="1062">
        <f t="shared" ref="M497:M501" si="32">K497*L497</f>
        <v>2464</v>
      </c>
      <c r="O497" s="1061">
        <v>45985.0</v>
      </c>
      <c r="P497" s="222"/>
      <c r="Q497" s="1059">
        <v>14626.0</v>
      </c>
      <c r="R497" s="222"/>
      <c r="S497" s="1059" t="s">
        <v>1538</v>
      </c>
      <c r="T497" s="224"/>
      <c r="U497" s="222"/>
      <c r="V497" s="1060">
        <v>1218.0</v>
      </c>
      <c r="W497" s="1064">
        <v>0.65</v>
      </c>
      <c r="X497" s="1062">
        <f t="shared" ref="X497:X502" si="33">V497*W497</f>
        <v>791.7</v>
      </c>
    </row>
    <row r="498">
      <c r="D498" s="1065"/>
      <c r="E498" s="222"/>
      <c r="F498" s="1066"/>
      <c r="G498" s="222"/>
      <c r="H498" s="1066"/>
      <c r="I498" s="224"/>
      <c r="J498" s="222"/>
      <c r="K498" s="1067"/>
      <c r="L498" s="1063">
        <v>0.88</v>
      </c>
      <c r="M498" s="1062">
        <f t="shared" si="32"/>
        <v>0</v>
      </c>
      <c r="O498" s="1065"/>
      <c r="P498" s="222"/>
      <c r="Q498" s="1066"/>
      <c r="R498" s="222"/>
      <c r="S498" s="1066"/>
      <c r="T498" s="224"/>
      <c r="U498" s="222"/>
      <c r="V498" s="1068"/>
      <c r="W498" s="1064">
        <v>0.65</v>
      </c>
      <c r="X498" s="1062">
        <f t="shared" si="33"/>
        <v>0</v>
      </c>
    </row>
    <row r="499">
      <c r="D499" s="1065"/>
      <c r="E499" s="222"/>
      <c r="F499" s="1066"/>
      <c r="G499" s="222"/>
      <c r="H499" s="1066"/>
      <c r="I499" s="224"/>
      <c r="J499" s="222"/>
      <c r="K499" s="1067"/>
      <c r="L499" s="1063">
        <v>0.88</v>
      </c>
      <c r="M499" s="1062">
        <f t="shared" si="32"/>
        <v>0</v>
      </c>
      <c r="O499" s="1065"/>
      <c r="P499" s="222"/>
      <c r="Q499" s="1066"/>
      <c r="R499" s="222"/>
      <c r="S499" s="1066"/>
      <c r="T499" s="224"/>
      <c r="U499" s="222"/>
      <c r="V499" s="1068"/>
      <c r="W499" s="1064">
        <v>0.65</v>
      </c>
      <c r="X499" s="1062">
        <f t="shared" si="33"/>
        <v>0</v>
      </c>
    </row>
    <row r="500">
      <c r="D500" s="1065"/>
      <c r="E500" s="222"/>
      <c r="F500" s="1066"/>
      <c r="G500" s="222"/>
      <c r="H500" s="1066"/>
      <c r="I500" s="224"/>
      <c r="J500" s="222"/>
      <c r="K500" s="1067"/>
      <c r="L500" s="1063">
        <v>0.88</v>
      </c>
      <c r="M500" s="1062">
        <f t="shared" si="32"/>
        <v>0</v>
      </c>
      <c r="O500" s="1065"/>
      <c r="P500" s="222"/>
      <c r="Q500" s="1066"/>
      <c r="R500" s="222"/>
      <c r="S500" s="1066"/>
      <c r="T500" s="224"/>
      <c r="U500" s="222"/>
      <c r="V500" s="1068"/>
      <c r="W500" s="1064">
        <v>0.65</v>
      </c>
      <c r="X500" s="1062">
        <f t="shared" si="33"/>
        <v>0</v>
      </c>
    </row>
    <row r="501">
      <c r="D501" s="1065"/>
      <c r="E501" s="222"/>
      <c r="F501" s="1066"/>
      <c r="G501" s="222"/>
      <c r="H501" s="1066"/>
      <c r="I501" s="224"/>
      <c r="J501" s="222"/>
      <c r="K501" s="1067"/>
      <c r="L501" s="1063">
        <v>0.88</v>
      </c>
      <c r="M501" s="1062">
        <f t="shared" si="32"/>
        <v>0</v>
      </c>
      <c r="O501" s="1065"/>
      <c r="P501" s="222"/>
      <c r="Q501" s="1066"/>
      <c r="R501" s="222"/>
      <c r="S501" s="1066"/>
      <c r="T501" s="224"/>
      <c r="U501" s="222"/>
      <c r="V501" s="1068"/>
      <c r="W501" s="1064">
        <v>0.65</v>
      </c>
      <c r="X501" s="1062">
        <f t="shared" si="33"/>
        <v>0</v>
      </c>
    </row>
    <row r="502">
      <c r="D502" s="1072" t="s">
        <v>711</v>
      </c>
      <c r="E502" s="224"/>
      <c r="F502" s="224"/>
      <c r="G502" s="224"/>
      <c r="H502" s="224"/>
      <c r="I502" s="224"/>
      <c r="J502" s="222"/>
      <c r="K502" s="1073">
        <f>SUM(K497:K501)</f>
        <v>2800</v>
      </c>
      <c r="L502" s="1069"/>
      <c r="M502" s="1073">
        <f>SUM(M497:M501)</f>
        <v>2464</v>
      </c>
      <c r="O502" s="1065"/>
      <c r="P502" s="222"/>
      <c r="Q502" s="1066"/>
      <c r="R502" s="222"/>
      <c r="S502" s="1066"/>
      <c r="T502" s="224"/>
      <c r="U502" s="222"/>
      <c r="V502" s="1068"/>
      <c r="W502" s="1064">
        <v>0.65</v>
      </c>
      <c r="X502" s="1062">
        <f t="shared" si="33"/>
        <v>0</v>
      </c>
    </row>
    <row r="503">
      <c r="D503" s="1055"/>
      <c r="E503" s="1055"/>
      <c r="F503" s="1055"/>
      <c r="G503" s="1055"/>
      <c r="H503" s="1055"/>
      <c r="I503" s="1055"/>
      <c r="J503" s="1055"/>
      <c r="K503" s="1055"/>
      <c r="L503" s="1055"/>
      <c r="M503" s="1055"/>
      <c r="O503" s="1072" t="s">
        <v>711</v>
      </c>
      <c r="P503" s="224"/>
      <c r="Q503" s="224"/>
      <c r="R503" s="224"/>
      <c r="S503" s="224"/>
      <c r="T503" s="224"/>
      <c r="U503" s="222"/>
      <c r="V503" s="1060">
        <f>SUM(V497:V502)</f>
        <v>1218</v>
      </c>
      <c r="W503" s="1074"/>
      <c r="X503" s="1062">
        <f>SUM(X497:X502)</f>
        <v>791.7</v>
      </c>
    </row>
    <row r="504">
      <c r="D504" s="1075" t="s">
        <v>712</v>
      </c>
      <c r="E504" s="222"/>
      <c r="F504" s="1076"/>
      <c r="G504" s="222"/>
      <c r="H504" s="1055"/>
      <c r="I504" s="1055"/>
      <c r="J504" s="1055"/>
      <c r="K504" s="1055"/>
      <c r="L504" s="1055"/>
      <c r="M504" s="1055"/>
      <c r="O504" s="1055"/>
      <c r="P504" s="1055"/>
      <c r="Q504" s="1055"/>
      <c r="R504" s="1055"/>
      <c r="S504" s="1055"/>
      <c r="T504" s="1055"/>
      <c r="U504" s="1055"/>
      <c r="V504" s="1055"/>
      <c r="W504" s="1055"/>
      <c r="X504" s="1055"/>
    </row>
    <row r="505">
      <c r="D505" s="1077" t="s">
        <v>1496</v>
      </c>
      <c r="E505" s="222"/>
      <c r="F505" s="1078">
        <v>250.0</v>
      </c>
      <c r="G505" s="222"/>
      <c r="H505" s="1055"/>
      <c r="I505" s="1055"/>
      <c r="J505" s="1055"/>
      <c r="K505" s="1055"/>
      <c r="L505" s="1055"/>
      <c r="M505" s="1055"/>
      <c r="O505" s="1075" t="s">
        <v>712</v>
      </c>
      <c r="P505" s="222"/>
      <c r="Q505" s="1076"/>
      <c r="R505" s="222"/>
      <c r="S505" s="1055"/>
      <c r="T505" s="1055"/>
      <c r="U505" s="1055"/>
      <c r="V505" s="1055"/>
      <c r="W505" s="1055"/>
      <c r="X505" s="1055"/>
    </row>
    <row r="506">
      <c r="D506" s="1079"/>
      <c r="E506" s="222"/>
      <c r="F506" s="1076"/>
      <c r="G506" s="222"/>
      <c r="H506" s="1055"/>
      <c r="I506" s="1055"/>
      <c r="J506" s="1055"/>
      <c r="K506" s="1055"/>
      <c r="L506" s="1055"/>
      <c r="M506" s="1055"/>
      <c r="O506" s="1077" t="s">
        <v>1496</v>
      </c>
      <c r="P506" s="222"/>
      <c r="Q506" s="1078">
        <v>250.0</v>
      </c>
      <c r="R506" s="222"/>
      <c r="S506" s="1055"/>
      <c r="T506" s="1055"/>
      <c r="U506" s="1055"/>
      <c r="V506" s="1055"/>
      <c r="W506" s="1055"/>
      <c r="X506" s="1055"/>
    </row>
    <row r="507">
      <c r="D507" s="1080" t="s">
        <v>714</v>
      </c>
      <c r="E507" s="222"/>
      <c r="F507" s="1078">
        <f>SUM(F504:G506)</f>
        <v>250</v>
      </c>
      <c r="G507" s="222"/>
      <c r="H507" s="1055"/>
      <c r="I507" s="1055"/>
      <c r="J507" s="1055"/>
      <c r="K507" s="1055"/>
      <c r="L507" s="1055"/>
      <c r="M507" s="1055"/>
      <c r="O507" s="1079"/>
      <c r="P507" s="222"/>
      <c r="Q507" s="1076"/>
      <c r="R507" s="222"/>
      <c r="S507" s="1055"/>
      <c r="T507" s="1055"/>
      <c r="U507" s="1055"/>
      <c r="V507" s="1055"/>
      <c r="W507" s="1055"/>
      <c r="X507" s="1055"/>
    </row>
    <row r="508">
      <c r="D508" s="1081"/>
      <c r="E508" s="224"/>
      <c r="F508" s="224"/>
      <c r="G508" s="222"/>
      <c r="H508" s="1055"/>
      <c r="I508" s="1055"/>
      <c r="J508" s="1055"/>
      <c r="K508" s="1055"/>
      <c r="L508" s="1055"/>
      <c r="M508" s="1055"/>
      <c r="O508" s="1079"/>
      <c r="P508" s="222"/>
      <c r="Q508" s="1076"/>
      <c r="R508" s="222"/>
      <c r="S508" s="1055"/>
      <c r="T508" s="1055"/>
      <c r="U508" s="1055"/>
      <c r="V508" s="1055"/>
      <c r="W508" s="1055"/>
      <c r="X508" s="1055"/>
    </row>
    <row r="509">
      <c r="D509" s="1082" t="s">
        <v>715</v>
      </c>
      <c r="E509" s="222"/>
      <c r="F509" s="1083"/>
      <c r="G509" s="222"/>
      <c r="H509" s="1055"/>
      <c r="I509" s="1055"/>
      <c r="J509" s="1055"/>
      <c r="K509" s="1055"/>
      <c r="L509" s="1055"/>
      <c r="M509" s="1055"/>
      <c r="O509" s="1079"/>
      <c r="P509" s="222"/>
      <c r="Q509" s="1076"/>
      <c r="R509" s="222"/>
      <c r="S509" s="1055"/>
      <c r="T509" s="1055"/>
      <c r="U509" s="1055"/>
      <c r="V509" s="1055"/>
      <c r="W509" s="1055"/>
      <c r="X509" s="1055"/>
    </row>
    <row r="510">
      <c r="D510" s="1090" t="s">
        <v>716</v>
      </c>
      <c r="E510" s="222"/>
      <c r="F510" s="1088">
        <v>150.0</v>
      </c>
      <c r="G510" s="222"/>
      <c r="H510" s="1055"/>
      <c r="I510" s="1055"/>
      <c r="J510" s="1055"/>
      <c r="K510" s="1055"/>
      <c r="L510" s="1055"/>
      <c r="M510" s="1055"/>
      <c r="O510" s="1079"/>
      <c r="P510" s="222"/>
      <c r="Q510" s="1076"/>
      <c r="R510" s="222"/>
      <c r="S510" s="1055"/>
      <c r="T510" s="1055"/>
      <c r="U510" s="1055"/>
      <c r="V510" s="1055"/>
      <c r="W510" s="1055"/>
      <c r="X510" s="1055"/>
    </row>
    <row r="511">
      <c r="D511" s="1090" t="s">
        <v>717</v>
      </c>
      <c r="E511" s="222"/>
      <c r="F511" s="1088">
        <v>400.0</v>
      </c>
      <c r="G511" s="222"/>
      <c r="H511" s="1055"/>
      <c r="I511" s="1055"/>
      <c r="J511" s="1055"/>
      <c r="K511" s="1055"/>
      <c r="L511" s="1055"/>
      <c r="M511" s="1055"/>
      <c r="O511" s="1080" t="s">
        <v>714</v>
      </c>
      <c r="P511" s="222"/>
      <c r="Q511" s="1078">
        <f>SUM(Q505:R510)</f>
        <v>250</v>
      </c>
      <c r="R511" s="222"/>
      <c r="S511" s="1055"/>
      <c r="T511" s="1055"/>
      <c r="U511" s="1055"/>
      <c r="V511" s="1055"/>
      <c r="W511" s="1055"/>
      <c r="X511" s="1055"/>
    </row>
    <row r="512">
      <c r="D512" s="1090" t="s">
        <v>718</v>
      </c>
      <c r="E512" s="222"/>
      <c r="F512" s="1088">
        <v>200.0</v>
      </c>
      <c r="G512" s="222"/>
      <c r="H512" s="1055"/>
      <c r="I512" s="1055"/>
      <c r="J512" s="1055"/>
      <c r="K512" s="1055"/>
      <c r="L512" s="1055"/>
      <c r="M512" s="1055"/>
      <c r="O512" s="1055"/>
      <c r="P512" s="1055"/>
      <c r="Q512" s="1055"/>
      <c r="S512" s="1055"/>
      <c r="T512" s="1055"/>
      <c r="U512" s="1055"/>
      <c r="V512" s="1055"/>
      <c r="W512" s="1055"/>
      <c r="X512" s="1055"/>
    </row>
    <row r="513">
      <c r="D513" s="1090" t="s">
        <v>656</v>
      </c>
      <c r="E513" s="222"/>
      <c r="F513" s="1088">
        <v>747.17</v>
      </c>
      <c r="G513" s="222"/>
      <c r="H513" s="1055"/>
      <c r="I513" s="1055"/>
      <c r="J513" s="1055"/>
      <c r="K513" s="1055"/>
      <c r="L513" s="1055"/>
      <c r="M513" s="1055"/>
      <c r="O513" s="1082" t="s">
        <v>715</v>
      </c>
      <c r="P513" s="222"/>
      <c r="Q513" s="1083"/>
      <c r="R513" s="222"/>
      <c r="S513" s="1055"/>
      <c r="T513" s="1055"/>
      <c r="U513" s="1055"/>
      <c r="V513" s="1055"/>
      <c r="W513" s="1055"/>
      <c r="X513" s="1055"/>
    </row>
    <row r="514">
      <c r="D514" s="1084"/>
      <c r="E514" s="222"/>
      <c r="F514" s="1083"/>
      <c r="G514" s="222"/>
      <c r="H514" s="1055"/>
      <c r="I514" s="1055"/>
      <c r="J514" s="1085" t="s">
        <v>1498</v>
      </c>
      <c r="K514" s="211"/>
      <c r="L514" s="1086">
        <f>M502+F507-F519</f>
        <v>1216.83</v>
      </c>
      <c r="M514" s="211"/>
      <c r="O514" s="1084"/>
      <c r="P514" s="222"/>
      <c r="Q514" s="1083"/>
      <c r="R514" s="222"/>
      <c r="S514" s="1055"/>
      <c r="T514" s="1055"/>
      <c r="U514" s="1085" t="s">
        <v>1497</v>
      </c>
      <c r="V514" s="211"/>
      <c r="W514" s="1086">
        <f>X503+Q511-Q519</f>
        <v>1041.7</v>
      </c>
      <c r="X514" s="211"/>
    </row>
    <row r="515">
      <c r="D515" s="1084"/>
      <c r="E515" s="222"/>
      <c r="F515" s="1083"/>
      <c r="G515" s="222"/>
      <c r="H515" s="1055"/>
      <c r="I515" s="1055"/>
      <c r="J515" s="278"/>
      <c r="K515" s="56"/>
      <c r="L515" s="278"/>
      <c r="M515" s="56"/>
      <c r="O515" s="1084"/>
      <c r="P515" s="222"/>
      <c r="Q515" s="1083"/>
      <c r="R515" s="222"/>
      <c r="S515" s="1055"/>
      <c r="T515" s="1055"/>
      <c r="U515" s="278"/>
      <c r="V515" s="56"/>
      <c r="W515" s="278"/>
      <c r="X515" s="56"/>
    </row>
    <row r="516">
      <c r="D516" s="1084"/>
      <c r="E516" s="222"/>
      <c r="F516" s="1083"/>
      <c r="G516" s="222"/>
      <c r="H516" s="1055"/>
      <c r="I516" s="1055"/>
      <c r="J516" s="215"/>
      <c r="K516" s="64"/>
      <c r="L516" s="215"/>
      <c r="M516" s="64"/>
      <c r="O516" s="1084"/>
      <c r="P516" s="222"/>
      <c r="Q516" s="1083"/>
      <c r="R516" s="222"/>
      <c r="S516" s="1055"/>
      <c r="T516" s="1055"/>
      <c r="U516" s="215"/>
      <c r="V516" s="64"/>
      <c r="W516" s="215"/>
      <c r="X516" s="64"/>
    </row>
    <row r="517">
      <c r="D517" s="1084"/>
      <c r="E517" s="222"/>
      <c r="F517" s="1083"/>
      <c r="G517" s="222"/>
      <c r="H517" s="1055"/>
      <c r="I517" s="1055"/>
      <c r="J517" s="1055"/>
      <c r="K517" s="1055"/>
      <c r="L517" s="1055"/>
      <c r="M517" s="1055"/>
      <c r="O517" s="1084"/>
      <c r="P517" s="222"/>
      <c r="Q517" s="1083"/>
      <c r="R517" s="222"/>
      <c r="S517" s="1055"/>
      <c r="T517" s="1055"/>
      <c r="U517" s="1055"/>
      <c r="V517" s="1055"/>
      <c r="W517" s="1055"/>
      <c r="X517" s="1055"/>
    </row>
    <row r="518">
      <c r="D518" s="1084"/>
      <c r="E518" s="222"/>
      <c r="F518" s="1083"/>
      <c r="G518" s="222"/>
      <c r="H518" s="1055"/>
      <c r="I518" s="1055"/>
      <c r="J518" s="1055"/>
      <c r="K518" s="1055"/>
      <c r="L518" s="1055"/>
      <c r="M518" s="1055"/>
      <c r="O518" s="1084"/>
      <c r="P518" s="222"/>
      <c r="Q518" s="1083"/>
      <c r="R518" s="222"/>
      <c r="S518" s="1055"/>
      <c r="T518" s="1055"/>
      <c r="U518" s="1055"/>
      <c r="V518" s="1055"/>
      <c r="W518" s="1055"/>
      <c r="X518" s="1055"/>
    </row>
    <row r="519">
      <c r="D519" s="1087" t="s">
        <v>721</v>
      </c>
      <c r="E519" s="222"/>
      <c r="F519" s="1088">
        <f>SUM(F510:G518)</f>
        <v>1497.17</v>
      </c>
      <c r="G519" s="222"/>
      <c r="H519" s="1055"/>
      <c r="I519" s="1055"/>
      <c r="J519" s="1055"/>
      <c r="K519" s="1055"/>
      <c r="L519" s="1055"/>
      <c r="M519" s="1055"/>
      <c r="O519" s="1087" t="s">
        <v>721</v>
      </c>
      <c r="P519" s="222"/>
      <c r="Q519" s="1088">
        <f>SUM(Q513:R518)</f>
        <v>0</v>
      </c>
      <c r="R519" s="222"/>
      <c r="S519" s="1055"/>
      <c r="T519" s="1055"/>
      <c r="U519" s="1055"/>
      <c r="V519" s="1055"/>
      <c r="W519" s="1055"/>
      <c r="X519" s="1055"/>
    </row>
    <row r="522">
      <c r="D522" s="1055"/>
      <c r="I522" s="1056" t="s">
        <v>700</v>
      </c>
      <c r="J522" s="211"/>
      <c r="K522" s="1057" t="s">
        <v>1493</v>
      </c>
      <c r="L522" s="213"/>
      <c r="M522" s="211"/>
      <c r="O522" s="1055"/>
      <c r="T522" s="1056" t="s">
        <v>700</v>
      </c>
      <c r="U522" s="211"/>
      <c r="V522" s="1057" t="s">
        <v>1493</v>
      </c>
      <c r="W522" s="213"/>
      <c r="X522" s="211"/>
    </row>
    <row r="523">
      <c r="I523" s="215"/>
      <c r="J523" s="64"/>
      <c r="K523" s="215"/>
      <c r="L523" s="216"/>
      <c r="M523" s="64"/>
      <c r="T523" s="215"/>
      <c r="U523" s="64"/>
      <c r="V523" s="215"/>
      <c r="W523" s="216"/>
      <c r="X523" s="64"/>
    </row>
    <row r="524">
      <c r="I524" s="1056" t="s">
        <v>702</v>
      </c>
      <c r="J524" s="211"/>
      <c r="K524" s="1057" t="s">
        <v>861</v>
      </c>
      <c r="L524" s="213"/>
      <c r="M524" s="211"/>
      <c r="T524" s="1056" t="s">
        <v>351</v>
      </c>
      <c r="U524" s="211"/>
      <c r="V524" s="1057" t="s">
        <v>1539</v>
      </c>
      <c r="W524" s="213"/>
      <c r="X524" s="211"/>
    </row>
    <row r="525">
      <c r="I525" s="215"/>
      <c r="J525" s="64"/>
      <c r="K525" s="215"/>
      <c r="L525" s="216"/>
      <c r="M525" s="64"/>
      <c r="T525" s="215"/>
      <c r="U525" s="64"/>
      <c r="V525" s="215"/>
      <c r="W525" s="216"/>
      <c r="X525" s="64"/>
    </row>
    <row r="526">
      <c r="I526" s="1056" t="s">
        <v>703</v>
      </c>
      <c r="J526" s="211"/>
      <c r="K526" s="1058" t="s">
        <v>982</v>
      </c>
      <c r="L526" s="213"/>
      <c r="M526" s="211"/>
      <c r="T526" s="1056" t="s">
        <v>703</v>
      </c>
      <c r="U526" s="211"/>
      <c r="V526" s="1058" t="s">
        <v>982</v>
      </c>
      <c r="W526" s="213"/>
      <c r="X526" s="211"/>
    </row>
    <row r="527">
      <c r="I527" s="215"/>
      <c r="J527" s="64"/>
      <c r="K527" s="215"/>
      <c r="L527" s="216"/>
      <c r="M527" s="64"/>
      <c r="T527" s="215"/>
      <c r="U527" s="64"/>
      <c r="V527" s="215"/>
      <c r="W527" s="216"/>
      <c r="X527" s="64"/>
    </row>
    <row r="528">
      <c r="D528" s="1059" t="s">
        <v>704</v>
      </c>
      <c r="E528" s="222"/>
      <c r="F528" s="1059" t="s">
        <v>5</v>
      </c>
      <c r="G528" s="222"/>
      <c r="H528" s="1059" t="s">
        <v>705</v>
      </c>
      <c r="I528" s="224"/>
      <c r="J528" s="222"/>
      <c r="K528" s="1060" t="s">
        <v>8</v>
      </c>
      <c r="L528" s="1060" t="s">
        <v>706</v>
      </c>
      <c r="M528" s="1060" t="s">
        <v>707</v>
      </c>
      <c r="O528" s="1059" t="s">
        <v>704</v>
      </c>
      <c r="P528" s="222"/>
      <c r="Q528" s="1059" t="s">
        <v>5</v>
      </c>
      <c r="R528" s="222"/>
      <c r="S528" s="1059" t="s">
        <v>705</v>
      </c>
      <c r="T528" s="224"/>
      <c r="U528" s="222"/>
      <c r="V528" s="1060" t="s">
        <v>591</v>
      </c>
      <c r="W528" s="1060" t="s">
        <v>708</v>
      </c>
      <c r="X528" s="1060" t="s">
        <v>707</v>
      </c>
    </row>
    <row r="529">
      <c r="D529" s="1061">
        <v>45986.0</v>
      </c>
      <c r="E529" s="222"/>
      <c r="F529" s="1059">
        <v>5542555.0</v>
      </c>
      <c r="G529" s="222"/>
      <c r="H529" s="1059" t="s">
        <v>1540</v>
      </c>
      <c r="I529" s="224"/>
      <c r="J529" s="222"/>
      <c r="K529" s="1062">
        <v>2000.0</v>
      </c>
      <c r="L529" s="1063">
        <v>0.88</v>
      </c>
      <c r="M529" s="1062">
        <f t="shared" ref="M529:M533" si="34">K529*88/100</f>
        <v>1760</v>
      </c>
      <c r="O529" s="1061">
        <v>45986.0</v>
      </c>
      <c r="P529" s="222"/>
      <c r="Q529" s="1059">
        <v>5542555.0</v>
      </c>
      <c r="R529" s="222"/>
      <c r="S529" s="1059" t="s">
        <v>1540</v>
      </c>
      <c r="T529" s="224"/>
      <c r="U529" s="222"/>
      <c r="V529" s="1060">
        <v>1175.0</v>
      </c>
      <c r="W529" s="1064">
        <v>0.65</v>
      </c>
      <c r="X529" s="1062">
        <f t="shared" ref="X529:X532" si="35">V529*W529</f>
        <v>763.75</v>
      </c>
    </row>
    <row r="530">
      <c r="D530" s="1065"/>
      <c r="E530" s="222"/>
      <c r="F530" s="1066"/>
      <c r="G530" s="222"/>
      <c r="H530" s="1066"/>
      <c r="I530" s="224"/>
      <c r="J530" s="222"/>
      <c r="K530" s="1067"/>
      <c r="L530" s="1063">
        <v>0.88</v>
      </c>
      <c r="M530" s="1062">
        <f t="shared" si="34"/>
        <v>0</v>
      </c>
      <c r="O530" s="1065"/>
      <c r="P530" s="222"/>
      <c r="Q530" s="1066"/>
      <c r="R530" s="222"/>
      <c r="S530" s="1066"/>
      <c r="T530" s="224"/>
      <c r="U530" s="222"/>
      <c r="V530" s="1068"/>
      <c r="W530" s="1064">
        <v>0.65</v>
      </c>
      <c r="X530" s="1062">
        <f t="shared" si="35"/>
        <v>0</v>
      </c>
    </row>
    <row r="531">
      <c r="D531" s="1065"/>
      <c r="E531" s="222"/>
      <c r="F531" s="1066"/>
      <c r="G531" s="222"/>
      <c r="H531" s="1066"/>
      <c r="I531" s="224"/>
      <c r="J531" s="222"/>
      <c r="K531" s="1067"/>
      <c r="L531" s="1063">
        <v>0.88</v>
      </c>
      <c r="M531" s="1062">
        <f t="shared" si="34"/>
        <v>0</v>
      </c>
      <c r="O531" s="1065"/>
      <c r="P531" s="222"/>
      <c r="Q531" s="1066"/>
      <c r="R531" s="222"/>
      <c r="S531" s="1066"/>
      <c r="T531" s="224"/>
      <c r="U531" s="222"/>
      <c r="V531" s="1068"/>
      <c r="W531" s="1064">
        <v>0.65</v>
      </c>
      <c r="X531" s="1062">
        <f t="shared" si="35"/>
        <v>0</v>
      </c>
    </row>
    <row r="532">
      <c r="D532" s="1065"/>
      <c r="E532" s="222"/>
      <c r="F532" s="1066"/>
      <c r="G532" s="222"/>
      <c r="H532" s="1066"/>
      <c r="I532" s="224"/>
      <c r="J532" s="222"/>
      <c r="K532" s="1067"/>
      <c r="L532" s="1063">
        <v>0.88</v>
      </c>
      <c r="M532" s="1062">
        <f t="shared" si="34"/>
        <v>0</v>
      </c>
      <c r="O532" s="1065"/>
      <c r="P532" s="222"/>
      <c r="Q532" s="1066"/>
      <c r="R532" s="222"/>
      <c r="S532" s="1066"/>
      <c r="T532" s="224"/>
      <c r="U532" s="222"/>
      <c r="V532" s="1068"/>
      <c r="W532" s="1064">
        <v>0.65</v>
      </c>
      <c r="X532" s="1062">
        <f t="shared" si="35"/>
        <v>0</v>
      </c>
    </row>
    <row r="533">
      <c r="D533" s="1065"/>
      <c r="E533" s="222"/>
      <c r="F533" s="1066"/>
      <c r="G533" s="222"/>
      <c r="H533" s="1066"/>
      <c r="I533" s="224"/>
      <c r="J533" s="222"/>
      <c r="K533" s="1067"/>
      <c r="L533" s="1063">
        <v>0.88</v>
      </c>
      <c r="M533" s="1062">
        <f t="shared" si="34"/>
        <v>0</v>
      </c>
      <c r="O533" s="1066"/>
      <c r="P533" s="222"/>
      <c r="Q533" s="1066"/>
      <c r="R533" s="222"/>
      <c r="S533" s="1066"/>
      <c r="T533" s="224"/>
      <c r="U533" s="222"/>
      <c r="V533" s="1068"/>
      <c r="W533" s="1068"/>
      <c r="X533" s="1067"/>
    </row>
    <row r="534">
      <c r="D534" s="1072" t="s">
        <v>711</v>
      </c>
      <c r="E534" s="224"/>
      <c r="F534" s="224"/>
      <c r="G534" s="224"/>
      <c r="H534" s="224"/>
      <c r="I534" s="224"/>
      <c r="J534" s="222"/>
      <c r="K534" s="1062">
        <f>K530+K529+K531+K532+K533</f>
        <v>2000</v>
      </c>
      <c r="L534" s="1069"/>
      <c r="M534" s="1062">
        <f>M530+M529+M531+M532+M533</f>
        <v>1760</v>
      </c>
      <c r="O534" s="1066"/>
      <c r="P534" s="222"/>
      <c r="Q534" s="1066"/>
      <c r="R534" s="222"/>
      <c r="S534" s="1066"/>
      <c r="T534" s="224"/>
      <c r="U534" s="222"/>
      <c r="V534" s="1068"/>
      <c r="W534" s="1068"/>
      <c r="X534" s="1067"/>
    </row>
    <row r="535">
      <c r="D535" s="1055"/>
      <c r="E535" s="1055"/>
      <c r="F535" s="1055"/>
      <c r="G535" s="1055"/>
      <c r="H535" s="1055"/>
      <c r="I535" s="1055"/>
      <c r="J535" s="1055"/>
      <c r="K535" s="1055"/>
      <c r="L535" s="1055"/>
      <c r="M535" s="1055"/>
      <c r="O535" s="1072" t="s">
        <v>711</v>
      </c>
      <c r="P535" s="224"/>
      <c r="Q535" s="224"/>
      <c r="R535" s="224"/>
      <c r="S535" s="224"/>
      <c r="T535" s="224"/>
      <c r="U535" s="222"/>
      <c r="V535" s="1060">
        <f>V531+V530+V529+V532+V533+V534</f>
        <v>1175</v>
      </c>
      <c r="W535" s="1074"/>
      <c r="X535" s="1062">
        <f>X531+X530+X529+X532+X533+X534</f>
        <v>763.75</v>
      </c>
    </row>
    <row r="536">
      <c r="D536" s="1075" t="s">
        <v>712</v>
      </c>
      <c r="E536" s="222"/>
      <c r="F536" s="1076"/>
      <c r="G536" s="222"/>
      <c r="H536" s="1055"/>
      <c r="I536" s="1055"/>
      <c r="J536" s="1055"/>
      <c r="K536" s="1055"/>
      <c r="L536" s="1055"/>
      <c r="M536" s="1055"/>
      <c r="O536" s="1055"/>
      <c r="P536" s="1055"/>
      <c r="Q536" s="1055"/>
      <c r="R536" s="1055"/>
      <c r="S536" s="1055"/>
      <c r="T536" s="1055"/>
      <c r="U536" s="1055"/>
      <c r="V536" s="1055"/>
      <c r="W536" s="1055"/>
      <c r="X536" s="1055"/>
    </row>
    <row r="537">
      <c r="D537" s="1077" t="s">
        <v>1496</v>
      </c>
      <c r="E537" s="222"/>
      <c r="F537" s="1078">
        <v>250.0</v>
      </c>
      <c r="G537" s="222"/>
      <c r="H537" s="1055"/>
      <c r="I537" s="1055"/>
      <c r="J537" s="1055"/>
      <c r="K537" s="1055"/>
      <c r="L537" s="1055"/>
      <c r="M537" s="1055"/>
      <c r="O537" s="1075" t="s">
        <v>712</v>
      </c>
      <c r="P537" s="222"/>
      <c r="Q537" s="1076"/>
      <c r="R537" s="222"/>
      <c r="S537" s="1055"/>
      <c r="T537" s="1055"/>
      <c r="U537" s="1055"/>
      <c r="V537" s="1055"/>
      <c r="W537" s="1055"/>
      <c r="X537" s="1055"/>
    </row>
    <row r="538">
      <c r="D538" s="1079"/>
      <c r="E538" s="222"/>
      <c r="F538" s="1076"/>
      <c r="G538" s="222"/>
      <c r="H538" s="1055"/>
      <c r="I538" s="163"/>
      <c r="J538" s="163"/>
      <c r="K538" s="163"/>
      <c r="L538" s="163"/>
      <c r="M538" s="163"/>
      <c r="O538" s="1077" t="s">
        <v>1496</v>
      </c>
      <c r="P538" s="222"/>
      <c r="Q538" s="1078">
        <v>250.0</v>
      </c>
      <c r="R538" s="222"/>
      <c r="S538" s="1055"/>
      <c r="T538" s="1055"/>
      <c r="U538" s="1055"/>
      <c r="V538" s="1055"/>
      <c r="W538" s="1055"/>
      <c r="X538" s="1055"/>
    </row>
    <row r="539">
      <c r="D539" s="1080" t="s">
        <v>714</v>
      </c>
      <c r="E539" s="222"/>
      <c r="F539" s="1078">
        <f>SUM(F536:G538)</f>
        <v>250</v>
      </c>
      <c r="G539" s="222"/>
      <c r="H539" s="1055"/>
      <c r="I539" s="163"/>
      <c r="J539" s="163"/>
      <c r="K539" s="163"/>
      <c r="L539" s="163"/>
      <c r="M539" s="163"/>
      <c r="O539" s="1077" t="s">
        <v>1541</v>
      </c>
      <c r="P539" s="222"/>
      <c r="Q539" s="1078">
        <f>95*0.65</f>
        <v>61.75</v>
      </c>
      <c r="R539" s="222"/>
      <c r="S539" s="1055"/>
      <c r="T539" s="1055"/>
      <c r="U539" s="1055"/>
      <c r="V539" s="1055"/>
      <c r="W539" s="1055"/>
      <c r="X539" s="1055"/>
    </row>
    <row r="540">
      <c r="D540" s="1081"/>
      <c r="E540" s="224"/>
      <c r="F540" s="224"/>
      <c r="G540" s="222"/>
      <c r="H540" s="1055"/>
      <c r="I540" s="163"/>
      <c r="J540" s="163"/>
      <c r="K540" s="163"/>
      <c r="L540" s="163"/>
      <c r="M540" s="163"/>
      <c r="O540" s="1079"/>
      <c r="P540" s="222"/>
      <c r="Q540" s="1076"/>
      <c r="R540" s="222"/>
      <c r="S540" s="1055"/>
      <c r="T540" s="1055"/>
      <c r="U540" s="1055"/>
      <c r="V540" s="1055"/>
      <c r="W540" s="1055"/>
      <c r="X540" s="1055"/>
    </row>
    <row r="541">
      <c r="D541" s="1082" t="s">
        <v>715</v>
      </c>
      <c r="E541" s="222"/>
      <c r="F541" s="1083"/>
      <c r="G541" s="222"/>
      <c r="H541" s="1055"/>
      <c r="I541" s="163"/>
      <c r="J541" s="163"/>
      <c r="K541" s="163"/>
      <c r="L541" s="163"/>
      <c r="M541" s="163"/>
      <c r="O541" s="1079"/>
      <c r="P541" s="222"/>
      <c r="Q541" s="1076"/>
      <c r="R541" s="222"/>
      <c r="S541" s="1055"/>
      <c r="T541" s="1055"/>
      <c r="U541" s="1055"/>
      <c r="V541" s="1055"/>
      <c r="W541" s="1055"/>
      <c r="X541" s="1055"/>
    </row>
    <row r="542">
      <c r="D542" s="1090" t="s">
        <v>716</v>
      </c>
      <c r="E542" s="222"/>
      <c r="F542" s="1088">
        <v>150.0</v>
      </c>
      <c r="G542" s="222"/>
      <c r="H542" s="1055"/>
      <c r="I542" s="163"/>
      <c r="J542" s="163"/>
      <c r="K542" s="163"/>
      <c r="L542" s="163"/>
      <c r="M542" s="163"/>
      <c r="O542" s="1079"/>
      <c r="P542" s="222"/>
      <c r="Q542" s="1076"/>
      <c r="R542" s="222"/>
      <c r="S542" s="1055"/>
      <c r="T542" s="1055"/>
      <c r="U542" s="1055"/>
      <c r="V542" s="1055"/>
      <c r="W542" s="1055"/>
      <c r="X542" s="1055"/>
    </row>
    <row r="543">
      <c r="D543" s="1090" t="s">
        <v>717</v>
      </c>
      <c r="E543" s="222"/>
      <c r="F543" s="1088">
        <v>400.0</v>
      </c>
      <c r="G543" s="222"/>
      <c r="H543" s="1055"/>
      <c r="I543" s="163"/>
      <c r="J543" s="163"/>
      <c r="K543" s="163"/>
      <c r="L543" s="163"/>
      <c r="M543" s="163"/>
      <c r="O543" s="1080" t="s">
        <v>714</v>
      </c>
      <c r="P543" s="222"/>
      <c r="Q543" s="1078">
        <f>SUM(Q537:R542)</f>
        <v>311.75</v>
      </c>
      <c r="R543" s="222"/>
      <c r="S543" s="1055"/>
      <c r="T543" s="1055"/>
      <c r="U543" s="1055"/>
      <c r="V543" s="1055"/>
      <c r="W543" s="1055"/>
      <c r="X543" s="1055"/>
    </row>
    <row r="544">
      <c r="D544" s="1090" t="s">
        <v>718</v>
      </c>
      <c r="E544" s="222"/>
      <c r="F544" s="1088">
        <v>200.0</v>
      </c>
      <c r="G544" s="222"/>
      <c r="H544" s="1055"/>
      <c r="I544" s="163"/>
      <c r="J544" s="163"/>
      <c r="K544" s="163"/>
      <c r="L544" s="163"/>
      <c r="M544" s="163"/>
      <c r="O544" s="1055"/>
      <c r="P544" s="1055"/>
      <c r="Q544" s="1055"/>
      <c r="S544" s="1055"/>
      <c r="T544" s="1055"/>
      <c r="U544" s="1055"/>
      <c r="V544" s="1055"/>
      <c r="W544" s="1055"/>
      <c r="X544" s="1055"/>
    </row>
    <row r="545">
      <c r="D545" s="1090" t="s">
        <v>656</v>
      </c>
      <c r="E545" s="222"/>
      <c r="F545" s="1088">
        <v>1731.16</v>
      </c>
      <c r="G545" s="222"/>
      <c r="H545" s="1055"/>
      <c r="I545" s="163"/>
      <c r="J545" s="163"/>
      <c r="K545" s="163"/>
      <c r="L545" s="163"/>
      <c r="M545" s="163"/>
      <c r="O545" s="1082" t="s">
        <v>715</v>
      </c>
      <c r="P545" s="222"/>
      <c r="Q545" s="1083"/>
      <c r="R545" s="222"/>
      <c r="S545" s="1055"/>
      <c r="T545" s="1055"/>
      <c r="U545" s="1055"/>
      <c r="V545" s="1055"/>
      <c r="W545" s="1055"/>
      <c r="X545" s="1055"/>
    </row>
    <row r="546">
      <c r="D546" s="1090" t="s">
        <v>1542</v>
      </c>
      <c r="E546" s="222"/>
      <c r="F546" s="1088">
        <v>258.82</v>
      </c>
      <c r="G546" s="222"/>
      <c r="H546" s="1055"/>
      <c r="I546" s="1055"/>
      <c r="J546" s="1085" t="s">
        <v>1498</v>
      </c>
      <c r="K546" s="211"/>
      <c r="L546" s="1086">
        <f>M534+F539-F551</f>
        <v>-811.98</v>
      </c>
      <c r="M546" s="211"/>
      <c r="O546" s="1084"/>
      <c r="P546" s="222"/>
      <c r="Q546" s="1083"/>
      <c r="R546" s="222"/>
      <c r="S546" s="1055"/>
      <c r="T546" s="1055"/>
      <c r="U546" s="1085" t="s">
        <v>1497</v>
      </c>
      <c r="V546" s="211"/>
      <c r="W546" s="1086">
        <f>X535+Q543-Q551</f>
        <v>1075.5</v>
      </c>
      <c r="X546" s="211"/>
    </row>
    <row r="547">
      <c r="D547" s="1090" t="s">
        <v>883</v>
      </c>
      <c r="E547" s="222"/>
      <c r="F547" s="1088">
        <f>12+70</f>
        <v>82</v>
      </c>
      <c r="G547" s="222"/>
      <c r="H547" s="1055"/>
      <c r="I547" s="1055"/>
      <c r="J547" s="278"/>
      <c r="K547" s="56"/>
      <c r="L547" s="278"/>
      <c r="M547" s="56"/>
      <c r="O547" s="1084"/>
      <c r="P547" s="222"/>
      <c r="Q547" s="1083"/>
      <c r="R547" s="222"/>
      <c r="S547" s="1055"/>
      <c r="T547" s="1055"/>
      <c r="U547" s="278"/>
      <c r="V547" s="56"/>
      <c r="W547" s="278"/>
      <c r="X547" s="56"/>
    </row>
    <row r="548">
      <c r="D548" s="1084"/>
      <c r="E548" s="222"/>
      <c r="F548" s="1083"/>
      <c r="G548" s="222"/>
      <c r="H548" s="1055"/>
      <c r="I548" s="1055"/>
      <c r="J548" s="215"/>
      <c r="K548" s="64"/>
      <c r="L548" s="215"/>
      <c r="M548" s="64"/>
      <c r="O548" s="1084"/>
      <c r="P548" s="222"/>
      <c r="Q548" s="1083"/>
      <c r="R548" s="222"/>
      <c r="S548" s="1055"/>
      <c r="T548" s="1055"/>
      <c r="U548" s="215"/>
      <c r="V548" s="64"/>
      <c r="W548" s="215"/>
      <c r="X548" s="64"/>
    </row>
    <row r="549">
      <c r="D549" s="1084"/>
      <c r="E549" s="222"/>
      <c r="F549" s="1083"/>
      <c r="G549" s="222"/>
      <c r="H549" s="1055"/>
      <c r="I549" s="1055"/>
      <c r="J549" s="1055"/>
      <c r="K549" s="1055"/>
      <c r="L549" s="1055"/>
      <c r="M549" s="1055"/>
      <c r="O549" s="1084"/>
      <c r="P549" s="222"/>
      <c r="Q549" s="1083"/>
      <c r="R549" s="222"/>
      <c r="S549" s="1055"/>
      <c r="T549" s="1055"/>
      <c r="U549" s="1055"/>
      <c r="V549" s="1055"/>
      <c r="W549" s="1055"/>
      <c r="X549" s="1055"/>
    </row>
    <row r="550">
      <c r="D550" s="1084"/>
      <c r="E550" s="222"/>
      <c r="F550" s="1083"/>
      <c r="G550" s="222"/>
      <c r="H550" s="1055"/>
      <c r="I550" s="1055"/>
      <c r="J550" s="1055"/>
      <c r="K550" s="1055"/>
      <c r="L550" s="1055"/>
      <c r="M550" s="1055"/>
      <c r="O550" s="1084"/>
      <c r="P550" s="222"/>
      <c r="Q550" s="1083"/>
      <c r="R550" s="222"/>
      <c r="S550" s="1055"/>
      <c r="T550" s="1055"/>
      <c r="U550" s="1055"/>
      <c r="V550" s="1055"/>
      <c r="W550" s="1055"/>
      <c r="X550" s="1055"/>
    </row>
    <row r="551">
      <c r="D551" s="1087" t="s">
        <v>721</v>
      </c>
      <c r="E551" s="222"/>
      <c r="F551" s="1088">
        <f>SUM(F542:G550)</f>
        <v>2821.98</v>
      </c>
      <c r="G551" s="222"/>
      <c r="H551" s="1055"/>
      <c r="I551" s="1055"/>
      <c r="J551" s="1055"/>
      <c r="K551" s="1055"/>
      <c r="L551" s="1055"/>
      <c r="M551" s="1055"/>
      <c r="O551" s="1087" t="s">
        <v>721</v>
      </c>
      <c r="P551" s="222"/>
      <c r="Q551" s="1088">
        <f>SUM(Q545:R550)</f>
        <v>0</v>
      </c>
      <c r="R551" s="222"/>
      <c r="S551" s="1055"/>
      <c r="T551" s="1055"/>
      <c r="U551" s="1055"/>
      <c r="V551" s="1055"/>
      <c r="W551" s="1055"/>
      <c r="X551" s="1055"/>
    </row>
    <row r="554">
      <c r="D554" s="1055"/>
      <c r="I554" s="1056" t="s">
        <v>700</v>
      </c>
      <c r="J554" s="211"/>
      <c r="K554" s="1057" t="s">
        <v>1493</v>
      </c>
      <c r="L554" s="213"/>
      <c r="M554" s="211"/>
      <c r="O554" s="1055"/>
      <c r="T554" s="1056" t="s">
        <v>700</v>
      </c>
      <c r="U554" s="211"/>
      <c r="V554" s="1057" t="s">
        <v>1493</v>
      </c>
      <c r="W554" s="213"/>
      <c r="X554" s="211"/>
    </row>
    <row r="555">
      <c r="I555" s="215"/>
      <c r="J555" s="64"/>
      <c r="K555" s="215"/>
      <c r="L555" s="216"/>
      <c r="M555" s="64"/>
      <c r="T555" s="215"/>
      <c r="U555" s="64"/>
      <c r="V555" s="215"/>
      <c r="W555" s="216"/>
      <c r="X555" s="64"/>
    </row>
    <row r="556">
      <c r="I556" s="1056" t="s">
        <v>702</v>
      </c>
      <c r="J556" s="211"/>
      <c r="K556" s="1057" t="s">
        <v>693</v>
      </c>
      <c r="L556" s="213"/>
      <c r="M556" s="211"/>
      <c r="T556" s="1056" t="s">
        <v>351</v>
      </c>
      <c r="U556" s="211"/>
      <c r="V556" s="1057" t="s">
        <v>693</v>
      </c>
      <c r="W556" s="213"/>
      <c r="X556" s="211"/>
    </row>
    <row r="557">
      <c r="I557" s="215"/>
      <c r="J557" s="64"/>
      <c r="K557" s="215"/>
      <c r="L557" s="216"/>
      <c r="M557" s="64"/>
      <c r="T557" s="215"/>
      <c r="U557" s="64"/>
      <c r="V557" s="215"/>
      <c r="W557" s="216"/>
      <c r="X557" s="64"/>
    </row>
    <row r="558">
      <c r="I558" s="1056" t="s">
        <v>703</v>
      </c>
      <c r="J558" s="211"/>
      <c r="K558" s="1057">
        <v>6643.0</v>
      </c>
      <c r="L558" s="213"/>
      <c r="M558" s="211"/>
      <c r="T558" s="1056" t="s">
        <v>703</v>
      </c>
      <c r="U558" s="211"/>
      <c r="V558" s="1057">
        <v>6643.0</v>
      </c>
      <c r="W558" s="213"/>
      <c r="X558" s="211"/>
    </row>
    <row r="559">
      <c r="I559" s="215"/>
      <c r="J559" s="64"/>
      <c r="K559" s="215"/>
      <c r="L559" s="216"/>
      <c r="M559" s="64"/>
      <c r="T559" s="215"/>
      <c r="U559" s="64"/>
      <c r="V559" s="215"/>
      <c r="W559" s="216"/>
      <c r="X559" s="64"/>
    </row>
    <row r="560">
      <c r="D560" s="1059" t="s">
        <v>704</v>
      </c>
      <c r="E560" s="222"/>
      <c r="F560" s="1059" t="s">
        <v>5</v>
      </c>
      <c r="G560" s="222"/>
      <c r="H560" s="1059" t="s">
        <v>705</v>
      </c>
      <c r="I560" s="224"/>
      <c r="J560" s="222"/>
      <c r="K560" s="1060" t="s">
        <v>8</v>
      </c>
      <c r="L560" s="1060" t="s">
        <v>706</v>
      </c>
      <c r="M560" s="1060" t="s">
        <v>707</v>
      </c>
      <c r="O560" s="1059" t="s">
        <v>704</v>
      </c>
      <c r="P560" s="222"/>
      <c r="Q560" s="1059" t="s">
        <v>5</v>
      </c>
      <c r="R560" s="222"/>
      <c r="S560" s="1059" t="s">
        <v>705</v>
      </c>
      <c r="T560" s="224"/>
      <c r="U560" s="222"/>
      <c r="V560" s="1060" t="s">
        <v>591</v>
      </c>
      <c r="W560" s="1060" t="s">
        <v>708</v>
      </c>
      <c r="X560" s="1060" t="s">
        <v>707</v>
      </c>
    </row>
    <row r="561">
      <c r="D561" s="1061">
        <v>45985.0</v>
      </c>
      <c r="E561" s="222"/>
      <c r="F561" s="1059" t="s">
        <v>1543</v>
      </c>
      <c r="G561" s="222"/>
      <c r="H561" s="1059" t="s">
        <v>1544</v>
      </c>
      <c r="I561" s="224"/>
      <c r="J561" s="222"/>
      <c r="K561" s="1062">
        <v>1400.0</v>
      </c>
      <c r="L561" s="1063">
        <v>0.88</v>
      </c>
      <c r="M561" s="1062">
        <f t="shared" ref="M561:M564" si="36">K561*88/100</f>
        <v>1232</v>
      </c>
      <c r="O561" s="1061">
        <v>45985.0</v>
      </c>
      <c r="P561" s="222"/>
      <c r="Q561" s="1059" t="s">
        <v>1543</v>
      </c>
      <c r="R561" s="222"/>
      <c r="S561" s="1059" t="s">
        <v>1544</v>
      </c>
      <c r="T561" s="224"/>
      <c r="U561" s="222"/>
      <c r="V561" s="1060">
        <v>598.0</v>
      </c>
      <c r="W561" s="1064">
        <v>0.65</v>
      </c>
      <c r="X561" s="1062">
        <f t="shared" ref="X561:X564" si="37">V561*W561</f>
        <v>388.7</v>
      </c>
    </row>
    <row r="562">
      <c r="D562" s="1061">
        <v>45986.0</v>
      </c>
      <c r="E562" s="222"/>
      <c r="F562" s="1059">
        <v>2174307.0</v>
      </c>
      <c r="G562" s="222"/>
      <c r="H562" s="1059" t="s">
        <v>1545</v>
      </c>
      <c r="I562" s="224"/>
      <c r="J562" s="222"/>
      <c r="K562" s="1062">
        <v>1550.0</v>
      </c>
      <c r="L562" s="1063">
        <v>0.88</v>
      </c>
      <c r="M562" s="1062">
        <f t="shared" si="36"/>
        <v>1364</v>
      </c>
      <c r="O562" s="1061">
        <v>45986.0</v>
      </c>
      <c r="P562" s="222"/>
      <c r="Q562" s="1059">
        <v>2174307.0</v>
      </c>
      <c r="R562" s="222"/>
      <c r="S562" s="1059" t="s">
        <v>1545</v>
      </c>
      <c r="T562" s="224"/>
      <c r="U562" s="222"/>
      <c r="V562" s="1060">
        <v>411.0</v>
      </c>
      <c r="W562" s="1064">
        <v>0.65</v>
      </c>
      <c r="X562" s="1062">
        <f t="shared" si="37"/>
        <v>267.15</v>
      </c>
    </row>
    <row r="563">
      <c r="D563" s="1061">
        <v>45987.0</v>
      </c>
      <c r="E563" s="222"/>
      <c r="F563" s="1059">
        <v>2177290.0</v>
      </c>
      <c r="G563" s="222"/>
      <c r="H563" s="1059" t="s">
        <v>1546</v>
      </c>
      <c r="I563" s="224"/>
      <c r="J563" s="222"/>
      <c r="K563" s="1062">
        <v>2500.0</v>
      </c>
      <c r="L563" s="1063">
        <v>0.88</v>
      </c>
      <c r="M563" s="1062">
        <f t="shared" si="36"/>
        <v>2200</v>
      </c>
      <c r="O563" s="1061">
        <v>45987.0</v>
      </c>
      <c r="P563" s="222"/>
      <c r="Q563" s="1059">
        <v>2177290.0</v>
      </c>
      <c r="R563" s="222"/>
      <c r="S563" s="1059" t="s">
        <v>1546</v>
      </c>
      <c r="T563" s="224"/>
      <c r="U563" s="222"/>
      <c r="V563" s="1060">
        <v>782.0</v>
      </c>
      <c r="W563" s="1064">
        <v>0.65</v>
      </c>
      <c r="X563" s="1062">
        <f t="shared" si="37"/>
        <v>508.3</v>
      </c>
    </row>
    <row r="564">
      <c r="D564" s="1065"/>
      <c r="E564" s="222"/>
      <c r="F564" s="1066"/>
      <c r="G564" s="222"/>
      <c r="H564" s="1066"/>
      <c r="I564" s="224"/>
      <c r="J564" s="222"/>
      <c r="K564" s="1067"/>
      <c r="L564" s="1063">
        <v>0.88</v>
      </c>
      <c r="M564" s="1062">
        <f t="shared" si="36"/>
        <v>0</v>
      </c>
      <c r="O564" s="1065"/>
      <c r="P564" s="222"/>
      <c r="Q564" s="1066"/>
      <c r="R564" s="222"/>
      <c r="S564" s="1066"/>
      <c r="T564" s="224"/>
      <c r="U564" s="222"/>
      <c r="V564" s="1068"/>
      <c r="W564" s="1064">
        <v>0.65</v>
      </c>
      <c r="X564" s="1062">
        <f t="shared" si="37"/>
        <v>0</v>
      </c>
    </row>
    <row r="565">
      <c r="D565" s="1066"/>
      <c r="E565" s="222"/>
      <c r="F565" s="1066"/>
      <c r="G565" s="222"/>
      <c r="H565" s="1066"/>
      <c r="I565" s="224"/>
      <c r="J565" s="222"/>
      <c r="K565" s="1068"/>
      <c r="L565" s="1069"/>
      <c r="M565" s="1068"/>
      <c r="O565" s="1066"/>
      <c r="P565" s="222"/>
      <c r="Q565" s="1066"/>
      <c r="R565" s="222"/>
      <c r="S565" s="1066"/>
      <c r="T565" s="224"/>
      <c r="U565" s="222"/>
      <c r="V565" s="1068"/>
      <c r="W565" s="1068"/>
      <c r="X565" s="1067"/>
    </row>
    <row r="566">
      <c r="D566" s="1072" t="s">
        <v>711</v>
      </c>
      <c r="E566" s="224"/>
      <c r="F566" s="224"/>
      <c r="G566" s="224"/>
      <c r="H566" s="224"/>
      <c r="I566" s="224"/>
      <c r="J566" s="222"/>
      <c r="K566" s="1073">
        <f>SUM(K561:K565)</f>
        <v>5450</v>
      </c>
      <c r="L566" s="1069"/>
      <c r="M566" s="1073">
        <f>SUM(M561:M565)</f>
        <v>4796</v>
      </c>
      <c r="O566" s="1066"/>
      <c r="P566" s="222"/>
      <c r="Q566" s="1066"/>
      <c r="R566" s="222"/>
      <c r="S566" s="1066"/>
      <c r="T566" s="224"/>
      <c r="U566" s="222"/>
      <c r="V566" s="1068"/>
      <c r="W566" s="1068"/>
      <c r="X566" s="1067"/>
    </row>
    <row r="567">
      <c r="D567" s="1055"/>
      <c r="E567" s="1055"/>
      <c r="F567" s="1055"/>
      <c r="G567" s="1055"/>
      <c r="H567" s="1055"/>
      <c r="I567" s="1055"/>
      <c r="J567" s="1055"/>
      <c r="K567" s="1055"/>
      <c r="L567" s="1055"/>
      <c r="M567" s="1055"/>
      <c r="O567" s="1072" t="s">
        <v>711</v>
      </c>
      <c r="P567" s="224"/>
      <c r="Q567" s="224"/>
      <c r="R567" s="224"/>
      <c r="S567" s="224"/>
      <c r="T567" s="224"/>
      <c r="U567" s="222"/>
      <c r="V567" s="1060">
        <f>SUM(V561:V566)</f>
        <v>1791</v>
      </c>
      <c r="W567" s="1074"/>
      <c r="X567" s="1062">
        <f>SUM(X561:X566)</f>
        <v>1164.15</v>
      </c>
    </row>
    <row r="568">
      <c r="D568" s="1075" t="s">
        <v>712</v>
      </c>
      <c r="E568" s="222"/>
      <c r="F568" s="1076"/>
      <c r="G568" s="222"/>
      <c r="H568" s="1055"/>
      <c r="I568" s="1055"/>
      <c r="J568" s="1055"/>
      <c r="K568" s="1055"/>
      <c r="L568" s="1055"/>
      <c r="M568" s="1055"/>
      <c r="O568" s="1055"/>
      <c r="P568" s="1055"/>
      <c r="Q568" s="1055"/>
      <c r="R568" s="1055"/>
      <c r="S568" s="1055"/>
      <c r="T568" s="1055"/>
      <c r="U568" s="1055"/>
      <c r="V568" s="1055"/>
      <c r="W568" s="1055"/>
      <c r="X568" s="1055"/>
    </row>
    <row r="569">
      <c r="D569" s="1079"/>
      <c r="E569" s="222"/>
      <c r="F569" s="1076"/>
      <c r="G569" s="222"/>
      <c r="H569" s="1055"/>
      <c r="I569" s="1055"/>
      <c r="J569" s="1055"/>
      <c r="K569" s="1055"/>
      <c r="L569" s="1055"/>
      <c r="M569" s="1055"/>
      <c r="O569" s="1075" t="s">
        <v>712</v>
      </c>
      <c r="P569" s="222"/>
      <c r="Q569" s="1076"/>
      <c r="R569" s="222"/>
      <c r="S569" s="1055"/>
      <c r="T569" s="1055"/>
      <c r="U569" s="1055"/>
      <c r="V569" s="1055"/>
      <c r="W569" s="1055"/>
      <c r="X569" s="1055"/>
    </row>
    <row r="570">
      <c r="D570" s="1079"/>
      <c r="E570" s="222"/>
      <c r="F570" s="1076"/>
      <c r="G570" s="222"/>
      <c r="H570" s="1055"/>
      <c r="I570" s="163"/>
      <c r="J570" s="163"/>
      <c r="K570" s="163"/>
      <c r="L570" s="163"/>
      <c r="M570" s="163"/>
      <c r="O570" s="1079"/>
      <c r="P570" s="222"/>
      <c r="Q570" s="1076"/>
      <c r="R570" s="222"/>
      <c r="S570" s="1055"/>
      <c r="T570" s="1055"/>
      <c r="U570" s="1055"/>
      <c r="V570" s="1055"/>
      <c r="W570" s="1055"/>
      <c r="X570" s="1055"/>
    </row>
    <row r="571">
      <c r="D571" s="1080" t="s">
        <v>714</v>
      </c>
      <c r="E571" s="222"/>
      <c r="F571" s="1078">
        <f>SUM(F568:G570)</f>
        <v>0</v>
      </c>
      <c r="G571" s="222"/>
      <c r="H571" s="1055"/>
      <c r="I571" s="163"/>
      <c r="J571" s="163"/>
      <c r="K571" s="163"/>
      <c r="L571" s="163"/>
      <c r="M571" s="163"/>
      <c r="O571" s="1079"/>
      <c r="P571" s="222"/>
      <c r="Q571" s="1076"/>
      <c r="R571" s="222"/>
      <c r="S571" s="1055"/>
      <c r="T571" s="1055"/>
      <c r="U571" s="1055"/>
      <c r="V571" s="1055"/>
      <c r="W571" s="1055"/>
      <c r="X571" s="1055"/>
    </row>
    <row r="572">
      <c r="D572" s="1081"/>
      <c r="E572" s="224"/>
      <c r="F572" s="224"/>
      <c r="G572" s="222"/>
      <c r="H572" s="1055"/>
      <c r="I572" s="163"/>
      <c r="J572" s="163"/>
      <c r="K572" s="163"/>
      <c r="L572" s="163"/>
      <c r="M572" s="163"/>
      <c r="O572" s="1079"/>
      <c r="P572" s="222"/>
      <c r="Q572" s="1076"/>
      <c r="R572" s="222"/>
      <c r="S572" s="1055"/>
      <c r="T572" s="1055"/>
      <c r="U572" s="1055"/>
      <c r="V572" s="1055"/>
      <c r="W572" s="1055"/>
      <c r="X572" s="1055"/>
    </row>
    <row r="573">
      <c r="D573" s="1082" t="s">
        <v>715</v>
      </c>
      <c r="E573" s="222"/>
      <c r="F573" s="1083"/>
      <c r="G573" s="222"/>
      <c r="H573" s="1055"/>
      <c r="I573" s="163"/>
      <c r="J573" s="163"/>
      <c r="K573" s="163"/>
      <c r="L573" s="163"/>
      <c r="M573" s="163"/>
      <c r="O573" s="1079"/>
      <c r="P573" s="222"/>
      <c r="Q573" s="1076"/>
      <c r="R573" s="222"/>
      <c r="S573" s="1055"/>
      <c r="T573" s="1055"/>
      <c r="U573" s="1055"/>
      <c r="V573" s="1055"/>
      <c r="W573" s="1055"/>
      <c r="X573" s="1055"/>
    </row>
    <row r="574">
      <c r="D574" s="1090" t="s">
        <v>716</v>
      </c>
      <c r="E574" s="222"/>
      <c r="F574" s="1088">
        <v>150.0</v>
      </c>
      <c r="G574" s="222"/>
      <c r="H574" s="1055"/>
      <c r="I574" s="163"/>
      <c r="J574" s="163"/>
      <c r="K574" s="163"/>
      <c r="L574" s="163"/>
      <c r="M574" s="163"/>
      <c r="O574" s="1079"/>
      <c r="P574" s="222"/>
      <c r="Q574" s="1076"/>
      <c r="R574" s="222"/>
      <c r="S574" s="1055"/>
      <c r="T574" s="1055"/>
      <c r="U574" s="1055"/>
      <c r="V574" s="1055"/>
      <c r="W574" s="1055"/>
      <c r="X574" s="1055"/>
    </row>
    <row r="575">
      <c r="D575" s="1090" t="s">
        <v>717</v>
      </c>
      <c r="E575" s="222"/>
      <c r="F575" s="1088">
        <v>400.0</v>
      </c>
      <c r="G575" s="222"/>
      <c r="H575" s="1055"/>
      <c r="I575" s="163"/>
      <c r="J575" s="163"/>
      <c r="K575" s="163"/>
      <c r="L575" s="163"/>
      <c r="M575" s="163"/>
      <c r="O575" s="1080" t="s">
        <v>714</v>
      </c>
      <c r="P575" s="222"/>
      <c r="Q575" s="1078">
        <f>SUM(Q569:R574)</f>
        <v>0</v>
      </c>
      <c r="R575" s="222"/>
      <c r="S575" s="1055"/>
      <c r="T575" s="1055"/>
      <c r="U575" s="1055"/>
      <c r="V575" s="1055"/>
      <c r="W575" s="1055"/>
      <c r="X575" s="1055"/>
    </row>
    <row r="576">
      <c r="D576" s="1090" t="s">
        <v>718</v>
      </c>
      <c r="E576" s="222"/>
      <c r="F576" s="1088">
        <v>0.0</v>
      </c>
      <c r="G576" s="222"/>
      <c r="H576" s="1055"/>
      <c r="I576" s="163"/>
      <c r="J576" s="163"/>
      <c r="K576" s="163"/>
      <c r="L576" s="163"/>
      <c r="M576" s="163"/>
      <c r="O576" s="1055"/>
      <c r="P576" s="1055"/>
      <c r="Q576" s="1055"/>
      <c r="S576" s="1055"/>
      <c r="T576" s="1055"/>
      <c r="U576" s="1055"/>
      <c r="V576" s="1055"/>
      <c r="W576" s="1055"/>
      <c r="X576" s="1055"/>
    </row>
    <row r="577">
      <c r="D577" s="1090" t="s">
        <v>656</v>
      </c>
      <c r="E577" s="222"/>
      <c r="F577" s="1088">
        <v>1663.22</v>
      </c>
      <c r="G577" s="222"/>
      <c r="H577" s="1055"/>
      <c r="I577" s="163"/>
      <c r="J577" s="163"/>
      <c r="K577" s="163"/>
      <c r="L577" s="163"/>
      <c r="M577" s="163"/>
      <c r="O577" s="1082" t="s">
        <v>715</v>
      </c>
      <c r="P577" s="222"/>
      <c r="Q577" s="1083"/>
      <c r="R577" s="222"/>
      <c r="S577" s="1055"/>
      <c r="T577" s="1055"/>
      <c r="U577" s="1055"/>
      <c r="V577" s="1055"/>
      <c r="W577" s="1055"/>
      <c r="X577" s="1055"/>
    </row>
    <row r="578">
      <c r="D578" s="1084"/>
      <c r="E578" s="222"/>
      <c r="F578" s="1083"/>
      <c r="G578" s="222"/>
      <c r="H578" s="1055"/>
      <c r="I578" s="1055"/>
      <c r="J578" s="1085" t="s">
        <v>1498</v>
      </c>
      <c r="K578" s="211"/>
      <c r="L578" s="1086">
        <f>M566+F571-F583</f>
        <v>2582.78</v>
      </c>
      <c r="M578" s="211"/>
      <c r="O578" s="1084"/>
      <c r="P578" s="222"/>
      <c r="Q578" s="1083"/>
      <c r="R578" s="222"/>
      <c r="S578" s="1055"/>
      <c r="T578" s="1055"/>
      <c r="U578" s="1085" t="s">
        <v>1497</v>
      </c>
      <c r="V578" s="211"/>
      <c r="W578" s="1086">
        <f>X567+Q575-Q583</f>
        <v>1164.15</v>
      </c>
      <c r="X578" s="211"/>
    </row>
    <row r="579">
      <c r="D579" s="1084"/>
      <c r="E579" s="222"/>
      <c r="F579" s="1083"/>
      <c r="G579" s="222"/>
      <c r="H579" s="1055"/>
      <c r="I579" s="1055"/>
      <c r="J579" s="278"/>
      <c r="K579" s="56"/>
      <c r="L579" s="278"/>
      <c r="M579" s="56"/>
      <c r="O579" s="1084"/>
      <c r="P579" s="222"/>
      <c r="Q579" s="1083"/>
      <c r="R579" s="222"/>
      <c r="S579" s="1055"/>
      <c r="T579" s="1055"/>
      <c r="U579" s="278"/>
      <c r="V579" s="56"/>
      <c r="W579" s="278"/>
      <c r="X579" s="56"/>
    </row>
    <row r="580">
      <c r="D580" s="1084"/>
      <c r="E580" s="222"/>
      <c r="F580" s="1083"/>
      <c r="G580" s="222"/>
      <c r="H580" s="1055"/>
      <c r="I580" s="1055"/>
      <c r="J580" s="215"/>
      <c r="K580" s="64"/>
      <c r="L580" s="215"/>
      <c r="M580" s="64"/>
      <c r="O580" s="1084"/>
      <c r="P580" s="222"/>
      <c r="Q580" s="1083"/>
      <c r="R580" s="222"/>
      <c r="S580" s="1055"/>
      <c r="T580" s="1055"/>
      <c r="U580" s="215"/>
      <c r="V580" s="64"/>
      <c r="W580" s="215"/>
      <c r="X580" s="64"/>
    </row>
    <row r="581">
      <c r="D581" s="1084"/>
      <c r="E581" s="222"/>
      <c r="F581" s="1083"/>
      <c r="G581" s="222"/>
      <c r="H581" s="1055"/>
      <c r="I581" s="1055"/>
      <c r="J581" s="1055"/>
      <c r="K581" s="1055"/>
      <c r="L581" s="1055"/>
      <c r="M581" s="1055"/>
      <c r="O581" s="1084"/>
      <c r="P581" s="222"/>
      <c r="Q581" s="1083"/>
      <c r="R581" s="222"/>
      <c r="S581" s="1055"/>
      <c r="T581" s="1055"/>
      <c r="U581" s="1055"/>
      <c r="V581" s="1055"/>
      <c r="W581" s="1055"/>
      <c r="X581" s="1055"/>
    </row>
    <row r="582">
      <c r="D582" s="1084"/>
      <c r="E582" s="222"/>
      <c r="F582" s="1083"/>
      <c r="G582" s="222"/>
      <c r="H582" s="1055"/>
      <c r="I582" s="1055"/>
      <c r="J582" s="1055"/>
      <c r="K582" s="1055"/>
      <c r="L582" s="1055"/>
      <c r="M582" s="1055"/>
      <c r="O582" s="1084"/>
      <c r="P582" s="222"/>
      <c r="Q582" s="1083"/>
      <c r="R582" s="222"/>
      <c r="S582" s="1055"/>
      <c r="T582" s="1055"/>
      <c r="U582" s="1055"/>
      <c r="V582" s="1055"/>
      <c r="W582" s="1055"/>
      <c r="X582" s="1055"/>
    </row>
    <row r="583">
      <c r="D583" s="1087" t="s">
        <v>721</v>
      </c>
      <c r="E583" s="222"/>
      <c r="F583" s="1088">
        <f>SUM(F574:G582)</f>
        <v>2213.22</v>
      </c>
      <c r="G583" s="222"/>
      <c r="H583" s="1055"/>
      <c r="I583" s="1055"/>
      <c r="J583" s="1055"/>
      <c r="K583" s="1055"/>
      <c r="L583" s="1055"/>
      <c r="M583" s="1055"/>
      <c r="O583" s="1087" t="s">
        <v>721</v>
      </c>
      <c r="P583" s="222"/>
      <c r="Q583" s="1088">
        <f>SUM(Q577:R582)</f>
        <v>0</v>
      </c>
      <c r="R583" s="222"/>
      <c r="S583" s="1055"/>
      <c r="T583" s="1055"/>
      <c r="U583" s="1055"/>
      <c r="V583" s="1055"/>
      <c r="W583" s="1055"/>
      <c r="X583" s="1055"/>
    </row>
    <row r="584"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</row>
    <row r="586">
      <c r="D586" s="1055"/>
      <c r="I586" s="1056" t="s">
        <v>700</v>
      </c>
      <c r="J586" s="211"/>
      <c r="K586" s="1057" t="s">
        <v>1493</v>
      </c>
      <c r="L586" s="213"/>
      <c r="M586" s="211"/>
      <c r="O586" s="1055"/>
      <c r="T586" s="1056" t="s">
        <v>700</v>
      </c>
      <c r="U586" s="211"/>
      <c r="V586" s="1057" t="s">
        <v>1493</v>
      </c>
      <c r="W586" s="213"/>
      <c r="X586" s="211"/>
    </row>
    <row r="587">
      <c r="I587" s="215"/>
      <c r="J587" s="64"/>
      <c r="K587" s="215"/>
      <c r="L587" s="216"/>
      <c r="M587" s="64"/>
      <c r="T587" s="215"/>
      <c r="U587" s="64"/>
      <c r="V587" s="215"/>
      <c r="W587" s="216"/>
      <c r="X587" s="64"/>
    </row>
    <row r="588">
      <c r="I588" s="1056" t="s">
        <v>702</v>
      </c>
      <c r="J588" s="211"/>
      <c r="K588" s="1057" t="s">
        <v>743</v>
      </c>
      <c r="L588" s="213"/>
      <c r="M588" s="211"/>
      <c r="T588" s="1056" t="s">
        <v>351</v>
      </c>
      <c r="U588" s="211"/>
      <c r="V588" s="1057" t="s">
        <v>385</v>
      </c>
      <c r="W588" s="213"/>
      <c r="X588" s="211"/>
    </row>
    <row r="589">
      <c r="I589" s="215"/>
      <c r="J589" s="64"/>
      <c r="K589" s="215"/>
      <c r="L589" s="216"/>
      <c r="M589" s="64"/>
      <c r="T589" s="215"/>
      <c r="U589" s="64"/>
      <c r="V589" s="215"/>
      <c r="W589" s="216"/>
      <c r="X589" s="64"/>
    </row>
    <row r="590">
      <c r="I590" s="1056" t="s">
        <v>703</v>
      </c>
      <c r="J590" s="211"/>
      <c r="K590" s="1057">
        <v>7352.0</v>
      </c>
      <c r="L590" s="213"/>
      <c r="M590" s="211"/>
      <c r="T590" s="1056" t="s">
        <v>703</v>
      </c>
      <c r="U590" s="211"/>
      <c r="V590" s="1057">
        <v>7352.0</v>
      </c>
      <c r="W590" s="213"/>
      <c r="X590" s="211"/>
    </row>
    <row r="591">
      <c r="I591" s="215"/>
      <c r="J591" s="64"/>
      <c r="K591" s="215"/>
      <c r="L591" s="216"/>
      <c r="M591" s="64"/>
      <c r="T591" s="215"/>
      <c r="U591" s="64"/>
      <c r="V591" s="215"/>
      <c r="W591" s="216"/>
      <c r="X591" s="64"/>
    </row>
    <row r="592">
      <c r="D592" s="1059" t="s">
        <v>704</v>
      </c>
      <c r="E592" s="222"/>
      <c r="F592" s="1059" t="s">
        <v>5</v>
      </c>
      <c r="G592" s="222"/>
      <c r="H592" s="1059" t="s">
        <v>705</v>
      </c>
      <c r="I592" s="224"/>
      <c r="J592" s="222"/>
      <c r="K592" s="1060" t="s">
        <v>8</v>
      </c>
      <c r="L592" s="1060" t="s">
        <v>706</v>
      </c>
      <c r="M592" s="1060" t="s">
        <v>707</v>
      </c>
      <c r="O592" s="1059" t="s">
        <v>704</v>
      </c>
      <c r="P592" s="222"/>
      <c r="Q592" s="1059" t="s">
        <v>5</v>
      </c>
      <c r="R592" s="222"/>
      <c r="S592" s="1059" t="s">
        <v>705</v>
      </c>
      <c r="T592" s="224"/>
      <c r="U592" s="222"/>
      <c r="V592" s="1060" t="s">
        <v>591</v>
      </c>
      <c r="W592" s="1060" t="s">
        <v>708</v>
      </c>
      <c r="X592" s="1060" t="s">
        <v>707</v>
      </c>
    </row>
    <row r="593">
      <c r="D593" s="1061">
        <v>45985.0</v>
      </c>
      <c r="E593" s="222"/>
      <c r="F593" s="1059">
        <v>5.34890703E8</v>
      </c>
      <c r="G593" s="222"/>
      <c r="H593" s="1059" t="s">
        <v>1547</v>
      </c>
      <c r="I593" s="224"/>
      <c r="J593" s="222"/>
      <c r="K593" s="1062">
        <v>1000.0</v>
      </c>
      <c r="L593" s="1063">
        <v>0.88</v>
      </c>
      <c r="M593" s="1062">
        <f t="shared" ref="M593:M595" si="38">K593*L593</f>
        <v>880</v>
      </c>
      <c r="O593" s="1061">
        <v>45985.0</v>
      </c>
      <c r="P593" s="222"/>
      <c r="Q593" s="1059">
        <v>5.34890703E8</v>
      </c>
      <c r="R593" s="222"/>
      <c r="S593" s="1059" t="s">
        <v>1547</v>
      </c>
      <c r="T593" s="224"/>
      <c r="U593" s="222"/>
      <c r="V593" s="1060">
        <v>391.0</v>
      </c>
      <c r="W593" s="1064">
        <v>0.65</v>
      </c>
      <c r="X593" s="1062">
        <f t="shared" ref="X593:X596" si="39">V593*W593</f>
        <v>254.15</v>
      </c>
    </row>
    <row r="594">
      <c r="D594" s="1061">
        <v>45987.0</v>
      </c>
      <c r="E594" s="222"/>
      <c r="F594" s="1059">
        <v>1243985.0</v>
      </c>
      <c r="G594" s="222"/>
      <c r="H594" s="1059" t="s">
        <v>1548</v>
      </c>
      <c r="I594" s="224"/>
      <c r="J594" s="222"/>
      <c r="K594" s="1062">
        <v>6100.0</v>
      </c>
      <c r="L594" s="1063">
        <v>0.88</v>
      </c>
      <c r="M594" s="1062">
        <f t="shared" si="38"/>
        <v>5368</v>
      </c>
      <c r="O594" s="1061">
        <v>45987.0</v>
      </c>
      <c r="P594" s="222"/>
      <c r="Q594" s="1059">
        <v>1243985.0</v>
      </c>
      <c r="R594" s="222"/>
      <c r="S594" s="1059" t="s">
        <v>1548</v>
      </c>
      <c r="T594" s="224"/>
      <c r="U594" s="222"/>
      <c r="V594" s="1060">
        <v>2823.0</v>
      </c>
      <c r="W594" s="1064">
        <v>0.65</v>
      </c>
      <c r="X594" s="1062">
        <f t="shared" si="39"/>
        <v>1834.95</v>
      </c>
    </row>
    <row r="595">
      <c r="D595" s="1065"/>
      <c r="E595" s="222"/>
      <c r="F595" s="1066"/>
      <c r="G595" s="222"/>
      <c r="H595" s="1066"/>
      <c r="I595" s="224"/>
      <c r="J595" s="222"/>
      <c r="K595" s="1067"/>
      <c r="L595" s="1063">
        <v>0.88</v>
      </c>
      <c r="M595" s="1062">
        <f t="shared" si="38"/>
        <v>0</v>
      </c>
      <c r="O595" s="1065"/>
      <c r="P595" s="222"/>
      <c r="Q595" s="1066"/>
      <c r="R595" s="222"/>
      <c r="S595" s="1066"/>
      <c r="T595" s="224"/>
      <c r="U595" s="222"/>
      <c r="V595" s="1068"/>
      <c r="W595" s="1064">
        <v>0.65</v>
      </c>
      <c r="X595" s="1062">
        <f t="shared" si="39"/>
        <v>0</v>
      </c>
    </row>
    <row r="596">
      <c r="D596" s="1066"/>
      <c r="E596" s="222"/>
      <c r="F596" s="1066"/>
      <c r="G596" s="222"/>
      <c r="H596" s="1066"/>
      <c r="I596" s="224"/>
      <c r="J596" s="222"/>
      <c r="K596" s="1068"/>
      <c r="L596" s="1069"/>
      <c r="M596" s="1068"/>
      <c r="O596" s="1065"/>
      <c r="P596" s="222"/>
      <c r="Q596" s="1066"/>
      <c r="R596" s="222"/>
      <c r="S596" s="1066"/>
      <c r="T596" s="224"/>
      <c r="U596" s="222"/>
      <c r="V596" s="1068"/>
      <c r="W596" s="1071"/>
      <c r="X596" s="1062">
        <f t="shared" si="39"/>
        <v>0</v>
      </c>
    </row>
    <row r="597">
      <c r="D597" s="1072" t="s">
        <v>711</v>
      </c>
      <c r="E597" s="224"/>
      <c r="F597" s="224"/>
      <c r="G597" s="224"/>
      <c r="H597" s="224"/>
      <c r="I597" s="224"/>
      <c r="J597" s="222"/>
      <c r="K597" s="1073">
        <f>SUM(K593:K596)</f>
        <v>7100</v>
      </c>
      <c r="L597" s="1069"/>
      <c r="M597" s="1073">
        <f>SUM(M593:M596)</f>
        <v>6248</v>
      </c>
      <c r="O597" s="1065"/>
      <c r="P597" s="222"/>
      <c r="Q597" s="1066"/>
      <c r="R597" s="222"/>
      <c r="S597" s="1066"/>
      <c r="T597" s="224"/>
      <c r="U597" s="222"/>
      <c r="V597" s="1068"/>
      <c r="W597" s="1071"/>
      <c r="X597" s="1067"/>
    </row>
    <row r="598">
      <c r="D598" s="1055"/>
      <c r="E598" s="1055"/>
      <c r="F598" s="1055"/>
      <c r="G598" s="1055"/>
      <c r="H598" s="1055"/>
      <c r="I598" s="1055"/>
      <c r="J598" s="1055"/>
      <c r="K598" s="1055"/>
      <c r="L598" s="1055"/>
      <c r="M598" s="1055"/>
      <c r="O598" s="1072" t="s">
        <v>711</v>
      </c>
      <c r="P598" s="224"/>
      <c r="Q598" s="224"/>
      <c r="R598" s="224"/>
      <c r="S598" s="224"/>
      <c r="T598" s="224"/>
      <c r="U598" s="222"/>
      <c r="V598" s="1060">
        <f>SUM(V593:V597)</f>
        <v>3214</v>
      </c>
      <c r="W598" s="1074"/>
      <c r="X598" s="1062">
        <f>SUM(X593:X597)</f>
        <v>2089.1</v>
      </c>
    </row>
    <row r="599">
      <c r="D599" s="1075" t="s">
        <v>712</v>
      </c>
      <c r="E599" s="222"/>
      <c r="F599" s="1076"/>
      <c r="G599" s="222"/>
      <c r="H599" s="1055"/>
      <c r="I599" s="1055"/>
      <c r="J599" s="1055"/>
      <c r="K599" s="1055"/>
      <c r="L599" s="1055"/>
      <c r="M599" s="1055"/>
      <c r="O599" s="1055"/>
      <c r="P599" s="1055"/>
      <c r="Q599" s="1055"/>
      <c r="R599" s="1055"/>
      <c r="S599" s="1055"/>
      <c r="T599" s="1055"/>
      <c r="U599" s="1055"/>
      <c r="V599" s="1055"/>
      <c r="W599" s="1055"/>
      <c r="X599" s="1055"/>
    </row>
    <row r="600">
      <c r="D600" s="1077" t="s">
        <v>1496</v>
      </c>
      <c r="E600" s="222"/>
      <c r="F600" s="1078">
        <v>250.0</v>
      </c>
      <c r="G600" s="222"/>
      <c r="H600" s="1055"/>
      <c r="I600" s="1055"/>
      <c r="J600" s="1055"/>
      <c r="K600" s="1055"/>
      <c r="L600" s="1055"/>
      <c r="M600" s="1055"/>
      <c r="O600" s="1075" t="s">
        <v>712</v>
      </c>
      <c r="P600" s="222"/>
      <c r="Q600" s="1076"/>
      <c r="R600" s="222"/>
      <c r="S600" s="1055"/>
      <c r="T600" s="1055"/>
      <c r="U600" s="1055"/>
      <c r="V600" s="1055"/>
      <c r="W600" s="1055"/>
      <c r="X600" s="1055"/>
    </row>
    <row r="601">
      <c r="D601" s="1079"/>
      <c r="E601" s="222"/>
      <c r="F601" s="1076"/>
      <c r="G601" s="222"/>
      <c r="H601" s="1055"/>
      <c r="I601" s="1055"/>
      <c r="J601" s="1055"/>
      <c r="K601" s="1055"/>
      <c r="L601" s="1055"/>
      <c r="M601" s="1055"/>
      <c r="O601" s="1077" t="s">
        <v>1496</v>
      </c>
      <c r="P601" s="222"/>
      <c r="Q601" s="1078">
        <v>250.0</v>
      </c>
      <c r="R601" s="222"/>
      <c r="S601" s="1055"/>
      <c r="T601" s="1055"/>
      <c r="U601" s="1055"/>
      <c r="V601" s="1055"/>
      <c r="W601" s="1055"/>
      <c r="X601" s="1055"/>
    </row>
    <row r="602">
      <c r="D602" s="1080" t="s">
        <v>714</v>
      </c>
      <c r="E602" s="222"/>
      <c r="F602" s="1078">
        <f>SUM(F599:G601)</f>
        <v>250</v>
      </c>
      <c r="G602" s="222"/>
      <c r="H602" s="1055"/>
      <c r="I602" s="1055"/>
      <c r="J602" s="1055"/>
      <c r="K602" s="1055"/>
      <c r="L602" s="1055"/>
      <c r="M602" s="1055"/>
      <c r="O602" s="1079"/>
      <c r="P602" s="222"/>
      <c r="Q602" s="1076"/>
      <c r="R602" s="222"/>
      <c r="S602" s="1055"/>
      <c r="T602" s="1055"/>
      <c r="U602" s="1055"/>
      <c r="V602" s="1055"/>
      <c r="W602" s="1055"/>
      <c r="X602" s="1055"/>
    </row>
    <row r="603">
      <c r="D603" s="1081"/>
      <c r="E603" s="224"/>
      <c r="F603" s="224"/>
      <c r="G603" s="222"/>
      <c r="H603" s="1055"/>
      <c r="I603" s="1055"/>
      <c r="J603" s="1055"/>
      <c r="K603" s="1055"/>
      <c r="L603" s="1055"/>
      <c r="M603" s="1055"/>
      <c r="O603" s="1079"/>
      <c r="P603" s="222"/>
      <c r="Q603" s="1076"/>
      <c r="R603" s="222"/>
      <c r="S603" s="1055"/>
      <c r="T603" s="1055"/>
      <c r="U603" s="1055"/>
      <c r="V603" s="1055"/>
      <c r="W603" s="1055"/>
      <c r="X603" s="1055"/>
    </row>
    <row r="604">
      <c r="D604" s="1082" t="s">
        <v>715</v>
      </c>
      <c r="E604" s="222"/>
      <c r="F604" s="1083"/>
      <c r="G604" s="222"/>
      <c r="H604" s="1055"/>
      <c r="I604" s="1055"/>
      <c r="J604" s="1055"/>
      <c r="K604" s="1055"/>
      <c r="L604" s="1055"/>
      <c r="M604" s="1055"/>
      <c r="O604" s="1079"/>
      <c r="P604" s="222"/>
      <c r="Q604" s="1076"/>
      <c r="R604" s="222"/>
      <c r="S604" s="1055"/>
      <c r="T604" s="1055"/>
      <c r="U604" s="1055"/>
      <c r="V604" s="1055"/>
      <c r="W604" s="1055"/>
      <c r="X604" s="1055"/>
    </row>
    <row r="605">
      <c r="D605" s="1090" t="s">
        <v>716</v>
      </c>
      <c r="E605" s="222"/>
      <c r="F605" s="1088">
        <v>150.0</v>
      </c>
      <c r="G605" s="222"/>
      <c r="H605" s="1055"/>
      <c r="I605" s="1055"/>
      <c r="J605" s="1055"/>
      <c r="K605" s="1055"/>
      <c r="L605" s="1055"/>
      <c r="M605" s="1055"/>
      <c r="O605" s="1079"/>
      <c r="P605" s="222"/>
      <c r="Q605" s="1076"/>
      <c r="R605" s="222"/>
      <c r="S605" s="1055"/>
      <c r="T605" s="1055"/>
      <c r="U605" s="1055"/>
      <c r="V605" s="1055"/>
      <c r="W605" s="1055"/>
      <c r="X605" s="1055"/>
    </row>
    <row r="606">
      <c r="D606" s="1090" t="s">
        <v>717</v>
      </c>
      <c r="E606" s="222"/>
      <c r="F606" s="1088">
        <v>400.0</v>
      </c>
      <c r="G606" s="222"/>
      <c r="H606" s="1055"/>
      <c r="I606" s="1055"/>
      <c r="J606" s="1055"/>
      <c r="K606" s="1055"/>
      <c r="L606" s="1055"/>
      <c r="M606" s="1055"/>
      <c r="O606" s="1080" t="s">
        <v>714</v>
      </c>
      <c r="P606" s="222"/>
      <c r="Q606" s="1078">
        <f>SUM(Q600:R605)</f>
        <v>250</v>
      </c>
      <c r="R606" s="222"/>
      <c r="S606" s="1055"/>
      <c r="T606" s="1055"/>
      <c r="U606" s="1055"/>
      <c r="V606" s="1055"/>
      <c r="W606" s="1055"/>
      <c r="X606" s="1055"/>
    </row>
    <row r="607">
      <c r="D607" s="1090" t="s">
        <v>718</v>
      </c>
      <c r="E607" s="222"/>
      <c r="F607" s="1088">
        <v>200.0</v>
      </c>
      <c r="G607" s="222"/>
      <c r="H607" s="1055"/>
      <c r="I607" s="1055"/>
      <c r="J607" s="1055"/>
      <c r="K607" s="1055"/>
      <c r="L607" s="1055"/>
      <c r="M607" s="1055"/>
      <c r="O607" s="1055"/>
      <c r="P607" s="1055"/>
      <c r="Q607" s="1055"/>
      <c r="S607" s="1055"/>
      <c r="T607" s="1055"/>
      <c r="U607" s="1055"/>
      <c r="V607" s="1055"/>
      <c r="W607" s="1055"/>
      <c r="X607" s="1055"/>
    </row>
    <row r="608">
      <c r="D608" s="1090" t="s">
        <v>656</v>
      </c>
      <c r="E608" s="222"/>
      <c r="F608" s="1088">
        <v>2932.39</v>
      </c>
      <c r="G608" s="222"/>
      <c r="H608" s="1055"/>
      <c r="I608" s="1055"/>
      <c r="J608" s="1055"/>
      <c r="K608" s="1055"/>
      <c r="L608" s="1055"/>
      <c r="M608" s="1055"/>
      <c r="O608" s="1082" t="s">
        <v>715</v>
      </c>
      <c r="P608" s="222"/>
      <c r="Q608" s="1083"/>
      <c r="R608" s="222"/>
      <c r="S608" s="1055"/>
      <c r="T608" s="1055"/>
      <c r="U608" s="1055"/>
      <c r="V608" s="1055"/>
      <c r="W608" s="1055"/>
      <c r="X608" s="1055"/>
    </row>
    <row r="609">
      <c r="D609" s="1092" t="s">
        <v>1549</v>
      </c>
      <c r="E609" s="211"/>
      <c r="F609" s="1093">
        <f>1570.31/3</f>
        <v>523.4366667</v>
      </c>
      <c r="G609" s="211"/>
      <c r="H609" s="1055"/>
      <c r="I609" s="1055"/>
      <c r="J609" s="1085" t="s">
        <v>1498</v>
      </c>
      <c r="K609" s="211"/>
      <c r="L609" s="1086">
        <f>M597+F602-F613</f>
        <v>-646.4966667</v>
      </c>
      <c r="M609" s="211"/>
      <c r="O609" s="1084"/>
      <c r="P609" s="222"/>
      <c r="Q609" s="1083"/>
      <c r="R609" s="222"/>
      <c r="S609" s="1055"/>
      <c r="T609" s="1055"/>
      <c r="U609" s="1085" t="s">
        <v>1497</v>
      </c>
      <c r="V609" s="211"/>
      <c r="W609" s="1086">
        <f>X598+Q606-Q615</f>
        <v>2339.1</v>
      </c>
      <c r="X609" s="211"/>
    </row>
    <row r="610">
      <c r="D610" s="215"/>
      <c r="E610" s="64"/>
      <c r="F610" s="215"/>
      <c r="G610" s="64"/>
      <c r="H610" s="1055"/>
      <c r="I610" s="1055"/>
      <c r="J610" s="278"/>
      <c r="K610" s="56"/>
      <c r="L610" s="278"/>
      <c r="M610" s="56"/>
      <c r="O610" s="1084"/>
      <c r="P610" s="222"/>
      <c r="Q610" s="1083"/>
      <c r="R610" s="222"/>
      <c r="S610" s="1055"/>
      <c r="T610" s="1055"/>
      <c r="U610" s="278"/>
      <c r="V610" s="56"/>
      <c r="W610" s="278"/>
      <c r="X610" s="56"/>
    </row>
    <row r="611">
      <c r="D611" s="1090" t="s">
        <v>1550</v>
      </c>
      <c r="E611" s="222"/>
      <c r="F611" s="1088">
        <v>344.36</v>
      </c>
      <c r="G611" s="222"/>
      <c r="H611" s="1055"/>
      <c r="I611" s="1055"/>
      <c r="J611" s="215"/>
      <c r="K611" s="64"/>
      <c r="L611" s="215"/>
      <c r="M611" s="64"/>
      <c r="O611" s="1084"/>
      <c r="P611" s="222"/>
      <c r="Q611" s="1083"/>
      <c r="R611" s="222"/>
      <c r="S611" s="1055"/>
      <c r="T611" s="1055"/>
      <c r="U611" s="215"/>
      <c r="V611" s="64"/>
      <c r="W611" s="215"/>
      <c r="X611" s="64"/>
    </row>
    <row r="612">
      <c r="D612" s="1090" t="s">
        <v>807</v>
      </c>
      <c r="E612" s="222"/>
      <c r="F612" s="1088">
        <v>2594.31</v>
      </c>
      <c r="G612" s="222"/>
      <c r="H612" s="1055"/>
      <c r="I612" s="1055"/>
      <c r="J612" s="1055"/>
      <c r="K612" s="1055"/>
      <c r="L612" s="1055"/>
      <c r="M612" s="1055"/>
      <c r="O612" s="1084"/>
      <c r="P612" s="222"/>
      <c r="Q612" s="1083"/>
      <c r="R612" s="222"/>
      <c r="S612" s="1055"/>
      <c r="T612" s="1055"/>
      <c r="U612" s="1055"/>
      <c r="V612" s="1055"/>
      <c r="W612" s="1055"/>
      <c r="X612" s="1055"/>
    </row>
    <row r="613">
      <c r="D613" s="1087" t="s">
        <v>721</v>
      </c>
      <c r="E613" s="222"/>
      <c r="F613" s="1088">
        <f>SUM(F605:G612)</f>
        <v>7144.496667</v>
      </c>
      <c r="G613" s="222"/>
      <c r="H613" s="1055"/>
      <c r="I613" s="1055"/>
      <c r="J613" s="1055"/>
      <c r="K613" s="1055"/>
      <c r="L613" s="1055"/>
      <c r="M613" s="1055"/>
      <c r="O613" s="1084"/>
      <c r="P613" s="222"/>
      <c r="Q613" s="1083"/>
      <c r="R613" s="222"/>
      <c r="S613" s="1055"/>
      <c r="T613" s="1055"/>
      <c r="U613" s="1055"/>
      <c r="V613" s="1055"/>
      <c r="W613" s="1055"/>
      <c r="X613" s="1055"/>
    </row>
    <row r="614">
      <c r="O614" s="1084"/>
      <c r="P614" s="222"/>
      <c r="Q614" s="1083"/>
      <c r="R614" s="222"/>
      <c r="S614" s="1055"/>
      <c r="T614" s="1055"/>
      <c r="U614" s="1055"/>
      <c r="V614" s="1055"/>
      <c r="W614" s="1055"/>
      <c r="X614" s="1055"/>
    </row>
    <row r="615">
      <c r="O615" s="1087" t="s">
        <v>721</v>
      </c>
      <c r="P615" s="222"/>
      <c r="Q615" s="1088">
        <f>SUM(Q608:R614)</f>
        <v>0</v>
      </c>
      <c r="R615" s="222"/>
      <c r="S615" s="1055"/>
      <c r="T615" s="1055"/>
      <c r="U615" s="1055"/>
      <c r="V615" s="1055"/>
      <c r="W615" s="1055"/>
      <c r="X615" s="1055"/>
    </row>
    <row r="618">
      <c r="D618" s="1055"/>
      <c r="I618" s="1056" t="s">
        <v>700</v>
      </c>
      <c r="J618" s="211"/>
      <c r="K618" s="1057" t="s">
        <v>1493</v>
      </c>
      <c r="L618" s="213"/>
      <c r="M618" s="211"/>
      <c r="O618" s="1055"/>
      <c r="T618" s="1056" t="s">
        <v>700</v>
      </c>
      <c r="U618" s="211"/>
      <c r="V618" s="1057" t="s">
        <v>1493</v>
      </c>
      <c r="W618" s="213"/>
      <c r="X618" s="211"/>
    </row>
    <row r="619">
      <c r="I619" s="215"/>
      <c r="J619" s="64"/>
      <c r="K619" s="215"/>
      <c r="L619" s="216"/>
      <c r="M619" s="64"/>
      <c r="T619" s="215"/>
      <c r="U619" s="64"/>
      <c r="V619" s="215"/>
      <c r="W619" s="216"/>
      <c r="X619" s="64"/>
    </row>
    <row r="620">
      <c r="I620" s="1056" t="s">
        <v>702</v>
      </c>
      <c r="J620" s="211"/>
      <c r="K620" s="1057" t="s">
        <v>819</v>
      </c>
      <c r="L620" s="213"/>
      <c r="M620" s="211"/>
      <c r="T620" s="1056" t="s">
        <v>351</v>
      </c>
      <c r="U620" s="211"/>
      <c r="V620" s="1057" t="s">
        <v>523</v>
      </c>
      <c r="W620" s="213"/>
      <c r="X620" s="211"/>
    </row>
    <row r="621">
      <c r="I621" s="215"/>
      <c r="J621" s="64"/>
      <c r="K621" s="215"/>
      <c r="L621" s="216"/>
      <c r="M621" s="64"/>
      <c r="T621" s="215"/>
      <c r="U621" s="64"/>
      <c r="V621" s="215"/>
      <c r="W621" s="216"/>
      <c r="X621" s="64"/>
    </row>
    <row r="622">
      <c r="I622" s="1056" t="s">
        <v>703</v>
      </c>
      <c r="J622" s="211"/>
      <c r="K622" s="1058" t="s">
        <v>1551</v>
      </c>
      <c r="L622" s="213"/>
      <c r="M622" s="211"/>
      <c r="T622" s="1056" t="s">
        <v>703</v>
      </c>
      <c r="U622" s="211"/>
      <c r="V622" s="1057">
        <v>3881.0</v>
      </c>
      <c r="W622" s="213"/>
      <c r="X622" s="211"/>
    </row>
    <row r="623">
      <c r="I623" s="215"/>
      <c r="J623" s="64"/>
      <c r="K623" s="215"/>
      <c r="L623" s="216"/>
      <c r="M623" s="64"/>
      <c r="T623" s="215"/>
      <c r="U623" s="64"/>
      <c r="V623" s="215"/>
      <c r="W623" s="216"/>
      <c r="X623" s="64"/>
    </row>
    <row r="624">
      <c r="D624" s="1059" t="s">
        <v>704</v>
      </c>
      <c r="E624" s="222"/>
      <c r="F624" s="1059" t="s">
        <v>5</v>
      </c>
      <c r="G624" s="222"/>
      <c r="H624" s="1059" t="s">
        <v>705</v>
      </c>
      <c r="I624" s="224"/>
      <c r="J624" s="222"/>
      <c r="K624" s="1060" t="s">
        <v>8</v>
      </c>
      <c r="L624" s="1060" t="s">
        <v>706</v>
      </c>
      <c r="M624" s="1060" t="s">
        <v>707</v>
      </c>
      <c r="O624" s="1059" t="s">
        <v>704</v>
      </c>
      <c r="P624" s="222"/>
      <c r="Q624" s="1059" t="s">
        <v>5</v>
      </c>
      <c r="R624" s="222"/>
      <c r="S624" s="1059" t="s">
        <v>705</v>
      </c>
      <c r="T624" s="224"/>
      <c r="U624" s="222"/>
      <c r="V624" s="1060" t="s">
        <v>591</v>
      </c>
      <c r="W624" s="1060" t="s">
        <v>708</v>
      </c>
      <c r="X624" s="1060" t="s">
        <v>707</v>
      </c>
    </row>
    <row r="625">
      <c r="D625" s="1061">
        <v>45985.0</v>
      </c>
      <c r="E625" s="222"/>
      <c r="F625" s="1059" t="s">
        <v>1552</v>
      </c>
      <c r="G625" s="222"/>
      <c r="H625" s="1059" t="s">
        <v>1553</v>
      </c>
      <c r="I625" s="224"/>
      <c r="J625" s="222"/>
      <c r="K625" s="1062">
        <v>2550.0</v>
      </c>
      <c r="L625" s="1063">
        <v>0.88</v>
      </c>
      <c r="M625" s="1062">
        <f t="shared" ref="M625:M628" si="40">K625*88/100</f>
        <v>2244</v>
      </c>
      <c r="O625" s="1061">
        <v>45985.0</v>
      </c>
      <c r="P625" s="222"/>
      <c r="Q625" s="1059" t="s">
        <v>1552</v>
      </c>
      <c r="R625" s="222"/>
      <c r="S625" s="1059" t="s">
        <v>1553</v>
      </c>
      <c r="T625" s="224"/>
      <c r="U625" s="222"/>
      <c r="V625" s="1060">
        <v>1155.0</v>
      </c>
      <c r="W625" s="1064">
        <v>0.65</v>
      </c>
      <c r="X625" s="1062">
        <f t="shared" ref="X625:X628" si="41">V625*W625</f>
        <v>750.75</v>
      </c>
    </row>
    <row r="626">
      <c r="D626" s="1061">
        <v>45987.0</v>
      </c>
      <c r="E626" s="222"/>
      <c r="F626" s="1059">
        <v>5.34524106E8</v>
      </c>
      <c r="G626" s="222"/>
      <c r="H626" s="1059" t="s">
        <v>1554</v>
      </c>
      <c r="I626" s="224"/>
      <c r="J626" s="222"/>
      <c r="K626" s="1062">
        <v>1440.0</v>
      </c>
      <c r="L626" s="1063">
        <v>0.88</v>
      </c>
      <c r="M626" s="1062">
        <f t="shared" si="40"/>
        <v>1267.2</v>
      </c>
      <c r="O626" s="1061">
        <v>45987.0</v>
      </c>
      <c r="P626" s="222"/>
      <c r="Q626" s="1059">
        <v>5.34524106E8</v>
      </c>
      <c r="R626" s="222"/>
      <c r="S626" s="1059" t="s">
        <v>1554</v>
      </c>
      <c r="T626" s="224"/>
      <c r="U626" s="222"/>
      <c r="V626" s="1060">
        <v>733.0</v>
      </c>
      <c r="W626" s="1064">
        <v>0.65</v>
      </c>
      <c r="X626" s="1062">
        <f t="shared" si="41"/>
        <v>476.45</v>
      </c>
    </row>
    <row r="627">
      <c r="D627" s="1061">
        <v>45989.0</v>
      </c>
      <c r="E627" s="222"/>
      <c r="F627" s="1059">
        <v>2795724.0</v>
      </c>
      <c r="G627" s="222"/>
      <c r="H627" s="1059" t="s">
        <v>1555</v>
      </c>
      <c r="I627" s="224"/>
      <c r="J627" s="222"/>
      <c r="K627" s="1062">
        <v>2200.0</v>
      </c>
      <c r="L627" s="1063">
        <v>0.88</v>
      </c>
      <c r="M627" s="1062">
        <f t="shared" si="40"/>
        <v>1936</v>
      </c>
      <c r="O627" s="1061">
        <v>45989.0</v>
      </c>
      <c r="P627" s="222"/>
      <c r="Q627" s="1059">
        <v>2795724.0</v>
      </c>
      <c r="R627" s="222"/>
      <c r="S627" s="1059" t="s">
        <v>1555</v>
      </c>
      <c r="T627" s="224"/>
      <c r="U627" s="222"/>
      <c r="V627" s="1060">
        <v>958.0</v>
      </c>
      <c r="W627" s="1064">
        <v>0.65</v>
      </c>
      <c r="X627" s="1062">
        <f t="shared" si="41"/>
        <v>622.7</v>
      </c>
    </row>
    <row r="628">
      <c r="D628" s="1061">
        <v>45991.0</v>
      </c>
      <c r="E628" s="222"/>
      <c r="F628" s="1059">
        <v>5.35039164E8</v>
      </c>
      <c r="G628" s="222"/>
      <c r="H628" s="1059" t="s">
        <v>1556</v>
      </c>
      <c r="I628" s="224"/>
      <c r="J628" s="222"/>
      <c r="K628" s="1062">
        <v>735.0</v>
      </c>
      <c r="L628" s="1063">
        <v>0.88</v>
      </c>
      <c r="M628" s="1062">
        <f t="shared" si="40"/>
        <v>646.8</v>
      </c>
      <c r="O628" s="1061">
        <v>45991.0</v>
      </c>
      <c r="P628" s="222"/>
      <c r="Q628" s="1059">
        <v>5.35039164E8</v>
      </c>
      <c r="R628" s="222"/>
      <c r="S628" s="1059" t="s">
        <v>1556</v>
      </c>
      <c r="T628" s="224"/>
      <c r="U628" s="222"/>
      <c r="V628" s="1060">
        <v>335.0</v>
      </c>
      <c r="W628" s="1064">
        <v>0.65</v>
      </c>
      <c r="X628" s="1062">
        <f t="shared" si="41"/>
        <v>217.75</v>
      </c>
    </row>
    <row r="629">
      <c r="D629" s="1072" t="s">
        <v>711</v>
      </c>
      <c r="E629" s="224"/>
      <c r="F629" s="224"/>
      <c r="G629" s="224"/>
      <c r="H629" s="224"/>
      <c r="I629" s="224"/>
      <c r="J629" s="222"/>
      <c r="K629" s="1062">
        <f>SUM(K625:K628)</f>
        <v>6925</v>
      </c>
      <c r="L629" s="1069"/>
      <c r="M629" s="1062">
        <f>SUM(M625:M628)</f>
        <v>6094</v>
      </c>
      <c r="O629" s="1072" t="s">
        <v>711</v>
      </c>
      <c r="P629" s="224"/>
      <c r="Q629" s="224"/>
      <c r="R629" s="224"/>
      <c r="S629" s="224"/>
      <c r="T629" s="224"/>
      <c r="U629" s="222"/>
      <c r="V629" s="1060">
        <f>SUM(V625:V628)</f>
        <v>3181</v>
      </c>
      <c r="W629" s="1074"/>
      <c r="X629" s="1062">
        <f>SUM(X625:X628)</f>
        <v>2067.65</v>
      </c>
    </row>
    <row r="630">
      <c r="D630" s="1055"/>
      <c r="E630" s="1055"/>
      <c r="F630" s="1055"/>
      <c r="G630" s="1055"/>
      <c r="H630" s="1055"/>
      <c r="I630" s="1055"/>
      <c r="J630" s="1055"/>
      <c r="K630" s="1055"/>
      <c r="L630" s="1055"/>
      <c r="M630" s="1055"/>
      <c r="O630" s="1055"/>
      <c r="P630" s="1055"/>
      <c r="Q630" s="1055"/>
      <c r="R630" s="1055"/>
      <c r="S630" s="1055"/>
      <c r="T630" s="1055"/>
      <c r="U630" s="1055"/>
      <c r="V630" s="1055"/>
      <c r="W630" s="1055"/>
      <c r="X630" s="1055"/>
    </row>
    <row r="631">
      <c r="D631" s="1075" t="s">
        <v>712</v>
      </c>
      <c r="E631" s="222"/>
      <c r="F631" s="1076"/>
      <c r="G631" s="222"/>
      <c r="H631" s="1055"/>
      <c r="I631" s="1055"/>
      <c r="J631" s="1055"/>
      <c r="K631" s="1055"/>
      <c r="L631" s="1055"/>
      <c r="M631" s="1055"/>
      <c r="O631" s="1075" t="s">
        <v>712</v>
      </c>
      <c r="P631" s="222"/>
      <c r="Q631" s="1076"/>
      <c r="R631" s="222"/>
      <c r="S631" s="1055"/>
      <c r="T631" s="1055"/>
      <c r="U631" s="1055"/>
      <c r="V631" s="1055"/>
      <c r="W631" s="1055"/>
      <c r="X631" s="1055"/>
    </row>
    <row r="632">
      <c r="D632" s="1077" t="s">
        <v>885</v>
      </c>
      <c r="E632" s="222"/>
      <c r="F632" s="1078">
        <v>250.0</v>
      </c>
      <c r="G632" s="222"/>
      <c r="H632" s="1055"/>
      <c r="I632" s="1055"/>
      <c r="J632" s="1055"/>
      <c r="K632" s="1055"/>
      <c r="L632" s="1055"/>
      <c r="M632" s="1055"/>
      <c r="O632" s="1077" t="s">
        <v>1496</v>
      </c>
      <c r="P632" s="222"/>
      <c r="Q632" s="1078">
        <v>250.0</v>
      </c>
      <c r="R632" s="222"/>
      <c r="S632" s="1055"/>
      <c r="T632" s="1055"/>
      <c r="U632" s="1055"/>
      <c r="V632" s="1055"/>
      <c r="W632" s="1055"/>
      <c r="X632" s="1055"/>
    </row>
    <row r="633">
      <c r="D633" s="1077" t="s">
        <v>1496</v>
      </c>
      <c r="E633" s="222"/>
      <c r="F633" s="1078">
        <v>250.0</v>
      </c>
      <c r="G633" s="222"/>
      <c r="H633" s="1055"/>
      <c r="I633" s="163"/>
      <c r="J633" s="163"/>
      <c r="K633" s="163"/>
      <c r="L633" s="163"/>
      <c r="M633" s="163"/>
      <c r="O633" s="1079"/>
      <c r="P633" s="222"/>
      <c r="Q633" s="1076"/>
      <c r="R633" s="222"/>
      <c r="S633" s="1055"/>
      <c r="T633" s="1055"/>
      <c r="U633" s="1055"/>
      <c r="V633" s="1055"/>
      <c r="W633" s="1055"/>
      <c r="X633" s="1055"/>
    </row>
    <row r="634">
      <c r="D634" s="1080" t="s">
        <v>714</v>
      </c>
      <c r="E634" s="222"/>
      <c r="F634" s="1078">
        <f>SUM(F631:G633)</f>
        <v>500</v>
      </c>
      <c r="G634" s="222"/>
      <c r="H634" s="1055"/>
      <c r="I634" s="163"/>
      <c r="J634" s="163"/>
      <c r="K634" s="163"/>
      <c r="L634" s="163"/>
      <c r="M634" s="163"/>
      <c r="O634" s="1079"/>
      <c r="P634" s="222"/>
      <c r="Q634" s="1076"/>
      <c r="R634" s="222"/>
      <c r="S634" s="1055"/>
      <c r="T634" s="1055"/>
      <c r="U634" s="1055"/>
      <c r="V634" s="1055"/>
      <c r="W634" s="1055"/>
      <c r="X634" s="1055"/>
    </row>
    <row r="635">
      <c r="D635" s="1081"/>
      <c r="E635" s="224"/>
      <c r="F635" s="224"/>
      <c r="G635" s="222"/>
      <c r="H635" s="1055"/>
      <c r="I635" s="163"/>
      <c r="J635" s="163"/>
      <c r="K635" s="163"/>
      <c r="L635" s="163"/>
      <c r="M635" s="163"/>
      <c r="O635" s="1079"/>
      <c r="P635" s="222"/>
      <c r="Q635" s="1076"/>
      <c r="R635" s="222"/>
      <c r="S635" s="1055"/>
      <c r="T635" s="1055"/>
      <c r="U635" s="1055"/>
      <c r="V635" s="1055"/>
      <c r="W635" s="1055"/>
      <c r="X635" s="1055"/>
    </row>
    <row r="636">
      <c r="D636" s="1082" t="s">
        <v>715</v>
      </c>
      <c r="E636" s="222"/>
      <c r="F636" s="1083"/>
      <c r="G636" s="222"/>
      <c r="H636" s="1055"/>
      <c r="I636" s="163"/>
      <c r="J636" s="163"/>
      <c r="K636" s="163"/>
      <c r="L636" s="163"/>
      <c r="M636" s="163"/>
      <c r="O636" s="1079"/>
      <c r="P636" s="222"/>
      <c r="Q636" s="1076"/>
      <c r="R636" s="222"/>
      <c r="S636" s="1055"/>
      <c r="T636" s="1055"/>
      <c r="U636" s="1055"/>
      <c r="V636" s="1055"/>
      <c r="W636" s="1055"/>
      <c r="X636" s="1055"/>
    </row>
    <row r="637">
      <c r="D637" s="1090" t="s">
        <v>716</v>
      </c>
      <c r="E637" s="222"/>
      <c r="F637" s="1088">
        <v>150.0</v>
      </c>
      <c r="G637" s="222"/>
      <c r="H637" s="1055"/>
      <c r="I637" s="163"/>
      <c r="J637" s="163"/>
      <c r="K637" s="163"/>
      <c r="L637" s="163"/>
      <c r="M637" s="163"/>
      <c r="O637" s="1080" t="s">
        <v>714</v>
      </c>
      <c r="P637" s="222"/>
      <c r="Q637" s="1078">
        <f>SUM(Q631:R636)</f>
        <v>250</v>
      </c>
      <c r="R637" s="222"/>
      <c r="S637" s="1055"/>
      <c r="T637" s="1055"/>
      <c r="U637" s="1055"/>
      <c r="V637" s="1055"/>
      <c r="W637" s="1055"/>
      <c r="X637" s="1055"/>
    </row>
    <row r="638">
      <c r="D638" s="1090" t="s">
        <v>717</v>
      </c>
      <c r="E638" s="222"/>
      <c r="F638" s="1088">
        <v>400.0</v>
      </c>
      <c r="G638" s="222"/>
      <c r="H638" s="1055"/>
      <c r="I638" s="163"/>
      <c r="J638" s="163"/>
      <c r="K638" s="163"/>
      <c r="L638" s="163"/>
      <c r="M638" s="163"/>
      <c r="O638" s="1055"/>
      <c r="P638" s="1055"/>
      <c r="Q638" s="1055"/>
      <c r="S638" s="1055"/>
      <c r="T638" s="1055"/>
      <c r="U638" s="1055"/>
      <c r="V638" s="1055"/>
      <c r="W638" s="1055"/>
      <c r="X638" s="1055"/>
    </row>
    <row r="639">
      <c r="D639" s="1090" t="s">
        <v>718</v>
      </c>
      <c r="E639" s="222"/>
      <c r="F639" s="1088">
        <v>0.0</v>
      </c>
      <c r="G639" s="222"/>
      <c r="H639" s="1055"/>
      <c r="I639" s="163"/>
      <c r="J639" s="163"/>
      <c r="K639" s="163"/>
      <c r="L639" s="163"/>
      <c r="M639" s="163"/>
      <c r="O639" s="1082" t="s">
        <v>715</v>
      </c>
      <c r="P639" s="222"/>
      <c r="Q639" s="1083"/>
      <c r="R639" s="222"/>
      <c r="S639" s="1055"/>
      <c r="T639" s="1055"/>
      <c r="U639" s="1055"/>
      <c r="V639" s="1055"/>
      <c r="W639" s="1055"/>
      <c r="X639" s="1055"/>
    </row>
    <row r="640">
      <c r="D640" s="1090" t="s">
        <v>656</v>
      </c>
      <c r="E640" s="222"/>
      <c r="F640" s="1088">
        <v>2110.2</v>
      </c>
      <c r="G640" s="222"/>
      <c r="H640" s="1055"/>
      <c r="I640" s="163"/>
      <c r="J640" s="163"/>
      <c r="K640" s="163"/>
      <c r="L640" s="163"/>
      <c r="M640" s="163"/>
      <c r="O640" s="1084"/>
      <c r="P640" s="222"/>
      <c r="Q640" s="1083"/>
      <c r="R640" s="222"/>
      <c r="S640" s="1055"/>
      <c r="T640" s="1055"/>
      <c r="U640" s="1085" t="s">
        <v>1497</v>
      </c>
      <c r="V640" s="211"/>
      <c r="W640" s="1086">
        <f>X629+Q637-Q645</f>
        <v>2317.65</v>
      </c>
      <c r="X640" s="211"/>
    </row>
    <row r="641">
      <c r="D641" s="1084"/>
      <c r="E641" s="222"/>
      <c r="F641" s="1083"/>
      <c r="G641" s="222"/>
      <c r="H641" s="1055"/>
      <c r="I641" s="1055"/>
      <c r="J641" s="1085" t="s">
        <v>1498</v>
      </c>
      <c r="K641" s="211"/>
      <c r="L641" s="1086">
        <f>M629+F634-F646</f>
        <v>3933.8</v>
      </c>
      <c r="M641" s="211"/>
      <c r="O641" s="1084"/>
      <c r="P641" s="222"/>
      <c r="Q641" s="1083"/>
      <c r="R641" s="222"/>
      <c r="S641" s="1055"/>
      <c r="T641" s="1055"/>
      <c r="U641" s="278"/>
      <c r="V641" s="56"/>
      <c r="W641" s="278"/>
      <c r="X641" s="56"/>
    </row>
    <row r="642">
      <c r="D642" s="1084"/>
      <c r="E642" s="222"/>
      <c r="F642" s="1083"/>
      <c r="G642" s="222"/>
      <c r="H642" s="1055"/>
      <c r="I642" s="1055"/>
      <c r="J642" s="278"/>
      <c r="K642" s="56"/>
      <c r="L642" s="278"/>
      <c r="M642" s="56"/>
      <c r="O642" s="1084"/>
      <c r="P642" s="222"/>
      <c r="Q642" s="1083"/>
      <c r="R642" s="222"/>
      <c r="S642" s="1055"/>
      <c r="T642" s="1055"/>
      <c r="U642" s="215"/>
      <c r="V642" s="64"/>
      <c r="W642" s="215"/>
      <c r="X642" s="64"/>
    </row>
    <row r="643">
      <c r="D643" s="1084"/>
      <c r="E643" s="222"/>
      <c r="F643" s="1083"/>
      <c r="G643" s="222"/>
      <c r="H643" s="1055"/>
      <c r="I643" s="1055"/>
      <c r="J643" s="215"/>
      <c r="K643" s="64"/>
      <c r="L643" s="215"/>
      <c r="M643" s="64"/>
      <c r="O643" s="1084"/>
      <c r="P643" s="222"/>
      <c r="Q643" s="1083"/>
      <c r="R643" s="222"/>
      <c r="S643" s="1055"/>
      <c r="T643" s="1055"/>
      <c r="U643" s="1055"/>
      <c r="V643" s="1055"/>
      <c r="W643" s="1055"/>
      <c r="X643" s="1055"/>
    </row>
    <row r="644">
      <c r="D644" s="1084"/>
      <c r="E644" s="222"/>
      <c r="F644" s="1083"/>
      <c r="G644" s="222"/>
      <c r="H644" s="1055"/>
      <c r="I644" s="1055"/>
      <c r="J644" s="1055"/>
      <c r="K644" s="1055"/>
      <c r="L644" s="1055"/>
      <c r="M644" s="1055"/>
      <c r="O644" s="1084"/>
      <c r="P644" s="222"/>
      <c r="Q644" s="1083"/>
      <c r="R644" s="222"/>
      <c r="S644" s="1055"/>
      <c r="T644" s="1055"/>
      <c r="U644" s="1055"/>
      <c r="V644" s="1055"/>
      <c r="W644" s="1055"/>
      <c r="X644" s="1055"/>
    </row>
    <row r="645">
      <c r="D645" s="1084"/>
      <c r="E645" s="222"/>
      <c r="F645" s="1083"/>
      <c r="G645" s="222"/>
      <c r="H645" s="1055"/>
      <c r="I645" s="1055"/>
      <c r="J645" s="1055"/>
      <c r="K645" s="1055"/>
      <c r="L645" s="1055"/>
      <c r="M645" s="1055"/>
      <c r="O645" s="1087" t="s">
        <v>721</v>
      </c>
      <c r="P645" s="222"/>
      <c r="Q645" s="1088">
        <f>SUM(Q639:R644)</f>
        <v>0</v>
      </c>
      <c r="R645" s="222"/>
      <c r="S645" s="1055"/>
      <c r="T645" s="1055"/>
      <c r="U645" s="1055"/>
      <c r="V645" s="1055"/>
      <c r="W645" s="1055"/>
      <c r="X645" s="1055"/>
    </row>
    <row r="646">
      <c r="D646" s="1087" t="s">
        <v>721</v>
      </c>
      <c r="E646" s="222"/>
      <c r="F646" s="1088">
        <f>SUM(F637:G645)</f>
        <v>2660.2</v>
      </c>
      <c r="G646" s="222"/>
      <c r="H646" s="1055"/>
      <c r="I646" s="1055"/>
      <c r="J646" s="1055"/>
      <c r="K646" s="1055"/>
      <c r="L646" s="1055"/>
      <c r="M646" s="1055"/>
    </row>
    <row r="649">
      <c r="D649" s="1055"/>
      <c r="I649" s="1056" t="s">
        <v>700</v>
      </c>
      <c r="J649" s="211"/>
      <c r="K649" s="1057" t="s">
        <v>1493</v>
      </c>
      <c r="L649" s="213"/>
      <c r="M649" s="211"/>
      <c r="O649" s="1055"/>
      <c r="T649" s="1056" t="s">
        <v>700</v>
      </c>
      <c r="U649" s="211"/>
      <c r="V649" s="1057" t="s">
        <v>1493</v>
      </c>
      <c r="W649" s="213"/>
      <c r="X649" s="211"/>
    </row>
    <row r="650">
      <c r="I650" s="215"/>
      <c r="J650" s="64"/>
      <c r="K650" s="215"/>
      <c r="L650" s="216"/>
      <c r="M650" s="64"/>
      <c r="T650" s="215"/>
      <c r="U650" s="64"/>
      <c r="V650" s="215"/>
      <c r="W650" s="216"/>
      <c r="X650" s="64"/>
    </row>
    <row r="651">
      <c r="I651" s="1056" t="s">
        <v>702</v>
      </c>
      <c r="J651" s="211"/>
      <c r="K651" s="1057" t="s">
        <v>825</v>
      </c>
      <c r="L651" s="213"/>
      <c r="M651" s="211"/>
      <c r="T651" s="1056" t="s">
        <v>351</v>
      </c>
      <c r="U651" s="211"/>
      <c r="V651" s="1057" t="s">
        <v>606</v>
      </c>
      <c r="W651" s="213"/>
      <c r="X651" s="211"/>
    </row>
    <row r="652">
      <c r="I652" s="215"/>
      <c r="J652" s="64"/>
      <c r="K652" s="215"/>
      <c r="L652" s="216"/>
      <c r="M652" s="64"/>
      <c r="T652" s="215"/>
      <c r="U652" s="64"/>
      <c r="V652" s="215"/>
      <c r="W652" s="216"/>
      <c r="X652" s="64"/>
    </row>
    <row r="653">
      <c r="I653" s="1056" t="s">
        <v>703</v>
      </c>
      <c r="J653" s="211"/>
      <c r="K653" s="1057">
        <v>3866.0</v>
      </c>
      <c r="L653" s="213"/>
      <c r="M653" s="211"/>
      <c r="T653" s="1056" t="s">
        <v>703</v>
      </c>
      <c r="U653" s="211"/>
      <c r="V653" s="1057">
        <v>3866.0</v>
      </c>
      <c r="W653" s="213"/>
      <c r="X653" s="211"/>
    </row>
    <row r="654">
      <c r="I654" s="215"/>
      <c r="J654" s="64"/>
      <c r="K654" s="215"/>
      <c r="L654" s="216"/>
      <c r="M654" s="64"/>
      <c r="T654" s="215"/>
      <c r="U654" s="64"/>
      <c r="V654" s="215"/>
      <c r="W654" s="216"/>
      <c r="X654" s="64"/>
    </row>
    <row r="655">
      <c r="D655" s="1059" t="s">
        <v>704</v>
      </c>
      <c r="E655" s="222"/>
      <c r="F655" s="1059" t="s">
        <v>5</v>
      </c>
      <c r="G655" s="222"/>
      <c r="H655" s="1059" t="s">
        <v>705</v>
      </c>
      <c r="I655" s="224"/>
      <c r="J655" s="222"/>
      <c r="K655" s="1060" t="s">
        <v>8</v>
      </c>
      <c r="L655" s="1060" t="s">
        <v>706</v>
      </c>
      <c r="M655" s="1060" t="s">
        <v>707</v>
      </c>
      <c r="O655" s="1059" t="s">
        <v>704</v>
      </c>
      <c r="P655" s="222"/>
      <c r="Q655" s="1059" t="s">
        <v>5</v>
      </c>
      <c r="R655" s="222"/>
      <c r="S655" s="1059" t="s">
        <v>705</v>
      </c>
      <c r="T655" s="224"/>
      <c r="U655" s="222"/>
      <c r="V655" s="1060" t="s">
        <v>591</v>
      </c>
      <c r="W655" s="1060" t="s">
        <v>708</v>
      </c>
      <c r="X655" s="1060" t="s">
        <v>707</v>
      </c>
    </row>
    <row r="656">
      <c r="D656" s="1061">
        <v>45985.0</v>
      </c>
      <c r="E656" s="222"/>
      <c r="F656" s="1059" t="s">
        <v>1003</v>
      </c>
      <c r="G656" s="222"/>
      <c r="H656" s="1059" t="s">
        <v>1557</v>
      </c>
      <c r="I656" s="224"/>
      <c r="J656" s="222"/>
      <c r="K656" s="1062">
        <v>849.0</v>
      </c>
      <c r="L656" s="1063">
        <v>0.88</v>
      </c>
      <c r="M656" s="1062">
        <f t="shared" ref="M656:M660" si="42">K656*L656</f>
        <v>747.12</v>
      </c>
      <c r="O656" s="1061">
        <v>45985.0</v>
      </c>
      <c r="P656" s="222"/>
      <c r="Q656" s="1059" t="s">
        <v>1003</v>
      </c>
      <c r="R656" s="222"/>
      <c r="S656" s="1059" t="s">
        <v>1557</v>
      </c>
      <c r="T656" s="224"/>
      <c r="U656" s="222"/>
      <c r="V656" s="1060">
        <v>554.0</v>
      </c>
      <c r="W656" s="1064">
        <v>0.65</v>
      </c>
      <c r="X656" s="1062">
        <f t="shared" ref="X656:X660" si="43">V656*W656</f>
        <v>360.1</v>
      </c>
    </row>
    <row r="657">
      <c r="D657" s="1061">
        <v>45986.0</v>
      </c>
      <c r="E657" s="222"/>
      <c r="F657" s="1059">
        <v>5.35949541E8</v>
      </c>
      <c r="G657" s="222"/>
      <c r="H657" s="1059" t="s">
        <v>1558</v>
      </c>
      <c r="I657" s="224"/>
      <c r="J657" s="222"/>
      <c r="K657" s="1062">
        <v>1700.0</v>
      </c>
      <c r="L657" s="1063">
        <v>0.88</v>
      </c>
      <c r="M657" s="1062">
        <f t="shared" si="42"/>
        <v>1496</v>
      </c>
      <c r="O657" s="1061">
        <v>45986.0</v>
      </c>
      <c r="P657" s="222"/>
      <c r="Q657" s="1059">
        <v>5.35949541E8</v>
      </c>
      <c r="R657" s="222"/>
      <c r="S657" s="1059" t="s">
        <v>1558</v>
      </c>
      <c r="T657" s="224"/>
      <c r="U657" s="222"/>
      <c r="V657" s="1060">
        <v>448.0</v>
      </c>
      <c r="W657" s="1064">
        <v>0.65</v>
      </c>
      <c r="X657" s="1062">
        <f t="shared" si="43"/>
        <v>291.2</v>
      </c>
    </row>
    <row r="658">
      <c r="D658" s="1061">
        <v>45987.0</v>
      </c>
      <c r="E658" s="222"/>
      <c r="F658" s="1059">
        <v>5.36270638E8</v>
      </c>
      <c r="G658" s="222"/>
      <c r="H658" s="1059" t="s">
        <v>1559</v>
      </c>
      <c r="I658" s="224"/>
      <c r="J658" s="222"/>
      <c r="K658" s="1062">
        <v>2800.0</v>
      </c>
      <c r="L658" s="1063">
        <v>0.88</v>
      </c>
      <c r="M658" s="1062">
        <f t="shared" si="42"/>
        <v>2464</v>
      </c>
      <c r="O658" s="1061">
        <v>45987.0</v>
      </c>
      <c r="P658" s="222"/>
      <c r="Q658" s="1059">
        <v>5.36270638E8</v>
      </c>
      <c r="R658" s="222"/>
      <c r="S658" s="1059" t="s">
        <v>1559</v>
      </c>
      <c r="T658" s="224"/>
      <c r="U658" s="222"/>
      <c r="V658" s="1060">
        <v>1970.0</v>
      </c>
      <c r="W658" s="1064">
        <v>0.65</v>
      </c>
      <c r="X658" s="1062">
        <f t="shared" si="43"/>
        <v>1280.5</v>
      </c>
    </row>
    <row r="659">
      <c r="D659" s="1065"/>
      <c r="E659" s="222"/>
      <c r="F659" s="1066"/>
      <c r="G659" s="222"/>
      <c r="H659" s="1066"/>
      <c r="I659" s="224"/>
      <c r="J659" s="222"/>
      <c r="K659" s="1067"/>
      <c r="L659" s="1063">
        <v>0.88</v>
      </c>
      <c r="M659" s="1062">
        <f t="shared" si="42"/>
        <v>0</v>
      </c>
      <c r="O659" s="1065"/>
      <c r="P659" s="222"/>
      <c r="Q659" s="1066"/>
      <c r="R659" s="222"/>
      <c r="S659" s="1066"/>
      <c r="T659" s="224"/>
      <c r="U659" s="222"/>
      <c r="V659" s="1068"/>
      <c r="W659" s="1064">
        <v>0.65</v>
      </c>
      <c r="X659" s="1062">
        <f t="shared" si="43"/>
        <v>0</v>
      </c>
    </row>
    <row r="660">
      <c r="D660" s="1065"/>
      <c r="E660" s="222"/>
      <c r="F660" s="1066"/>
      <c r="G660" s="222"/>
      <c r="H660" s="1066"/>
      <c r="I660" s="224"/>
      <c r="J660" s="222"/>
      <c r="K660" s="1067"/>
      <c r="L660" s="1063">
        <v>0.88</v>
      </c>
      <c r="M660" s="1062">
        <f t="shared" si="42"/>
        <v>0</v>
      </c>
      <c r="O660" s="1065"/>
      <c r="P660" s="222"/>
      <c r="Q660" s="1066"/>
      <c r="R660" s="222"/>
      <c r="S660" s="1066"/>
      <c r="T660" s="224"/>
      <c r="U660" s="222"/>
      <c r="V660" s="1068"/>
      <c r="W660" s="1064">
        <v>0.65</v>
      </c>
      <c r="X660" s="1062">
        <f t="shared" si="43"/>
        <v>0</v>
      </c>
    </row>
    <row r="661">
      <c r="D661" s="1072" t="s">
        <v>711</v>
      </c>
      <c r="E661" s="224"/>
      <c r="F661" s="224"/>
      <c r="G661" s="224"/>
      <c r="H661" s="224"/>
      <c r="I661" s="224"/>
      <c r="J661" s="222"/>
      <c r="K661" s="1073">
        <f>K657+K656+K658+K659+K660</f>
        <v>5349</v>
      </c>
      <c r="L661" s="1069"/>
      <c r="M661" s="1073">
        <f>M657+M656+M658+M659+M660</f>
        <v>4707.12</v>
      </c>
      <c r="O661" s="1066"/>
      <c r="P661" s="222"/>
      <c r="Q661" s="1066"/>
      <c r="R661" s="222"/>
      <c r="S661" s="1066"/>
      <c r="T661" s="224"/>
      <c r="U661" s="222"/>
      <c r="V661" s="1068"/>
      <c r="W661" s="1068"/>
      <c r="X661" s="1067"/>
    </row>
    <row r="662">
      <c r="D662" s="1055"/>
      <c r="E662" s="1055"/>
      <c r="F662" s="1055"/>
      <c r="G662" s="1055"/>
      <c r="H662" s="1055"/>
      <c r="I662" s="1055"/>
      <c r="J662" s="1055"/>
      <c r="K662" s="1055"/>
      <c r="L662" s="1055"/>
      <c r="M662" s="1055"/>
      <c r="O662" s="1072" t="s">
        <v>711</v>
      </c>
      <c r="P662" s="224"/>
      <c r="Q662" s="224"/>
      <c r="R662" s="224"/>
      <c r="S662" s="224"/>
      <c r="T662" s="224"/>
      <c r="U662" s="222"/>
      <c r="V662" s="1060">
        <f>V658+V657+V656+V659+V660+V661</f>
        <v>2972</v>
      </c>
      <c r="W662" s="1074"/>
      <c r="X662" s="1062">
        <f>X658+X657+X656+X659+X660+X661</f>
        <v>1931.8</v>
      </c>
    </row>
    <row r="663">
      <c r="D663" s="1075" t="s">
        <v>712</v>
      </c>
      <c r="E663" s="222"/>
      <c r="F663" s="1076"/>
      <c r="G663" s="222"/>
      <c r="H663" s="1055"/>
      <c r="I663" s="1055"/>
      <c r="J663" s="1055"/>
      <c r="K663" s="1055"/>
      <c r="L663" s="1055"/>
      <c r="M663" s="1055"/>
      <c r="O663" s="1055"/>
      <c r="P663" s="1055"/>
      <c r="Q663" s="1055"/>
      <c r="R663" s="1055"/>
      <c r="S663" s="1055"/>
      <c r="T663" s="1055"/>
      <c r="U663" s="1055"/>
      <c r="V663" s="1055"/>
      <c r="W663" s="1055"/>
      <c r="X663" s="1055"/>
    </row>
    <row r="664">
      <c r="D664" s="1077" t="s">
        <v>1496</v>
      </c>
      <c r="E664" s="222"/>
      <c r="F664" s="1078">
        <v>250.0</v>
      </c>
      <c r="G664" s="222"/>
      <c r="H664" s="1055"/>
      <c r="I664" s="1055"/>
      <c r="J664" s="1055"/>
      <c r="K664" s="1055"/>
      <c r="L664" s="1055"/>
      <c r="M664" s="1055"/>
      <c r="O664" s="1075" t="s">
        <v>712</v>
      </c>
      <c r="P664" s="222"/>
      <c r="Q664" s="1076"/>
      <c r="R664" s="222"/>
      <c r="S664" s="1055"/>
      <c r="T664" s="1055"/>
      <c r="U664" s="1055"/>
      <c r="V664" s="1055"/>
      <c r="W664" s="1055"/>
      <c r="X664" s="1055"/>
    </row>
    <row r="665">
      <c r="D665" s="1079"/>
      <c r="E665" s="222"/>
      <c r="F665" s="1076"/>
      <c r="G665" s="222"/>
      <c r="H665" s="1055"/>
      <c r="I665" s="1055"/>
      <c r="J665" s="1055"/>
      <c r="K665" s="1055"/>
      <c r="L665" s="1055"/>
      <c r="M665" s="1055"/>
      <c r="O665" s="1077" t="s">
        <v>1496</v>
      </c>
      <c r="P665" s="222"/>
      <c r="Q665" s="1078">
        <v>250.0</v>
      </c>
      <c r="R665" s="222"/>
      <c r="S665" s="1055"/>
      <c r="T665" s="1055"/>
      <c r="U665" s="1055"/>
      <c r="V665" s="1055"/>
      <c r="W665" s="1055"/>
      <c r="X665" s="1055"/>
    </row>
    <row r="666">
      <c r="D666" s="1080" t="s">
        <v>714</v>
      </c>
      <c r="E666" s="222"/>
      <c r="F666" s="1078">
        <f>SUM(F663:G665)</f>
        <v>250</v>
      </c>
      <c r="G666" s="222"/>
      <c r="H666" s="1055"/>
      <c r="I666" s="1055"/>
      <c r="J666" s="1055"/>
      <c r="K666" s="1055"/>
      <c r="L666" s="1055"/>
      <c r="M666" s="1055"/>
      <c r="O666" s="1079"/>
      <c r="P666" s="222"/>
      <c r="Q666" s="1076"/>
      <c r="R666" s="222"/>
      <c r="S666" s="1055"/>
      <c r="T666" s="1055"/>
      <c r="U666" s="1055"/>
      <c r="V666" s="1055"/>
      <c r="W666" s="1055"/>
      <c r="X666" s="1055"/>
    </row>
    <row r="667">
      <c r="D667" s="1081"/>
      <c r="E667" s="224"/>
      <c r="F667" s="224"/>
      <c r="G667" s="222"/>
      <c r="H667" s="1055"/>
      <c r="I667" s="1055"/>
      <c r="J667" s="1055"/>
      <c r="K667" s="1055"/>
      <c r="L667" s="1055"/>
      <c r="M667" s="1055"/>
      <c r="O667" s="1079"/>
      <c r="P667" s="222"/>
      <c r="Q667" s="1076"/>
      <c r="R667" s="222"/>
      <c r="S667" s="1055"/>
      <c r="T667" s="1055"/>
      <c r="U667" s="1055"/>
      <c r="V667" s="1055"/>
      <c r="W667" s="1055"/>
      <c r="X667" s="1055"/>
    </row>
    <row r="668">
      <c r="D668" s="1082" t="s">
        <v>715</v>
      </c>
      <c r="E668" s="222"/>
      <c r="F668" s="1084"/>
      <c r="G668" s="222"/>
      <c r="H668" s="1055"/>
      <c r="I668" s="1055"/>
      <c r="J668" s="1055"/>
      <c r="K668" s="1055"/>
      <c r="L668" s="1055"/>
      <c r="M668" s="1055"/>
      <c r="O668" s="1079"/>
      <c r="P668" s="222"/>
      <c r="Q668" s="1076"/>
      <c r="R668" s="222"/>
      <c r="S668" s="1055"/>
      <c r="T668" s="1055"/>
      <c r="U668" s="1055"/>
      <c r="V668" s="1055"/>
      <c r="W668" s="1055"/>
      <c r="X668" s="1055"/>
    </row>
    <row r="669">
      <c r="D669" s="1090" t="s">
        <v>716</v>
      </c>
      <c r="E669" s="222"/>
      <c r="F669" s="1088">
        <v>100.0</v>
      </c>
      <c r="G669" s="222"/>
      <c r="H669" s="1055"/>
      <c r="I669" s="1055"/>
      <c r="J669" s="1055"/>
      <c r="K669" s="1055"/>
      <c r="L669" s="1055"/>
      <c r="M669" s="1055"/>
      <c r="O669" s="1079"/>
      <c r="P669" s="222"/>
      <c r="Q669" s="1076"/>
      <c r="R669" s="222"/>
      <c r="S669" s="1055"/>
      <c r="T669" s="1055"/>
      <c r="U669" s="1055"/>
      <c r="V669" s="1055"/>
      <c r="W669" s="1055"/>
      <c r="X669" s="1055"/>
    </row>
    <row r="670">
      <c r="D670" s="1090" t="s">
        <v>717</v>
      </c>
      <c r="E670" s="222"/>
      <c r="F670" s="1088">
        <v>400.0</v>
      </c>
      <c r="G670" s="222"/>
      <c r="H670" s="1055"/>
      <c r="I670" s="1055"/>
      <c r="J670" s="1055"/>
      <c r="K670" s="1055"/>
      <c r="L670" s="1055"/>
      <c r="M670" s="1055"/>
      <c r="O670" s="1080" t="s">
        <v>714</v>
      </c>
      <c r="P670" s="222"/>
      <c r="Q670" s="1078">
        <f>SUM(Q664:R669)</f>
        <v>250</v>
      </c>
      <c r="R670" s="222"/>
      <c r="S670" s="1055"/>
      <c r="T670" s="1055"/>
      <c r="U670" s="1055"/>
      <c r="V670" s="1055"/>
      <c r="W670" s="1055"/>
      <c r="X670" s="1055"/>
    </row>
    <row r="671">
      <c r="D671" s="1090" t="s">
        <v>718</v>
      </c>
      <c r="E671" s="222"/>
      <c r="F671" s="1088">
        <v>200.0</v>
      </c>
      <c r="G671" s="222"/>
      <c r="H671" s="1055"/>
      <c r="I671" s="1055"/>
      <c r="J671" s="1055"/>
      <c r="K671" s="1055"/>
      <c r="L671" s="1055"/>
      <c r="M671" s="1055"/>
      <c r="O671" s="1055"/>
      <c r="P671" s="1055"/>
      <c r="Q671" s="1055"/>
      <c r="S671" s="1055"/>
      <c r="T671" s="1055"/>
      <c r="U671" s="1055"/>
      <c r="V671" s="1055"/>
      <c r="W671" s="1055"/>
      <c r="X671" s="1055"/>
    </row>
    <row r="672">
      <c r="D672" s="1090" t="s">
        <v>656</v>
      </c>
      <c r="E672" s="222"/>
      <c r="F672" s="1088">
        <v>2085.26</v>
      </c>
      <c r="G672" s="222"/>
      <c r="H672" s="1055"/>
      <c r="I672" s="1055"/>
      <c r="J672" s="1055"/>
      <c r="K672" s="1055"/>
      <c r="L672" s="1055"/>
      <c r="M672" s="1055"/>
      <c r="O672" s="1082" t="s">
        <v>715</v>
      </c>
      <c r="P672" s="222"/>
      <c r="Q672" s="1083"/>
      <c r="R672" s="222"/>
      <c r="S672" s="1055"/>
      <c r="T672" s="1055"/>
      <c r="U672" s="1055"/>
      <c r="V672" s="1055"/>
      <c r="W672" s="1055"/>
      <c r="X672" s="1055"/>
    </row>
    <row r="673">
      <c r="D673" s="1090" t="s">
        <v>1560</v>
      </c>
      <c r="E673" s="222"/>
      <c r="F673" s="1088">
        <v>90.52</v>
      </c>
      <c r="G673" s="222"/>
      <c r="H673" s="1055"/>
      <c r="I673" s="1055"/>
      <c r="J673" s="1085" t="s">
        <v>1498</v>
      </c>
      <c r="K673" s="211"/>
      <c r="L673" s="1086">
        <f>M661+F666-F677</f>
        <v>1612.15</v>
      </c>
      <c r="M673" s="211"/>
      <c r="O673" s="1084"/>
      <c r="P673" s="222"/>
      <c r="Q673" s="1083"/>
      <c r="R673" s="222"/>
      <c r="S673" s="1055"/>
      <c r="T673" s="1055"/>
      <c r="U673" s="1085" t="s">
        <v>1497</v>
      </c>
      <c r="V673" s="211"/>
      <c r="W673" s="1086">
        <f>X662+Q670-Q678</f>
        <v>2181.8</v>
      </c>
      <c r="X673" s="211"/>
    </row>
    <row r="674">
      <c r="D674" s="1090" t="s">
        <v>807</v>
      </c>
      <c r="E674" s="222"/>
      <c r="F674" s="1088">
        <v>469.19</v>
      </c>
      <c r="G674" s="222"/>
      <c r="H674" s="1055"/>
      <c r="I674" s="1055"/>
      <c r="J674" s="278"/>
      <c r="K674" s="56"/>
      <c r="L674" s="278"/>
      <c r="M674" s="56"/>
      <c r="O674" s="1084"/>
      <c r="P674" s="222"/>
      <c r="Q674" s="1083"/>
      <c r="R674" s="222"/>
      <c r="S674" s="1055"/>
      <c r="T674" s="1055"/>
      <c r="U674" s="278"/>
      <c r="V674" s="56"/>
      <c r="W674" s="278"/>
      <c r="X674" s="56"/>
    </row>
    <row r="675">
      <c r="D675" s="1084"/>
      <c r="E675" s="222"/>
      <c r="F675" s="1083"/>
      <c r="G675" s="222"/>
      <c r="H675" s="1055"/>
      <c r="I675" s="1055"/>
      <c r="J675" s="215"/>
      <c r="K675" s="64"/>
      <c r="L675" s="215"/>
      <c r="M675" s="64"/>
      <c r="O675" s="1084"/>
      <c r="P675" s="222"/>
      <c r="Q675" s="1083"/>
      <c r="R675" s="222"/>
      <c r="S675" s="1055"/>
      <c r="T675" s="1055"/>
      <c r="U675" s="215"/>
      <c r="V675" s="64"/>
      <c r="W675" s="215"/>
      <c r="X675" s="64"/>
    </row>
    <row r="676">
      <c r="D676" s="1084"/>
      <c r="E676" s="222"/>
      <c r="F676" s="1083"/>
      <c r="G676" s="222"/>
      <c r="H676" s="1055"/>
      <c r="I676" s="1055"/>
      <c r="J676" s="1055"/>
      <c r="K676" s="1055"/>
      <c r="L676" s="1055"/>
      <c r="M676" s="1055"/>
      <c r="O676" s="1084"/>
      <c r="P676" s="222"/>
      <c r="Q676" s="1083"/>
      <c r="R676" s="222"/>
      <c r="S676" s="1055"/>
      <c r="T676" s="1055"/>
      <c r="U676" s="1055"/>
      <c r="V676" s="1055"/>
      <c r="W676" s="1055"/>
      <c r="X676" s="1055"/>
    </row>
    <row r="677">
      <c r="D677" s="1087" t="s">
        <v>721</v>
      </c>
      <c r="E677" s="222"/>
      <c r="F677" s="1088">
        <f>SUM(F669:G676)</f>
        <v>3344.97</v>
      </c>
      <c r="G677" s="222"/>
      <c r="H677" s="1055"/>
      <c r="I677" s="1055"/>
      <c r="J677" s="1055"/>
      <c r="K677" s="1055"/>
      <c r="L677" s="1055"/>
      <c r="M677" s="1055"/>
      <c r="O677" s="1084"/>
      <c r="P677" s="222"/>
      <c r="Q677" s="1083"/>
      <c r="R677" s="222"/>
      <c r="S677" s="1055"/>
      <c r="T677" s="1055"/>
      <c r="U677" s="1055"/>
      <c r="V677" s="1055"/>
      <c r="W677" s="1055"/>
      <c r="X677" s="1055"/>
    </row>
    <row r="678">
      <c r="O678" s="1087" t="s">
        <v>721</v>
      </c>
      <c r="P678" s="222"/>
      <c r="Q678" s="1088">
        <f>SUM(Q672:R677)</f>
        <v>0</v>
      </c>
      <c r="R678" s="222"/>
      <c r="S678" s="1055"/>
      <c r="T678" s="1055"/>
      <c r="U678" s="1055"/>
      <c r="V678" s="1055"/>
      <c r="W678" s="1055"/>
      <c r="X678" s="1055"/>
    </row>
    <row r="681">
      <c r="D681" s="1055"/>
      <c r="I681" s="1056" t="s">
        <v>700</v>
      </c>
      <c r="J681" s="211"/>
      <c r="K681" s="1057" t="s">
        <v>1493</v>
      </c>
      <c r="L681" s="213"/>
      <c r="M681" s="211"/>
      <c r="O681" s="1055"/>
      <c r="T681" s="1056" t="s">
        <v>700</v>
      </c>
      <c r="U681" s="211"/>
      <c r="V681" s="1057" t="s">
        <v>1493</v>
      </c>
      <c r="W681" s="213"/>
      <c r="X681" s="211"/>
    </row>
    <row r="682">
      <c r="I682" s="215"/>
      <c r="J682" s="64"/>
      <c r="K682" s="215"/>
      <c r="L682" s="216"/>
      <c r="M682" s="64"/>
      <c r="T682" s="215"/>
      <c r="U682" s="64"/>
      <c r="V682" s="215"/>
      <c r="W682" s="216"/>
      <c r="X682" s="64"/>
    </row>
    <row r="683">
      <c r="I683" s="1056" t="s">
        <v>702</v>
      </c>
      <c r="J683" s="211"/>
      <c r="K683" s="1057" t="s">
        <v>750</v>
      </c>
      <c r="L683" s="213"/>
      <c r="M683" s="211"/>
      <c r="T683" s="1056" t="s">
        <v>351</v>
      </c>
      <c r="U683" s="211"/>
      <c r="V683" s="1057" t="s">
        <v>592</v>
      </c>
      <c r="W683" s="213"/>
      <c r="X683" s="211"/>
    </row>
    <row r="684">
      <c r="I684" s="215"/>
      <c r="J684" s="64"/>
      <c r="K684" s="215"/>
      <c r="L684" s="216"/>
      <c r="M684" s="64"/>
      <c r="T684" s="215"/>
      <c r="U684" s="64"/>
      <c r="V684" s="215"/>
      <c r="W684" s="216"/>
      <c r="X684" s="64"/>
    </row>
    <row r="685">
      <c r="I685" s="1056" t="s">
        <v>703</v>
      </c>
      <c r="J685" s="211"/>
      <c r="K685" s="1057">
        <v>2675.0</v>
      </c>
      <c r="L685" s="213"/>
      <c r="M685" s="211"/>
      <c r="T685" s="1056" t="s">
        <v>703</v>
      </c>
      <c r="U685" s="211"/>
      <c r="V685" s="1057">
        <v>2675.0</v>
      </c>
      <c r="W685" s="213"/>
      <c r="X685" s="211"/>
    </row>
    <row r="686">
      <c r="I686" s="215"/>
      <c r="J686" s="64"/>
      <c r="K686" s="215"/>
      <c r="L686" s="216"/>
      <c r="M686" s="64"/>
      <c r="T686" s="215"/>
      <c r="U686" s="64"/>
      <c r="V686" s="215"/>
      <c r="W686" s="216"/>
      <c r="X686" s="64"/>
    </row>
    <row r="687">
      <c r="D687" s="1059" t="s">
        <v>704</v>
      </c>
      <c r="E687" s="222"/>
      <c r="F687" s="1059" t="s">
        <v>5</v>
      </c>
      <c r="G687" s="222"/>
      <c r="H687" s="1059" t="s">
        <v>705</v>
      </c>
      <c r="I687" s="224"/>
      <c r="J687" s="222"/>
      <c r="K687" s="1060" t="s">
        <v>8</v>
      </c>
      <c r="L687" s="1060" t="s">
        <v>706</v>
      </c>
      <c r="M687" s="1060" t="s">
        <v>707</v>
      </c>
      <c r="O687" s="1059" t="s">
        <v>704</v>
      </c>
      <c r="P687" s="222"/>
      <c r="Q687" s="1059" t="s">
        <v>5</v>
      </c>
      <c r="R687" s="222"/>
      <c r="S687" s="1059" t="s">
        <v>705</v>
      </c>
      <c r="T687" s="224"/>
      <c r="U687" s="222"/>
      <c r="V687" s="1060" t="s">
        <v>591</v>
      </c>
      <c r="W687" s="1060" t="s">
        <v>708</v>
      </c>
      <c r="X687" s="1060" t="s">
        <v>707</v>
      </c>
    </row>
    <row r="688">
      <c r="D688" s="1061">
        <v>45985.0</v>
      </c>
      <c r="E688" s="222"/>
      <c r="F688" s="1059">
        <v>4.0115064E7</v>
      </c>
      <c r="G688" s="222"/>
      <c r="H688" s="1059" t="s">
        <v>1561</v>
      </c>
      <c r="I688" s="224"/>
      <c r="J688" s="222"/>
      <c r="K688" s="1062">
        <v>1200.0</v>
      </c>
      <c r="L688" s="1063">
        <v>0.88</v>
      </c>
      <c r="M688" s="1062">
        <f t="shared" ref="M688:M692" si="44">K688*88/100</f>
        <v>1056</v>
      </c>
      <c r="O688" s="1061">
        <v>45985.0</v>
      </c>
      <c r="P688" s="222"/>
      <c r="Q688" s="1059">
        <v>4.0115064E7</v>
      </c>
      <c r="R688" s="222"/>
      <c r="S688" s="1059" t="s">
        <v>1561</v>
      </c>
      <c r="T688" s="224"/>
      <c r="U688" s="222"/>
      <c r="V688" s="1060">
        <v>598.0</v>
      </c>
      <c r="W688" s="1064">
        <v>0.65</v>
      </c>
      <c r="X688" s="1062">
        <f t="shared" ref="X688:X692" si="45">V688*W688</f>
        <v>388.7</v>
      </c>
    </row>
    <row r="689">
      <c r="D689" s="1061">
        <v>45986.0</v>
      </c>
      <c r="E689" s="222"/>
      <c r="F689" s="1089" t="s">
        <v>1562</v>
      </c>
      <c r="G689" s="222"/>
      <c r="H689" s="1059" t="s">
        <v>1563</v>
      </c>
      <c r="I689" s="224"/>
      <c r="J689" s="222"/>
      <c r="K689" s="1062">
        <v>1800.0</v>
      </c>
      <c r="L689" s="1063">
        <v>0.88</v>
      </c>
      <c r="M689" s="1062">
        <f t="shared" si="44"/>
        <v>1584</v>
      </c>
      <c r="O689" s="1061">
        <v>45986.0</v>
      </c>
      <c r="P689" s="222"/>
      <c r="Q689" s="1089" t="s">
        <v>1562</v>
      </c>
      <c r="R689" s="222"/>
      <c r="S689" s="1059" t="s">
        <v>1563</v>
      </c>
      <c r="T689" s="224"/>
      <c r="U689" s="222"/>
      <c r="V689" s="1060">
        <v>434.0</v>
      </c>
      <c r="W689" s="1064">
        <v>0.65</v>
      </c>
      <c r="X689" s="1062">
        <f t="shared" si="45"/>
        <v>282.1</v>
      </c>
    </row>
    <row r="690">
      <c r="D690" s="1061">
        <v>45987.0</v>
      </c>
      <c r="E690" s="222"/>
      <c r="F690" s="1059" t="s">
        <v>1113</v>
      </c>
      <c r="G690" s="222"/>
      <c r="H690" s="1059" t="s">
        <v>1564</v>
      </c>
      <c r="I690" s="224"/>
      <c r="J690" s="222"/>
      <c r="K690" s="1062">
        <v>1200.0</v>
      </c>
      <c r="L690" s="1063">
        <v>0.88</v>
      </c>
      <c r="M690" s="1062">
        <f t="shared" si="44"/>
        <v>1056</v>
      </c>
      <c r="O690" s="1061">
        <v>45987.0</v>
      </c>
      <c r="P690" s="222"/>
      <c r="Q690" s="1059" t="s">
        <v>1113</v>
      </c>
      <c r="R690" s="222"/>
      <c r="S690" s="1059" t="s">
        <v>1564</v>
      </c>
      <c r="T690" s="224"/>
      <c r="U690" s="222"/>
      <c r="V690" s="1060">
        <v>429.0</v>
      </c>
      <c r="W690" s="1064">
        <v>0.65</v>
      </c>
      <c r="X690" s="1062">
        <f t="shared" si="45"/>
        <v>278.85</v>
      </c>
    </row>
    <row r="691">
      <c r="D691" s="1061">
        <v>45989.0</v>
      </c>
      <c r="E691" s="222"/>
      <c r="F691" s="1059">
        <v>14256.0</v>
      </c>
      <c r="G691" s="222"/>
      <c r="H691" s="1059" t="s">
        <v>1565</v>
      </c>
      <c r="I691" s="224"/>
      <c r="J691" s="222"/>
      <c r="K691" s="1062">
        <v>700.0</v>
      </c>
      <c r="L691" s="1063">
        <v>0.88</v>
      </c>
      <c r="M691" s="1062">
        <f t="shared" si="44"/>
        <v>616</v>
      </c>
      <c r="O691" s="1061">
        <v>45989.0</v>
      </c>
      <c r="P691" s="222"/>
      <c r="Q691" s="1059">
        <v>14256.0</v>
      </c>
      <c r="R691" s="222"/>
      <c r="S691" s="1059" t="s">
        <v>1565</v>
      </c>
      <c r="T691" s="224"/>
      <c r="U691" s="222"/>
      <c r="V691" s="1060">
        <v>680.0</v>
      </c>
      <c r="W691" s="1064">
        <v>0.65</v>
      </c>
      <c r="X691" s="1062">
        <f t="shared" si="45"/>
        <v>442</v>
      </c>
    </row>
    <row r="692">
      <c r="D692" s="1061">
        <v>45990.0</v>
      </c>
      <c r="E692" s="222"/>
      <c r="F692" s="1059">
        <v>12639.0</v>
      </c>
      <c r="G692" s="222"/>
      <c r="H692" s="1059" t="s">
        <v>1566</v>
      </c>
      <c r="I692" s="224"/>
      <c r="J692" s="222"/>
      <c r="K692" s="1062">
        <v>3000.0</v>
      </c>
      <c r="L692" s="1063">
        <v>0.88</v>
      </c>
      <c r="M692" s="1062">
        <f t="shared" si="44"/>
        <v>2640</v>
      </c>
      <c r="O692" s="1061">
        <v>45990.0</v>
      </c>
      <c r="P692" s="222"/>
      <c r="Q692" s="1059">
        <v>12639.0</v>
      </c>
      <c r="R692" s="222"/>
      <c r="S692" s="1059" t="s">
        <v>1566</v>
      </c>
      <c r="T692" s="224"/>
      <c r="U692" s="222"/>
      <c r="V692" s="1060">
        <v>1207.0</v>
      </c>
      <c r="W692" s="1064">
        <v>0.65</v>
      </c>
      <c r="X692" s="1062">
        <f t="shared" si="45"/>
        <v>784.55</v>
      </c>
    </row>
    <row r="693">
      <c r="D693" s="1072" t="s">
        <v>711</v>
      </c>
      <c r="E693" s="224"/>
      <c r="F693" s="224"/>
      <c r="G693" s="224"/>
      <c r="H693" s="224"/>
      <c r="I693" s="224"/>
      <c r="J693" s="222"/>
      <c r="K693" s="1073">
        <f>SUM(K688:K692)</f>
        <v>7900</v>
      </c>
      <c r="L693" s="1069"/>
      <c r="M693" s="1073">
        <f>SUM(M688:M692)</f>
        <v>6952</v>
      </c>
      <c r="O693" s="1066"/>
      <c r="P693" s="222"/>
      <c r="Q693" s="1066"/>
      <c r="R693" s="222"/>
      <c r="S693" s="1066"/>
      <c r="T693" s="224"/>
      <c r="U693" s="222"/>
      <c r="V693" s="1068"/>
      <c r="W693" s="1068"/>
      <c r="X693" s="1067"/>
    </row>
    <row r="694">
      <c r="D694" s="1055"/>
      <c r="E694" s="1055"/>
      <c r="F694" s="1055"/>
      <c r="G694" s="1055"/>
      <c r="H694" s="1055"/>
      <c r="I694" s="1055"/>
      <c r="J694" s="1055"/>
      <c r="K694" s="1055"/>
      <c r="L694" s="1055"/>
      <c r="M694" s="1055"/>
      <c r="O694" s="1072" t="s">
        <v>711</v>
      </c>
      <c r="P694" s="224"/>
      <c r="Q694" s="224"/>
      <c r="R694" s="224"/>
      <c r="S694" s="224"/>
      <c r="T694" s="224"/>
      <c r="U694" s="222"/>
      <c r="V694" s="1060">
        <f>SUM(V688:V693)</f>
        <v>3348</v>
      </c>
      <c r="W694" s="1074"/>
      <c r="X694" s="1062">
        <f>X690+X689+X688+X691+X692+X693</f>
        <v>2176.2</v>
      </c>
    </row>
    <row r="695">
      <c r="D695" s="1075" t="s">
        <v>712</v>
      </c>
      <c r="E695" s="222"/>
      <c r="F695" s="1076"/>
      <c r="G695" s="222"/>
      <c r="H695" s="1055"/>
      <c r="I695" s="1055"/>
      <c r="J695" s="1055"/>
      <c r="K695" s="1055"/>
      <c r="L695" s="1055"/>
      <c r="M695" s="1055"/>
      <c r="O695" s="1055"/>
      <c r="P695" s="1055"/>
      <c r="Q695" s="1055"/>
      <c r="R695" s="1055"/>
      <c r="S695" s="1055"/>
      <c r="T695" s="1055"/>
      <c r="U695" s="1055"/>
      <c r="V695" s="1055"/>
      <c r="W695" s="1055"/>
      <c r="X695" s="1055"/>
    </row>
    <row r="696">
      <c r="D696" s="1077" t="s">
        <v>1496</v>
      </c>
      <c r="E696" s="222"/>
      <c r="F696" s="1078">
        <v>250.0</v>
      </c>
      <c r="G696" s="222"/>
      <c r="H696" s="1055"/>
      <c r="I696" s="1055"/>
      <c r="J696" s="1055"/>
      <c r="K696" s="1055"/>
      <c r="L696" s="1055"/>
      <c r="M696" s="1055"/>
      <c r="O696" s="1075" t="s">
        <v>712</v>
      </c>
      <c r="P696" s="222"/>
      <c r="Q696" s="1076"/>
      <c r="R696" s="222"/>
      <c r="S696" s="1055"/>
      <c r="T696" s="1055"/>
      <c r="U696" s="1055"/>
      <c r="V696" s="1055"/>
      <c r="W696" s="1055"/>
      <c r="X696" s="1055"/>
    </row>
    <row r="697">
      <c r="D697" s="1079"/>
      <c r="E697" s="222"/>
      <c r="F697" s="1076"/>
      <c r="G697" s="222"/>
      <c r="H697" s="1055"/>
      <c r="I697" s="1055"/>
      <c r="J697" s="163"/>
      <c r="K697" s="163"/>
      <c r="L697" s="163"/>
      <c r="M697" s="163"/>
      <c r="O697" s="1077" t="s">
        <v>1496</v>
      </c>
      <c r="P697" s="222"/>
      <c r="Q697" s="1078">
        <v>250.0</v>
      </c>
      <c r="R697" s="222"/>
      <c r="S697" s="1055"/>
      <c r="T697" s="1055"/>
      <c r="U697" s="1055"/>
      <c r="V697" s="1055"/>
      <c r="W697" s="1055"/>
      <c r="X697" s="1055"/>
    </row>
    <row r="698">
      <c r="D698" s="1080" t="s">
        <v>714</v>
      </c>
      <c r="E698" s="222"/>
      <c r="F698" s="1078">
        <f>SUM(F695:G697)</f>
        <v>250</v>
      </c>
      <c r="G698" s="222"/>
      <c r="H698" s="1055"/>
      <c r="I698" s="1055"/>
      <c r="J698" s="163"/>
      <c r="K698" s="163"/>
      <c r="L698" s="163"/>
      <c r="M698" s="163"/>
      <c r="O698" s="1079"/>
      <c r="P698" s="222"/>
      <c r="Q698" s="1076"/>
      <c r="R698" s="222"/>
      <c r="S698" s="1055"/>
      <c r="T698" s="1055"/>
      <c r="U698" s="1055"/>
      <c r="V698" s="1055"/>
      <c r="W698" s="1055"/>
      <c r="X698" s="1055"/>
    </row>
    <row r="699">
      <c r="D699" s="1081"/>
      <c r="E699" s="224"/>
      <c r="F699" s="224"/>
      <c r="G699" s="222"/>
      <c r="H699" s="1055"/>
      <c r="I699" s="1055"/>
      <c r="J699" s="163"/>
      <c r="K699" s="163"/>
      <c r="L699" s="163"/>
      <c r="M699" s="163"/>
      <c r="O699" s="1079"/>
      <c r="P699" s="222"/>
      <c r="Q699" s="1076"/>
      <c r="R699" s="222"/>
      <c r="S699" s="1055"/>
      <c r="T699" s="1055"/>
      <c r="U699" s="1055"/>
      <c r="V699" s="1055"/>
      <c r="W699" s="1055"/>
      <c r="X699" s="1055"/>
    </row>
    <row r="700">
      <c r="D700" s="1082" t="s">
        <v>715</v>
      </c>
      <c r="E700" s="222"/>
      <c r="F700" s="1084"/>
      <c r="G700" s="222"/>
      <c r="H700" s="1055"/>
      <c r="I700" s="1055"/>
      <c r="J700" s="163"/>
      <c r="K700" s="163"/>
      <c r="L700" s="163"/>
      <c r="M700" s="163"/>
      <c r="O700" s="1079"/>
      <c r="P700" s="222"/>
      <c r="Q700" s="1076"/>
      <c r="R700" s="222"/>
      <c r="S700" s="1055"/>
      <c r="T700" s="1055"/>
      <c r="U700" s="1055"/>
      <c r="V700" s="1055"/>
      <c r="W700" s="1055"/>
      <c r="X700" s="1055"/>
    </row>
    <row r="701">
      <c r="D701" s="1090" t="s">
        <v>716</v>
      </c>
      <c r="E701" s="222"/>
      <c r="F701" s="1088">
        <v>100.0</v>
      </c>
      <c r="G701" s="222"/>
      <c r="H701" s="1055"/>
      <c r="I701" s="1055"/>
      <c r="J701" s="163"/>
      <c r="K701" s="163"/>
      <c r="L701" s="163"/>
      <c r="M701" s="163"/>
      <c r="O701" s="1079"/>
      <c r="P701" s="222"/>
      <c r="Q701" s="1076"/>
      <c r="R701" s="222"/>
      <c r="S701" s="1055"/>
      <c r="T701" s="1055"/>
      <c r="U701" s="1055"/>
      <c r="V701" s="1055"/>
      <c r="W701" s="1055"/>
      <c r="X701" s="1055"/>
    </row>
    <row r="702">
      <c r="D702" s="1090" t="s">
        <v>717</v>
      </c>
      <c r="E702" s="222"/>
      <c r="F702" s="1088">
        <v>400.0</v>
      </c>
      <c r="G702" s="222"/>
      <c r="H702" s="1055"/>
      <c r="I702" s="1055"/>
      <c r="J702" s="163"/>
      <c r="K702" s="163"/>
      <c r="L702" s="163"/>
      <c r="M702" s="163"/>
      <c r="O702" s="1080" t="s">
        <v>714</v>
      </c>
      <c r="P702" s="222"/>
      <c r="Q702" s="1078">
        <f>SUM(Q696:R701)</f>
        <v>250</v>
      </c>
      <c r="R702" s="222"/>
      <c r="S702" s="1055"/>
      <c r="T702" s="1055"/>
      <c r="U702" s="1055"/>
      <c r="V702" s="1055"/>
      <c r="W702" s="1055"/>
      <c r="X702" s="1055"/>
    </row>
    <row r="703">
      <c r="D703" s="1090" t="s">
        <v>718</v>
      </c>
      <c r="E703" s="222"/>
      <c r="F703" s="1088">
        <v>200.0</v>
      </c>
      <c r="G703" s="222"/>
      <c r="H703" s="1055"/>
      <c r="I703" s="1055"/>
      <c r="J703" s="163"/>
      <c r="K703" s="163"/>
      <c r="L703" s="163"/>
      <c r="M703" s="163"/>
      <c r="O703" s="1055"/>
      <c r="P703" s="1055"/>
      <c r="Q703" s="1055"/>
      <c r="S703" s="1055"/>
      <c r="T703" s="1055"/>
      <c r="U703" s="1055"/>
      <c r="V703" s="1055"/>
      <c r="W703" s="1055"/>
      <c r="X703" s="1055"/>
    </row>
    <row r="704">
      <c r="D704" s="1090" t="s">
        <v>656</v>
      </c>
      <c r="E704" s="222"/>
      <c r="F704" s="1088">
        <v>2610.76</v>
      </c>
      <c r="G704" s="222"/>
      <c r="H704" s="1055"/>
      <c r="I704" s="1055"/>
      <c r="J704" s="163"/>
      <c r="K704" s="163"/>
      <c r="L704" s="163"/>
      <c r="M704" s="163"/>
      <c r="O704" s="1082" t="s">
        <v>715</v>
      </c>
      <c r="P704" s="222"/>
      <c r="Q704" s="1083"/>
      <c r="R704" s="222"/>
      <c r="S704" s="1055"/>
      <c r="T704" s="1055"/>
      <c r="U704" s="1055"/>
      <c r="V704" s="1055"/>
      <c r="W704" s="1055"/>
      <c r="X704" s="1055"/>
    </row>
    <row r="705">
      <c r="D705" s="1090" t="s">
        <v>1567</v>
      </c>
      <c r="E705" s="222"/>
      <c r="F705" s="1088">
        <v>654.08</v>
      </c>
      <c r="G705" s="222"/>
      <c r="H705" s="1055"/>
      <c r="I705" s="1055"/>
      <c r="J705" s="1085" t="s">
        <v>1498</v>
      </c>
      <c r="K705" s="211"/>
      <c r="L705" s="1086">
        <f>M693+F698-F710</f>
        <v>3187.16</v>
      </c>
      <c r="M705" s="211"/>
      <c r="O705" s="1084"/>
      <c r="P705" s="222"/>
      <c r="Q705" s="1083"/>
      <c r="R705" s="222"/>
      <c r="S705" s="1055"/>
      <c r="T705" s="1055"/>
      <c r="U705" s="1085" t="s">
        <v>1497</v>
      </c>
      <c r="V705" s="211"/>
      <c r="W705" s="1086">
        <f>X694+Q702-Q710</f>
        <v>2426.2</v>
      </c>
      <c r="X705" s="211"/>
    </row>
    <row r="706">
      <c r="D706" s="1090" t="s">
        <v>1213</v>
      </c>
      <c r="E706" s="222"/>
      <c r="F706" s="1088">
        <v>50.0</v>
      </c>
      <c r="G706" s="222"/>
      <c r="H706" s="1055"/>
      <c r="I706" s="1055"/>
      <c r="J706" s="278"/>
      <c r="K706" s="56"/>
      <c r="L706" s="278"/>
      <c r="M706" s="56"/>
      <c r="O706" s="1084"/>
      <c r="P706" s="222"/>
      <c r="Q706" s="1083"/>
      <c r="R706" s="222"/>
      <c r="S706" s="1055"/>
      <c r="T706" s="1055"/>
      <c r="U706" s="278"/>
      <c r="V706" s="56"/>
      <c r="W706" s="278"/>
      <c r="X706" s="56"/>
    </row>
    <row r="707">
      <c r="D707" s="1084"/>
      <c r="E707" s="222"/>
      <c r="F707" s="1083"/>
      <c r="G707" s="222"/>
      <c r="H707" s="1055"/>
      <c r="I707" s="1055"/>
      <c r="J707" s="215"/>
      <c r="K707" s="64"/>
      <c r="L707" s="215"/>
      <c r="M707" s="64"/>
      <c r="O707" s="1084"/>
      <c r="P707" s="222"/>
      <c r="Q707" s="1083"/>
      <c r="R707" s="222"/>
      <c r="S707" s="1055"/>
      <c r="T707" s="1055"/>
      <c r="U707" s="215"/>
      <c r="V707" s="64"/>
      <c r="W707" s="215"/>
      <c r="X707" s="64"/>
    </row>
    <row r="708">
      <c r="D708" s="1084"/>
      <c r="E708" s="222"/>
      <c r="F708" s="1083"/>
      <c r="G708" s="222"/>
      <c r="H708" s="1055"/>
      <c r="I708" s="1055"/>
      <c r="J708" s="1055"/>
      <c r="K708" s="1055"/>
      <c r="L708" s="1055"/>
      <c r="M708" s="1055"/>
      <c r="O708" s="1084"/>
      <c r="P708" s="222"/>
      <c r="Q708" s="1083"/>
      <c r="R708" s="222"/>
      <c r="S708" s="1055"/>
      <c r="T708" s="1055"/>
      <c r="U708" s="1055"/>
      <c r="V708" s="1055"/>
      <c r="W708" s="1055"/>
      <c r="X708" s="1055"/>
    </row>
    <row r="709">
      <c r="D709" s="1084"/>
      <c r="E709" s="222"/>
      <c r="F709" s="1083"/>
      <c r="G709" s="222"/>
      <c r="H709" s="1055"/>
      <c r="I709" s="1055"/>
      <c r="J709" s="1055"/>
      <c r="K709" s="1055"/>
      <c r="L709" s="1055"/>
      <c r="M709" s="1055"/>
      <c r="O709" s="1084"/>
      <c r="P709" s="222"/>
      <c r="Q709" s="1083"/>
      <c r="R709" s="222"/>
      <c r="S709" s="1055"/>
      <c r="T709" s="1055"/>
      <c r="U709" s="1055"/>
      <c r="V709" s="1055"/>
      <c r="W709" s="1055"/>
      <c r="X709" s="1055"/>
    </row>
    <row r="710">
      <c r="D710" s="1087" t="s">
        <v>721</v>
      </c>
      <c r="E710" s="222"/>
      <c r="F710" s="1088">
        <f>SUM(F701:G709)</f>
        <v>4014.84</v>
      </c>
      <c r="G710" s="222"/>
      <c r="H710" s="1055"/>
      <c r="I710" s="1055"/>
      <c r="J710" s="1055"/>
      <c r="K710" s="1055"/>
      <c r="L710" s="1055"/>
      <c r="M710" s="1055"/>
      <c r="O710" s="1087" t="s">
        <v>721</v>
      </c>
      <c r="P710" s="222"/>
      <c r="Q710" s="1088">
        <f>SUM(Q704:R709)</f>
        <v>0</v>
      </c>
      <c r="R710" s="222"/>
      <c r="S710" s="1055"/>
      <c r="T710" s="1055"/>
      <c r="U710" s="1055"/>
      <c r="V710" s="1055"/>
      <c r="W710" s="1055"/>
      <c r="X710" s="1055"/>
    </row>
    <row r="713">
      <c r="D713" s="1055"/>
      <c r="I713" s="1056" t="s">
        <v>700</v>
      </c>
      <c r="J713" s="211"/>
      <c r="K713" s="1057" t="s">
        <v>1493</v>
      </c>
      <c r="L713" s="213"/>
      <c r="M713" s="211"/>
      <c r="O713" s="1055"/>
      <c r="T713" s="1056" t="s">
        <v>700</v>
      </c>
      <c r="U713" s="211"/>
      <c r="V713" s="1057" t="s">
        <v>1493</v>
      </c>
      <c r="W713" s="213"/>
      <c r="X713" s="211"/>
    </row>
    <row r="714">
      <c r="I714" s="215"/>
      <c r="J714" s="64"/>
      <c r="K714" s="215"/>
      <c r="L714" s="216"/>
      <c r="M714" s="64"/>
      <c r="T714" s="215"/>
      <c r="U714" s="64"/>
      <c r="V714" s="215"/>
      <c r="W714" s="216"/>
      <c r="X714" s="64"/>
    </row>
    <row r="715">
      <c r="I715" s="1056" t="s">
        <v>702</v>
      </c>
      <c r="J715" s="211"/>
      <c r="K715" s="1057" t="s">
        <v>783</v>
      </c>
      <c r="L715" s="213"/>
      <c r="M715" s="211"/>
      <c r="T715" s="1056" t="s">
        <v>351</v>
      </c>
      <c r="U715" s="211"/>
      <c r="V715" s="1057" t="s">
        <v>1568</v>
      </c>
      <c r="W715" s="213"/>
      <c r="X715" s="211"/>
    </row>
    <row r="716">
      <c r="I716" s="215"/>
      <c r="J716" s="64"/>
      <c r="K716" s="215"/>
      <c r="L716" s="216"/>
      <c r="M716" s="64"/>
      <c r="T716" s="215"/>
      <c r="U716" s="64"/>
      <c r="V716" s="215"/>
      <c r="W716" s="216"/>
      <c r="X716" s="64"/>
    </row>
    <row r="717">
      <c r="I717" s="1056" t="s">
        <v>703</v>
      </c>
      <c r="J717" s="211"/>
      <c r="K717" s="1057">
        <v>6339.0</v>
      </c>
      <c r="L717" s="213"/>
      <c r="M717" s="211"/>
      <c r="T717" s="1056" t="s">
        <v>703</v>
      </c>
      <c r="U717" s="211"/>
      <c r="V717" s="1057">
        <v>6339.0</v>
      </c>
      <c r="W717" s="213"/>
      <c r="X717" s="211"/>
    </row>
    <row r="718">
      <c r="I718" s="215"/>
      <c r="J718" s="64"/>
      <c r="K718" s="215"/>
      <c r="L718" s="216"/>
      <c r="M718" s="64"/>
      <c r="T718" s="215"/>
      <c r="U718" s="64"/>
      <c r="V718" s="215"/>
      <c r="W718" s="216"/>
      <c r="X718" s="64"/>
    </row>
    <row r="719">
      <c r="D719" s="1059" t="s">
        <v>704</v>
      </c>
      <c r="E719" s="222"/>
      <c r="F719" s="1059" t="s">
        <v>5</v>
      </c>
      <c r="G719" s="222"/>
      <c r="H719" s="1059" t="s">
        <v>705</v>
      </c>
      <c r="I719" s="224"/>
      <c r="J719" s="222"/>
      <c r="K719" s="1060" t="s">
        <v>8</v>
      </c>
      <c r="L719" s="1060" t="s">
        <v>706</v>
      </c>
      <c r="M719" s="1060" t="s">
        <v>707</v>
      </c>
      <c r="O719" s="1059" t="s">
        <v>704</v>
      </c>
      <c r="P719" s="222"/>
      <c r="Q719" s="1059" t="s">
        <v>5</v>
      </c>
      <c r="R719" s="222"/>
      <c r="S719" s="1059" t="s">
        <v>705</v>
      </c>
      <c r="T719" s="224"/>
      <c r="U719" s="222"/>
      <c r="V719" s="1060" t="s">
        <v>591</v>
      </c>
      <c r="W719" s="1060" t="s">
        <v>708</v>
      </c>
      <c r="X719" s="1060" t="s">
        <v>707</v>
      </c>
    </row>
    <row r="720">
      <c r="D720" s="1061">
        <v>45986.0</v>
      </c>
      <c r="E720" s="222"/>
      <c r="F720" s="1059">
        <v>5.36013958E8</v>
      </c>
      <c r="G720" s="222"/>
      <c r="H720" s="1059" t="s">
        <v>1569</v>
      </c>
      <c r="I720" s="224"/>
      <c r="J720" s="222"/>
      <c r="K720" s="1062">
        <v>1500.0</v>
      </c>
      <c r="L720" s="1063">
        <v>0.88</v>
      </c>
      <c r="M720" s="1062">
        <f t="shared" ref="M720:M722" si="46">K720*88/100</f>
        <v>1320</v>
      </c>
      <c r="O720" s="1061">
        <v>45986.0</v>
      </c>
      <c r="P720" s="222"/>
      <c r="Q720" s="1059">
        <v>5.36013958E8</v>
      </c>
      <c r="R720" s="222"/>
      <c r="S720" s="1059" t="s">
        <v>1569</v>
      </c>
      <c r="T720" s="224"/>
      <c r="U720" s="222"/>
      <c r="V720" s="1060">
        <v>902.0</v>
      </c>
      <c r="W720" s="1064">
        <v>0.65</v>
      </c>
      <c r="X720" s="1062">
        <f t="shared" ref="X720:X724" si="47">V720*W720</f>
        <v>586.3</v>
      </c>
    </row>
    <row r="721">
      <c r="D721" s="1061">
        <v>45987.0</v>
      </c>
      <c r="E721" s="222"/>
      <c r="F721" s="1059">
        <v>5.34465726E8</v>
      </c>
      <c r="G721" s="222"/>
      <c r="H721" s="1059" t="s">
        <v>1570</v>
      </c>
      <c r="I721" s="224"/>
      <c r="J721" s="222"/>
      <c r="K721" s="1062">
        <v>2960.0</v>
      </c>
      <c r="L721" s="1063">
        <v>0.88</v>
      </c>
      <c r="M721" s="1062">
        <f t="shared" si="46"/>
        <v>2604.8</v>
      </c>
      <c r="O721" s="1061">
        <v>45987.0</v>
      </c>
      <c r="P721" s="222"/>
      <c r="Q721" s="1059">
        <v>5.34465726E8</v>
      </c>
      <c r="R721" s="222"/>
      <c r="S721" s="1059" t="s">
        <v>1570</v>
      </c>
      <c r="T721" s="224"/>
      <c r="U721" s="222"/>
      <c r="V721" s="1060">
        <v>1564.0</v>
      </c>
      <c r="W721" s="1064">
        <v>0.65</v>
      </c>
      <c r="X721" s="1062">
        <f t="shared" si="47"/>
        <v>1016.6</v>
      </c>
    </row>
    <row r="722">
      <c r="D722" s="1061">
        <v>45991.0</v>
      </c>
      <c r="E722" s="222"/>
      <c r="F722" s="1059">
        <v>714176.0</v>
      </c>
      <c r="G722" s="222"/>
      <c r="H722" s="1059" t="s">
        <v>1571</v>
      </c>
      <c r="I722" s="224"/>
      <c r="J722" s="222"/>
      <c r="K722" s="1062">
        <v>1700.0</v>
      </c>
      <c r="L722" s="1063">
        <v>0.88</v>
      </c>
      <c r="M722" s="1062">
        <f t="shared" si="46"/>
        <v>1496</v>
      </c>
      <c r="O722" s="1061">
        <v>45991.0</v>
      </c>
      <c r="P722" s="222"/>
      <c r="Q722" s="1059">
        <v>714176.0</v>
      </c>
      <c r="R722" s="222"/>
      <c r="S722" s="1059" t="s">
        <v>1571</v>
      </c>
      <c r="T722" s="224"/>
      <c r="U722" s="222"/>
      <c r="V722" s="1060">
        <v>1000.0</v>
      </c>
      <c r="W722" s="1064">
        <v>0.65</v>
      </c>
      <c r="X722" s="1062">
        <f t="shared" si="47"/>
        <v>650</v>
      </c>
    </row>
    <row r="723">
      <c r="D723" s="1065"/>
      <c r="E723" s="222"/>
      <c r="F723" s="1066"/>
      <c r="G723" s="222"/>
      <c r="H723" s="1066"/>
      <c r="I723" s="224"/>
      <c r="J723" s="222"/>
      <c r="K723" s="1067"/>
      <c r="L723" s="1069"/>
      <c r="M723" s="1067"/>
      <c r="O723" s="1065"/>
      <c r="P723" s="222"/>
      <c r="Q723" s="1066"/>
      <c r="R723" s="222"/>
      <c r="S723" s="1066"/>
      <c r="T723" s="224"/>
      <c r="U723" s="222"/>
      <c r="V723" s="1068"/>
      <c r="W723" s="1064">
        <v>0.65</v>
      </c>
      <c r="X723" s="1062">
        <f t="shared" si="47"/>
        <v>0</v>
      </c>
    </row>
    <row r="724">
      <c r="D724" s="1072" t="s">
        <v>711</v>
      </c>
      <c r="E724" s="224"/>
      <c r="F724" s="224"/>
      <c r="G724" s="224"/>
      <c r="H724" s="224"/>
      <c r="I724" s="224"/>
      <c r="J724" s="222"/>
      <c r="K724" s="1073">
        <f>SUM(K720:K723)</f>
        <v>6160</v>
      </c>
      <c r="L724" s="1069"/>
      <c r="M724" s="1073">
        <f>SUM(M720:M723)</f>
        <v>5420.8</v>
      </c>
      <c r="O724" s="1065"/>
      <c r="P724" s="222"/>
      <c r="Q724" s="1066"/>
      <c r="R724" s="222"/>
      <c r="S724" s="1066"/>
      <c r="T724" s="224"/>
      <c r="U724" s="222"/>
      <c r="V724" s="1068"/>
      <c r="W724" s="1064">
        <v>0.65</v>
      </c>
      <c r="X724" s="1062">
        <f t="shared" si="47"/>
        <v>0</v>
      </c>
    </row>
    <row r="725">
      <c r="D725" s="1055"/>
      <c r="E725" s="1055"/>
      <c r="F725" s="1055"/>
      <c r="G725" s="1055"/>
      <c r="H725" s="1055"/>
      <c r="I725" s="1055"/>
      <c r="J725" s="1055"/>
      <c r="K725" s="1055"/>
      <c r="L725" s="1055"/>
      <c r="M725" s="1055"/>
      <c r="O725" s="1066"/>
      <c r="P725" s="222"/>
      <c r="Q725" s="1066"/>
      <c r="R725" s="222"/>
      <c r="S725" s="1066"/>
      <c r="T725" s="224"/>
      <c r="U725" s="222"/>
      <c r="V725" s="1068"/>
      <c r="W725" s="1068"/>
      <c r="X725" s="1067"/>
    </row>
    <row r="726">
      <c r="D726" s="1075" t="s">
        <v>712</v>
      </c>
      <c r="E726" s="222"/>
      <c r="F726" s="1076"/>
      <c r="G726" s="222"/>
      <c r="H726" s="1055"/>
      <c r="I726" s="1055"/>
      <c r="J726" s="1055"/>
      <c r="K726" s="1055"/>
      <c r="L726" s="1055"/>
      <c r="M726" s="1055"/>
      <c r="O726" s="1072" t="s">
        <v>711</v>
      </c>
      <c r="P726" s="224"/>
      <c r="Q726" s="224"/>
      <c r="R726" s="224"/>
      <c r="S726" s="224"/>
      <c r="T726" s="224"/>
      <c r="U726" s="222"/>
      <c r="V726" s="1060">
        <f>V722+V721+V720+V723+V724+V725</f>
        <v>3466</v>
      </c>
      <c r="W726" s="1074"/>
      <c r="X726" s="1062">
        <f>X722+X721+X720+X723+X724+X725</f>
        <v>2252.9</v>
      </c>
    </row>
    <row r="727">
      <c r="D727" s="1077" t="s">
        <v>1496</v>
      </c>
      <c r="E727" s="222"/>
      <c r="F727" s="1078">
        <v>250.0</v>
      </c>
      <c r="G727" s="222"/>
      <c r="H727" s="1055"/>
      <c r="I727" s="1055"/>
      <c r="J727" s="1055"/>
      <c r="K727" s="1055"/>
      <c r="L727" s="1055"/>
      <c r="M727" s="1055"/>
      <c r="O727" s="1055"/>
      <c r="P727" s="1055"/>
      <c r="Q727" s="1055"/>
      <c r="R727" s="1055"/>
      <c r="S727" s="1055"/>
      <c r="T727" s="1055"/>
      <c r="U727" s="1055"/>
      <c r="V727" s="1055"/>
      <c r="W727" s="1055"/>
      <c r="X727" s="1055"/>
    </row>
    <row r="728">
      <c r="D728" s="1079"/>
      <c r="E728" s="222"/>
      <c r="F728" s="1076"/>
      <c r="G728" s="222"/>
      <c r="H728" s="1055"/>
      <c r="I728" s="163"/>
      <c r="J728" s="163"/>
      <c r="K728" s="163"/>
      <c r="L728" s="163"/>
      <c r="M728" s="163"/>
      <c r="O728" s="1075" t="s">
        <v>712</v>
      </c>
      <c r="P728" s="222"/>
      <c r="Q728" s="1076"/>
      <c r="R728" s="222"/>
      <c r="S728" s="1055"/>
      <c r="T728" s="1055"/>
      <c r="U728" s="1055"/>
      <c r="V728" s="1055"/>
      <c r="W728" s="1055"/>
      <c r="X728" s="1055"/>
    </row>
    <row r="729">
      <c r="D729" s="1080" t="s">
        <v>714</v>
      </c>
      <c r="E729" s="222"/>
      <c r="F729" s="1078">
        <f>SUM(F726:G728)</f>
        <v>250</v>
      </c>
      <c r="G729" s="222"/>
      <c r="H729" s="1055"/>
      <c r="I729" s="163"/>
      <c r="J729" s="163"/>
      <c r="K729" s="163"/>
      <c r="L729" s="163"/>
      <c r="M729" s="163"/>
      <c r="O729" s="1077" t="s">
        <v>1496</v>
      </c>
      <c r="P729" s="222"/>
      <c r="Q729" s="1078">
        <v>250.0</v>
      </c>
      <c r="R729" s="222"/>
      <c r="S729" s="1055"/>
      <c r="T729" s="1055"/>
      <c r="U729" s="1055"/>
      <c r="V729" s="1055"/>
      <c r="W729" s="1055"/>
      <c r="X729" s="1055"/>
    </row>
    <row r="730">
      <c r="D730" s="1081"/>
      <c r="E730" s="224"/>
      <c r="F730" s="224"/>
      <c r="G730" s="222"/>
      <c r="H730" s="1055"/>
      <c r="I730" s="163"/>
      <c r="J730" s="163"/>
      <c r="K730" s="163"/>
      <c r="L730" s="163"/>
      <c r="M730" s="163"/>
      <c r="O730" s="1079"/>
      <c r="P730" s="222"/>
      <c r="Q730" s="1076"/>
      <c r="R730" s="222"/>
      <c r="S730" s="1055"/>
      <c r="T730" s="1055"/>
      <c r="U730" s="1055"/>
      <c r="V730" s="1055"/>
      <c r="W730" s="1055"/>
      <c r="X730" s="1055"/>
    </row>
    <row r="731">
      <c r="D731" s="1082" t="s">
        <v>715</v>
      </c>
      <c r="E731" s="222"/>
      <c r="F731" s="1083"/>
      <c r="G731" s="222"/>
      <c r="H731" s="1055"/>
      <c r="I731" s="163"/>
      <c r="J731" s="163"/>
      <c r="K731" s="163"/>
      <c r="L731" s="163"/>
      <c r="M731" s="163"/>
      <c r="O731" s="1079"/>
      <c r="P731" s="222"/>
      <c r="Q731" s="1076"/>
      <c r="R731" s="222"/>
      <c r="S731" s="1055"/>
      <c r="T731" s="1055"/>
      <c r="U731" s="1055"/>
      <c r="V731" s="1055"/>
      <c r="W731" s="1055"/>
      <c r="X731" s="1055"/>
    </row>
    <row r="732">
      <c r="D732" s="1090" t="s">
        <v>716</v>
      </c>
      <c r="E732" s="222"/>
      <c r="F732" s="1088">
        <v>150.0</v>
      </c>
      <c r="G732" s="222"/>
      <c r="H732" s="1055"/>
      <c r="I732" s="163"/>
      <c r="J732" s="163"/>
      <c r="K732" s="163"/>
      <c r="L732" s="163"/>
      <c r="M732" s="163"/>
      <c r="O732" s="1079"/>
      <c r="P732" s="222"/>
      <c r="Q732" s="1076"/>
      <c r="R732" s="222"/>
      <c r="S732" s="1055"/>
      <c r="T732" s="1055"/>
      <c r="U732" s="1055"/>
      <c r="V732" s="1055"/>
      <c r="W732" s="1055"/>
      <c r="X732" s="1055"/>
    </row>
    <row r="733">
      <c r="D733" s="1090" t="s">
        <v>717</v>
      </c>
      <c r="E733" s="222"/>
      <c r="F733" s="1088">
        <v>400.0</v>
      </c>
      <c r="G733" s="222"/>
      <c r="H733" s="1055"/>
      <c r="I733" s="163"/>
      <c r="J733" s="163"/>
      <c r="K733" s="163"/>
      <c r="L733" s="163"/>
      <c r="M733" s="163"/>
      <c r="O733" s="1079"/>
      <c r="P733" s="222"/>
      <c r="Q733" s="1076"/>
      <c r="R733" s="222"/>
      <c r="S733" s="1055"/>
      <c r="T733" s="1055"/>
      <c r="U733" s="1055"/>
      <c r="V733" s="1055"/>
      <c r="W733" s="1055"/>
      <c r="X733" s="1055"/>
    </row>
    <row r="734">
      <c r="D734" s="1090" t="s">
        <v>718</v>
      </c>
      <c r="E734" s="222"/>
      <c r="F734" s="1088">
        <v>0.0</v>
      </c>
      <c r="G734" s="222"/>
      <c r="H734" s="1055"/>
      <c r="I734" s="163"/>
      <c r="J734" s="163"/>
      <c r="K734" s="163"/>
      <c r="L734" s="163"/>
      <c r="M734" s="163"/>
      <c r="O734" s="1080" t="s">
        <v>714</v>
      </c>
      <c r="P734" s="222"/>
      <c r="Q734" s="1078">
        <f>SUM(Q728:R733)</f>
        <v>250</v>
      </c>
      <c r="R734" s="222"/>
      <c r="S734" s="1055"/>
      <c r="T734" s="1055"/>
      <c r="U734" s="1055"/>
      <c r="V734" s="1055"/>
      <c r="W734" s="1055"/>
      <c r="X734" s="1055"/>
    </row>
    <row r="735">
      <c r="D735" s="1090" t="s">
        <v>656</v>
      </c>
      <c r="E735" s="222"/>
      <c r="F735" s="1088">
        <v>1900.22</v>
      </c>
      <c r="G735" s="222"/>
      <c r="H735" s="1055"/>
      <c r="I735" s="163"/>
      <c r="J735" s="163"/>
      <c r="K735" s="163"/>
      <c r="L735" s="163"/>
      <c r="M735" s="163"/>
      <c r="O735" s="1055"/>
      <c r="P735" s="1055"/>
      <c r="Q735" s="1055"/>
      <c r="S735" s="1055"/>
      <c r="T735" s="1055"/>
      <c r="U735" s="1055"/>
      <c r="V735" s="1055"/>
      <c r="W735" s="1055"/>
      <c r="X735" s="1055"/>
    </row>
    <row r="736">
      <c r="D736" s="1090" t="s">
        <v>1572</v>
      </c>
      <c r="E736" s="222"/>
      <c r="F736" s="1088">
        <v>32.69</v>
      </c>
      <c r="G736" s="222"/>
      <c r="H736" s="1055"/>
      <c r="I736" s="1055"/>
      <c r="J736" s="1085" t="s">
        <v>1498</v>
      </c>
      <c r="K736" s="211"/>
      <c r="L736" s="1086">
        <f>M724+F729-F741</f>
        <v>2962.08</v>
      </c>
      <c r="M736" s="211"/>
      <c r="O736" s="1082" t="s">
        <v>715</v>
      </c>
      <c r="P736" s="222"/>
      <c r="Q736" s="1083"/>
      <c r="R736" s="222"/>
      <c r="S736" s="1055"/>
      <c r="T736" s="1055"/>
      <c r="U736" s="1055"/>
      <c r="V736" s="1055"/>
      <c r="W736" s="1055"/>
      <c r="X736" s="1055"/>
    </row>
    <row r="737">
      <c r="D737" s="1090" t="s">
        <v>1572</v>
      </c>
      <c r="E737" s="222"/>
      <c r="F737" s="1088">
        <v>21.95</v>
      </c>
      <c r="G737" s="222"/>
      <c r="H737" s="1055"/>
      <c r="I737" s="1055"/>
      <c r="J737" s="278"/>
      <c r="K737" s="56"/>
      <c r="L737" s="278"/>
      <c r="M737" s="56"/>
      <c r="O737" s="1084"/>
      <c r="P737" s="222"/>
      <c r="Q737" s="1083"/>
      <c r="R737" s="222"/>
      <c r="S737" s="1055"/>
      <c r="T737" s="1055"/>
      <c r="U737" s="1085" t="s">
        <v>1497</v>
      </c>
      <c r="V737" s="211"/>
      <c r="W737" s="1086">
        <f>X726+Q734-Q742</f>
        <v>2502.9</v>
      </c>
      <c r="X737" s="211"/>
    </row>
    <row r="738">
      <c r="D738" s="1090" t="s">
        <v>759</v>
      </c>
      <c r="E738" s="222"/>
      <c r="F738" s="1088">
        <v>203.86</v>
      </c>
      <c r="G738" s="222"/>
      <c r="H738" s="1055"/>
      <c r="I738" s="1055"/>
      <c r="J738" s="215"/>
      <c r="K738" s="64"/>
      <c r="L738" s="215"/>
      <c r="M738" s="64"/>
      <c r="O738" s="1084"/>
      <c r="P738" s="222"/>
      <c r="Q738" s="1083"/>
      <c r="R738" s="222"/>
      <c r="S738" s="1055"/>
      <c r="T738" s="1055"/>
      <c r="U738" s="278"/>
      <c r="V738" s="56"/>
      <c r="W738" s="278"/>
      <c r="X738" s="56"/>
    </row>
    <row r="739">
      <c r="D739" s="1084"/>
      <c r="E739" s="222"/>
      <c r="F739" s="1083"/>
      <c r="G739" s="222"/>
      <c r="H739" s="1055"/>
      <c r="I739" s="1055"/>
      <c r="J739" s="1055"/>
      <c r="K739" s="1055"/>
      <c r="L739" s="1055"/>
      <c r="M739" s="1055"/>
      <c r="O739" s="1084"/>
      <c r="P739" s="222"/>
      <c r="Q739" s="1083"/>
      <c r="R739" s="222"/>
      <c r="S739" s="1055"/>
      <c r="T739" s="1055"/>
      <c r="U739" s="215"/>
      <c r="V739" s="64"/>
      <c r="W739" s="215"/>
      <c r="X739" s="64"/>
    </row>
    <row r="740">
      <c r="D740" s="1084"/>
      <c r="E740" s="222"/>
      <c r="F740" s="1083"/>
      <c r="G740" s="222"/>
      <c r="H740" s="1055"/>
      <c r="I740" s="1055"/>
      <c r="J740" s="1055"/>
      <c r="K740" s="1055"/>
      <c r="L740" s="1055"/>
      <c r="M740" s="1055"/>
      <c r="O740" s="1084"/>
      <c r="P740" s="222"/>
      <c r="Q740" s="1083"/>
      <c r="R740" s="222"/>
      <c r="S740" s="1055"/>
      <c r="T740" s="1055"/>
      <c r="U740" s="1055"/>
      <c r="V740" s="1055"/>
      <c r="W740" s="1055"/>
      <c r="X740" s="1055"/>
    </row>
    <row r="741">
      <c r="D741" s="1087" t="s">
        <v>721</v>
      </c>
      <c r="E741" s="222"/>
      <c r="F741" s="1088">
        <f>SUM(F732:G740)</f>
        <v>2708.72</v>
      </c>
      <c r="G741" s="222"/>
      <c r="H741" s="1055"/>
      <c r="I741" s="1055"/>
      <c r="J741" s="1055"/>
      <c r="K741" s="1055"/>
      <c r="L741" s="1055"/>
      <c r="M741" s="1055"/>
      <c r="O741" s="1084"/>
      <c r="P741" s="222"/>
      <c r="Q741" s="1083"/>
      <c r="R741" s="222"/>
      <c r="S741" s="1055"/>
      <c r="T741" s="1055"/>
      <c r="U741" s="1055"/>
      <c r="V741" s="1055"/>
      <c r="W741" s="1055"/>
      <c r="X741" s="1055"/>
    </row>
    <row r="742">
      <c r="O742" s="1087" t="s">
        <v>721</v>
      </c>
      <c r="P742" s="222"/>
      <c r="Q742" s="1088">
        <f>SUM(Q736:R741)</f>
        <v>0</v>
      </c>
      <c r="R742" s="222"/>
      <c r="S742" s="1055"/>
      <c r="T742" s="1055"/>
      <c r="U742" s="1055"/>
      <c r="V742" s="1055"/>
      <c r="W742" s="1055"/>
      <c r="X742" s="1055"/>
    </row>
    <row r="745">
      <c r="D745" s="1055"/>
      <c r="I745" s="1056" t="s">
        <v>700</v>
      </c>
      <c r="J745" s="211"/>
      <c r="K745" s="1057" t="s">
        <v>1493</v>
      </c>
      <c r="L745" s="213"/>
      <c r="M745" s="211"/>
      <c r="O745" s="1055"/>
      <c r="T745" s="1056" t="s">
        <v>700</v>
      </c>
      <c r="U745" s="211"/>
      <c r="V745" s="1057" t="s">
        <v>1493</v>
      </c>
      <c r="W745" s="213"/>
      <c r="X745" s="211"/>
    </row>
    <row r="746">
      <c r="I746" s="215"/>
      <c r="J746" s="64"/>
      <c r="K746" s="215"/>
      <c r="L746" s="216"/>
      <c r="M746" s="64"/>
      <c r="T746" s="215"/>
      <c r="U746" s="64"/>
      <c r="V746" s="215"/>
      <c r="W746" s="216"/>
      <c r="X746" s="64"/>
    </row>
    <row r="747">
      <c r="I747" s="1056" t="s">
        <v>702</v>
      </c>
      <c r="J747" s="211"/>
      <c r="K747" s="1057" t="s">
        <v>819</v>
      </c>
      <c r="L747" s="213"/>
      <c r="M747" s="211"/>
      <c r="T747" s="1056" t="s">
        <v>351</v>
      </c>
      <c r="U747" s="211"/>
      <c r="V747" s="1057" t="s">
        <v>822</v>
      </c>
      <c r="W747" s="213"/>
      <c r="X747" s="211"/>
    </row>
    <row r="748">
      <c r="I748" s="215"/>
      <c r="J748" s="64"/>
      <c r="K748" s="215"/>
      <c r="L748" s="216"/>
      <c r="M748" s="64"/>
      <c r="T748" s="215"/>
      <c r="U748" s="64"/>
      <c r="V748" s="215"/>
      <c r="W748" s="216"/>
      <c r="X748" s="64"/>
    </row>
    <row r="749">
      <c r="I749" s="1056" t="s">
        <v>703</v>
      </c>
      <c r="J749" s="211"/>
      <c r="K749" s="1058" t="s">
        <v>1573</v>
      </c>
      <c r="L749" s="213"/>
      <c r="M749" s="211"/>
      <c r="T749" s="1056" t="s">
        <v>703</v>
      </c>
      <c r="U749" s="211"/>
      <c r="V749" s="1057">
        <v>6813.0</v>
      </c>
      <c r="W749" s="213"/>
      <c r="X749" s="211"/>
    </row>
    <row r="750">
      <c r="I750" s="215"/>
      <c r="J750" s="64"/>
      <c r="K750" s="215"/>
      <c r="L750" s="216"/>
      <c r="M750" s="64"/>
      <c r="T750" s="215"/>
      <c r="U750" s="64"/>
      <c r="V750" s="215"/>
      <c r="W750" s="216"/>
      <c r="X750" s="64"/>
    </row>
    <row r="751">
      <c r="D751" s="1059" t="s">
        <v>704</v>
      </c>
      <c r="E751" s="222"/>
      <c r="F751" s="1059" t="s">
        <v>5</v>
      </c>
      <c r="G751" s="222"/>
      <c r="H751" s="1059" t="s">
        <v>705</v>
      </c>
      <c r="I751" s="224"/>
      <c r="J751" s="222"/>
      <c r="K751" s="1060" t="s">
        <v>8</v>
      </c>
      <c r="L751" s="1060" t="s">
        <v>706</v>
      </c>
      <c r="M751" s="1060" t="s">
        <v>707</v>
      </c>
      <c r="O751" s="1059" t="s">
        <v>704</v>
      </c>
      <c r="P751" s="222"/>
      <c r="Q751" s="1059" t="s">
        <v>5</v>
      </c>
      <c r="R751" s="222"/>
      <c r="S751" s="1059" t="s">
        <v>705</v>
      </c>
      <c r="T751" s="224"/>
      <c r="U751" s="222"/>
      <c r="V751" s="1060" t="s">
        <v>591</v>
      </c>
      <c r="W751" s="1060" t="s">
        <v>708</v>
      </c>
      <c r="X751" s="1060" t="s">
        <v>707</v>
      </c>
    </row>
    <row r="752">
      <c r="D752" s="1061">
        <v>45987.0</v>
      </c>
      <c r="E752" s="222"/>
      <c r="F752" s="1059">
        <v>5.36184345E8</v>
      </c>
      <c r="G752" s="222"/>
      <c r="H752" s="1059" t="s">
        <v>1574</v>
      </c>
      <c r="I752" s="224"/>
      <c r="J752" s="222"/>
      <c r="K752" s="1062">
        <v>1250.0</v>
      </c>
      <c r="L752" s="1063">
        <v>0.88</v>
      </c>
      <c r="M752" s="1062">
        <f t="shared" ref="M752:M755" si="48">K752*88/100</f>
        <v>1100</v>
      </c>
      <c r="O752" s="1061">
        <v>45987.0</v>
      </c>
      <c r="P752" s="222"/>
      <c r="Q752" s="1059">
        <v>5.36184345E8</v>
      </c>
      <c r="R752" s="222"/>
      <c r="S752" s="1059" t="s">
        <v>1574</v>
      </c>
      <c r="T752" s="224"/>
      <c r="U752" s="222"/>
      <c r="V752" s="1060">
        <v>411.0</v>
      </c>
      <c r="W752" s="1064">
        <v>0.65</v>
      </c>
      <c r="X752" s="1062">
        <f t="shared" ref="X752:X755" si="49">V752*W752</f>
        <v>267.15</v>
      </c>
    </row>
    <row r="753">
      <c r="D753" s="1061">
        <v>45990.0</v>
      </c>
      <c r="E753" s="222"/>
      <c r="F753" s="1059">
        <v>2898343.0</v>
      </c>
      <c r="G753" s="222"/>
      <c r="H753" s="1059" t="s">
        <v>1575</v>
      </c>
      <c r="I753" s="224"/>
      <c r="J753" s="222"/>
      <c r="K753" s="1062">
        <v>1400.0</v>
      </c>
      <c r="L753" s="1063">
        <v>0.88</v>
      </c>
      <c r="M753" s="1062">
        <f t="shared" si="48"/>
        <v>1232</v>
      </c>
      <c r="O753" s="1061">
        <v>45990.0</v>
      </c>
      <c r="P753" s="222"/>
      <c r="Q753" s="1059">
        <v>2898343.0</v>
      </c>
      <c r="R753" s="222"/>
      <c r="S753" s="1059" t="s">
        <v>1575</v>
      </c>
      <c r="T753" s="224"/>
      <c r="U753" s="222"/>
      <c r="V753" s="1060">
        <v>743.0</v>
      </c>
      <c r="W753" s="1064">
        <v>0.65</v>
      </c>
      <c r="X753" s="1062">
        <f t="shared" si="49"/>
        <v>482.95</v>
      </c>
    </row>
    <row r="754">
      <c r="D754" s="1065"/>
      <c r="E754" s="222"/>
      <c r="F754" s="1066"/>
      <c r="G754" s="222"/>
      <c r="H754" s="1066"/>
      <c r="I754" s="224"/>
      <c r="J754" s="222"/>
      <c r="K754" s="1067"/>
      <c r="L754" s="1063">
        <v>0.88</v>
      </c>
      <c r="M754" s="1062">
        <f t="shared" si="48"/>
        <v>0</v>
      </c>
      <c r="O754" s="1065"/>
      <c r="P754" s="222"/>
      <c r="Q754" s="1066"/>
      <c r="R754" s="222"/>
      <c r="S754" s="1066"/>
      <c r="T754" s="224"/>
      <c r="U754" s="222"/>
      <c r="V754" s="1068"/>
      <c r="W754" s="1064">
        <v>0.65</v>
      </c>
      <c r="X754" s="1062">
        <f t="shared" si="49"/>
        <v>0</v>
      </c>
    </row>
    <row r="755">
      <c r="D755" s="1065"/>
      <c r="E755" s="222"/>
      <c r="F755" s="1066"/>
      <c r="G755" s="222"/>
      <c r="H755" s="1066"/>
      <c r="I755" s="224"/>
      <c r="J755" s="222"/>
      <c r="K755" s="1067"/>
      <c r="L755" s="1063">
        <v>0.88</v>
      </c>
      <c r="M755" s="1062">
        <f t="shared" si="48"/>
        <v>0</v>
      </c>
      <c r="O755" s="1065"/>
      <c r="P755" s="222"/>
      <c r="Q755" s="1066"/>
      <c r="R755" s="222"/>
      <c r="S755" s="1066"/>
      <c r="T755" s="224"/>
      <c r="U755" s="222"/>
      <c r="V755" s="1068"/>
      <c r="W755" s="1064">
        <v>0.65</v>
      </c>
      <c r="X755" s="1062">
        <f t="shared" si="49"/>
        <v>0</v>
      </c>
    </row>
    <row r="756">
      <c r="D756" s="1072" t="s">
        <v>711</v>
      </c>
      <c r="E756" s="224"/>
      <c r="F756" s="224"/>
      <c r="G756" s="224"/>
      <c r="H756" s="224"/>
      <c r="I756" s="224"/>
      <c r="J756" s="222"/>
      <c r="K756" s="1062">
        <f>SUM(K752:K755)</f>
        <v>2650</v>
      </c>
      <c r="L756" s="1069"/>
      <c r="M756" s="1062">
        <f>SUM(M752:M755)</f>
        <v>2332</v>
      </c>
      <c r="O756" s="1072" t="s">
        <v>711</v>
      </c>
      <c r="P756" s="224"/>
      <c r="Q756" s="224"/>
      <c r="R756" s="224"/>
      <c r="S756" s="224"/>
      <c r="T756" s="224"/>
      <c r="U756" s="222"/>
      <c r="V756" s="1060">
        <f>SUM(V752:V755)</f>
        <v>1154</v>
      </c>
      <c r="W756" s="1074"/>
      <c r="X756" s="1062">
        <f>SUM(X752:X755)</f>
        <v>750.1</v>
      </c>
    </row>
    <row r="757">
      <c r="D757" s="1055"/>
      <c r="E757" s="1055"/>
      <c r="F757" s="1055"/>
      <c r="G757" s="1055"/>
      <c r="H757" s="1055"/>
      <c r="I757" s="1055"/>
      <c r="J757" s="1055"/>
      <c r="K757" s="1055"/>
      <c r="L757" s="1055"/>
      <c r="M757" s="1055"/>
      <c r="O757" s="1055"/>
      <c r="P757" s="1055"/>
      <c r="Q757" s="1055"/>
      <c r="R757" s="1055"/>
      <c r="S757" s="1055"/>
      <c r="T757" s="1055"/>
      <c r="U757" s="1055"/>
      <c r="V757" s="1055"/>
      <c r="W757" s="1055"/>
      <c r="X757" s="1055"/>
    </row>
    <row r="758">
      <c r="D758" s="1075" t="s">
        <v>712</v>
      </c>
      <c r="E758" s="222"/>
      <c r="F758" s="1076"/>
      <c r="G758" s="222"/>
      <c r="H758" s="1055"/>
      <c r="I758" s="1055"/>
      <c r="J758" s="1055"/>
      <c r="K758" s="1055"/>
      <c r="L758" s="1055"/>
      <c r="M758" s="1055"/>
      <c r="O758" s="1075" t="s">
        <v>712</v>
      </c>
      <c r="P758" s="222"/>
      <c r="Q758" s="1076"/>
      <c r="R758" s="222"/>
      <c r="S758" s="1055"/>
      <c r="T758" s="1055"/>
      <c r="U758" s="1055"/>
      <c r="V758" s="1055"/>
      <c r="W758" s="1055"/>
      <c r="X758" s="1055"/>
    </row>
    <row r="759">
      <c r="D759" s="1077" t="s">
        <v>885</v>
      </c>
      <c r="E759" s="222"/>
      <c r="F759" s="1078">
        <v>250.0</v>
      </c>
      <c r="G759" s="222"/>
      <c r="H759" s="1055"/>
      <c r="I759" s="1055"/>
      <c r="J759" s="1055"/>
      <c r="K759" s="1055"/>
      <c r="L759" s="1055"/>
      <c r="M759" s="1055"/>
      <c r="O759" s="1077" t="s">
        <v>1496</v>
      </c>
      <c r="P759" s="222"/>
      <c r="Q759" s="1078">
        <v>250.0</v>
      </c>
      <c r="R759" s="222"/>
      <c r="S759" s="1055"/>
      <c r="T759" s="1055"/>
      <c r="U759" s="1055"/>
      <c r="V759" s="1055"/>
      <c r="W759" s="1055"/>
      <c r="X759" s="1055"/>
    </row>
    <row r="760">
      <c r="D760" s="1077" t="s">
        <v>1496</v>
      </c>
      <c r="E760" s="222"/>
      <c r="F760" s="1078">
        <v>250.0</v>
      </c>
      <c r="G760" s="222"/>
      <c r="H760" s="1055"/>
      <c r="I760" s="163"/>
      <c r="J760" s="163"/>
      <c r="K760" s="163"/>
      <c r="L760" s="163"/>
      <c r="M760" s="163"/>
      <c r="O760" s="1079"/>
      <c r="P760" s="222"/>
      <c r="Q760" s="1076"/>
      <c r="R760" s="222"/>
      <c r="S760" s="1055"/>
      <c r="T760" s="1055"/>
      <c r="U760" s="1055"/>
      <c r="V760" s="1055"/>
      <c r="W760" s="1055"/>
      <c r="X760" s="1055"/>
    </row>
    <row r="761">
      <c r="D761" s="1080" t="s">
        <v>714</v>
      </c>
      <c r="E761" s="222"/>
      <c r="F761" s="1078">
        <f>SUM(F758:G760)</f>
        <v>500</v>
      </c>
      <c r="G761" s="222"/>
      <c r="H761" s="1055"/>
      <c r="I761" s="163"/>
      <c r="J761" s="163"/>
      <c r="K761" s="163"/>
      <c r="L761" s="163"/>
      <c r="M761" s="163"/>
      <c r="O761" s="1079"/>
      <c r="P761" s="222"/>
      <c r="Q761" s="1076"/>
      <c r="R761" s="222"/>
      <c r="S761" s="1055"/>
      <c r="T761" s="1055"/>
      <c r="U761" s="1055"/>
      <c r="V761" s="1055"/>
      <c r="W761" s="1055"/>
      <c r="X761" s="1055"/>
    </row>
    <row r="762">
      <c r="D762" s="1081"/>
      <c r="E762" s="224"/>
      <c r="F762" s="224"/>
      <c r="G762" s="222"/>
      <c r="H762" s="1055"/>
      <c r="I762" s="163"/>
      <c r="J762" s="163"/>
      <c r="K762" s="163"/>
      <c r="L762" s="163"/>
      <c r="M762" s="163"/>
      <c r="O762" s="1079"/>
      <c r="P762" s="222"/>
      <c r="Q762" s="1076"/>
      <c r="R762" s="222"/>
      <c r="S762" s="1055"/>
      <c r="T762" s="1055"/>
      <c r="U762" s="1055"/>
      <c r="V762" s="1055"/>
      <c r="W762" s="1055"/>
      <c r="X762" s="1055"/>
    </row>
    <row r="763">
      <c r="D763" s="1082" t="s">
        <v>715</v>
      </c>
      <c r="E763" s="222"/>
      <c r="F763" s="1083"/>
      <c r="G763" s="222"/>
      <c r="H763" s="1055"/>
      <c r="I763" s="163"/>
      <c r="J763" s="163"/>
      <c r="K763" s="163"/>
      <c r="L763" s="163"/>
      <c r="M763" s="163"/>
      <c r="O763" s="1079"/>
      <c r="P763" s="222"/>
      <c r="Q763" s="1076"/>
      <c r="R763" s="222"/>
      <c r="S763" s="1055"/>
      <c r="T763" s="1055"/>
      <c r="U763" s="1055"/>
      <c r="V763" s="1055"/>
      <c r="W763" s="1055"/>
      <c r="X763" s="1055"/>
    </row>
    <row r="764">
      <c r="D764" s="1090" t="s">
        <v>716</v>
      </c>
      <c r="E764" s="222"/>
      <c r="F764" s="1088">
        <v>150.0</v>
      </c>
      <c r="G764" s="222"/>
      <c r="H764" s="1055"/>
      <c r="I764" s="163"/>
      <c r="J764" s="163"/>
      <c r="K764" s="163"/>
      <c r="L764" s="163"/>
      <c r="M764" s="163"/>
      <c r="O764" s="1080" t="s">
        <v>714</v>
      </c>
      <c r="P764" s="222"/>
      <c r="Q764" s="1078">
        <f>SUM(Q758:R763)</f>
        <v>250</v>
      </c>
      <c r="R764" s="222"/>
      <c r="S764" s="1055"/>
      <c r="T764" s="1055"/>
      <c r="U764" s="1055"/>
      <c r="V764" s="1055"/>
      <c r="W764" s="1055"/>
      <c r="X764" s="1055"/>
    </row>
    <row r="765">
      <c r="D765" s="1090" t="s">
        <v>717</v>
      </c>
      <c r="E765" s="222"/>
      <c r="F765" s="1088">
        <v>400.0</v>
      </c>
      <c r="G765" s="222"/>
      <c r="H765" s="1055"/>
      <c r="I765" s="163"/>
      <c r="J765" s="163"/>
      <c r="K765" s="163"/>
      <c r="L765" s="163"/>
      <c r="M765" s="163"/>
      <c r="O765" s="1055"/>
      <c r="P765" s="1055"/>
      <c r="Q765" s="1055"/>
      <c r="S765" s="1055"/>
      <c r="T765" s="1055"/>
      <c r="U765" s="1055"/>
      <c r="V765" s="1055"/>
      <c r="W765" s="1055"/>
      <c r="X765" s="1055"/>
    </row>
    <row r="766">
      <c r="D766" s="1090" t="s">
        <v>718</v>
      </c>
      <c r="E766" s="222"/>
      <c r="F766" s="1088">
        <v>0.0</v>
      </c>
      <c r="G766" s="222"/>
      <c r="H766" s="1055"/>
      <c r="I766" s="163"/>
      <c r="J766" s="163"/>
      <c r="K766" s="163"/>
      <c r="L766" s="163"/>
      <c r="M766" s="163"/>
      <c r="O766" s="1082" t="s">
        <v>715</v>
      </c>
      <c r="P766" s="222"/>
      <c r="Q766" s="1083"/>
      <c r="R766" s="222"/>
      <c r="S766" s="1055"/>
      <c r="T766" s="1055"/>
      <c r="U766" s="1055"/>
      <c r="V766" s="1055"/>
      <c r="W766" s="1055"/>
      <c r="X766" s="1055"/>
    </row>
    <row r="767">
      <c r="D767" s="1090" t="s">
        <v>656</v>
      </c>
      <c r="E767" s="222"/>
      <c r="F767" s="1088">
        <v>1004.82</v>
      </c>
      <c r="G767" s="222"/>
      <c r="H767" s="1055"/>
      <c r="I767" s="163"/>
      <c r="J767" s="163"/>
      <c r="K767" s="163"/>
      <c r="L767" s="163"/>
      <c r="M767" s="163"/>
      <c r="O767" s="1092" t="s">
        <v>1576</v>
      </c>
      <c r="P767" s="211"/>
      <c r="Q767" s="1093">
        <f>880/4</f>
        <v>220</v>
      </c>
      <c r="R767" s="211"/>
      <c r="S767" s="1055"/>
      <c r="T767" s="1055"/>
      <c r="U767" s="1085" t="s">
        <v>1497</v>
      </c>
      <c r="V767" s="211"/>
      <c r="W767" s="1086">
        <f>X756+Q764-Q772</f>
        <v>780.1</v>
      </c>
      <c r="X767" s="211"/>
    </row>
    <row r="768">
      <c r="D768" s="1092" t="s">
        <v>1576</v>
      </c>
      <c r="E768" s="211"/>
      <c r="F768" s="1093">
        <f>880/4</f>
        <v>220</v>
      </c>
      <c r="G768" s="211"/>
      <c r="H768" s="1055"/>
      <c r="I768" s="1055"/>
      <c r="J768" s="1085" t="s">
        <v>1498</v>
      </c>
      <c r="K768" s="211"/>
      <c r="L768" s="1086">
        <f>M756+F761-F773</f>
        <v>927.28</v>
      </c>
      <c r="M768" s="211"/>
      <c r="O768" s="215"/>
      <c r="P768" s="64"/>
      <c r="Q768" s="215"/>
      <c r="R768" s="64"/>
      <c r="S768" s="1055"/>
      <c r="T768" s="1055"/>
      <c r="U768" s="278"/>
      <c r="V768" s="56"/>
      <c r="W768" s="278"/>
      <c r="X768" s="56"/>
    </row>
    <row r="769">
      <c r="D769" s="215"/>
      <c r="E769" s="64"/>
      <c r="F769" s="215"/>
      <c r="G769" s="64"/>
      <c r="H769" s="1055"/>
      <c r="I769" s="1055"/>
      <c r="J769" s="278"/>
      <c r="K769" s="56"/>
      <c r="L769" s="278"/>
      <c r="M769" s="56"/>
      <c r="O769" s="1084"/>
      <c r="P769" s="222"/>
      <c r="Q769" s="1083"/>
      <c r="R769" s="222"/>
      <c r="S769" s="1055"/>
      <c r="T769" s="1055"/>
      <c r="U769" s="215"/>
      <c r="V769" s="64"/>
      <c r="W769" s="215"/>
      <c r="X769" s="64"/>
    </row>
    <row r="770">
      <c r="D770" s="1090" t="s">
        <v>883</v>
      </c>
      <c r="E770" s="222"/>
      <c r="F770" s="1088">
        <v>129.9</v>
      </c>
      <c r="G770" s="222"/>
      <c r="H770" s="1055"/>
      <c r="I770" s="1055"/>
      <c r="J770" s="215"/>
      <c r="K770" s="64"/>
      <c r="L770" s="215"/>
      <c r="M770" s="64"/>
      <c r="O770" s="1084"/>
      <c r="P770" s="222"/>
      <c r="Q770" s="1083"/>
      <c r="R770" s="222"/>
      <c r="S770" s="1055"/>
      <c r="T770" s="1055"/>
      <c r="U770" s="1055"/>
      <c r="V770" s="1055"/>
      <c r="W770" s="1055"/>
      <c r="X770" s="1055"/>
    </row>
    <row r="771">
      <c r="D771" s="1084"/>
      <c r="E771" s="222"/>
      <c r="F771" s="1083"/>
      <c r="G771" s="222"/>
      <c r="H771" s="1055"/>
      <c r="I771" s="1055"/>
      <c r="J771" s="1055"/>
      <c r="K771" s="1055"/>
      <c r="L771" s="1055"/>
      <c r="M771" s="1055"/>
      <c r="O771" s="1084"/>
      <c r="P771" s="222"/>
      <c r="Q771" s="1083"/>
      <c r="R771" s="222"/>
      <c r="S771" s="1055"/>
      <c r="T771" s="1055"/>
      <c r="U771" s="1055"/>
      <c r="V771" s="1055"/>
      <c r="W771" s="1055"/>
      <c r="X771" s="1055"/>
    </row>
    <row r="772">
      <c r="D772" s="1084"/>
      <c r="E772" s="222"/>
      <c r="F772" s="1083"/>
      <c r="G772" s="222"/>
      <c r="H772" s="1055"/>
      <c r="I772" s="1055"/>
      <c r="J772" s="1055"/>
      <c r="K772" s="1055"/>
      <c r="L772" s="1055"/>
      <c r="M772" s="1055"/>
      <c r="O772" s="1087" t="s">
        <v>721</v>
      </c>
      <c r="P772" s="222"/>
      <c r="Q772" s="1088">
        <f>SUM(Q766:R771)</f>
        <v>220</v>
      </c>
      <c r="R772" s="222"/>
      <c r="S772" s="1055"/>
      <c r="T772" s="1055"/>
      <c r="U772" s="1055"/>
      <c r="V772" s="1055"/>
      <c r="W772" s="1055"/>
      <c r="X772" s="1055"/>
    </row>
    <row r="773">
      <c r="D773" s="1087" t="s">
        <v>721</v>
      </c>
      <c r="E773" s="222"/>
      <c r="F773" s="1088">
        <f>SUM(F764:G772)</f>
        <v>1904.72</v>
      </c>
      <c r="G773" s="222"/>
      <c r="H773" s="1055"/>
      <c r="I773" s="1055"/>
      <c r="J773" s="1055"/>
      <c r="K773" s="1055"/>
      <c r="L773" s="1055"/>
      <c r="M773" s="1055"/>
    </row>
    <row r="776">
      <c r="D776" s="1055"/>
      <c r="I776" s="1056" t="s">
        <v>700</v>
      </c>
      <c r="J776" s="211"/>
      <c r="K776" s="1057" t="s">
        <v>1493</v>
      </c>
      <c r="L776" s="213"/>
      <c r="M776" s="211"/>
      <c r="O776" s="1055"/>
      <c r="T776" s="1056" t="s">
        <v>700</v>
      </c>
      <c r="U776" s="211"/>
      <c r="V776" s="1057" t="s">
        <v>1493</v>
      </c>
      <c r="W776" s="213"/>
      <c r="X776" s="211"/>
    </row>
    <row r="777">
      <c r="I777" s="215"/>
      <c r="J777" s="64"/>
      <c r="K777" s="215"/>
      <c r="L777" s="216"/>
      <c r="M777" s="64"/>
      <c r="T777" s="215"/>
      <c r="U777" s="64"/>
      <c r="V777" s="215"/>
      <c r="W777" s="216"/>
      <c r="X777" s="64"/>
    </row>
    <row r="778">
      <c r="I778" s="1056" t="s">
        <v>702</v>
      </c>
      <c r="J778" s="211"/>
      <c r="K778" s="1057" t="s">
        <v>783</v>
      </c>
      <c r="L778" s="213"/>
      <c r="M778" s="211"/>
      <c r="T778" s="1056" t="s">
        <v>351</v>
      </c>
      <c r="U778" s="211"/>
      <c r="V778" s="1057" t="s">
        <v>437</v>
      </c>
      <c r="W778" s="213"/>
      <c r="X778" s="211"/>
    </row>
    <row r="779">
      <c r="I779" s="215"/>
      <c r="J779" s="64"/>
      <c r="K779" s="215"/>
      <c r="L779" s="216"/>
      <c r="M779" s="64"/>
      <c r="T779" s="215"/>
      <c r="U779" s="64"/>
      <c r="V779" s="215"/>
      <c r="W779" s="216"/>
      <c r="X779" s="64"/>
    </row>
    <row r="780">
      <c r="I780" s="1056" t="s">
        <v>703</v>
      </c>
      <c r="J780" s="211"/>
      <c r="K780" s="1057">
        <v>6338.0</v>
      </c>
      <c r="L780" s="213"/>
      <c r="M780" s="211"/>
      <c r="T780" s="1056" t="s">
        <v>703</v>
      </c>
      <c r="U780" s="211"/>
      <c r="V780" s="1057">
        <v>6338.0</v>
      </c>
      <c r="W780" s="213"/>
      <c r="X780" s="211"/>
    </row>
    <row r="781">
      <c r="I781" s="215"/>
      <c r="J781" s="64"/>
      <c r="K781" s="215"/>
      <c r="L781" s="216"/>
      <c r="M781" s="64"/>
      <c r="T781" s="215"/>
      <c r="U781" s="64"/>
      <c r="V781" s="215"/>
      <c r="W781" s="216"/>
      <c r="X781" s="64"/>
    </row>
    <row r="782">
      <c r="D782" s="1059" t="s">
        <v>704</v>
      </c>
      <c r="E782" s="222"/>
      <c r="F782" s="1059" t="s">
        <v>5</v>
      </c>
      <c r="G782" s="222"/>
      <c r="H782" s="1059" t="s">
        <v>705</v>
      </c>
      <c r="I782" s="224"/>
      <c r="J782" s="222"/>
      <c r="K782" s="1060" t="s">
        <v>8</v>
      </c>
      <c r="L782" s="1060" t="s">
        <v>706</v>
      </c>
      <c r="M782" s="1060" t="s">
        <v>707</v>
      </c>
      <c r="O782" s="1059" t="s">
        <v>704</v>
      </c>
      <c r="P782" s="222"/>
      <c r="Q782" s="1059" t="s">
        <v>5</v>
      </c>
      <c r="R782" s="222"/>
      <c r="S782" s="1059" t="s">
        <v>705</v>
      </c>
      <c r="T782" s="224"/>
      <c r="U782" s="222"/>
      <c r="V782" s="1060" t="s">
        <v>591</v>
      </c>
      <c r="W782" s="1060" t="s">
        <v>708</v>
      </c>
      <c r="X782" s="1060" t="s">
        <v>707</v>
      </c>
    </row>
    <row r="783">
      <c r="D783" s="1061">
        <v>45985.0</v>
      </c>
      <c r="E783" s="222"/>
      <c r="F783" s="1089" t="s">
        <v>1577</v>
      </c>
      <c r="G783" s="222"/>
      <c r="H783" s="1059" t="s">
        <v>1578</v>
      </c>
      <c r="I783" s="224"/>
      <c r="J783" s="222"/>
      <c r="K783" s="1062">
        <v>1050.0</v>
      </c>
      <c r="L783" s="1063">
        <v>0.88</v>
      </c>
      <c r="M783" s="1062">
        <f t="shared" ref="M783:M785" si="50">K783*88/100</f>
        <v>924</v>
      </c>
      <c r="O783" s="1061">
        <v>45985.0</v>
      </c>
      <c r="P783" s="222"/>
      <c r="Q783" s="1089" t="s">
        <v>1577</v>
      </c>
      <c r="R783" s="222"/>
      <c r="S783" s="1059" t="s">
        <v>1578</v>
      </c>
      <c r="T783" s="224"/>
      <c r="U783" s="222"/>
      <c r="V783" s="1096">
        <v>659.0</v>
      </c>
      <c r="W783" s="1097">
        <v>0.65</v>
      </c>
      <c r="X783" s="1062">
        <f t="shared" ref="X783:X786" si="51">V783*W783</f>
        <v>428.35</v>
      </c>
    </row>
    <row r="784">
      <c r="D784" s="1061">
        <v>45986.0</v>
      </c>
      <c r="E784" s="222"/>
      <c r="F784" s="1059" t="s">
        <v>1579</v>
      </c>
      <c r="G784" s="222"/>
      <c r="H784" s="1059" t="s">
        <v>1580</v>
      </c>
      <c r="I784" s="224"/>
      <c r="J784" s="222"/>
      <c r="K784" s="1062">
        <v>1760.0</v>
      </c>
      <c r="L784" s="1063">
        <v>0.88</v>
      </c>
      <c r="M784" s="1062">
        <f t="shared" si="50"/>
        <v>1548.8</v>
      </c>
      <c r="O784" s="1061">
        <v>45986.0</v>
      </c>
      <c r="P784" s="222"/>
      <c r="Q784" s="1059" t="s">
        <v>1579</v>
      </c>
      <c r="R784" s="222"/>
      <c r="S784" s="1059" t="s">
        <v>1580</v>
      </c>
      <c r="T784" s="224"/>
      <c r="U784" s="222"/>
      <c r="V784" s="1062">
        <v>856.0</v>
      </c>
      <c r="W784" s="1097">
        <v>0.65</v>
      </c>
      <c r="X784" s="1062">
        <f t="shared" si="51"/>
        <v>556.4</v>
      </c>
    </row>
    <row r="785">
      <c r="D785" s="1065"/>
      <c r="E785" s="222"/>
      <c r="F785" s="1066"/>
      <c r="G785" s="222"/>
      <c r="H785" s="1066"/>
      <c r="I785" s="224"/>
      <c r="J785" s="222"/>
      <c r="K785" s="1067"/>
      <c r="L785" s="1063">
        <v>0.88</v>
      </c>
      <c r="M785" s="1062">
        <f t="shared" si="50"/>
        <v>0</v>
      </c>
      <c r="O785" s="1065"/>
      <c r="P785" s="222"/>
      <c r="Q785" s="1066"/>
      <c r="R785" s="222"/>
      <c r="S785" s="1066"/>
      <c r="T785" s="224"/>
      <c r="U785" s="222"/>
      <c r="V785" s="1098"/>
      <c r="W785" s="1069"/>
      <c r="X785" s="1062">
        <f t="shared" si="51"/>
        <v>0</v>
      </c>
    </row>
    <row r="786">
      <c r="D786" s="1065"/>
      <c r="E786" s="222"/>
      <c r="F786" s="1066"/>
      <c r="G786" s="222"/>
      <c r="H786" s="1066"/>
      <c r="I786" s="224"/>
      <c r="J786" s="222"/>
      <c r="K786" s="1067"/>
      <c r="L786" s="1069"/>
      <c r="M786" s="1067"/>
      <c r="O786" s="1066"/>
      <c r="P786" s="222"/>
      <c r="Q786" s="1066"/>
      <c r="R786" s="222"/>
      <c r="S786" s="1066"/>
      <c r="T786" s="224"/>
      <c r="U786" s="222"/>
      <c r="V786" s="1098"/>
      <c r="W786" s="1068"/>
      <c r="X786" s="1062">
        <f t="shared" si="51"/>
        <v>0</v>
      </c>
    </row>
    <row r="787">
      <c r="D787" s="1072" t="s">
        <v>711</v>
      </c>
      <c r="E787" s="224"/>
      <c r="F787" s="224"/>
      <c r="G787" s="224"/>
      <c r="H787" s="224"/>
      <c r="I787" s="224"/>
      <c r="J787" s="222"/>
      <c r="K787" s="1073">
        <f>SUM(K783:K786)</f>
        <v>2810</v>
      </c>
      <c r="L787" s="1069"/>
      <c r="M787" s="1073">
        <f>SUM(M783:M786)</f>
        <v>2472.8</v>
      </c>
      <c r="O787" s="1066"/>
      <c r="P787" s="222"/>
      <c r="Q787" s="1066"/>
      <c r="R787" s="222"/>
      <c r="S787" s="1066"/>
      <c r="T787" s="224"/>
      <c r="U787" s="222"/>
      <c r="V787" s="1098"/>
      <c r="W787" s="1068"/>
      <c r="X787" s="1067"/>
    </row>
    <row r="788">
      <c r="D788" s="1055"/>
      <c r="E788" s="1055"/>
      <c r="F788" s="1055"/>
      <c r="G788" s="1055"/>
      <c r="H788" s="1055"/>
      <c r="I788" s="1055"/>
      <c r="J788" s="1055"/>
      <c r="K788" s="1055"/>
      <c r="L788" s="1055"/>
      <c r="M788" s="1055"/>
      <c r="O788" s="1066"/>
      <c r="P788" s="222"/>
      <c r="Q788" s="1066"/>
      <c r="R788" s="222"/>
      <c r="S788" s="1066"/>
      <c r="T788" s="224"/>
      <c r="U788" s="222"/>
      <c r="V788" s="1098"/>
      <c r="W788" s="1068"/>
      <c r="X788" s="1067"/>
    </row>
    <row r="789">
      <c r="D789" s="1075" t="s">
        <v>712</v>
      </c>
      <c r="E789" s="222"/>
      <c r="F789" s="1076"/>
      <c r="G789" s="222"/>
      <c r="H789" s="1055"/>
      <c r="I789" s="1055"/>
      <c r="J789" s="1055"/>
      <c r="K789" s="1055"/>
      <c r="L789" s="1055"/>
      <c r="M789" s="1055"/>
      <c r="O789" s="1072" t="s">
        <v>711</v>
      </c>
      <c r="P789" s="224"/>
      <c r="Q789" s="224"/>
      <c r="R789" s="224"/>
      <c r="S789" s="224"/>
      <c r="T789" s="224"/>
      <c r="U789" s="222"/>
      <c r="V789" s="1096">
        <f>SUM(V783:V788)</f>
        <v>1515</v>
      </c>
      <c r="W789" s="1074"/>
      <c r="X789" s="1062">
        <f>SUM(X783:X788)</f>
        <v>984.75</v>
      </c>
    </row>
    <row r="790">
      <c r="D790" s="1077" t="s">
        <v>1496</v>
      </c>
      <c r="E790" s="222"/>
      <c r="F790" s="1078">
        <v>250.0</v>
      </c>
      <c r="G790" s="222"/>
      <c r="H790" s="1055"/>
      <c r="I790" s="1055"/>
      <c r="J790" s="1055"/>
      <c r="K790" s="1055"/>
      <c r="L790" s="1055"/>
      <c r="M790" s="1055"/>
      <c r="O790" s="1055"/>
      <c r="P790" s="1055"/>
      <c r="Q790" s="1055"/>
      <c r="R790" s="1055"/>
      <c r="S790" s="1055"/>
      <c r="T790" s="1055"/>
      <c r="U790" s="1055"/>
      <c r="V790" s="1055"/>
      <c r="W790" s="1055"/>
      <c r="X790" s="1055"/>
    </row>
    <row r="791">
      <c r="D791" s="1079"/>
      <c r="E791" s="222"/>
      <c r="F791" s="1076"/>
      <c r="G791" s="222"/>
      <c r="H791" s="1055"/>
      <c r="I791" s="163"/>
      <c r="J791" s="163"/>
      <c r="K791" s="163"/>
      <c r="L791" s="163"/>
      <c r="M791" s="163"/>
      <c r="O791" s="1075" t="s">
        <v>712</v>
      </c>
      <c r="P791" s="222"/>
      <c r="Q791" s="1076"/>
      <c r="R791" s="222"/>
      <c r="S791" s="1055"/>
      <c r="T791" s="1055"/>
      <c r="U791" s="1055"/>
      <c r="V791" s="1055"/>
      <c r="W791" s="1055"/>
      <c r="X791" s="1055"/>
    </row>
    <row r="792">
      <c r="D792" s="1080" t="s">
        <v>714</v>
      </c>
      <c r="E792" s="222"/>
      <c r="F792" s="1078">
        <f>SUM(F789:G791)</f>
        <v>250</v>
      </c>
      <c r="G792" s="222"/>
      <c r="H792" s="1055"/>
      <c r="I792" s="163"/>
      <c r="J792" s="163"/>
      <c r="K792" s="163"/>
      <c r="L792" s="163"/>
      <c r="M792" s="163"/>
      <c r="O792" s="1077" t="s">
        <v>1496</v>
      </c>
      <c r="P792" s="222"/>
      <c r="Q792" s="1078">
        <v>250.0</v>
      </c>
      <c r="R792" s="222"/>
      <c r="S792" s="1055"/>
      <c r="T792" s="1055"/>
      <c r="U792" s="1055"/>
      <c r="V792" s="1055"/>
      <c r="W792" s="1055"/>
      <c r="X792" s="1055"/>
    </row>
    <row r="793">
      <c r="D793" s="1081"/>
      <c r="E793" s="224"/>
      <c r="F793" s="224"/>
      <c r="G793" s="222"/>
      <c r="H793" s="1055"/>
      <c r="I793" s="163"/>
      <c r="J793" s="163"/>
      <c r="K793" s="163"/>
      <c r="L793" s="163"/>
      <c r="M793" s="163"/>
      <c r="O793" s="1079"/>
      <c r="P793" s="222"/>
      <c r="Q793" s="1076"/>
      <c r="R793" s="222"/>
      <c r="S793" s="1055"/>
      <c r="T793" s="1055"/>
      <c r="U793" s="1055"/>
      <c r="V793" s="1055"/>
      <c r="W793" s="1055"/>
      <c r="X793" s="1055"/>
    </row>
    <row r="794">
      <c r="D794" s="1082" t="s">
        <v>715</v>
      </c>
      <c r="E794" s="222"/>
      <c r="F794" s="1083"/>
      <c r="G794" s="222"/>
      <c r="H794" s="1055"/>
      <c r="I794" s="163"/>
      <c r="J794" s="163"/>
      <c r="K794" s="163"/>
      <c r="L794" s="163"/>
      <c r="M794" s="163"/>
      <c r="O794" s="1079"/>
      <c r="P794" s="222"/>
      <c r="Q794" s="1076"/>
      <c r="R794" s="222"/>
      <c r="S794" s="1055"/>
      <c r="T794" s="1055"/>
      <c r="U794" s="1055"/>
      <c r="V794" s="1055"/>
      <c r="W794" s="1055"/>
      <c r="X794" s="1055"/>
    </row>
    <row r="795">
      <c r="D795" s="1090" t="s">
        <v>716</v>
      </c>
      <c r="E795" s="222"/>
      <c r="F795" s="1088">
        <v>150.0</v>
      </c>
      <c r="G795" s="222"/>
      <c r="H795" s="1055"/>
      <c r="I795" s="163"/>
      <c r="J795" s="163"/>
      <c r="K795" s="163"/>
      <c r="L795" s="163"/>
      <c r="M795" s="163"/>
      <c r="O795" s="1079"/>
      <c r="P795" s="222"/>
      <c r="Q795" s="1076"/>
      <c r="R795" s="222"/>
      <c r="S795" s="1055"/>
      <c r="T795" s="1055"/>
      <c r="U795" s="1055"/>
      <c r="V795" s="1055"/>
      <c r="W795" s="1055"/>
      <c r="X795" s="1055"/>
    </row>
    <row r="796">
      <c r="D796" s="1090" t="s">
        <v>717</v>
      </c>
      <c r="E796" s="222"/>
      <c r="F796" s="1088">
        <v>400.0</v>
      </c>
      <c r="G796" s="222"/>
      <c r="H796" s="1055"/>
      <c r="I796" s="163"/>
      <c r="J796" s="163"/>
      <c r="K796" s="163"/>
      <c r="L796" s="163"/>
      <c r="M796" s="163"/>
      <c r="O796" s="1079"/>
      <c r="P796" s="222"/>
      <c r="Q796" s="1076"/>
      <c r="R796" s="222"/>
      <c r="S796" s="1055"/>
      <c r="T796" s="1055"/>
      <c r="U796" s="1055"/>
      <c r="V796" s="1055"/>
      <c r="W796" s="1055"/>
      <c r="X796" s="1055"/>
    </row>
    <row r="797">
      <c r="D797" s="1090" t="s">
        <v>718</v>
      </c>
      <c r="E797" s="222"/>
      <c r="F797" s="1088">
        <v>0.0</v>
      </c>
      <c r="G797" s="222"/>
      <c r="H797" s="1055"/>
      <c r="I797" s="163"/>
      <c r="J797" s="163"/>
      <c r="K797" s="163"/>
      <c r="L797" s="163"/>
      <c r="M797" s="163"/>
      <c r="O797" s="1080" t="s">
        <v>714</v>
      </c>
      <c r="P797" s="222"/>
      <c r="Q797" s="1078">
        <f>SUM(Q791:R796)</f>
        <v>250</v>
      </c>
      <c r="R797" s="222"/>
      <c r="S797" s="1055"/>
      <c r="T797" s="1055"/>
      <c r="U797" s="1055"/>
      <c r="V797" s="1055"/>
      <c r="W797" s="1055"/>
      <c r="X797" s="1055"/>
    </row>
    <row r="798">
      <c r="D798" s="1090" t="s">
        <v>656</v>
      </c>
      <c r="E798" s="222"/>
      <c r="F798" s="1088">
        <v>926.26</v>
      </c>
      <c r="G798" s="222"/>
      <c r="H798" s="1055"/>
      <c r="I798" s="163"/>
      <c r="J798" s="163"/>
      <c r="K798" s="163"/>
      <c r="L798" s="163"/>
      <c r="M798" s="163"/>
      <c r="O798" s="1055"/>
      <c r="P798" s="1055"/>
      <c r="Q798" s="1055"/>
      <c r="S798" s="1055"/>
      <c r="T798" s="1055"/>
      <c r="U798" s="1055"/>
      <c r="V798" s="1055"/>
      <c r="W798" s="1055"/>
      <c r="X798" s="1055"/>
    </row>
    <row r="799">
      <c r="D799" s="1092" t="s">
        <v>1581</v>
      </c>
      <c r="E799" s="211"/>
      <c r="F799" s="1093">
        <f>2233.85/3</f>
        <v>744.6166667</v>
      </c>
      <c r="G799" s="211"/>
      <c r="H799" s="1055"/>
      <c r="I799" s="1055"/>
      <c r="J799" s="1085" t="s">
        <v>1498</v>
      </c>
      <c r="K799" s="211"/>
      <c r="L799" s="1086">
        <f>M787+F792-F804</f>
        <v>-1104.486667</v>
      </c>
      <c r="M799" s="211"/>
      <c r="O799" s="1082" t="s">
        <v>715</v>
      </c>
      <c r="P799" s="222"/>
      <c r="Q799" s="1083"/>
      <c r="R799" s="222"/>
      <c r="S799" s="1055"/>
      <c r="T799" s="1055"/>
      <c r="U799" s="1055"/>
      <c r="V799" s="1055"/>
      <c r="W799" s="1055"/>
      <c r="X799" s="1055"/>
    </row>
    <row r="800">
      <c r="D800" s="215"/>
      <c r="E800" s="64"/>
      <c r="F800" s="215"/>
      <c r="G800" s="64"/>
      <c r="H800" s="1055"/>
      <c r="I800" s="1055"/>
      <c r="J800" s="278"/>
      <c r="K800" s="56"/>
      <c r="L800" s="278"/>
      <c r="M800" s="56"/>
      <c r="O800" s="1084"/>
      <c r="P800" s="222"/>
      <c r="Q800" s="1083"/>
      <c r="R800" s="222"/>
      <c r="S800" s="1055"/>
      <c r="T800" s="1055"/>
      <c r="U800" s="1085" t="s">
        <v>1497</v>
      </c>
      <c r="V800" s="211"/>
      <c r="W800" s="1086">
        <f>X789+Q797-Q805</f>
        <v>1234.75</v>
      </c>
      <c r="X800" s="211"/>
    </row>
    <row r="801">
      <c r="D801" s="1090" t="s">
        <v>807</v>
      </c>
      <c r="E801" s="222"/>
      <c r="F801" s="1088">
        <v>1606.41</v>
      </c>
      <c r="G801" s="222"/>
      <c r="H801" s="1055"/>
      <c r="I801" s="1055"/>
      <c r="J801" s="215"/>
      <c r="K801" s="64"/>
      <c r="L801" s="215"/>
      <c r="M801" s="64"/>
      <c r="O801" s="1084"/>
      <c r="P801" s="222"/>
      <c r="Q801" s="1083"/>
      <c r="R801" s="222"/>
      <c r="S801" s="1055"/>
      <c r="T801" s="1055"/>
      <c r="U801" s="278"/>
      <c r="V801" s="56"/>
      <c r="W801" s="278"/>
      <c r="X801" s="56"/>
    </row>
    <row r="802">
      <c r="D802" s="1084"/>
      <c r="E802" s="222"/>
      <c r="F802" s="1083"/>
      <c r="G802" s="222"/>
      <c r="H802" s="1055"/>
      <c r="I802" s="1055"/>
      <c r="J802" s="1055"/>
      <c r="K802" s="1055"/>
      <c r="L802" s="1055"/>
      <c r="M802" s="1055"/>
      <c r="O802" s="1084"/>
      <c r="P802" s="222"/>
      <c r="Q802" s="1083"/>
      <c r="R802" s="222"/>
      <c r="S802" s="1055"/>
      <c r="T802" s="1055"/>
      <c r="U802" s="215"/>
      <c r="V802" s="64"/>
      <c r="W802" s="215"/>
      <c r="X802" s="64"/>
    </row>
    <row r="803">
      <c r="D803" s="1084"/>
      <c r="E803" s="222"/>
      <c r="F803" s="1083"/>
      <c r="G803" s="222"/>
      <c r="H803" s="1055"/>
      <c r="I803" s="1055"/>
      <c r="J803" s="1055"/>
      <c r="K803" s="1055"/>
      <c r="L803" s="1055"/>
      <c r="M803" s="1055"/>
      <c r="O803" s="1084"/>
      <c r="P803" s="222"/>
      <c r="Q803" s="1083"/>
      <c r="R803" s="222"/>
      <c r="S803" s="1055"/>
      <c r="T803" s="1055"/>
      <c r="U803" s="1055"/>
      <c r="V803" s="1055"/>
      <c r="W803" s="1055"/>
      <c r="X803" s="1055"/>
    </row>
    <row r="804">
      <c r="D804" s="1087" t="s">
        <v>721</v>
      </c>
      <c r="E804" s="222"/>
      <c r="F804" s="1088">
        <f>SUM(F795:G803)</f>
        <v>3827.286667</v>
      </c>
      <c r="G804" s="222"/>
      <c r="H804" s="1055"/>
      <c r="I804" s="1055"/>
      <c r="J804" s="1055"/>
      <c r="K804" s="1055"/>
      <c r="L804" s="1055"/>
      <c r="M804" s="1055"/>
      <c r="O804" s="1084"/>
      <c r="P804" s="222"/>
      <c r="Q804" s="1083"/>
      <c r="R804" s="222"/>
      <c r="S804" s="1055"/>
      <c r="T804" s="1055"/>
      <c r="U804" s="1055"/>
      <c r="V804" s="1055"/>
      <c r="W804" s="1055"/>
      <c r="X804" s="1055"/>
    </row>
    <row r="805">
      <c r="O805" s="1087" t="s">
        <v>721</v>
      </c>
      <c r="P805" s="222"/>
      <c r="Q805" s="1088">
        <f>SUM(Q799:R804)</f>
        <v>0</v>
      </c>
      <c r="R805" s="222"/>
      <c r="S805" s="1055"/>
      <c r="T805" s="1055"/>
      <c r="U805" s="1055"/>
      <c r="V805" s="1055"/>
      <c r="W805" s="1055"/>
      <c r="X805" s="1055"/>
    </row>
  </sheetData>
  <mergeCells count="2974">
    <mergeCell ref="I6:J7"/>
    <mergeCell ref="I8:J9"/>
    <mergeCell ref="H10:J10"/>
    <mergeCell ref="H11:J11"/>
    <mergeCell ref="H12:J12"/>
    <mergeCell ref="D4:H9"/>
    <mergeCell ref="D10:E10"/>
    <mergeCell ref="F10:G10"/>
    <mergeCell ref="D11:E11"/>
    <mergeCell ref="F11:G11"/>
    <mergeCell ref="D12:E12"/>
    <mergeCell ref="F12:G12"/>
    <mergeCell ref="D14:E14"/>
    <mergeCell ref="F14:G14"/>
    <mergeCell ref="H14:J14"/>
    <mergeCell ref="O14:P14"/>
    <mergeCell ref="Q14:R14"/>
    <mergeCell ref="S14:U14"/>
    <mergeCell ref="F15:G15"/>
    <mergeCell ref="H15:J15"/>
    <mergeCell ref="O15:P15"/>
    <mergeCell ref="Q15:R15"/>
    <mergeCell ref="S15:U15"/>
    <mergeCell ref="D16:J16"/>
    <mergeCell ref="O16:U16"/>
    <mergeCell ref="O21:P21"/>
    <mergeCell ref="O22:P22"/>
    <mergeCell ref="O18:P18"/>
    <mergeCell ref="Q18:R18"/>
    <mergeCell ref="O19:P19"/>
    <mergeCell ref="Q19:R19"/>
    <mergeCell ref="O20:P20"/>
    <mergeCell ref="Q20:R20"/>
    <mergeCell ref="Q21:R21"/>
    <mergeCell ref="Q22:R22"/>
    <mergeCell ref="D21:E21"/>
    <mergeCell ref="F21:G21"/>
    <mergeCell ref="D22:E22"/>
    <mergeCell ref="F22:G22"/>
    <mergeCell ref="D23:G23"/>
    <mergeCell ref="O23:P23"/>
    <mergeCell ref="Q23:R23"/>
    <mergeCell ref="D24:E24"/>
    <mergeCell ref="F24:G24"/>
    <mergeCell ref="O24:P24"/>
    <mergeCell ref="Q24:R24"/>
    <mergeCell ref="D25:E25"/>
    <mergeCell ref="F25:G25"/>
    <mergeCell ref="Q25:R25"/>
    <mergeCell ref="D28:E28"/>
    <mergeCell ref="F28:G28"/>
    <mergeCell ref="O28:P28"/>
    <mergeCell ref="Q28:R28"/>
    <mergeCell ref="D26:E26"/>
    <mergeCell ref="F26:G26"/>
    <mergeCell ref="O26:P26"/>
    <mergeCell ref="Q26:R26"/>
    <mergeCell ref="D27:E27"/>
    <mergeCell ref="F27:G27"/>
    <mergeCell ref="O27:P27"/>
    <mergeCell ref="T4:U5"/>
    <mergeCell ref="T6:U7"/>
    <mergeCell ref="I4:J5"/>
    <mergeCell ref="K4:M5"/>
    <mergeCell ref="V4:X5"/>
    <mergeCell ref="K6:M7"/>
    <mergeCell ref="V6:X7"/>
    <mergeCell ref="K8:M9"/>
    <mergeCell ref="V8:X9"/>
    <mergeCell ref="O11:P11"/>
    <mergeCell ref="O12:P12"/>
    <mergeCell ref="Q12:R12"/>
    <mergeCell ref="S12:U12"/>
    <mergeCell ref="O4:S9"/>
    <mergeCell ref="T8:U9"/>
    <mergeCell ref="O10:P10"/>
    <mergeCell ref="Q10:R10"/>
    <mergeCell ref="S10:U10"/>
    <mergeCell ref="Q11:R11"/>
    <mergeCell ref="S11:U11"/>
    <mergeCell ref="D13:E13"/>
    <mergeCell ref="F13:G13"/>
    <mergeCell ref="H13:J13"/>
    <mergeCell ref="O13:P13"/>
    <mergeCell ref="Q13:R13"/>
    <mergeCell ref="S13:U13"/>
    <mergeCell ref="Q27:R27"/>
    <mergeCell ref="U27:V29"/>
    <mergeCell ref="W27:X29"/>
    <mergeCell ref="O29:P29"/>
    <mergeCell ref="Q29:R29"/>
    <mergeCell ref="D15:E15"/>
    <mergeCell ref="D18:E18"/>
    <mergeCell ref="F18:G18"/>
    <mergeCell ref="D19:E19"/>
    <mergeCell ref="F19:G19"/>
    <mergeCell ref="D20:E20"/>
    <mergeCell ref="F20:G20"/>
    <mergeCell ref="T39:U40"/>
    <mergeCell ref="V39:X40"/>
    <mergeCell ref="O30:P30"/>
    <mergeCell ref="O31:P31"/>
    <mergeCell ref="O32:P32"/>
    <mergeCell ref="Q32:R32"/>
    <mergeCell ref="O35:S40"/>
    <mergeCell ref="T35:U36"/>
    <mergeCell ref="V35:X36"/>
    <mergeCell ref="I39:J40"/>
    <mergeCell ref="K39:M40"/>
    <mergeCell ref="D30:E30"/>
    <mergeCell ref="D31:E31"/>
    <mergeCell ref="D32:E32"/>
    <mergeCell ref="F32:G32"/>
    <mergeCell ref="D35:H40"/>
    <mergeCell ref="I35:J36"/>
    <mergeCell ref="K35:M36"/>
    <mergeCell ref="F44:G44"/>
    <mergeCell ref="H44:J44"/>
    <mergeCell ref="D42:E42"/>
    <mergeCell ref="F42:G42"/>
    <mergeCell ref="H42:J42"/>
    <mergeCell ref="D43:E43"/>
    <mergeCell ref="F43:G43"/>
    <mergeCell ref="H43:J43"/>
    <mergeCell ref="D44:E44"/>
    <mergeCell ref="F47:G47"/>
    <mergeCell ref="H47:J47"/>
    <mergeCell ref="D45:E45"/>
    <mergeCell ref="F45:G45"/>
    <mergeCell ref="H45:J45"/>
    <mergeCell ref="D46:E46"/>
    <mergeCell ref="F46:G46"/>
    <mergeCell ref="H46:J46"/>
    <mergeCell ref="D48:J48"/>
    <mergeCell ref="D47:E47"/>
    <mergeCell ref="D50:E50"/>
    <mergeCell ref="F50:G50"/>
    <mergeCell ref="D51:E51"/>
    <mergeCell ref="F51:G51"/>
    <mergeCell ref="D52:E52"/>
    <mergeCell ref="F52:G52"/>
    <mergeCell ref="D53:E53"/>
    <mergeCell ref="F53:G53"/>
    <mergeCell ref="D54:G54"/>
    <mergeCell ref="D55:E55"/>
    <mergeCell ref="F55:G55"/>
    <mergeCell ref="D56:E56"/>
    <mergeCell ref="F56:G56"/>
    <mergeCell ref="F60:G60"/>
    <mergeCell ref="J60:K62"/>
    <mergeCell ref="L60:M62"/>
    <mergeCell ref="F61:G61"/>
    <mergeCell ref="F62:G62"/>
    <mergeCell ref="D57:E57"/>
    <mergeCell ref="F57:G57"/>
    <mergeCell ref="D58:E58"/>
    <mergeCell ref="F58:G58"/>
    <mergeCell ref="D59:E59"/>
    <mergeCell ref="F59:G59"/>
    <mergeCell ref="D60:E60"/>
    <mergeCell ref="D61:E61"/>
    <mergeCell ref="D62:E62"/>
    <mergeCell ref="D63:E63"/>
    <mergeCell ref="F63:G63"/>
    <mergeCell ref="D64:E64"/>
    <mergeCell ref="F64:G64"/>
    <mergeCell ref="D65:E65"/>
    <mergeCell ref="H74:J74"/>
    <mergeCell ref="H75:J75"/>
    <mergeCell ref="H76:J76"/>
    <mergeCell ref="F65:G65"/>
    <mergeCell ref="I68:J69"/>
    <mergeCell ref="K68:M69"/>
    <mergeCell ref="I70:J71"/>
    <mergeCell ref="K70:M71"/>
    <mergeCell ref="I72:J73"/>
    <mergeCell ref="K72:M73"/>
    <mergeCell ref="D68:H73"/>
    <mergeCell ref="D74:E74"/>
    <mergeCell ref="F74:G74"/>
    <mergeCell ref="D75:E75"/>
    <mergeCell ref="F75:G75"/>
    <mergeCell ref="D76:E76"/>
    <mergeCell ref="F76:G76"/>
    <mergeCell ref="O84:P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Q90:R90"/>
    <mergeCell ref="O91:P91"/>
    <mergeCell ref="Q91:R91"/>
    <mergeCell ref="O92:P92"/>
    <mergeCell ref="Q92:R92"/>
    <mergeCell ref="U92:V94"/>
    <mergeCell ref="W92:X94"/>
    <mergeCell ref="O93:P93"/>
    <mergeCell ref="Q93:R93"/>
    <mergeCell ref="Q94:R94"/>
    <mergeCell ref="O94:P94"/>
    <mergeCell ref="O95:P95"/>
    <mergeCell ref="Q95:R95"/>
    <mergeCell ref="O96:P96"/>
    <mergeCell ref="Q96:R96"/>
    <mergeCell ref="O97:P97"/>
    <mergeCell ref="Q97:R97"/>
    <mergeCell ref="O100:S105"/>
    <mergeCell ref="T100:U101"/>
    <mergeCell ref="V100:X101"/>
    <mergeCell ref="T102:U103"/>
    <mergeCell ref="V102:X103"/>
    <mergeCell ref="T104:U105"/>
    <mergeCell ref="V104:X105"/>
    <mergeCell ref="Q108:R108"/>
    <mergeCell ref="S108:U108"/>
    <mergeCell ref="O106:P106"/>
    <mergeCell ref="Q106:R106"/>
    <mergeCell ref="S106:U106"/>
    <mergeCell ref="O107:P107"/>
    <mergeCell ref="Q107:R107"/>
    <mergeCell ref="S107:U107"/>
    <mergeCell ref="O108:P108"/>
    <mergeCell ref="Q111:R111"/>
    <mergeCell ref="S111:U111"/>
    <mergeCell ref="O109:P109"/>
    <mergeCell ref="Q109:R109"/>
    <mergeCell ref="S109:U109"/>
    <mergeCell ref="O110:P110"/>
    <mergeCell ref="Q110:R110"/>
    <mergeCell ref="S110:U110"/>
    <mergeCell ref="O111:P111"/>
    <mergeCell ref="O112:P112"/>
    <mergeCell ref="Q112:R112"/>
    <mergeCell ref="S112:U112"/>
    <mergeCell ref="O113:U113"/>
    <mergeCell ref="O115:P115"/>
    <mergeCell ref="Q115:R115"/>
    <mergeCell ref="Q116:R116"/>
    <mergeCell ref="O116:P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Q122:R122"/>
    <mergeCell ref="O123:P123"/>
    <mergeCell ref="Q123:R123"/>
    <mergeCell ref="O124:P124"/>
    <mergeCell ref="Q124:R124"/>
    <mergeCell ref="U124:V126"/>
    <mergeCell ref="W124:X126"/>
    <mergeCell ref="O125:P125"/>
    <mergeCell ref="Q125:R125"/>
    <mergeCell ref="Q126:R126"/>
    <mergeCell ref="O126:P126"/>
    <mergeCell ref="O127:P127"/>
    <mergeCell ref="Q127:R127"/>
    <mergeCell ref="O128:P128"/>
    <mergeCell ref="Q128:R128"/>
    <mergeCell ref="O129:P129"/>
    <mergeCell ref="Q129:R129"/>
    <mergeCell ref="D29:E29"/>
    <mergeCell ref="F29:G29"/>
    <mergeCell ref="F30:G30"/>
    <mergeCell ref="J30:K31"/>
    <mergeCell ref="L30:M31"/>
    <mergeCell ref="Q30:R30"/>
    <mergeCell ref="F31:G31"/>
    <mergeCell ref="Q31:R31"/>
    <mergeCell ref="Z35:AD40"/>
    <mergeCell ref="AE35:AF36"/>
    <mergeCell ref="AG35:AI36"/>
    <mergeCell ref="AE37:AF38"/>
    <mergeCell ref="AG37:AI38"/>
    <mergeCell ref="AE39:AF40"/>
    <mergeCell ref="AG39:AI40"/>
    <mergeCell ref="I37:J38"/>
    <mergeCell ref="K37:M38"/>
    <mergeCell ref="T37:U38"/>
    <mergeCell ref="V37:X38"/>
    <mergeCell ref="AB41:AC41"/>
    <mergeCell ref="AD41:AF41"/>
    <mergeCell ref="D41:E41"/>
    <mergeCell ref="F41:G41"/>
    <mergeCell ref="H41:J41"/>
    <mergeCell ref="O41:P41"/>
    <mergeCell ref="Q41:R41"/>
    <mergeCell ref="S41:U41"/>
    <mergeCell ref="Z41:AA41"/>
    <mergeCell ref="Z43:AA43"/>
    <mergeCell ref="AB43:AC43"/>
    <mergeCell ref="Z52:AA52"/>
    <mergeCell ref="AB52:AC52"/>
    <mergeCell ref="Z53:AA53"/>
    <mergeCell ref="AB53:AC53"/>
    <mergeCell ref="Z54:AA54"/>
    <mergeCell ref="AB54:AC54"/>
    <mergeCell ref="AB55:AC55"/>
    <mergeCell ref="Z59:AA59"/>
    <mergeCell ref="Z60:AA60"/>
    <mergeCell ref="AB60:AC60"/>
    <mergeCell ref="Z61:AA61"/>
    <mergeCell ref="AB61:AC61"/>
    <mergeCell ref="Z62:AA62"/>
    <mergeCell ref="AB62:AC62"/>
    <mergeCell ref="Z63:AA63"/>
    <mergeCell ref="AB63:AC63"/>
    <mergeCell ref="Z55:AA55"/>
    <mergeCell ref="Z56:AA56"/>
    <mergeCell ref="Z58:AA58"/>
    <mergeCell ref="AB58:AC58"/>
    <mergeCell ref="AB59:AC59"/>
    <mergeCell ref="AF59:AG61"/>
    <mergeCell ref="AH59:AI61"/>
    <mergeCell ref="O42:P42"/>
    <mergeCell ref="Q42:R42"/>
    <mergeCell ref="S42:U42"/>
    <mergeCell ref="Z42:AA42"/>
    <mergeCell ref="AB42:AC42"/>
    <mergeCell ref="AD42:AF42"/>
    <mergeCell ref="O43:P43"/>
    <mergeCell ref="AD43:AF43"/>
    <mergeCell ref="Q43:R43"/>
    <mergeCell ref="S43:U43"/>
    <mergeCell ref="Q44:R44"/>
    <mergeCell ref="S44:U44"/>
    <mergeCell ref="Z44:AA44"/>
    <mergeCell ref="AB44:AC44"/>
    <mergeCell ref="AD44:AF44"/>
    <mergeCell ref="O44:P44"/>
    <mergeCell ref="O45:P45"/>
    <mergeCell ref="Q45:R45"/>
    <mergeCell ref="S45:U45"/>
    <mergeCell ref="Z45:AA45"/>
    <mergeCell ref="AB45:AC45"/>
    <mergeCell ref="AD45:AF45"/>
    <mergeCell ref="O46:P46"/>
    <mergeCell ref="Q46:R46"/>
    <mergeCell ref="S46:U46"/>
    <mergeCell ref="Z46:AA46"/>
    <mergeCell ref="AB46:AC46"/>
    <mergeCell ref="AD46:AF46"/>
    <mergeCell ref="O47:P47"/>
    <mergeCell ref="AD47:AF47"/>
    <mergeCell ref="Q47:R47"/>
    <mergeCell ref="S47:U47"/>
    <mergeCell ref="O48:U48"/>
    <mergeCell ref="O50:P50"/>
    <mergeCell ref="Q50:R50"/>
    <mergeCell ref="O51:P51"/>
    <mergeCell ref="Q51:R51"/>
    <mergeCell ref="Z47:AA47"/>
    <mergeCell ref="AB47:AC47"/>
    <mergeCell ref="Z48:AF48"/>
    <mergeCell ref="Z50:AA50"/>
    <mergeCell ref="AB50:AC50"/>
    <mergeCell ref="Z51:AA51"/>
    <mergeCell ref="AB51:AC51"/>
    <mergeCell ref="AB56:AC56"/>
    <mergeCell ref="AB57:AC57"/>
    <mergeCell ref="Q76:R76"/>
    <mergeCell ref="S76:U76"/>
    <mergeCell ref="O74:P74"/>
    <mergeCell ref="Q74:R74"/>
    <mergeCell ref="S74:U74"/>
    <mergeCell ref="O75:P75"/>
    <mergeCell ref="Q75:R75"/>
    <mergeCell ref="S75:U75"/>
    <mergeCell ref="O76:P76"/>
    <mergeCell ref="Q79:R79"/>
    <mergeCell ref="S79:U79"/>
    <mergeCell ref="O77:P77"/>
    <mergeCell ref="Q77:R77"/>
    <mergeCell ref="S77:U77"/>
    <mergeCell ref="O78:P78"/>
    <mergeCell ref="Q78:R78"/>
    <mergeCell ref="S78:U78"/>
    <mergeCell ref="O79:P79"/>
    <mergeCell ref="O52:P52"/>
    <mergeCell ref="Q52:R52"/>
    <mergeCell ref="O53:P53"/>
    <mergeCell ref="Q53:R53"/>
    <mergeCell ref="O54:P54"/>
    <mergeCell ref="Q54:R54"/>
    <mergeCell ref="Q55:R55"/>
    <mergeCell ref="Q61:R61"/>
    <mergeCell ref="Q62:R62"/>
    <mergeCell ref="Q63:R63"/>
    <mergeCell ref="Q64:R64"/>
    <mergeCell ref="Q56:R56"/>
    <mergeCell ref="Q57:R57"/>
    <mergeCell ref="Q58:R58"/>
    <mergeCell ref="Q59:R59"/>
    <mergeCell ref="U59:V61"/>
    <mergeCell ref="W59:X61"/>
    <mergeCell ref="Q60:R60"/>
    <mergeCell ref="O55:P55"/>
    <mergeCell ref="O56:P56"/>
    <mergeCell ref="O58:P58"/>
    <mergeCell ref="O59:P59"/>
    <mergeCell ref="O60:P60"/>
    <mergeCell ref="O61:P61"/>
    <mergeCell ref="O62:P62"/>
    <mergeCell ref="T72:U73"/>
    <mergeCell ref="V72:X73"/>
    <mergeCell ref="O63:P63"/>
    <mergeCell ref="O64:P64"/>
    <mergeCell ref="O68:S73"/>
    <mergeCell ref="T68:U69"/>
    <mergeCell ref="V68:X69"/>
    <mergeCell ref="T70:U71"/>
    <mergeCell ref="V70:X71"/>
    <mergeCell ref="O80:P80"/>
    <mergeCell ref="Q80:R80"/>
    <mergeCell ref="S80:U80"/>
    <mergeCell ref="O81:U81"/>
    <mergeCell ref="O83:P83"/>
    <mergeCell ref="Q83:R83"/>
    <mergeCell ref="Q84:R84"/>
    <mergeCell ref="O134:S139"/>
    <mergeCell ref="T134:U135"/>
    <mergeCell ref="V134:X135"/>
    <mergeCell ref="T136:U137"/>
    <mergeCell ref="V136:X137"/>
    <mergeCell ref="T138:U139"/>
    <mergeCell ref="V138:X139"/>
    <mergeCell ref="Q142:R142"/>
    <mergeCell ref="S142:U142"/>
    <mergeCell ref="O140:P140"/>
    <mergeCell ref="Q140:R140"/>
    <mergeCell ref="S140:U140"/>
    <mergeCell ref="O141:P141"/>
    <mergeCell ref="Q141:R141"/>
    <mergeCell ref="S141:U141"/>
    <mergeCell ref="O142:P142"/>
    <mergeCell ref="Q145:R145"/>
    <mergeCell ref="S145:U145"/>
    <mergeCell ref="O143:P143"/>
    <mergeCell ref="Q143:R143"/>
    <mergeCell ref="S143:U143"/>
    <mergeCell ref="O144:P144"/>
    <mergeCell ref="Q144:R144"/>
    <mergeCell ref="S144:U144"/>
    <mergeCell ref="O145:P145"/>
    <mergeCell ref="O146:P146"/>
    <mergeCell ref="Q146:R146"/>
    <mergeCell ref="S146:U146"/>
    <mergeCell ref="O147:P147"/>
    <mergeCell ref="Q147:R147"/>
    <mergeCell ref="S147:U147"/>
    <mergeCell ref="O148:U148"/>
    <mergeCell ref="Q154:R154"/>
    <mergeCell ref="Q155:R155"/>
    <mergeCell ref="D182:E182"/>
    <mergeCell ref="D183:E183"/>
    <mergeCell ref="F183:G183"/>
    <mergeCell ref="D184:E184"/>
    <mergeCell ref="F184:G184"/>
    <mergeCell ref="D185:E185"/>
    <mergeCell ref="F185:G185"/>
    <mergeCell ref="D186:G186"/>
    <mergeCell ref="D187:E187"/>
    <mergeCell ref="F187:G187"/>
    <mergeCell ref="D188:E188"/>
    <mergeCell ref="F188:G188"/>
    <mergeCell ref="D189:E189"/>
    <mergeCell ref="F189:G189"/>
    <mergeCell ref="D190:E190"/>
    <mergeCell ref="F190:G190"/>
    <mergeCell ref="D191:E191"/>
    <mergeCell ref="F191:G191"/>
    <mergeCell ref="J193:K195"/>
    <mergeCell ref="L193:M195"/>
    <mergeCell ref="F194:G194"/>
    <mergeCell ref="F195:G195"/>
    <mergeCell ref="D194:E194"/>
    <mergeCell ref="D195:E195"/>
    <mergeCell ref="D196:E196"/>
    <mergeCell ref="F196:G196"/>
    <mergeCell ref="D197:E197"/>
    <mergeCell ref="F197:G197"/>
    <mergeCell ref="D198:E198"/>
    <mergeCell ref="H207:J207"/>
    <mergeCell ref="H208:J208"/>
    <mergeCell ref="H209:J209"/>
    <mergeCell ref="F198:G198"/>
    <mergeCell ref="I201:J202"/>
    <mergeCell ref="K201:M202"/>
    <mergeCell ref="I203:J204"/>
    <mergeCell ref="K203:M204"/>
    <mergeCell ref="I205:J206"/>
    <mergeCell ref="K205:M206"/>
    <mergeCell ref="D201:H206"/>
    <mergeCell ref="D207:E207"/>
    <mergeCell ref="F207:G207"/>
    <mergeCell ref="D208:E208"/>
    <mergeCell ref="F208:G208"/>
    <mergeCell ref="D209:E209"/>
    <mergeCell ref="F209:G209"/>
    <mergeCell ref="F212:G212"/>
    <mergeCell ref="H212:J212"/>
    <mergeCell ref="D210:E210"/>
    <mergeCell ref="F210:G210"/>
    <mergeCell ref="H210:J210"/>
    <mergeCell ref="D211:E211"/>
    <mergeCell ref="F211:G211"/>
    <mergeCell ref="H211:J211"/>
    <mergeCell ref="D213:J213"/>
    <mergeCell ref="D212:E212"/>
    <mergeCell ref="D215:E215"/>
    <mergeCell ref="F215:G215"/>
    <mergeCell ref="D216:E216"/>
    <mergeCell ref="F216:G216"/>
    <mergeCell ref="D217:E217"/>
    <mergeCell ref="F217:G217"/>
    <mergeCell ref="D218:E218"/>
    <mergeCell ref="F218:G218"/>
    <mergeCell ref="D219:G219"/>
    <mergeCell ref="D220:E220"/>
    <mergeCell ref="F220:G220"/>
    <mergeCell ref="D221:E221"/>
    <mergeCell ref="F221:G221"/>
    <mergeCell ref="D222:E222"/>
    <mergeCell ref="F222:G222"/>
    <mergeCell ref="D223:E223"/>
    <mergeCell ref="F223:G223"/>
    <mergeCell ref="J223:K225"/>
    <mergeCell ref="L223:M225"/>
    <mergeCell ref="F224:G224"/>
    <mergeCell ref="F225:G225"/>
    <mergeCell ref="I237:J238"/>
    <mergeCell ref="K237:M238"/>
    <mergeCell ref="D224:E224"/>
    <mergeCell ref="D225:E225"/>
    <mergeCell ref="D233:H238"/>
    <mergeCell ref="I233:J234"/>
    <mergeCell ref="K233:M234"/>
    <mergeCell ref="I235:J236"/>
    <mergeCell ref="K235:M236"/>
    <mergeCell ref="F241:G241"/>
    <mergeCell ref="H241:J241"/>
    <mergeCell ref="D239:E239"/>
    <mergeCell ref="F239:G239"/>
    <mergeCell ref="H239:J239"/>
    <mergeCell ref="D240:E240"/>
    <mergeCell ref="F240:G240"/>
    <mergeCell ref="H240:J240"/>
    <mergeCell ref="D241:E241"/>
    <mergeCell ref="F244:G244"/>
    <mergeCell ref="H244:J244"/>
    <mergeCell ref="D242:E242"/>
    <mergeCell ref="F242:G242"/>
    <mergeCell ref="H242:J242"/>
    <mergeCell ref="D243:E243"/>
    <mergeCell ref="F243:G243"/>
    <mergeCell ref="H243:J243"/>
    <mergeCell ref="D245:J245"/>
    <mergeCell ref="D244:E244"/>
    <mergeCell ref="D247:E247"/>
    <mergeCell ref="F247:G247"/>
    <mergeCell ref="D248:E248"/>
    <mergeCell ref="F248:G248"/>
    <mergeCell ref="D249:E249"/>
    <mergeCell ref="F249:G249"/>
    <mergeCell ref="F257:G257"/>
    <mergeCell ref="J257:K259"/>
    <mergeCell ref="L257:M259"/>
    <mergeCell ref="D260:E260"/>
    <mergeCell ref="F260:G260"/>
    <mergeCell ref="D261:E261"/>
    <mergeCell ref="F261:G261"/>
    <mergeCell ref="D262:E262"/>
    <mergeCell ref="F262:G262"/>
    <mergeCell ref="I265:J266"/>
    <mergeCell ref="K265:M266"/>
    <mergeCell ref="D250:E250"/>
    <mergeCell ref="F250:G250"/>
    <mergeCell ref="D251:G251"/>
    <mergeCell ref="D252:E252"/>
    <mergeCell ref="F252:G252"/>
    <mergeCell ref="D253:E253"/>
    <mergeCell ref="F253:G253"/>
    <mergeCell ref="D254:E254"/>
    <mergeCell ref="F254:G254"/>
    <mergeCell ref="D255:E255"/>
    <mergeCell ref="F255:G255"/>
    <mergeCell ref="D256:E256"/>
    <mergeCell ref="F256:G256"/>
    <mergeCell ref="D257:E257"/>
    <mergeCell ref="D265:H270"/>
    <mergeCell ref="D271:E271"/>
    <mergeCell ref="F271:G271"/>
    <mergeCell ref="H271:J271"/>
    <mergeCell ref="D272:E272"/>
    <mergeCell ref="F272:G272"/>
    <mergeCell ref="H272:J272"/>
    <mergeCell ref="F275:G275"/>
    <mergeCell ref="H275:J275"/>
    <mergeCell ref="D273:E273"/>
    <mergeCell ref="F273:G273"/>
    <mergeCell ref="H273:J273"/>
    <mergeCell ref="D274:E274"/>
    <mergeCell ref="F274:G274"/>
    <mergeCell ref="H274:J274"/>
    <mergeCell ref="D275:E275"/>
    <mergeCell ref="D276:E276"/>
    <mergeCell ref="F276:G276"/>
    <mergeCell ref="H276:J276"/>
    <mergeCell ref="D277:J277"/>
    <mergeCell ref="D279:E279"/>
    <mergeCell ref="F279:G279"/>
    <mergeCell ref="F280:G280"/>
    <mergeCell ref="F285:G285"/>
    <mergeCell ref="F286:G286"/>
    <mergeCell ref="D77:E77"/>
    <mergeCell ref="F77:G77"/>
    <mergeCell ref="H77:J77"/>
    <mergeCell ref="D78:E78"/>
    <mergeCell ref="F78:G78"/>
    <mergeCell ref="H78:J78"/>
    <mergeCell ref="D79:J79"/>
    <mergeCell ref="D81:E81"/>
    <mergeCell ref="F81:G81"/>
    <mergeCell ref="D82:E82"/>
    <mergeCell ref="F82:G82"/>
    <mergeCell ref="D83:E83"/>
    <mergeCell ref="F83:G83"/>
    <mergeCell ref="D84:E84"/>
    <mergeCell ref="D88:E88"/>
    <mergeCell ref="D89:E89"/>
    <mergeCell ref="D90:E90"/>
    <mergeCell ref="D91:E91"/>
    <mergeCell ref="D92:E92"/>
    <mergeCell ref="D93:E93"/>
    <mergeCell ref="D94:E94"/>
    <mergeCell ref="D95:E95"/>
    <mergeCell ref="F84:G84"/>
    <mergeCell ref="D85:G85"/>
    <mergeCell ref="D86:E86"/>
    <mergeCell ref="F86:G86"/>
    <mergeCell ref="D87:E87"/>
    <mergeCell ref="F87:G87"/>
    <mergeCell ref="F88:G88"/>
    <mergeCell ref="F89:G89"/>
    <mergeCell ref="F90:G90"/>
    <mergeCell ref="F91:G91"/>
    <mergeCell ref="J91:K93"/>
    <mergeCell ref="L91:M93"/>
    <mergeCell ref="F92:G92"/>
    <mergeCell ref="F93:G93"/>
    <mergeCell ref="I104:J105"/>
    <mergeCell ref="K104:M105"/>
    <mergeCell ref="F94:G94"/>
    <mergeCell ref="F95:G95"/>
    <mergeCell ref="D100:H105"/>
    <mergeCell ref="I100:J101"/>
    <mergeCell ref="K100:M101"/>
    <mergeCell ref="I102:J103"/>
    <mergeCell ref="K102:M103"/>
    <mergeCell ref="D117:E117"/>
    <mergeCell ref="F117:G117"/>
    <mergeCell ref="D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08:G108"/>
    <mergeCell ref="H108:J108"/>
    <mergeCell ref="D106:E106"/>
    <mergeCell ref="F106:G106"/>
    <mergeCell ref="H106:J106"/>
    <mergeCell ref="D107:E107"/>
    <mergeCell ref="F107:G107"/>
    <mergeCell ref="H107:J107"/>
    <mergeCell ref="D108:E108"/>
    <mergeCell ref="F111:G111"/>
    <mergeCell ref="H111:J111"/>
    <mergeCell ref="D109:E109"/>
    <mergeCell ref="F109:G109"/>
    <mergeCell ref="H109:J109"/>
    <mergeCell ref="D110:E110"/>
    <mergeCell ref="F110:G110"/>
    <mergeCell ref="H110:J110"/>
    <mergeCell ref="D112:J112"/>
    <mergeCell ref="D111:E111"/>
    <mergeCell ref="D114:E114"/>
    <mergeCell ref="F114:G114"/>
    <mergeCell ref="D115:E115"/>
    <mergeCell ref="F115:G115"/>
    <mergeCell ref="D116:E116"/>
    <mergeCell ref="F116:G116"/>
    <mergeCell ref="F124:G124"/>
    <mergeCell ref="J124:K126"/>
    <mergeCell ref="L124:M126"/>
    <mergeCell ref="F125:G125"/>
    <mergeCell ref="F126:G126"/>
    <mergeCell ref="F130:G130"/>
    <mergeCell ref="F131:G131"/>
    <mergeCell ref="K134:M135"/>
    <mergeCell ref="K136:M137"/>
    <mergeCell ref="K138:M139"/>
    <mergeCell ref="D125:E125"/>
    <mergeCell ref="D126:E126"/>
    <mergeCell ref="D127:E127"/>
    <mergeCell ref="F127:G127"/>
    <mergeCell ref="D128:E128"/>
    <mergeCell ref="F128:G128"/>
    <mergeCell ref="F129:G129"/>
    <mergeCell ref="D129:E129"/>
    <mergeCell ref="D130:E130"/>
    <mergeCell ref="D131:E131"/>
    <mergeCell ref="D134:H139"/>
    <mergeCell ref="I134:J135"/>
    <mergeCell ref="I136:J137"/>
    <mergeCell ref="I138:J139"/>
    <mergeCell ref="F142:G142"/>
    <mergeCell ref="H142:J142"/>
    <mergeCell ref="D140:E140"/>
    <mergeCell ref="F140:G140"/>
    <mergeCell ref="H140:J140"/>
    <mergeCell ref="D141:E141"/>
    <mergeCell ref="F141:G141"/>
    <mergeCell ref="H141:J141"/>
    <mergeCell ref="D142:E142"/>
    <mergeCell ref="F145:G145"/>
    <mergeCell ref="H145:J145"/>
    <mergeCell ref="D143:E143"/>
    <mergeCell ref="F143:G143"/>
    <mergeCell ref="H143:J143"/>
    <mergeCell ref="D144:E144"/>
    <mergeCell ref="F144:G144"/>
    <mergeCell ref="H144:J144"/>
    <mergeCell ref="D145:E145"/>
    <mergeCell ref="D146:E146"/>
    <mergeCell ref="F146:G146"/>
    <mergeCell ref="H146:J146"/>
    <mergeCell ref="D147:E147"/>
    <mergeCell ref="F147:G147"/>
    <mergeCell ref="H147:J147"/>
    <mergeCell ref="D148:J148"/>
    <mergeCell ref="F177:G177"/>
    <mergeCell ref="H177:J177"/>
    <mergeCell ref="D175:E175"/>
    <mergeCell ref="F175:G175"/>
    <mergeCell ref="H175:J175"/>
    <mergeCell ref="D176:E176"/>
    <mergeCell ref="F176:G176"/>
    <mergeCell ref="H176:J176"/>
    <mergeCell ref="D177:E177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G154"/>
    <mergeCell ref="D155:E155"/>
    <mergeCell ref="F155:G155"/>
    <mergeCell ref="D156:E156"/>
    <mergeCell ref="F156:G156"/>
    <mergeCell ref="F157:G157"/>
    <mergeCell ref="J160:K162"/>
    <mergeCell ref="I167:J168"/>
    <mergeCell ref="K167:M168"/>
    <mergeCell ref="I169:J170"/>
    <mergeCell ref="K169:M170"/>
    <mergeCell ref="I171:J172"/>
    <mergeCell ref="K171:M172"/>
    <mergeCell ref="F158:G158"/>
    <mergeCell ref="F159:G159"/>
    <mergeCell ref="L160:M162"/>
    <mergeCell ref="F161:G161"/>
    <mergeCell ref="F162:G162"/>
    <mergeCell ref="F163:G163"/>
    <mergeCell ref="F164:G164"/>
    <mergeCell ref="D157:E157"/>
    <mergeCell ref="D158:E158"/>
    <mergeCell ref="D159:E159"/>
    <mergeCell ref="D161:E161"/>
    <mergeCell ref="D162:E162"/>
    <mergeCell ref="D163:E163"/>
    <mergeCell ref="D164:E164"/>
    <mergeCell ref="D167:H172"/>
    <mergeCell ref="D173:E173"/>
    <mergeCell ref="F173:G173"/>
    <mergeCell ref="H173:J173"/>
    <mergeCell ref="D174:E174"/>
    <mergeCell ref="F174:G174"/>
    <mergeCell ref="H174:J174"/>
    <mergeCell ref="D178:E178"/>
    <mergeCell ref="F178:G178"/>
    <mergeCell ref="H178:J178"/>
    <mergeCell ref="D179:J179"/>
    <mergeCell ref="D181:E181"/>
    <mergeCell ref="F181:G181"/>
    <mergeCell ref="F182:G182"/>
    <mergeCell ref="D284:E284"/>
    <mergeCell ref="D285:E285"/>
    <mergeCell ref="D286:E286"/>
    <mergeCell ref="D287:E287"/>
    <mergeCell ref="F287:G287"/>
    <mergeCell ref="D288:E288"/>
    <mergeCell ref="F288:G288"/>
    <mergeCell ref="D280:E280"/>
    <mergeCell ref="D281:E281"/>
    <mergeCell ref="F281:G281"/>
    <mergeCell ref="D282:E282"/>
    <mergeCell ref="F282:G282"/>
    <mergeCell ref="D283:G283"/>
    <mergeCell ref="F284:G284"/>
    <mergeCell ref="Q597:R597"/>
    <mergeCell ref="S597:U597"/>
    <mergeCell ref="O595:P595"/>
    <mergeCell ref="Q595:R595"/>
    <mergeCell ref="S595:U595"/>
    <mergeCell ref="O596:P596"/>
    <mergeCell ref="Q596:R596"/>
    <mergeCell ref="S596:U596"/>
    <mergeCell ref="O598:U598"/>
    <mergeCell ref="O574:P574"/>
    <mergeCell ref="Q574:R574"/>
    <mergeCell ref="O575:P575"/>
    <mergeCell ref="Q575:R575"/>
    <mergeCell ref="Q576:R576"/>
    <mergeCell ref="O577:P577"/>
    <mergeCell ref="Q577:R577"/>
    <mergeCell ref="O578:P578"/>
    <mergeCell ref="Q578:R578"/>
    <mergeCell ref="U578:V580"/>
    <mergeCell ref="W578:X580"/>
    <mergeCell ref="O579:P579"/>
    <mergeCell ref="Q579:R579"/>
    <mergeCell ref="Q580:R580"/>
    <mergeCell ref="O580:P580"/>
    <mergeCell ref="O581:P581"/>
    <mergeCell ref="Q581:R581"/>
    <mergeCell ref="O582:P582"/>
    <mergeCell ref="Q582:R582"/>
    <mergeCell ref="O583:P583"/>
    <mergeCell ref="Q583:R583"/>
    <mergeCell ref="O586:S591"/>
    <mergeCell ref="T586:U587"/>
    <mergeCell ref="V586:X587"/>
    <mergeCell ref="T588:U589"/>
    <mergeCell ref="V588:X589"/>
    <mergeCell ref="T590:U591"/>
    <mergeCell ref="V590:X591"/>
    <mergeCell ref="Q594:R594"/>
    <mergeCell ref="S594:U594"/>
    <mergeCell ref="O592:P592"/>
    <mergeCell ref="Q592:R592"/>
    <mergeCell ref="S592:U592"/>
    <mergeCell ref="O593:P593"/>
    <mergeCell ref="Q593:R593"/>
    <mergeCell ref="S593:U593"/>
    <mergeCell ref="O594:P594"/>
    <mergeCell ref="O597:P597"/>
    <mergeCell ref="O600:P600"/>
    <mergeCell ref="Q600:R600"/>
    <mergeCell ref="O601:P601"/>
    <mergeCell ref="Q601:R601"/>
    <mergeCell ref="O602:P602"/>
    <mergeCell ref="Q602:R602"/>
    <mergeCell ref="O427:S432"/>
    <mergeCell ref="T427:U428"/>
    <mergeCell ref="V427:X428"/>
    <mergeCell ref="T429:U430"/>
    <mergeCell ref="V429:X430"/>
    <mergeCell ref="T431:U432"/>
    <mergeCell ref="V431:X432"/>
    <mergeCell ref="Q435:R435"/>
    <mergeCell ref="S435:U435"/>
    <mergeCell ref="O433:P433"/>
    <mergeCell ref="Q433:R433"/>
    <mergeCell ref="S433:U433"/>
    <mergeCell ref="O434:P434"/>
    <mergeCell ref="Q434:R434"/>
    <mergeCell ref="S434:U434"/>
    <mergeCell ref="O435:P435"/>
    <mergeCell ref="Q438:R438"/>
    <mergeCell ref="S438:U438"/>
    <mergeCell ref="O436:P436"/>
    <mergeCell ref="Q436:R436"/>
    <mergeCell ref="S436:U436"/>
    <mergeCell ref="O437:P437"/>
    <mergeCell ref="Q437:R437"/>
    <mergeCell ref="S437:U437"/>
    <mergeCell ref="O439:U439"/>
    <mergeCell ref="O449:P449"/>
    <mergeCell ref="Q449:R449"/>
    <mergeCell ref="U450:V452"/>
    <mergeCell ref="W450:X452"/>
    <mergeCell ref="O438:P438"/>
    <mergeCell ref="O441:P441"/>
    <mergeCell ref="Q441:R441"/>
    <mergeCell ref="O442:P442"/>
    <mergeCell ref="Q442:R442"/>
    <mergeCell ref="O443:P443"/>
    <mergeCell ref="Q443:R443"/>
    <mergeCell ref="O459:S464"/>
    <mergeCell ref="T459:U460"/>
    <mergeCell ref="V459:X460"/>
    <mergeCell ref="T461:U462"/>
    <mergeCell ref="V461:X462"/>
    <mergeCell ref="T463:U464"/>
    <mergeCell ref="V463:X464"/>
    <mergeCell ref="Q467:R467"/>
    <mergeCell ref="S467:U467"/>
    <mergeCell ref="O465:P465"/>
    <mergeCell ref="Q465:R465"/>
    <mergeCell ref="S465:U465"/>
    <mergeCell ref="O466:P466"/>
    <mergeCell ref="Q466:R466"/>
    <mergeCell ref="S466:U466"/>
    <mergeCell ref="O467:P467"/>
    <mergeCell ref="O468:P468"/>
    <mergeCell ref="Q468:R468"/>
    <mergeCell ref="S468:U468"/>
    <mergeCell ref="O469:P469"/>
    <mergeCell ref="Q469:R469"/>
    <mergeCell ref="S469:U469"/>
    <mergeCell ref="O470:U470"/>
    <mergeCell ref="O472:P472"/>
    <mergeCell ref="Q472:R472"/>
    <mergeCell ref="O473:P473"/>
    <mergeCell ref="Q473:R473"/>
    <mergeCell ref="O474:P474"/>
    <mergeCell ref="Q474:R474"/>
    <mergeCell ref="Q475:R475"/>
    <mergeCell ref="Q481:R481"/>
    <mergeCell ref="Q482:R482"/>
    <mergeCell ref="Q484:R484"/>
    <mergeCell ref="Q485:R485"/>
    <mergeCell ref="Q486:R486"/>
    <mergeCell ref="W481:X483"/>
    <mergeCell ref="V490:X491"/>
    <mergeCell ref="V492:X493"/>
    <mergeCell ref="V494:X495"/>
    <mergeCell ref="Q476:R476"/>
    <mergeCell ref="Q477:R477"/>
    <mergeCell ref="Q478:R478"/>
    <mergeCell ref="Q479:R479"/>
    <mergeCell ref="Q480:R480"/>
    <mergeCell ref="U481:V483"/>
    <mergeCell ref="Q483:R483"/>
    <mergeCell ref="O475:P475"/>
    <mergeCell ref="O476:P476"/>
    <mergeCell ref="O477:P477"/>
    <mergeCell ref="O478:P478"/>
    <mergeCell ref="O480:P480"/>
    <mergeCell ref="O481:P481"/>
    <mergeCell ref="O482:P482"/>
    <mergeCell ref="S496:U496"/>
    <mergeCell ref="S497:U497"/>
    <mergeCell ref="S498:U498"/>
    <mergeCell ref="O483:P483"/>
    <mergeCell ref="O484:P484"/>
    <mergeCell ref="O485:P485"/>
    <mergeCell ref="O486:P486"/>
    <mergeCell ref="T490:U491"/>
    <mergeCell ref="T492:U493"/>
    <mergeCell ref="T494:U495"/>
    <mergeCell ref="O490:S495"/>
    <mergeCell ref="O496:P496"/>
    <mergeCell ref="Q496:R496"/>
    <mergeCell ref="O497:P497"/>
    <mergeCell ref="Q497:R497"/>
    <mergeCell ref="O498:P498"/>
    <mergeCell ref="Q498:R498"/>
    <mergeCell ref="Q501:R501"/>
    <mergeCell ref="S501:U501"/>
    <mergeCell ref="O499:P499"/>
    <mergeCell ref="Q499:R499"/>
    <mergeCell ref="S499:U499"/>
    <mergeCell ref="O500:P500"/>
    <mergeCell ref="Q500:R500"/>
    <mergeCell ref="S500:U500"/>
    <mergeCell ref="O501:P501"/>
    <mergeCell ref="O502:P502"/>
    <mergeCell ref="Q502:R502"/>
    <mergeCell ref="S502:U502"/>
    <mergeCell ref="O503:U503"/>
    <mergeCell ref="O505:P505"/>
    <mergeCell ref="Q505:R505"/>
    <mergeCell ref="Q506:R506"/>
    <mergeCell ref="O506:P506"/>
    <mergeCell ref="O507:P507"/>
    <mergeCell ref="Q507:R507"/>
    <mergeCell ref="O508:P508"/>
    <mergeCell ref="Q508:R508"/>
    <mergeCell ref="O509:P509"/>
    <mergeCell ref="Q509:R509"/>
    <mergeCell ref="O510:P510"/>
    <mergeCell ref="Q510:R510"/>
    <mergeCell ref="O511:P511"/>
    <mergeCell ref="Q511:R511"/>
    <mergeCell ref="Q512:R512"/>
    <mergeCell ref="O513:P513"/>
    <mergeCell ref="Q513:R513"/>
    <mergeCell ref="O514:P514"/>
    <mergeCell ref="Q514:R514"/>
    <mergeCell ref="U514:V516"/>
    <mergeCell ref="W514:X516"/>
    <mergeCell ref="O515:P515"/>
    <mergeCell ref="Q515:R515"/>
    <mergeCell ref="Q516:R516"/>
    <mergeCell ref="O516:P516"/>
    <mergeCell ref="O517:P517"/>
    <mergeCell ref="Q517:R517"/>
    <mergeCell ref="O518:P518"/>
    <mergeCell ref="Q518:R518"/>
    <mergeCell ref="O519:P519"/>
    <mergeCell ref="Q519:R519"/>
    <mergeCell ref="O522:S527"/>
    <mergeCell ref="T522:U523"/>
    <mergeCell ref="V522:X523"/>
    <mergeCell ref="T524:U525"/>
    <mergeCell ref="V524:X525"/>
    <mergeCell ref="T526:U527"/>
    <mergeCell ref="V526:X527"/>
    <mergeCell ref="Q530:R530"/>
    <mergeCell ref="S530:U530"/>
    <mergeCell ref="O528:P528"/>
    <mergeCell ref="Q528:R528"/>
    <mergeCell ref="S528:U528"/>
    <mergeCell ref="O529:P529"/>
    <mergeCell ref="Q529:R529"/>
    <mergeCell ref="S529:U529"/>
    <mergeCell ref="O530:P530"/>
    <mergeCell ref="Q533:R533"/>
    <mergeCell ref="S533:U533"/>
    <mergeCell ref="O531:P531"/>
    <mergeCell ref="Q531:R531"/>
    <mergeCell ref="S531:U531"/>
    <mergeCell ref="O532:P532"/>
    <mergeCell ref="Q532:R532"/>
    <mergeCell ref="S532:U532"/>
    <mergeCell ref="O533:P533"/>
    <mergeCell ref="O534:P534"/>
    <mergeCell ref="Q534:R534"/>
    <mergeCell ref="S534:U534"/>
    <mergeCell ref="O535:U535"/>
    <mergeCell ref="O537:P537"/>
    <mergeCell ref="Q537:R537"/>
    <mergeCell ref="Q538:R538"/>
    <mergeCell ref="O538:P538"/>
    <mergeCell ref="O539:P539"/>
    <mergeCell ref="Q539:R539"/>
    <mergeCell ref="O540:P540"/>
    <mergeCell ref="Q540:R540"/>
    <mergeCell ref="O541:P541"/>
    <mergeCell ref="Q541:R541"/>
    <mergeCell ref="O542:P542"/>
    <mergeCell ref="Q542:R542"/>
    <mergeCell ref="O543:P543"/>
    <mergeCell ref="Q543:R543"/>
    <mergeCell ref="Q544:R544"/>
    <mergeCell ref="O545:P545"/>
    <mergeCell ref="Q545:R545"/>
    <mergeCell ref="O546:P546"/>
    <mergeCell ref="Q546:R546"/>
    <mergeCell ref="U546:V548"/>
    <mergeCell ref="W546:X548"/>
    <mergeCell ref="O547:P547"/>
    <mergeCell ref="Q547:R547"/>
    <mergeCell ref="Q548:R548"/>
    <mergeCell ref="O548:P548"/>
    <mergeCell ref="O549:P549"/>
    <mergeCell ref="Q549:R549"/>
    <mergeCell ref="O550:P550"/>
    <mergeCell ref="Q550:R550"/>
    <mergeCell ref="O551:P551"/>
    <mergeCell ref="Q551:R551"/>
    <mergeCell ref="O554:S559"/>
    <mergeCell ref="T554:U555"/>
    <mergeCell ref="V554:X555"/>
    <mergeCell ref="T556:U557"/>
    <mergeCell ref="V556:X557"/>
    <mergeCell ref="T558:U559"/>
    <mergeCell ref="V558:X559"/>
    <mergeCell ref="Q562:R562"/>
    <mergeCell ref="S562:U562"/>
    <mergeCell ref="O560:P560"/>
    <mergeCell ref="Q560:R560"/>
    <mergeCell ref="S560:U560"/>
    <mergeCell ref="O561:P561"/>
    <mergeCell ref="Q561:R561"/>
    <mergeCell ref="S561:U561"/>
    <mergeCell ref="O562:P562"/>
    <mergeCell ref="Q565:R565"/>
    <mergeCell ref="S565:U565"/>
    <mergeCell ref="O563:P563"/>
    <mergeCell ref="Q563:R563"/>
    <mergeCell ref="S563:U563"/>
    <mergeCell ref="O564:P564"/>
    <mergeCell ref="Q564:R564"/>
    <mergeCell ref="S564:U564"/>
    <mergeCell ref="O565:P565"/>
    <mergeCell ref="O566:P566"/>
    <mergeCell ref="Q566:R566"/>
    <mergeCell ref="S566:U566"/>
    <mergeCell ref="O567:U567"/>
    <mergeCell ref="O569:P569"/>
    <mergeCell ref="Q569:R569"/>
    <mergeCell ref="Q570:R570"/>
    <mergeCell ref="O570:P570"/>
    <mergeCell ref="O571:P571"/>
    <mergeCell ref="Q571:R571"/>
    <mergeCell ref="O572:P572"/>
    <mergeCell ref="Q572:R572"/>
    <mergeCell ref="O573:P573"/>
    <mergeCell ref="Q573:R573"/>
    <mergeCell ref="Q606:R606"/>
    <mergeCell ref="Q607:R607"/>
    <mergeCell ref="O603:P603"/>
    <mergeCell ref="Q603:R603"/>
    <mergeCell ref="O604:P604"/>
    <mergeCell ref="Q604:R604"/>
    <mergeCell ref="O605:P605"/>
    <mergeCell ref="Q605:R605"/>
    <mergeCell ref="O606:P606"/>
    <mergeCell ref="H625:J625"/>
    <mergeCell ref="H626:J626"/>
    <mergeCell ref="H627:J627"/>
    <mergeCell ref="H628:J628"/>
    <mergeCell ref="D629:J629"/>
    <mergeCell ref="I618:J619"/>
    <mergeCell ref="K618:M619"/>
    <mergeCell ref="I620:J621"/>
    <mergeCell ref="K620:M621"/>
    <mergeCell ref="I622:J623"/>
    <mergeCell ref="K622:M623"/>
    <mergeCell ref="H624:J624"/>
    <mergeCell ref="H560:J560"/>
    <mergeCell ref="H561:J561"/>
    <mergeCell ref="H562:J562"/>
    <mergeCell ref="F551:G551"/>
    <mergeCell ref="I554:J555"/>
    <mergeCell ref="K554:M555"/>
    <mergeCell ref="I556:J557"/>
    <mergeCell ref="K556:M557"/>
    <mergeCell ref="I558:J559"/>
    <mergeCell ref="K558:M559"/>
    <mergeCell ref="D554:H559"/>
    <mergeCell ref="D560:E560"/>
    <mergeCell ref="F560:G560"/>
    <mergeCell ref="D561:E561"/>
    <mergeCell ref="F561:G561"/>
    <mergeCell ref="D562:E562"/>
    <mergeCell ref="F562:G562"/>
    <mergeCell ref="F565:G565"/>
    <mergeCell ref="H565:J565"/>
    <mergeCell ref="D563:E563"/>
    <mergeCell ref="F563:G563"/>
    <mergeCell ref="H563:J563"/>
    <mergeCell ref="D564:E564"/>
    <mergeCell ref="F564:G564"/>
    <mergeCell ref="H564:J564"/>
    <mergeCell ref="D566:J566"/>
    <mergeCell ref="D565:E565"/>
    <mergeCell ref="D568:E568"/>
    <mergeCell ref="F568:G568"/>
    <mergeCell ref="D569:E569"/>
    <mergeCell ref="F569:G569"/>
    <mergeCell ref="D570:E570"/>
    <mergeCell ref="F570:G570"/>
    <mergeCell ref="J609:K611"/>
    <mergeCell ref="D611:E611"/>
    <mergeCell ref="F611:G611"/>
    <mergeCell ref="D612:E612"/>
    <mergeCell ref="F612:G612"/>
    <mergeCell ref="D613:E613"/>
    <mergeCell ref="F613:G613"/>
    <mergeCell ref="D606:E606"/>
    <mergeCell ref="F606:G606"/>
    <mergeCell ref="D607:E607"/>
    <mergeCell ref="F607:G607"/>
    <mergeCell ref="D608:E608"/>
    <mergeCell ref="F608:G608"/>
    <mergeCell ref="D609:E610"/>
    <mergeCell ref="F609:G610"/>
    <mergeCell ref="D618:H623"/>
    <mergeCell ref="D624:E624"/>
    <mergeCell ref="F624:G624"/>
    <mergeCell ref="D625:E625"/>
    <mergeCell ref="F625:G625"/>
    <mergeCell ref="F626:G626"/>
    <mergeCell ref="D632:E632"/>
    <mergeCell ref="F632:G632"/>
    <mergeCell ref="D633:E633"/>
    <mergeCell ref="F633:G633"/>
    <mergeCell ref="D634:E634"/>
    <mergeCell ref="F634:G634"/>
    <mergeCell ref="D635:G635"/>
    <mergeCell ref="D639:E639"/>
    <mergeCell ref="D640:E640"/>
    <mergeCell ref="F640:G640"/>
    <mergeCell ref="D649:H654"/>
    <mergeCell ref="I649:J650"/>
    <mergeCell ref="K649:M650"/>
    <mergeCell ref="I651:J652"/>
    <mergeCell ref="K651:M652"/>
    <mergeCell ref="I653:J654"/>
    <mergeCell ref="K653:M654"/>
    <mergeCell ref="D636:E636"/>
    <mergeCell ref="F636:G636"/>
    <mergeCell ref="D637:E637"/>
    <mergeCell ref="F637:G637"/>
    <mergeCell ref="D638:E638"/>
    <mergeCell ref="F638:G638"/>
    <mergeCell ref="F639:G639"/>
    <mergeCell ref="D571:E571"/>
    <mergeCell ref="F571:G571"/>
    <mergeCell ref="D572:G572"/>
    <mergeCell ref="D573:E573"/>
    <mergeCell ref="F573:G573"/>
    <mergeCell ref="D574:E574"/>
    <mergeCell ref="F574:G574"/>
    <mergeCell ref="D575:E575"/>
    <mergeCell ref="F575:G575"/>
    <mergeCell ref="D576:E576"/>
    <mergeCell ref="F576:G576"/>
    <mergeCell ref="D577:E577"/>
    <mergeCell ref="F577:G577"/>
    <mergeCell ref="D578:E578"/>
    <mergeCell ref="D586:H591"/>
    <mergeCell ref="D592:E592"/>
    <mergeCell ref="F592:G592"/>
    <mergeCell ref="D593:E593"/>
    <mergeCell ref="F593:G593"/>
    <mergeCell ref="D594:E594"/>
    <mergeCell ref="F594:G594"/>
    <mergeCell ref="D600:E600"/>
    <mergeCell ref="D601:E601"/>
    <mergeCell ref="D602:E602"/>
    <mergeCell ref="D595:E595"/>
    <mergeCell ref="F595:G595"/>
    <mergeCell ref="D596:E596"/>
    <mergeCell ref="F596:G596"/>
    <mergeCell ref="D599:E599"/>
    <mergeCell ref="F599:G599"/>
    <mergeCell ref="F600:G600"/>
    <mergeCell ref="F601:G601"/>
    <mergeCell ref="F602:G602"/>
    <mergeCell ref="D603:G603"/>
    <mergeCell ref="D604:E604"/>
    <mergeCell ref="F604:G604"/>
    <mergeCell ref="D605:E605"/>
    <mergeCell ref="F605:G605"/>
    <mergeCell ref="D626:E626"/>
    <mergeCell ref="D627:E627"/>
    <mergeCell ref="F627:G627"/>
    <mergeCell ref="D628:E628"/>
    <mergeCell ref="F628:G628"/>
    <mergeCell ref="D631:E631"/>
    <mergeCell ref="F631:G631"/>
    <mergeCell ref="D441:E441"/>
    <mergeCell ref="F441:G441"/>
    <mergeCell ref="D442:E442"/>
    <mergeCell ref="F442:G442"/>
    <mergeCell ref="D443:E443"/>
    <mergeCell ref="F443:G443"/>
    <mergeCell ref="D444:E444"/>
    <mergeCell ref="F444:G444"/>
    <mergeCell ref="D445:G445"/>
    <mergeCell ref="D446:E446"/>
    <mergeCell ref="F446:G446"/>
    <mergeCell ref="D447:E447"/>
    <mergeCell ref="F447:G447"/>
    <mergeCell ref="F448:G448"/>
    <mergeCell ref="D459:H464"/>
    <mergeCell ref="I459:J460"/>
    <mergeCell ref="K459:M460"/>
    <mergeCell ref="I461:J462"/>
    <mergeCell ref="K461:M462"/>
    <mergeCell ref="I463:J464"/>
    <mergeCell ref="K463:M464"/>
    <mergeCell ref="F467:G467"/>
    <mergeCell ref="H467:J467"/>
    <mergeCell ref="D465:E465"/>
    <mergeCell ref="F465:G465"/>
    <mergeCell ref="H465:J465"/>
    <mergeCell ref="D466:E466"/>
    <mergeCell ref="F466:G466"/>
    <mergeCell ref="H466:J466"/>
    <mergeCell ref="D467:E467"/>
    <mergeCell ref="D468:E468"/>
    <mergeCell ref="F468:G468"/>
    <mergeCell ref="H468:J468"/>
    <mergeCell ref="D469:E469"/>
    <mergeCell ref="F469:G469"/>
    <mergeCell ref="H469:J469"/>
    <mergeCell ref="D470:J470"/>
    <mergeCell ref="D475:E475"/>
    <mergeCell ref="D476:E476"/>
    <mergeCell ref="D472:E472"/>
    <mergeCell ref="F472:G472"/>
    <mergeCell ref="D473:E473"/>
    <mergeCell ref="F473:G473"/>
    <mergeCell ref="D474:E474"/>
    <mergeCell ref="F474:G474"/>
    <mergeCell ref="F475:G475"/>
    <mergeCell ref="D480:E480"/>
    <mergeCell ref="D481:E481"/>
    <mergeCell ref="D482:E482"/>
    <mergeCell ref="D483:E483"/>
    <mergeCell ref="D484:E484"/>
    <mergeCell ref="D485:E485"/>
    <mergeCell ref="D486:E486"/>
    <mergeCell ref="D487:E487"/>
    <mergeCell ref="F476:G476"/>
    <mergeCell ref="D477:G477"/>
    <mergeCell ref="D478:E478"/>
    <mergeCell ref="F478:G478"/>
    <mergeCell ref="D479:E479"/>
    <mergeCell ref="F479:G479"/>
    <mergeCell ref="F480:G480"/>
    <mergeCell ref="F481:G481"/>
    <mergeCell ref="F482:G482"/>
    <mergeCell ref="F483:G483"/>
    <mergeCell ref="J483:K485"/>
    <mergeCell ref="L483:M485"/>
    <mergeCell ref="F484:G484"/>
    <mergeCell ref="F485:G485"/>
    <mergeCell ref="I494:J495"/>
    <mergeCell ref="K494:M495"/>
    <mergeCell ref="F486:G486"/>
    <mergeCell ref="F487:G487"/>
    <mergeCell ref="D490:H495"/>
    <mergeCell ref="I490:J491"/>
    <mergeCell ref="K490:M491"/>
    <mergeCell ref="I492:J493"/>
    <mergeCell ref="K492:M493"/>
    <mergeCell ref="D501:E501"/>
    <mergeCell ref="D504:E504"/>
    <mergeCell ref="F504:G504"/>
    <mergeCell ref="D505:E505"/>
    <mergeCell ref="F505:G505"/>
    <mergeCell ref="D506:E506"/>
    <mergeCell ref="F506:G506"/>
    <mergeCell ref="D507:E507"/>
    <mergeCell ref="F507:G507"/>
    <mergeCell ref="D508:G508"/>
    <mergeCell ref="D509:E509"/>
    <mergeCell ref="F509:G509"/>
    <mergeCell ref="D510:E510"/>
    <mergeCell ref="F510:G510"/>
    <mergeCell ref="F514:G514"/>
    <mergeCell ref="J514:K516"/>
    <mergeCell ref="L514:M516"/>
    <mergeCell ref="F515:G515"/>
    <mergeCell ref="F516:G516"/>
    <mergeCell ref="D511:E511"/>
    <mergeCell ref="F511:G511"/>
    <mergeCell ref="D512:E512"/>
    <mergeCell ref="F512:G512"/>
    <mergeCell ref="D513:E513"/>
    <mergeCell ref="F513:G513"/>
    <mergeCell ref="D514:E514"/>
    <mergeCell ref="D515:E515"/>
    <mergeCell ref="D516:E516"/>
    <mergeCell ref="D517:E517"/>
    <mergeCell ref="F517:G517"/>
    <mergeCell ref="D518:E518"/>
    <mergeCell ref="F518:G518"/>
    <mergeCell ref="D519:E519"/>
    <mergeCell ref="H528:J528"/>
    <mergeCell ref="H529:J529"/>
    <mergeCell ref="H530:J530"/>
    <mergeCell ref="F519:G519"/>
    <mergeCell ref="I522:J523"/>
    <mergeCell ref="K522:M523"/>
    <mergeCell ref="I524:J525"/>
    <mergeCell ref="K524:M525"/>
    <mergeCell ref="I526:J527"/>
    <mergeCell ref="K526:M527"/>
    <mergeCell ref="D522:H527"/>
    <mergeCell ref="D528:E528"/>
    <mergeCell ref="F528:G528"/>
    <mergeCell ref="D529:E529"/>
    <mergeCell ref="F529:G529"/>
    <mergeCell ref="D530:E530"/>
    <mergeCell ref="F530:G530"/>
    <mergeCell ref="F533:G533"/>
    <mergeCell ref="H533:J533"/>
    <mergeCell ref="D531:E531"/>
    <mergeCell ref="F531:G531"/>
    <mergeCell ref="H531:J531"/>
    <mergeCell ref="D532:E532"/>
    <mergeCell ref="F532:G532"/>
    <mergeCell ref="H532:J532"/>
    <mergeCell ref="D534:J534"/>
    <mergeCell ref="D533:E533"/>
    <mergeCell ref="D536:E536"/>
    <mergeCell ref="F536:G536"/>
    <mergeCell ref="D537:E537"/>
    <mergeCell ref="F537:G537"/>
    <mergeCell ref="D538:E538"/>
    <mergeCell ref="F538:G538"/>
    <mergeCell ref="D539:E539"/>
    <mergeCell ref="F539:G539"/>
    <mergeCell ref="D540:G540"/>
    <mergeCell ref="D541:E541"/>
    <mergeCell ref="F541:G541"/>
    <mergeCell ref="D542:E542"/>
    <mergeCell ref="F542:G542"/>
    <mergeCell ref="F546:G546"/>
    <mergeCell ref="J546:K548"/>
    <mergeCell ref="L546:M548"/>
    <mergeCell ref="F547:G547"/>
    <mergeCell ref="F548:G548"/>
    <mergeCell ref="D543:E543"/>
    <mergeCell ref="F543:G543"/>
    <mergeCell ref="D544:E544"/>
    <mergeCell ref="F544:G544"/>
    <mergeCell ref="D545:E545"/>
    <mergeCell ref="F545:G545"/>
    <mergeCell ref="D546:E546"/>
    <mergeCell ref="D547:E547"/>
    <mergeCell ref="D548:E548"/>
    <mergeCell ref="D549:E549"/>
    <mergeCell ref="F549:G549"/>
    <mergeCell ref="D550:E550"/>
    <mergeCell ref="F550:G550"/>
    <mergeCell ref="D551:E551"/>
    <mergeCell ref="F578:G578"/>
    <mergeCell ref="J578:K580"/>
    <mergeCell ref="L578:M580"/>
    <mergeCell ref="D579:E579"/>
    <mergeCell ref="F579:G579"/>
    <mergeCell ref="D580:E580"/>
    <mergeCell ref="F580:G580"/>
    <mergeCell ref="D581:E581"/>
    <mergeCell ref="F581:G581"/>
    <mergeCell ref="D582:E582"/>
    <mergeCell ref="F582:G582"/>
    <mergeCell ref="D583:E583"/>
    <mergeCell ref="F583:G583"/>
    <mergeCell ref="K586:M587"/>
    <mergeCell ref="H594:J594"/>
    <mergeCell ref="H595:J595"/>
    <mergeCell ref="H596:J596"/>
    <mergeCell ref="D597:J597"/>
    <mergeCell ref="I586:J587"/>
    <mergeCell ref="I588:J589"/>
    <mergeCell ref="K588:M589"/>
    <mergeCell ref="I590:J591"/>
    <mergeCell ref="K590:M591"/>
    <mergeCell ref="H592:J592"/>
    <mergeCell ref="H593:J593"/>
    <mergeCell ref="O609:P609"/>
    <mergeCell ref="O610:P610"/>
    <mergeCell ref="O608:P608"/>
    <mergeCell ref="Q608:R608"/>
    <mergeCell ref="L609:M611"/>
    <mergeCell ref="Q609:R609"/>
    <mergeCell ref="U609:V611"/>
    <mergeCell ref="W609:X611"/>
    <mergeCell ref="Q610:R610"/>
    <mergeCell ref="O614:P614"/>
    <mergeCell ref="O615:P615"/>
    <mergeCell ref="O611:P611"/>
    <mergeCell ref="Q611:R611"/>
    <mergeCell ref="O612:P612"/>
    <mergeCell ref="Q612:R612"/>
    <mergeCell ref="O613:P613"/>
    <mergeCell ref="Q613:R613"/>
    <mergeCell ref="Q614:R614"/>
    <mergeCell ref="Q615:R615"/>
    <mergeCell ref="T618:U619"/>
    <mergeCell ref="V618:X619"/>
    <mergeCell ref="T620:U621"/>
    <mergeCell ref="V620:X621"/>
    <mergeCell ref="T622:U623"/>
    <mergeCell ref="V622:X623"/>
    <mergeCell ref="O618:S623"/>
    <mergeCell ref="O624:P624"/>
    <mergeCell ref="Q624:R624"/>
    <mergeCell ref="O625:P625"/>
    <mergeCell ref="Q625:R625"/>
    <mergeCell ref="O626:P626"/>
    <mergeCell ref="Q626:R626"/>
    <mergeCell ref="T653:U654"/>
    <mergeCell ref="V653:X654"/>
    <mergeCell ref="S624:U624"/>
    <mergeCell ref="S625:U625"/>
    <mergeCell ref="S626:U626"/>
    <mergeCell ref="T649:U650"/>
    <mergeCell ref="V649:X650"/>
    <mergeCell ref="T651:U652"/>
    <mergeCell ref="V651:X652"/>
    <mergeCell ref="O644:P644"/>
    <mergeCell ref="O645:P645"/>
    <mergeCell ref="Q640:R640"/>
    <mergeCell ref="Q641:R641"/>
    <mergeCell ref="O642:P642"/>
    <mergeCell ref="Q642:R642"/>
    <mergeCell ref="O643:P643"/>
    <mergeCell ref="Q643:R643"/>
    <mergeCell ref="Q644:R644"/>
    <mergeCell ref="O627:P627"/>
    <mergeCell ref="Q627:R627"/>
    <mergeCell ref="S627:U627"/>
    <mergeCell ref="O628:P628"/>
    <mergeCell ref="Q628:R628"/>
    <mergeCell ref="S628:U628"/>
    <mergeCell ref="O629:U629"/>
    <mergeCell ref="O631:P631"/>
    <mergeCell ref="Q631:R631"/>
    <mergeCell ref="O632:P632"/>
    <mergeCell ref="Q632:R632"/>
    <mergeCell ref="O633:P633"/>
    <mergeCell ref="Q633:R633"/>
    <mergeCell ref="Q634:R634"/>
    <mergeCell ref="O634:P634"/>
    <mergeCell ref="O635:P635"/>
    <mergeCell ref="O636:P636"/>
    <mergeCell ref="O637:P637"/>
    <mergeCell ref="O639:P639"/>
    <mergeCell ref="O640:P640"/>
    <mergeCell ref="D641:E641"/>
    <mergeCell ref="O641:P641"/>
    <mergeCell ref="Q635:R635"/>
    <mergeCell ref="Q636:R636"/>
    <mergeCell ref="Q637:R637"/>
    <mergeCell ref="Q638:R638"/>
    <mergeCell ref="Q639:R639"/>
    <mergeCell ref="U640:V642"/>
    <mergeCell ref="W640:X642"/>
    <mergeCell ref="F641:G641"/>
    <mergeCell ref="J641:K643"/>
    <mergeCell ref="L641:M643"/>
    <mergeCell ref="D642:E642"/>
    <mergeCell ref="F642:G642"/>
    <mergeCell ref="D643:E643"/>
    <mergeCell ref="F643:G643"/>
    <mergeCell ref="Q645:R645"/>
    <mergeCell ref="O649:S654"/>
    <mergeCell ref="O655:P655"/>
    <mergeCell ref="Q655:R655"/>
    <mergeCell ref="O656:P656"/>
    <mergeCell ref="O657:P657"/>
    <mergeCell ref="Q657:R657"/>
    <mergeCell ref="S657:U657"/>
    <mergeCell ref="F655:G655"/>
    <mergeCell ref="H655:J655"/>
    <mergeCell ref="S655:U655"/>
    <mergeCell ref="H656:J656"/>
    <mergeCell ref="Q656:R656"/>
    <mergeCell ref="S656:U656"/>
    <mergeCell ref="H657:J657"/>
    <mergeCell ref="H658:J658"/>
    <mergeCell ref="O658:P658"/>
    <mergeCell ref="Q658:R658"/>
    <mergeCell ref="S658:U658"/>
    <mergeCell ref="O659:P659"/>
    <mergeCell ref="Q659:R659"/>
    <mergeCell ref="S659:U659"/>
    <mergeCell ref="H659:J659"/>
    <mergeCell ref="H660:J660"/>
    <mergeCell ref="O660:P660"/>
    <mergeCell ref="Q660:R660"/>
    <mergeCell ref="S660:U660"/>
    <mergeCell ref="D661:J661"/>
    <mergeCell ref="O661:P661"/>
    <mergeCell ref="Q661:R661"/>
    <mergeCell ref="S661:U661"/>
    <mergeCell ref="O662:U662"/>
    <mergeCell ref="O664:P664"/>
    <mergeCell ref="Q664:R664"/>
    <mergeCell ref="O665:P665"/>
    <mergeCell ref="Q665:R665"/>
    <mergeCell ref="Q670:R670"/>
    <mergeCell ref="Q671:R671"/>
    <mergeCell ref="Q672:R672"/>
    <mergeCell ref="Q673:R673"/>
    <mergeCell ref="U673:V675"/>
    <mergeCell ref="W673:X675"/>
    <mergeCell ref="Q674:R674"/>
    <mergeCell ref="Q675:R675"/>
    <mergeCell ref="O666:P666"/>
    <mergeCell ref="Q666:R666"/>
    <mergeCell ref="O667:P667"/>
    <mergeCell ref="Q667:R667"/>
    <mergeCell ref="O668:P668"/>
    <mergeCell ref="Q668:R668"/>
    <mergeCell ref="Q669:R669"/>
    <mergeCell ref="F671:G671"/>
    <mergeCell ref="F672:G672"/>
    <mergeCell ref="F673:G673"/>
    <mergeCell ref="F676:G676"/>
    <mergeCell ref="F677:G677"/>
    <mergeCell ref="D681:H686"/>
    <mergeCell ref="F687:G687"/>
    <mergeCell ref="D687:E687"/>
    <mergeCell ref="D688:E688"/>
    <mergeCell ref="F688:G688"/>
    <mergeCell ref="D689:E689"/>
    <mergeCell ref="F689:G689"/>
    <mergeCell ref="D690:E690"/>
    <mergeCell ref="F690:G690"/>
    <mergeCell ref="O669:P669"/>
    <mergeCell ref="O670:P670"/>
    <mergeCell ref="O672:P672"/>
    <mergeCell ref="J673:K675"/>
    <mergeCell ref="L673:M675"/>
    <mergeCell ref="D674:E674"/>
    <mergeCell ref="F674:G674"/>
    <mergeCell ref="O675:P675"/>
    <mergeCell ref="O673:P673"/>
    <mergeCell ref="O674:P674"/>
    <mergeCell ref="O676:P676"/>
    <mergeCell ref="Q676:R676"/>
    <mergeCell ref="O677:P677"/>
    <mergeCell ref="Q677:R677"/>
    <mergeCell ref="O678:P678"/>
    <mergeCell ref="I685:J686"/>
    <mergeCell ref="H687:J687"/>
    <mergeCell ref="H688:J688"/>
    <mergeCell ref="H689:J689"/>
    <mergeCell ref="H690:J690"/>
    <mergeCell ref="H691:J691"/>
    <mergeCell ref="H692:J692"/>
    <mergeCell ref="D693:J693"/>
    <mergeCell ref="D675:E675"/>
    <mergeCell ref="F675:G675"/>
    <mergeCell ref="I681:J682"/>
    <mergeCell ref="K681:M682"/>
    <mergeCell ref="I683:J684"/>
    <mergeCell ref="K683:M684"/>
    <mergeCell ref="K685:M686"/>
    <mergeCell ref="S687:U687"/>
    <mergeCell ref="S688:U688"/>
    <mergeCell ref="S689:U689"/>
    <mergeCell ref="Q678:R678"/>
    <mergeCell ref="T681:U682"/>
    <mergeCell ref="V681:X682"/>
    <mergeCell ref="T683:U684"/>
    <mergeCell ref="V683:X684"/>
    <mergeCell ref="T685:U686"/>
    <mergeCell ref="V685:X686"/>
    <mergeCell ref="O693:P693"/>
    <mergeCell ref="Q693:R693"/>
    <mergeCell ref="S693:U693"/>
    <mergeCell ref="O681:S686"/>
    <mergeCell ref="O687:P687"/>
    <mergeCell ref="Q687:R687"/>
    <mergeCell ref="O688:P688"/>
    <mergeCell ref="Q688:R688"/>
    <mergeCell ref="O689:P689"/>
    <mergeCell ref="Q689:R689"/>
    <mergeCell ref="D644:E644"/>
    <mergeCell ref="F644:G644"/>
    <mergeCell ref="D645:E645"/>
    <mergeCell ref="F645:G645"/>
    <mergeCell ref="D646:E646"/>
    <mergeCell ref="F646:G646"/>
    <mergeCell ref="D655:E655"/>
    <mergeCell ref="D656:E656"/>
    <mergeCell ref="F656:G656"/>
    <mergeCell ref="D657:E657"/>
    <mergeCell ref="F657:G657"/>
    <mergeCell ref="D658:E658"/>
    <mergeCell ref="F658:G658"/>
    <mergeCell ref="F659:G659"/>
    <mergeCell ref="F660:G660"/>
    <mergeCell ref="D665:E665"/>
    <mergeCell ref="D666:E666"/>
    <mergeCell ref="D659:E659"/>
    <mergeCell ref="D660:E660"/>
    <mergeCell ref="D663:E663"/>
    <mergeCell ref="F663:G663"/>
    <mergeCell ref="D664:E664"/>
    <mergeCell ref="F664:G664"/>
    <mergeCell ref="F665:G665"/>
    <mergeCell ref="D670:E670"/>
    <mergeCell ref="D671:E671"/>
    <mergeCell ref="D672:E672"/>
    <mergeCell ref="D673:E673"/>
    <mergeCell ref="D676:E676"/>
    <mergeCell ref="D677:E677"/>
    <mergeCell ref="F666:G666"/>
    <mergeCell ref="D667:G667"/>
    <mergeCell ref="D668:E668"/>
    <mergeCell ref="F668:G668"/>
    <mergeCell ref="D669:E669"/>
    <mergeCell ref="F669:G669"/>
    <mergeCell ref="F670:G670"/>
    <mergeCell ref="D702:E702"/>
    <mergeCell ref="F702:G702"/>
    <mergeCell ref="D703:E703"/>
    <mergeCell ref="F703:G703"/>
    <mergeCell ref="D704:E704"/>
    <mergeCell ref="F704:G704"/>
    <mergeCell ref="D705:E705"/>
    <mergeCell ref="F705:G705"/>
    <mergeCell ref="F697:G697"/>
    <mergeCell ref="F698:G698"/>
    <mergeCell ref="D699:G699"/>
    <mergeCell ref="D700:E700"/>
    <mergeCell ref="F700:G700"/>
    <mergeCell ref="D701:E701"/>
    <mergeCell ref="F701:G701"/>
    <mergeCell ref="D722:E722"/>
    <mergeCell ref="F722:G722"/>
    <mergeCell ref="H722:J722"/>
    <mergeCell ref="O722:P722"/>
    <mergeCell ref="Q722:R722"/>
    <mergeCell ref="S722:U722"/>
    <mergeCell ref="F723:G723"/>
    <mergeCell ref="H723:J723"/>
    <mergeCell ref="O723:P723"/>
    <mergeCell ref="Q723:R723"/>
    <mergeCell ref="S723:U723"/>
    <mergeCell ref="D724:J724"/>
    <mergeCell ref="S724:U724"/>
    <mergeCell ref="F710:G710"/>
    <mergeCell ref="I713:J714"/>
    <mergeCell ref="K713:M714"/>
    <mergeCell ref="I715:J716"/>
    <mergeCell ref="K715:M716"/>
    <mergeCell ref="I717:J718"/>
    <mergeCell ref="K717:M718"/>
    <mergeCell ref="D713:H718"/>
    <mergeCell ref="D719:E719"/>
    <mergeCell ref="F719:G719"/>
    <mergeCell ref="D720:E720"/>
    <mergeCell ref="F720:G720"/>
    <mergeCell ref="D721:E721"/>
    <mergeCell ref="F721:G721"/>
    <mergeCell ref="O728:P728"/>
    <mergeCell ref="O729:P729"/>
    <mergeCell ref="Q729:R729"/>
    <mergeCell ref="O724:P724"/>
    <mergeCell ref="Q724:R724"/>
    <mergeCell ref="O725:P725"/>
    <mergeCell ref="Q725:R725"/>
    <mergeCell ref="S725:U725"/>
    <mergeCell ref="O726:U726"/>
    <mergeCell ref="Q728:R728"/>
    <mergeCell ref="D729:E729"/>
    <mergeCell ref="F729:G729"/>
    <mergeCell ref="D730:G730"/>
    <mergeCell ref="O730:P730"/>
    <mergeCell ref="Q730:R730"/>
    <mergeCell ref="D731:E731"/>
    <mergeCell ref="F731:G731"/>
    <mergeCell ref="O731:P731"/>
    <mergeCell ref="Q731:R731"/>
    <mergeCell ref="F732:G732"/>
    <mergeCell ref="O732:P732"/>
    <mergeCell ref="Q732:R732"/>
    <mergeCell ref="O734:P734"/>
    <mergeCell ref="Q734:R734"/>
    <mergeCell ref="D732:E732"/>
    <mergeCell ref="D733:E733"/>
    <mergeCell ref="F733:G733"/>
    <mergeCell ref="O733:P733"/>
    <mergeCell ref="Q733:R733"/>
    <mergeCell ref="D734:E734"/>
    <mergeCell ref="F734:G734"/>
    <mergeCell ref="D691:E691"/>
    <mergeCell ref="F691:G691"/>
    <mergeCell ref="D692:E692"/>
    <mergeCell ref="F692:G692"/>
    <mergeCell ref="D695:E695"/>
    <mergeCell ref="F695:G695"/>
    <mergeCell ref="F696:G696"/>
    <mergeCell ref="D696:E696"/>
    <mergeCell ref="D697:E697"/>
    <mergeCell ref="D698:E698"/>
    <mergeCell ref="J705:K707"/>
    <mergeCell ref="L705:M707"/>
    <mergeCell ref="D706:E706"/>
    <mergeCell ref="F706:G706"/>
    <mergeCell ref="D707:E707"/>
    <mergeCell ref="F707:G707"/>
    <mergeCell ref="D708:E708"/>
    <mergeCell ref="F708:G708"/>
    <mergeCell ref="D709:E709"/>
    <mergeCell ref="F709:G709"/>
    <mergeCell ref="D710:E710"/>
    <mergeCell ref="Q721:R721"/>
    <mergeCell ref="S721:U721"/>
    <mergeCell ref="H719:J719"/>
    <mergeCell ref="H720:J720"/>
    <mergeCell ref="O720:P720"/>
    <mergeCell ref="Q720:R720"/>
    <mergeCell ref="S720:U720"/>
    <mergeCell ref="H721:J721"/>
    <mergeCell ref="O721:P721"/>
    <mergeCell ref="D723:E723"/>
    <mergeCell ref="D726:E726"/>
    <mergeCell ref="F726:G726"/>
    <mergeCell ref="D727:E727"/>
    <mergeCell ref="F727:G727"/>
    <mergeCell ref="D728:E728"/>
    <mergeCell ref="F728:G728"/>
    <mergeCell ref="O736:P736"/>
    <mergeCell ref="Q736:R736"/>
    <mergeCell ref="O751:P751"/>
    <mergeCell ref="Q751:R751"/>
    <mergeCell ref="S751:U751"/>
    <mergeCell ref="O745:S750"/>
    <mergeCell ref="T745:U746"/>
    <mergeCell ref="V745:X746"/>
    <mergeCell ref="T747:U748"/>
    <mergeCell ref="V747:X748"/>
    <mergeCell ref="T749:U750"/>
    <mergeCell ref="V749:X750"/>
    <mergeCell ref="Q753:R753"/>
    <mergeCell ref="S753:U753"/>
    <mergeCell ref="H751:J751"/>
    <mergeCell ref="H752:J752"/>
    <mergeCell ref="O752:P752"/>
    <mergeCell ref="Q752:R752"/>
    <mergeCell ref="S752:U752"/>
    <mergeCell ref="H753:J753"/>
    <mergeCell ref="O753:P753"/>
    <mergeCell ref="H783:J783"/>
    <mergeCell ref="H784:J784"/>
    <mergeCell ref="I778:J779"/>
    <mergeCell ref="I780:J781"/>
    <mergeCell ref="H782:J782"/>
    <mergeCell ref="O782:P782"/>
    <mergeCell ref="Q782:R782"/>
    <mergeCell ref="O783:P783"/>
    <mergeCell ref="Q783:R783"/>
    <mergeCell ref="D766:E766"/>
    <mergeCell ref="F766:G766"/>
    <mergeCell ref="O766:P766"/>
    <mergeCell ref="Q766:R766"/>
    <mergeCell ref="D767:E767"/>
    <mergeCell ref="F767:G767"/>
    <mergeCell ref="O767:P768"/>
    <mergeCell ref="O769:P769"/>
    <mergeCell ref="O770:P770"/>
    <mergeCell ref="O771:P771"/>
    <mergeCell ref="Q771:R771"/>
    <mergeCell ref="O772:P772"/>
    <mergeCell ref="Q772:R772"/>
    <mergeCell ref="D768:E769"/>
    <mergeCell ref="F768:G769"/>
    <mergeCell ref="J768:K770"/>
    <mergeCell ref="L768:M770"/>
    <mergeCell ref="Q769:R769"/>
    <mergeCell ref="F770:G770"/>
    <mergeCell ref="Q770:R770"/>
    <mergeCell ref="D770:E770"/>
    <mergeCell ref="D771:E771"/>
    <mergeCell ref="F771:G771"/>
    <mergeCell ref="D772:E772"/>
    <mergeCell ref="F772:G772"/>
    <mergeCell ref="D773:E773"/>
    <mergeCell ref="F773:G773"/>
    <mergeCell ref="T776:U777"/>
    <mergeCell ref="T778:U779"/>
    <mergeCell ref="S782:U782"/>
    <mergeCell ref="S783:U783"/>
    <mergeCell ref="O784:P784"/>
    <mergeCell ref="Q784:R784"/>
    <mergeCell ref="S784:U784"/>
    <mergeCell ref="D785:E785"/>
    <mergeCell ref="F785:G785"/>
    <mergeCell ref="H785:J785"/>
    <mergeCell ref="O785:P785"/>
    <mergeCell ref="Q785:R785"/>
    <mergeCell ref="S785:U785"/>
    <mergeCell ref="D789:E789"/>
    <mergeCell ref="F789:G789"/>
    <mergeCell ref="D790:E790"/>
    <mergeCell ref="F790:G790"/>
    <mergeCell ref="D791:E791"/>
    <mergeCell ref="F791:G791"/>
    <mergeCell ref="D792:E792"/>
    <mergeCell ref="D799:E800"/>
    <mergeCell ref="F799:G800"/>
    <mergeCell ref="D803:E803"/>
    <mergeCell ref="F803:G803"/>
    <mergeCell ref="D804:E804"/>
    <mergeCell ref="F804:G804"/>
    <mergeCell ref="F792:G792"/>
    <mergeCell ref="D793:G793"/>
    <mergeCell ref="D794:E794"/>
    <mergeCell ref="F794:G794"/>
    <mergeCell ref="D795:E795"/>
    <mergeCell ref="F795:G795"/>
    <mergeCell ref="F796:G796"/>
    <mergeCell ref="D786:E786"/>
    <mergeCell ref="F786:G786"/>
    <mergeCell ref="H786:J786"/>
    <mergeCell ref="O786:P786"/>
    <mergeCell ref="Q786:R786"/>
    <mergeCell ref="S786:U786"/>
    <mergeCell ref="D787:J787"/>
    <mergeCell ref="S787:U787"/>
    <mergeCell ref="D776:H781"/>
    <mergeCell ref="D782:E782"/>
    <mergeCell ref="F782:G782"/>
    <mergeCell ref="D783:E783"/>
    <mergeCell ref="F783:G783"/>
    <mergeCell ref="D784:E784"/>
    <mergeCell ref="F784:G784"/>
    <mergeCell ref="O787:P787"/>
    <mergeCell ref="Q787:R787"/>
    <mergeCell ref="O788:P788"/>
    <mergeCell ref="Q788:R788"/>
    <mergeCell ref="S788:U788"/>
    <mergeCell ref="O789:U789"/>
    <mergeCell ref="Q791:R791"/>
    <mergeCell ref="O791:P791"/>
    <mergeCell ref="O792:P792"/>
    <mergeCell ref="Q792:R792"/>
    <mergeCell ref="O793:P793"/>
    <mergeCell ref="Q793:R793"/>
    <mergeCell ref="O794:P794"/>
    <mergeCell ref="Q794:R794"/>
    <mergeCell ref="D796:E796"/>
    <mergeCell ref="D797:E797"/>
    <mergeCell ref="D798:E798"/>
    <mergeCell ref="D801:E801"/>
    <mergeCell ref="D802:E802"/>
    <mergeCell ref="F797:G797"/>
    <mergeCell ref="F798:G798"/>
    <mergeCell ref="J799:K801"/>
    <mergeCell ref="L799:M801"/>
    <mergeCell ref="F801:G801"/>
    <mergeCell ref="F802:G802"/>
    <mergeCell ref="Q802:R802"/>
    <mergeCell ref="O803:P803"/>
    <mergeCell ref="Q803:R803"/>
    <mergeCell ref="O804:P804"/>
    <mergeCell ref="Q804:R804"/>
    <mergeCell ref="O805:P805"/>
    <mergeCell ref="Q805:R805"/>
    <mergeCell ref="O795:P795"/>
    <mergeCell ref="Q795:R795"/>
    <mergeCell ref="O796:P796"/>
    <mergeCell ref="Q796:R796"/>
    <mergeCell ref="O797:P797"/>
    <mergeCell ref="Q797:R797"/>
    <mergeCell ref="Q798:R798"/>
    <mergeCell ref="F741:G741"/>
    <mergeCell ref="I745:J746"/>
    <mergeCell ref="K745:M746"/>
    <mergeCell ref="I747:J748"/>
    <mergeCell ref="K747:M748"/>
    <mergeCell ref="I749:J750"/>
    <mergeCell ref="K749:M750"/>
    <mergeCell ref="D745:H750"/>
    <mergeCell ref="D751:E751"/>
    <mergeCell ref="F751:G751"/>
    <mergeCell ref="D752:E752"/>
    <mergeCell ref="F752:G752"/>
    <mergeCell ref="D753:E753"/>
    <mergeCell ref="F753:G753"/>
    <mergeCell ref="D754:E754"/>
    <mergeCell ref="F754:G754"/>
    <mergeCell ref="H754:J754"/>
    <mergeCell ref="O754:P754"/>
    <mergeCell ref="Q754:R754"/>
    <mergeCell ref="S754:U754"/>
    <mergeCell ref="F755:G755"/>
    <mergeCell ref="H755:J755"/>
    <mergeCell ref="O755:P755"/>
    <mergeCell ref="Q755:R755"/>
    <mergeCell ref="S755:U755"/>
    <mergeCell ref="D756:J756"/>
    <mergeCell ref="O756:U756"/>
    <mergeCell ref="O761:P761"/>
    <mergeCell ref="O762:P762"/>
    <mergeCell ref="O758:P758"/>
    <mergeCell ref="Q758:R758"/>
    <mergeCell ref="O759:P759"/>
    <mergeCell ref="Q759:R759"/>
    <mergeCell ref="O760:P760"/>
    <mergeCell ref="Q760:R760"/>
    <mergeCell ref="Q761:R761"/>
    <mergeCell ref="Q762:R762"/>
    <mergeCell ref="D761:E761"/>
    <mergeCell ref="F761:G761"/>
    <mergeCell ref="D762:G762"/>
    <mergeCell ref="D763:E763"/>
    <mergeCell ref="F763:G763"/>
    <mergeCell ref="O763:P763"/>
    <mergeCell ref="Q763:R763"/>
    <mergeCell ref="D764:E764"/>
    <mergeCell ref="F764:G764"/>
    <mergeCell ref="O764:P764"/>
    <mergeCell ref="Q764:R764"/>
    <mergeCell ref="D765:E765"/>
    <mergeCell ref="F765:G765"/>
    <mergeCell ref="Q765:R765"/>
    <mergeCell ref="D737:E737"/>
    <mergeCell ref="F737:G737"/>
    <mergeCell ref="D735:E735"/>
    <mergeCell ref="F735:G735"/>
    <mergeCell ref="Q735:R735"/>
    <mergeCell ref="D736:E736"/>
    <mergeCell ref="F736:G736"/>
    <mergeCell ref="J736:K738"/>
    <mergeCell ref="L736:M738"/>
    <mergeCell ref="O737:P737"/>
    <mergeCell ref="Q737:R737"/>
    <mergeCell ref="U737:V739"/>
    <mergeCell ref="W737:X739"/>
    <mergeCell ref="O738:P738"/>
    <mergeCell ref="Q738:R738"/>
    <mergeCell ref="Q739:R739"/>
    <mergeCell ref="D738:E738"/>
    <mergeCell ref="F738:G738"/>
    <mergeCell ref="D739:E739"/>
    <mergeCell ref="F739:G739"/>
    <mergeCell ref="D740:E740"/>
    <mergeCell ref="F740:G740"/>
    <mergeCell ref="D741:E741"/>
    <mergeCell ref="O739:P739"/>
    <mergeCell ref="O740:P740"/>
    <mergeCell ref="Q740:R740"/>
    <mergeCell ref="O741:P741"/>
    <mergeCell ref="Q741:R741"/>
    <mergeCell ref="O742:P742"/>
    <mergeCell ref="Q742:R742"/>
    <mergeCell ref="D755:E755"/>
    <mergeCell ref="D758:E758"/>
    <mergeCell ref="F758:G758"/>
    <mergeCell ref="D759:E759"/>
    <mergeCell ref="F759:G759"/>
    <mergeCell ref="D760:E760"/>
    <mergeCell ref="F760:G760"/>
    <mergeCell ref="Q767:R768"/>
    <mergeCell ref="U767:V769"/>
    <mergeCell ref="W767:X769"/>
    <mergeCell ref="O776:S781"/>
    <mergeCell ref="T780:U781"/>
    <mergeCell ref="I776:J777"/>
    <mergeCell ref="K776:M777"/>
    <mergeCell ref="V776:X777"/>
    <mergeCell ref="K778:M779"/>
    <mergeCell ref="V778:X779"/>
    <mergeCell ref="K780:M781"/>
    <mergeCell ref="V780:X781"/>
    <mergeCell ref="O801:P801"/>
    <mergeCell ref="O802:P802"/>
    <mergeCell ref="O799:P799"/>
    <mergeCell ref="Q799:R799"/>
    <mergeCell ref="O800:P800"/>
    <mergeCell ref="Q800:R800"/>
    <mergeCell ref="U800:V802"/>
    <mergeCell ref="W800:X802"/>
    <mergeCell ref="Q801:R801"/>
    <mergeCell ref="O233:S238"/>
    <mergeCell ref="O239:P239"/>
    <mergeCell ref="Q239:R239"/>
    <mergeCell ref="O240:P240"/>
    <mergeCell ref="Q240:R240"/>
    <mergeCell ref="O241:P241"/>
    <mergeCell ref="Q241:R241"/>
    <mergeCell ref="Q244:R244"/>
    <mergeCell ref="S244:U244"/>
    <mergeCell ref="O242:P242"/>
    <mergeCell ref="Q242:R242"/>
    <mergeCell ref="S242:U242"/>
    <mergeCell ref="O243:P243"/>
    <mergeCell ref="Q243:R243"/>
    <mergeCell ref="S243:U243"/>
    <mergeCell ref="O244:P244"/>
    <mergeCell ref="O245:P245"/>
    <mergeCell ref="Q245:R245"/>
    <mergeCell ref="S245:U245"/>
    <mergeCell ref="O246:U246"/>
    <mergeCell ref="O248:P248"/>
    <mergeCell ref="Q248:R248"/>
    <mergeCell ref="Q249:R249"/>
    <mergeCell ref="O249:P249"/>
    <mergeCell ref="O250:P250"/>
    <mergeCell ref="Q250:R250"/>
    <mergeCell ref="O251:P251"/>
    <mergeCell ref="Q251:R251"/>
    <mergeCell ref="O252:P252"/>
    <mergeCell ref="Q252:R252"/>
    <mergeCell ref="D258:E258"/>
    <mergeCell ref="D259:E259"/>
    <mergeCell ref="T265:U266"/>
    <mergeCell ref="V265:X266"/>
    <mergeCell ref="I267:J268"/>
    <mergeCell ref="K267:M268"/>
    <mergeCell ref="V267:X268"/>
    <mergeCell ref="I269:J270"/>
    <mergeCell ref="K269:M270"/>
    <mergeCell ref="V269:X270"/>
    <mergeCell ref="T267:U268"/>
    <mergeCell ref="T269:U270"/>
    <mergeCell ref="S271:U271"/>
    <mergeCell ref="S272:U272"/>
    <mergeCell ref="S273:U273"/>
    <mergeCell ref="S274:U274"/>
    <mergeCell ref="S275:U275"/>
    <mergeCell ref="S276:U276"/>
    <mergeCell ref="O277:U277"/>
    <mergeCell ref="O279:P279"/>
    <mergeCell ref="Q279:R279"/>
    <mergeCell ref="O280:P280"/>
    <mergeCell ref="Q280:R280"/>
    <mergeCell ref="Q281:R281"/>
    <mergeCell ref="O281:P281"/>
    <mergeCell ref="O282:P282"/>
    <mergeCell ref="Q282:R282"/>
    <mergeCell ref="O283:P283"/>
    <mergeCell ref="Q283:R283"/>
    <mergeCell ref="O284:P284"/>
    <mergeCell ref="Q284:R284"/>
    <mergeCell ref="O285:P285"/>
    <mergeCell ref="Q285:R285"/>
    <mergeCell ref="Q286:R286"/>
    <mergeCell ref="O287:P287"/>
    <mergeCell ref="Q287:R287"/>
    <mergeCell ref="O288:P288"/>
    <mergeCell ref="Q288:R288"/>
    <mergeCell ref="D289:E289"/>
    <mergeCell ref="D290:E290"/>
    <mergeCell ref="D291:E291"/>
    <mergeCell ref="O289:P289"/>
    <mergeCell ref="O290:P290"/>
    <mergeCell ref="F290:G290"/>
    <mergeCell ref="F291:G291"/>
    <mergeCell ref="O150:P150"/>
    <mergeCell ref="Q150:R150"/>
    <mergeCell ref="O151:P151"/>
    <mergeCell ref="Q151:R151"/>
    <mergeCell ref="O152:P152"/>
    <mergeCell ref="Q152:R152"/>
    <mergeCell ref="Q153:R153"/>
    <mergeCell ref="O153:P153"/>
    <mergeCell ref="O154:P154"/>
    <mergeCell ref="O155:P155"/>
    <mergeCell ref="O156:P156"/>
    <mergeCell ref="Q156:R156"/>
    <mergeCell ref="Q157:R157"/>
    <mergeCell ref="Q158:R158"/>
    <mergeCell ref="O158:P158"/>
    <mergeCell ref="O159:P160"/>
    <mergeCell ref="Q159:R160"/>
    <mergeCell ref="U159:V161"/>
    <mergeCell ref="W159:X161"/>
    <mergeCell ref="D160:E160"/>
    <mergeCell ref="F160:G160"/>
    <mergeCell ref="O161:P161"/>
    <mergeCell ref="Q161:R161"/>
    <mergeCell ref="O162:P162"/>
    <mergeCell ref="Q162:R162"/>
    <mergeCell ref="O163:P163"/>
    <mergeCell ref="Q163:R163"/>
    <mergeCell ref="O164:P164"/>
    <mergeCell ref="S173:U173"/>
    <mergeCell ref="S174:U174"/>
    <mergeCell ref="S175:U175"/>
    <mergeCell ref="Q164:R164"/>
    <mergeCell ref="T167:U168"/>
    <mergeCell ref="V167:X168"/>
    <mergeCell ref="T169:U170"/>
    <mergeCell ref="V169:X170"/>
    <mergeCell ref="T171:U172"/>
    <mergeCell ref="V171:X172"/>
    <mergeCell ref="O167:S172"/>
    <mergeCell ref="O173:P173"/>
    <mergeCell ref="Q173:R173"/>
    <mergeCell ref="O174:P174"/>
    <mergeCell ref="Q174:R174"/>
    <mergeCell ref="O175:P175"/>
    <mergeCell ref="Q175:R175"/>
    <mergeCell ref="Q178:R178"/>
    <mergeCell ref="S178:U178"/>
    <mergeCell ref="O176:P176"/>
    <mergeCell ref="Q176:R176"/>
    <mergeCell ref="S176:U176"/>
    <mergeCell ref="O177:P177"/>
    <mergeCell ref="Q177:R177"/>
    <mergeCell ref="S177:U177"/>
    <mergeCell ref="O178:P178"/>
    <mergeCell ref="O179:P179"/>
    <mergeCell ref="Q179:R179"/>
    <mergeCell ref="S179:U179"/>
    <mergeCell ref="O180:U180"/>
    <mergeCell ref="O182:P182"/>
    <mergeCell ref="Q182:R182"/>
    <mergeCell ref="Q183:R183"/>
    <mergeCell ref="O183:P183"/>
    <mergeCell ref="O184:P184"/>
    <mergeCell ref="Q184:R184"/>
    <mergeCell ref="O185:P185"/>
    <mergeCell ref="Q185:R185"/>
    <mergeCell ref="O186:P186"/>
    <mergeCell ref="Q186:R186"/>
    <mergeCell ref="O187:P187"/>
    <mergeCell ref="Q187:R187"/>
    <mergeCell ref="O188:P188"/>
    <mergeCell ref="Q188:R188"/>
    <mergeCell ref="Q189:R189"/>
    <mergeCell ref="O190:P190"/>
    <mergeCell ref="Q190:R190"/>
    <mergeCell ref="D192:E192"/>
    <mergeCell ref="D193:E193"/>
    <mergeCell ref="O191:P191"/>
    <mergeCell ref="Q191:R191"/>
    <mergeCell ref="U191:V193"/>
    <mergeCell ref="W191:X193"/>
    <mergeCell ref="F192:G192"/>
    <mergeCell ref="Q192:R192"/>
    <mergeCell ref="F193:G193"/>
    <mergeCell ref="Q193:R193"/>
    <mergeCell ref="O192:P192"/>
    <mergeCell ref="O193:P193"/>
    <mergeCell ref="O194:P194"/>
    <mergeCell ref="Q194:R194"/>
    <mergeCell ref="O195:P195"/>
    <mergeCell ref="Q195:R195"/>
    <mergeCell ref="O196:P196"/>
    <mergeCell ref="S207:U207"/>
    <mergeCell ref="S208:U208"/>
    <mergeCell ref="S209:U209"/>
    <mergeCell ref="Q196:R196"/>
    <mergeCell ref="T201:U202"/>
    <mergeCell ref="V201:X202"/>
    <mergeCell ref="T203:U204"/>
    <mergeCell ref="V203:X204"/>
    <mergeCell ref="T205:U206"/>
    <mergeCell ref="V205:X206"/>
    <mergeCell ref="O201:S206"/>
    <mergeCell ref="O207:P207"/>
    <mergeCell ref="Q207:R207"/>
    <mergeCell ref="O208:P208"/>
    <mergeCell ref="Q208:R208"/>
    <mergeCell ref="O209:P209"/>
    <mergeCell ref="Q209:R209"/>
    <mergeCell ref="Q212:R212"/>
    <mergeCell ref="S212:U212"/>
    <mergeCell ref="O210:P210"/>
    <mergeCell ref="Q210:R210"/>
    <mergeCell ref="S210:U210"/>
    <mergeCell ref="O211:P211"/>
    <mergeCell ref="Q211:R211"/>
    <mergeCell ref="S211:U211"/>
    <mergeCell ref="O212:P212"/>
    <mergeCell ref="O213:P213"/>
    <mergeCell ref="Q213:R213"/>
    <mergeCell ref="S213:U213"/>
    <mergeCell ref="O214:U214"/>
    <mergeCell ref="O216:P216"/>
    <mergeCell ref="Q216:R216"/>
    <mergeCell ref="Q217:R217"/>
    <mergeCell ref="O217:P217"/>
    <mergeCell ref="O218:P218"/>
    <mergeCell ref="Q218:R218"/>
    <mergeCell ref="O219:P219"/>
    <mergeCell ref="Q219:R219"/>
    <mergeCell ref="O220:P220"/>
    <mergeCell ref="Q220:R220"/>
    <mergeCell ref="O221:P221"/>
    <mergeCell ref="Q221:R221"/>
    <mergeCell ref="O222:P222"/>
    <mergeCell ref="Q222:R222"/>
    <mergeCell ref="Q223:R223"/>
    <mergeCell ref="O224:P224"/>
    <mergeCell ref="Q224:R224"/>
    <mergeCell ref="D226:E226"/>
    <mergeCell ref="D227:E227"/>
    <mergeCell ref="D228:E228"/>
    <mergeCell ref="F228:G228"/>
    <mergeCell ref="O225:P225"/>
    <mergeCell ref="Q225:R225"/>
    <mergeCell ref="U225:V227"/>
    <mergeCell ref="W225:X227"/>
    <mergeCell ref="F226:G226"/>
    <mergeCell ref="Q226:R226"/>
    <mergeCell ref="F227:G227"/>
    <mergeCell ref="Q227:R227"/>
    <mergeCell ref="O226:P226"/>
    <mergeCell ref="O227:P227"/>
    <mergeCell ref="O228:P228"/>
    <mergeCell ref="Q228:R228"/>
    <mergeCell ref="O229:P229"/>
    <mergeCell ref="Q229:R229"/>
    <mergeCell ref="O230:P230"/>
    <mergeCell ref="S239:U239"/>
    <mergeCell ref="S240:U240"/>
    <mergeCell ref="S241:U241"/>
    <mergeCell ref="Q230:R230"/>
    <mergeCell ref="T233:U234"/>
    <mergeCell ref="V233:X234"/>
    <mergeCell ref="T235:U236"/>
    <mergeCell ref="V235:X236"/>
    <mergeCell ref="T237:U238"/>
    <mergeCell ref="V237:X238"/>
    <mergeCell ref="O258:P258"/>
    <mergeCell ref="O259:P259"/>
    <mergeCell ref="O257:P257"/>
    <mergeCell ref="Q257:R257"/>
    <mergeCell ref="U257:V259"/>
    <mergeCell ref="W257:X259"/>
    <mergeCell ref="F258:G258"/>
    <mergeCell ref="Q258:R258"/>
    <mergeCell ref="F259:G259"/>
    <mergeCell ref="Q259:R259"/>
    <mergeCell ref="O253:P253"/>
    <mergeCell ref="Q253:R253"/>
    <mergeCell ref="O254:P254"/>
    <mergeCell ref="Q254:R254"/>
    <mergeCell ref="Q255:R255"/>
    <mergeCell ref="O256:P256"/>
    <mergeCell ref="Q256:R256"/>
    <mergeCell ref="O260:P260"/>
    <mergeCell ref="Q260:R260"/>
    <mergeCell ref="O261:P261"/>
    <mergeCell ref="Q261:R261"/>
    <mergeCell ref="O262:P262"/>
    <mergeCell ref="Q262:R262"/>
    <mergeCell ref="O265:S270"/>
    <mergeCell ref="O274:P274"/>
    <mergeCell ref="O275:P275"/>
    <mergeCell ref="O276:P276"/>
    <mergeCell ref="Q275:R275"/>
    <mergeCell ref="Q276:R276"/>
    <mergeCell ref="O271:P271"/>
    <mergeCell ref="Q271:R271"/>
    <mergeCell ref="O272:P272"/>
    <mergeCell ref="Q272:R272"/>
    <mergeCell ref="O273:P273"/>
    <mergeCell ref="Q273:R273"/>
    <mergeCell ref="Q274:R274"/>
    <mergeCell ref="Q305:R305"/>
    <mergeCell ref="S305:U305"/>
    <mergeCell ref="O303:P303"/>
    <mergeCell ref="Q303:R303"/>
    <mergeCell ref="S303:U303"/>
    <mergeCell ref="O304:P304"/>
    <mergeCell ref="Q304:R304"/>
    <mergeCell ref="S304:U304"/>
    <mergeCell ref="O305:P305"/>
    <mergeCell ref="Q372:R372"/>
    <mergeCell ref="S372:U372"/>
    <mergeCell ref="O370:P370"/>
    <mergeCell ref="Q370:R370"/>
    <mergeCell ref="S370:U370"/>
    <mergeCell ref="O371:P371"/>
    <mergeCell ref="Q371:R371"/>
    <mergeCell ref="S371:U371"/>
    <mergeCell ref="O372:P372"/>
    <mergeCell ref="O349:P349"/>
    <mergeCell ref="Q349:R349"/>
    <mergeCell ref="O350:P350"/>
    <mergeCell ref="Q350:R350"/>
    <mergeCell ref="Q351:R351"/>
    <mergeCell ref="O352:P352"/>
    <mergeCell ref="Q352:R352"/>
    <mergeCell ref="O353:P353"/>
    <mergeCell ref="Q353:R353"/>
    <mergeCell ref="U353:V355"/>
    <mergeCell ref="W353:X355"/>
    <mergeCell ref="O354:P354"/>
    <mergeCell ref="Q354:R354"/>
    <mergeCell ref="Q355:R355"/>
    <mergeCell ref="O355:P355"/>
    <mergeCell ref="O356:P356"/>
    <mergeCell ref="Q356:R356"/>
    <mergeCell ref="O357:P357"/>
    <mergeCell ref="Q357:R357"/>
    <mergeCell ref="O358:P358"/>
    <mergeCell ref="Q358:R358"/>
    <mergeCell ref="O361:S366"/>
    <mergeCell ref="T361:U362"/>
    <mergeCell ref="V361:X362"/>
    <mergeCell ref="T363:U364"/>
    <mergeCell ref="V363:X364"/>
    <mergeCell ref="T365:U366"/>
    <mergeCell ref="V365:X366"/>
    <mergeCell ref="Q369:R369"/>
    <mergeCell ref="S369:U369"/>
    <mergeCell ref="O367:P367"/>
    <mergeCell ref="Q367:R367"/>
    <mergeCell ref="S367:U367"/>
    <mergeCell ref="O368:P368"/>
    <mergeCell ref="Q368:R368"/>
    <mergeCell ref="S368:U368"/>
    <mergeCell ref="O369:P369"/>
    <mergeCell ref="O373:P373"/>
    <mergeCell ref="Q373:R373"/>
    <mergeCell ref="S373:U373"/>
    <mergeCell ref="O374:U374"/>
    <mergeCell ref="O376:P376"/>
    <mergeCell ref="Q376:R376"/>
    <mergeCell ref="Q377:R377"/>
    <mergeCell ref="O377:P377"/>
    <mergeCell ref="O378:P378"/>
    <mergeCell ref="Q378:R378"/>
    <mergeCell ref="O379:P379"/>
    <mergeCell ref="Q379:R379"/>
    <mergeCell ref="O380:P380"/>
    <mergeCell ref="Q380:R380"/>
    <mergeCell ref="O381:P381"/>
    <mergeCell ref="Q381:R381"/>
    <mergeCell ref="O382:P382"/>
    <mergeCell ref="Q382:R382"/>
    <mergeCell ref="Q383:R383"/>
    <mergeCell ref="O384:P384"/>
    <mergeCell ref="Q384:R384"/>
    <mergeCell ref="O385:P385"/>
    <mergeCell ref="Q385:R385"/>
    <mergeCell ref="U385:V387"/>
    <mergeCell ref="W385:X387"/>
    <mergeCell ref="O386:P386"/>
    <mergeCell ref="Q386:R386"/>
    <mergeCell ref="Q387:R387"/>
    <mergeCell ref="O387:P387"/>
    <mergeCell ref="O388:P388"/>
    <mergeCell ref="Q388:R388"/>
    <mergeCell ref="O389:P389"/>
    <mergeCell ref="Q389:R389"/>
    <mergeCell ref="O390:P390"/>
    <mergeCell ref="Q390:R390"/>
    <mergeCell ref="O395:S400"/>
    <mergeCell ref="T395:U396"/>
    <mergeCell ref="V395:X396"/>
    <mergeCell ref="T397:U398"/>
    <mergeCell ref="V397:X398"/>
    <mergeCell ref="T399:U400"/>
    <mergeCell ref="V399:X400"/>
    <mergeCell ref="Q403:R403"/>
    <mergeCell ref="S403:U403"/>
    <mergeCell ref="O401:P401"/>
    <mergeCell ref="Q401:R401"/>
    <mergeCell ref="S401:U401"/>
    <mergeCell ref="O402:P402"/>
    <mergeCell ref="Q402:R402"/>
    <mergeCell ref="S402:U402"/>
    <mergeCell ref="O403:P403"/>
    <mergeCell ref="Q406:R406"/>
    <mergeCell ref="S406:U406"/>
    <mergeCell ref="O404:P404"/>
    <mergeCell ref="Q404:R404"/>
    <mergeCell ref="S404:U404"/>
    <mergeCell ref="O405:P405"/>
    <mergeCell ref="Q405:R405"/>
    <mergeCell ref="S405:U405"/>
    <mergeCell ref="O406:P406"/>
    <mergeCell ref="O407:P407"/>
    <mergeCell ref="Q407:R407"/>
    <mergeCell ref="S407:U407"/>
    <mergeCell ref="O408:U408"/>
    <mergeCell ref="O410:P410"/>
    <mergeCell ref="Q410:R410"/>
    <mergeCell ref="Q411:R411"/>
    <mergeCell ref="O411:P411"/>
    <mergeCell ref="O412:P412"/>
    <mergeCell ref="Q412:R412"/>
    <mergeCell ref="O413:P413"/>
    <mergeCell ref="Q413:R413"/>
    <mergeCell ref="O414:P414"/>
    <mergeCell ref="Q414:R414"/>
    <mergeCell ref="O415:P415"/>
    <mergeCell ref="Q415:R415"/>
    <mergeCell ref="O416:P416"/>
    <mergeCell ref="Q416:R416"/>
    <mergeCell ref="Q417:R417"/>
    <mergeCell ref="O418:P418"/>
    <mergeCell ref="Q418:R418"/>
    <mergeCell ref="O419:P419"/>
    <mergeCell ref="Q419:R419"/>
    <mergeCell ref="U419:V421"/>
    <mergeCell ref="W419:X421"/>
    <mergeCell ref="O420:P420"/>
    <mergeCell ref="Q420:R420"/>
    <mergeCell ref="Q421:R421"/>
    <mergeCell ref="O421:P421"/>
    <mergeCell ref="O422:P422"/>
    <mergeCell ref="Q422:R422"/>
    <mergeCell ref="O423:P423"/>
    <mergeCell ref="Q423:R423"/>
    <mergeCell ref="O424:P424"/>
    <mergeCell ref="Q424:R424"/>
    <mergeCell ref="D293:E293"/>
    <mergeCell ref="D294:E294"/>
    <mergeCell ref="F294:G294"/>
    <mergeCell ref="I297:J298"/>
    <mergeCell ref="K297:M298"/>
    <mergeCell ref="K299:M300"/>
    <mergeCell ref="K301:M302"/>
    <mergeCell ref="D297:H302"/>
    <mergeCell ref="D303:E303"/>
    <mergeCell ref="F303:G303"/>
    <mergeCell ref="D304:E304"/>
    <mergeCell ref="F304:G304"/>
    <mergeCell ref="D305:E305"/>
    <mergeCell ref="F305:G305"/>
    <mergeCell ref="U288:V290"/>
    <mergeCell ref="W288:X290"/>
    <mergeCell ref="F289:G289"/>
    <mergeCell ref="J289:K291"/>
    <mergeCell ref="L289:M291"/>
    <mergeCell ref="Q289:R289"/>
    <mergeCell ref="Q290:R290"/>
    <mergeCell ref="O291:P291"/>
    <mergeCell ref="Q291:R291"/>
    <mergeCell ref="D292:E292"/>
    <mergeCell ref="F292:G292"/>
    <mergeCell ref="Q292:R292"/>
    <mergeCell ref="F293:G293"/>
    <mergeCell ref="Q293:R293"/>
    <mergeCell ref="I299:J300"/>
    <mergeCell ref="I301:J302"/>
    <mergeCell ref="H303:J303"/>
    <mergeCell ref="H304:J304"/>
    <mergeCell ref="H305:J305"/>
    <mergeCell ref="T301:U302"/>
    <mergeCell ref="V301:X302"/>
    <mergeCell ref="O292:P292"/>
    <mergeCell ref="O293:P293"/>
    <mergeCell ref="O297:S302"/>
    <mergeCell ref="T297:U298"/>
    <mergeCell ref="V297:X298"/>
    <mergeCell ref="T299:U300"/>
    <mergeCell ref="V299:X300"/>
    <mergeCell ref="D306:E306"/>
    <mergeCell ref="F306:G306"/>
    <mergeCell ref="H306:J306"/>
    <mergeCell ref="O306:P306"/>
    <mergeCell ref="Q306:R306"/>
    <mergeCell ref="S306:U306"/>
    <mergeCell ref="O308:P308"/>
    <mergeCell ref="Q308:R308"/>
    <mergeCell ref="D307:E307"/>
    <mergeCell ref="F307:G307"/>
    <mergeCell ref="H307:J307"/>
    <mergeCell ref="O307:P307"/>
    <mergeCell ref="Q307:R307"/>
    <mergeCell ref="S307:U307"/>
    <mergeCell ref="D308:E308"/>
    <mergeCell ref="F308:G308"/>
    <mergeCell ref="H308:J308"/>
    <mergeCell ref="D309:J309"/>
    <mergeCell ref="D311:E311"/>
    <mergeCell ref="F311:G311"/>
    <mergeCell ref="D312:E312"/>
    <mergeCell ref="F312:G312"/>
    <mergeCell ref="S308:U308"/>
    <mergeCell ref="O309:U309"/>
    <mergeCell ref="O311:P311"/>
    <mergeCell ref="Q311:R311"/>
    <mergeCell ref="O312:P312"/>
    <mergeCell ref="Q312:R312"/>
    <mergeCell ref="Q313:R313"/>
    <mergeCell ref="D313:E313"/>
    <mergeCell ref="F313:G313"/>
    <mergeCell ref="D314:E314"/>
    <mergeCell ref="F314:G314"/>
    <mergeCell ref="D315:G315"/>
    <mergeCell ref="D316:E316"/>
    <mergeCell ref="F316:G316"/>
    <mergeCell ref="O313:P313"/>
    <mergeCell ref="O314:P314"/>
    <mergeCell ref="Q314:R314"/>
    <mergeCell ref="O315:P315"/>
    <mergeCell ref="Q315:R315"/>
    <mergeCell ref="O316:P316"/>
    <mergeCell ref="Q316:R316"/>
    <mergeCell ref="U320:V322"/>
    <mergeCell ref="W320:X322"/>
    <mergeCell ref="O322:P322"/>
    <mergeCell ref="O323:P323"/>
    <mergeCell ref="J321:K323"/>
    <mergeCell ref="L321:M323"/>
    <mergeCell ref="D322:E322"/>
    <mergeCell ref="F322:G322"/>
    <mergeCell ref="Q322:R322"/>
    <mergeCell ref="D323:E323"/>
    <mergeCell ref="F323:G323"/>
    <mergeCell ref="Q323:R323"/>
    <mergeCell ref="D317:E317"/>
    <mergeCell ref="F317:G317"/>
    <mergeCell ref="D318:E318"/>
    <mergeCell ref="F318:G318"/>
    <mergeCell ref="D319:E319"/>
    <mergeCell ref="F319:G319"/>
    <mergeCell ref="F320:G320"/>
    <mergeCell ref="F321:G321"/>
    <mergeCell ref="D320:E320"/>
    <mergeCell ref="D321:E321"/>
    <mergeCell ref="D324:E324"/>
    <mergeCell ref="F324:G324"/>
    <mergeCell ref="D325:E325"/>
    <mergeCell ref="F325:G325"/>
    <mergeCell ref="D326:E326"/>
    <mergeCell ref="H335:J335"/>
    <mergeCell ref="H336:J336"/>
    <mergeCell ref="H337:J337"/>
    <mergeCell ref="F326:G326"/>
    <mergeCell ref="I329:J330"/>
    <mergeCell ref="K329:M330"/>
    <mergeCell ref="I331:J332"/>
    <mergeCell ref="K331:M332"/>
    <mergeCell ref="I333:J334"/>
    <mergeCell ref="K333:M334"/>
    <mergeCell ref="D329:H334"/>
    <mergeCell ref="D335:E335"/>
    <mergeCell ref="F335:G335"/>
    <mergeCell ref="D336:E336"/>
    <mergeCell ref="F336:G336"/>
    <mergeCell ref="D337:E337"/>
    <mergeCell ref="F337:G337"/>
    <mergeCell ref="F340:G340"/>
    <mergeCell ref="H340:J340"/>
    <mergeCell ref="D338:E338"/>
    <mergeCell ref="F338:G338"/>
    <mergeCell ref="H338:J338"/>
    <mergeCell ref="D339:E339"/>
    <mergeCell ref="F339:G339"/>
    <mergeCell ref="H339:J339"/>
    <mergeCell ref="D341:J341"/>
    <mergeCell ref="O338:P338"/>
    <mergeCell ref="Q338:R338"/>
    <mergeCell ref="S338:U338"/>
    <mergeCell ref="O339:P339"/>
    <mergeCell ref="Q339:R339"/>
    <mergeCell ref="S339:U339"/>
    <mergeCell ref="O340:P340"/>
    <mergeCell ref="O341:P341"/>
    <mergeCell ref="Q341:R341"/>
    <mergeCell ref="S341:U341"/>
    <mergeCell ref="O342:U342"/>
    <mergeCell ref="O344:P344"/>
    <mergeCell ref="Q344:R344"/>
    <mergeCell ref="Q345:R345"/>
    <mergeCell ref="O317:P317"/>
    <mergeCell ref="Q317:R317"/>
    <mergeCell ref="Q318:R318"/>
    <mergeCell ref="O319:P319"/>
    <mergeCell ref="Q319:R319"/>
    <mergeCell ref="O320:P320"/>
    <mergeCell ref="Q320:R320"/>
    <mergeCell ref="T329:U330"/>
    <mergeCell ref="V329:X330"/>
    <mergeCell ref="T331:U332"/>
    <mergeCell ref="V331:X332"/>
    <mergeCell ref="T333:U334"/>
    <mergeCell ref="V333:X334"/>
    <mergeCell ref="O321:P321"/>
    <mergeCell ref="Q321:R321"/>
    <mergeCell ref="O324:P324"/>
    <mergeCell ref="Q324:R324"/>
    <mergeCell ref="O325:P325"/>
    <mergeCell ref="Q325:R325"/>
    <mergeCell ref="O329:S334"/>
    <mergeCell ref="Q337:R337"/>
    <mergeCell ref="S337:U337"/>
    <mergeCell ref="O335:P335"/>
    <mergeCell ref="Q335:R335"/>
    <mergeCell ref="S335:U335"/>
    <mergeCell ref="O336:P336"/>
    <mergeCell ref="Q336:R336"/>
    <mergeCell ref="S336:U336"/>
    <mergeCell ref="O337:P337"/>
    <mergeCell ref="Q340:R340"/>
    <mergeCell ref="S340:U340"/>
    <mergeCell ref="O345:P345"/>
    <mergeCell ref="O346:P346"/>
    <mergeCell ref="Q346:R346"/>
    <mergeCell ref="O347:P347"/>
    <mergeCell ref="Q347:R347"/>
    <mergeCell ref="O348:P348"/>
    <mergeCell ref="Q348:R348"/>
    <mergeCell ref="Q447:R447"/>
    <mergeCell ref="Q448:R448"/>
    <mergeCell ref="O444:P444"/>
    <mergeCell ref="Q444:R444"/>
    <mergeCell ref="O445:P445"/>
    <mergeCell ref="Q445:R445"/>
    <mergeCell ref="O446:P446"/>
    <mergeCell ref="Q446:R446"/>
    <mergeCell ref="O447:P447"/>
    <mergeCell ref="D451:E452"/>
    <mergeCell ref="D453:E453"/>
    <mergeCell ref="D454:E454"/>
    <mergeCell ref="F454:G454"/>
    <mergeCell ref="D455:E455"/>
    <mergeCell ref="F455:G455"/>
    <mergeCell ref="D456:E456"/>
    <mergeCell ref="F456:G456"/>
    <mergeCell ref="O452:P452"/>
    <mergeCell ref="O453:P454"/>
    <mergeCell ref="Q453:R454"/>
    <mergeCell ref="O455:P455"/>
    <mergeCell ref="Q455:R455"/>
    <mergeCell ref="O450:P451"/>
    <mergeCell ref="Q450:R451"/>
    <mergeCell ref="F451:G452"/>
    <mergeCell ref="J451:K453"/>
    <mergeCell ref="L451:M453"/>
    <mergeCell ref="Q452:R452"/>
    <mergeCell ref="F453:G453"/>
    <mergeCell ref="D340:E340"/>
    <mergeCell ref="D343:E343"/>
    <mergeCell ref="F343:G343"/>
    <mergeCell ref="D344:E344"/>
    <mergeCell ref="F344:G344"/>
    <mergeCell ref="D345:E345"/>
    <mergeCell ref="F345:G345"/>
    <mergeCell ref="D346:E346"/>
    <mergeCell ref="F346:G346"/>
    <mergeCell ref="D347:G347"/>
    <mergeCell ref="D348:E348"/>
    <mergeCell ref="F348:G348"/>
    <mergeCell ref="D349:E349"/>
    <mergeCell ref="F349:G349"/>
    <mergeCell ref="F353:G353"/>
    <mergeCell ref="J353:K355"/>
    <mergeCell ref="L353:M355"/>
    <mergeCell ref="F354:G354"/>
    <mergeCell ref="F355:G355"/>
    <mergeCell ref="D350:E350"/>
    <mergeCell ref="F350:G350"/>
    <mergeCell ref="D351:E351"/>
    <mergeCell ref="F351:G351"/>
    <mergeCell ref="D352:E352"/>
    <mergeCell ref="F352:G352"/>
    <mergeCell ref="D353:E353"/>
    <mergeCell ref="D354:E354"/>
    <mergeCell ref="D355:E355"/>
    <mergeCell ref="D356:E356"/>
    <mergeCell ref="F356:G356"/>
    <mergeCell ref="D357:E357"/>
    <mergeCell ref="F357:G357"/>
    <mergeCell ref="D358:E358"/>
    <mergeCell ref="H367:J367"/>
    <mergeCell ref="H368:J368"/>
    <mergeCell ref="H369:J369"/>
    <mergeCell ref="H370:J370"/>
    <mergeCell ref="H371:J371"/>
    <mergeCell ref="H372:J372"/>
    <mergeCell ref="D373:J373"/>
    <mergeCell ref="F358:G358"/>
    <mergeCell ref="I361:J362"/>
    <mergeCell ref="K361:M362"/>
    <mergeCell ref="I363:J364"/>
    <mergeCell ref="K363:M364"/>
    <mergeCell ref="I365:J366"/>
    <mergeCell ref="K365:M366"/>
    <mergeCell ref="D361:H366"/>
    <mergeCell ref="D367:E367"/>
    <mergeCell ref="F367:G367"/>
    <mergeCell ref="D368:E368"/>
    <mergeCell ref="F368:G368"/>
    <mergeCell ref="D369:E369"/>
    <mergeCell ref="F369:G369"/>
    <mergeCell ref="D375:E375"/>
    <mergeCell ref="D376:E376"/>
    <mergeCell ref="D377:E377"/>
    <mergeCell ref="D378:E378"/>
    <mergeCell ref="D370:E370"/>
    <mergeCell ref="F370:G370"/>
    <mergeCell ref="D371:E371"/>
    <mergeCell ref="F371:G371"/>
    <mergeCell ref="D372:E372"/>
    <mergeCell ref="F372:G372"/>
    <mergeCell ref="F375:G375"/>
    <mergeCell ref="F376:G376"/>
    <mergeCell ref="F377:G377"/>
    <mergeCell ref="F378:G378"/>
    <mergeCell ref="D379:G379"/>
    <mergeCell ref="D380:E380"/>
    <mergeCell ref="F380:G380"/>
    <mergeCell ref="F381:G381"/>
    <mergeCell ref="F387:G387"/>
    <mergeCell ref="F388:G388"/>
    <mergeCell ref="F389:G389"/>
    <mergeCell ref="F390:G390"/>
    <mergeCell ref="F391:G391"/>
    <mergeCell ref="F392:G392"/>
    <mergeCell ref="F382:G382"/>
    <mergeCell ref="F383:G383"/>
    <mergeCell ref="F384:G384"/>
    <mergeCell ref="F385:G385"/>
    <mergeCell ref="J385:K387"/>
    <mergeCell ref="L385:M387"/>
    <mergeCell ref="F386:G386"/>
    <mergeCell ref="D381:E381"/>
    <mergeCell ref="D382:E382"/>
    <mergeCell ref="D383:E383"/>
    <mergeCell ref="D384:E384"/>
    <mergeCell ref="D385:E385"/>
    <mergeCell ref="D386:E386"/>
    <mergeCell ref="D387:E387"/>
    <mergeCell ref="D409:E409"/>
    <mergeCell ref="F409:G409"/>
    <mergeCell ref="D410:E410"/>
    <mergeCell ref="F410:G410"/>
    <mergeCell ref="D411:E411"/>
    <mergeCell ref="F411:G411"/>
    <mergeCell ref="D412:E412"/>
    <mergeCell ref="F412:G412"/>
    <mergeCell ref="D413:G413"/>
    <mergeCell ref="D414:E414"/>
    <mergeCell ref="F414:G414"/>
    <mergeCell ref="D415:E415"/>
    <mergeCell ref="F415:G415"/>
    <mergeCell ref="F416:G416"/>
    <mergeCell ref="I395:J396"/>
    <mergeCell ref="I397:J398"/>
    <mergeCell ref="D388:E388"/>
    <mergeCell ref="D389:E389"/>
    <mergeCell ref="D390:E390"/>
    <mergeCell ref="D391:E391"/>
    <mergeCell ref="D392:E392"/>
    <mergeCell ref="K395:M396"/>
    <mergeCell ref="K397:M398"/>
    <mergeCell ref="D395:H400"/>
    <mergeCell ref="I399:J400"/>
    <mergeCell ref="K399:M400"/>
    <mergeCell ref="D401:E401"/>
    <mergeCell ref="F401:G401"/>
    <mergeCell ref="H401:J401"/>
    <mergeCell ref="D402:E402"/>
    <mergeCell ref="F402:G402"/>
    <mergeCell ref="H402:J402"/>
    <mergeCell ref="D403:E403"/>
    <mergeCell ref="F403:G403"/>
    <mergeCell ref="H403:J403"/>
    <mergeCell ref="F404:G404"/>
    <mergeCell ref="H404:J404"/>
    <mergeCell ref="D404:E404"/>
    <mergeCell ref="D405:E405"/>
    <mergeCell ref="F405:G405"/>
    <mergeCell ref="H405:J405"/>
    <mergeCell ref="D406:J406"/>
    <mergeCell ref="D408:E408"/>
    <mergeCell ref="F408:G408"/>
    <mergeCell ref="F422:G422"/>
    <mergeCell ref="F423:G423"/>
    <mergeCell ref="F424:G424"/>
    <mergeCell ref="K427:M428"/>
    <mergeCell ref="K429:M430"/>
    <mergeCell ref="K431:M432"/>
    <mergeCell ref="F417:G417"/>
    <mergeCell ref="F418:G418"/>
    <mergeCell ref="F419:G419"/>
    <mergeCell ref="J419:K421"/>
    <mergeCell ref="L419:M421"/>
    <mergeCell ref="F420:G420"/>
    <mergeCell ref="F421:G421"/>
    <mergeCell ref="D416:E416"/>
    <mergeCell ref="D417:E417"/>
    <mergeCell ref="D418:E418"/>
    <mergeCell ref="D419:E419"/>
    <mergeCell ref="D420:E420"/>
    <mergeCell ref="D421:E421"/>
    <mergeCell ref="D422:E422"/>
    <mergeCell ref="F433:G433"/>
    <mergeCell ref="H433:J433"/>
    <mergeCell ref="D423:E423"/>
    <mergeCell ref="D424:E424"/>
    <mergeCell ref="D427:H432"/>
    <mergeCell ref="I427:J428"/>
    <mergeCell ref="I429:J430"/>
    <mergeCell ref="I431:J432"/>
    <mergeCell ref="D433:E433"/>
    <mergeCell ref="F436:G436"/>
    <mergeCell ref="H436:J436"/>
    <mergeCell ref="D434:E434"/>
    <mergeCell ref="F434:G434"/>
    <mergeCell ref="H434:J434"/>
    <mergeCell ref="D435:E435"/>
    <mergeCell ref="F435:G435"/>
    <mergeCell ref="H435:J435"/>
    <mergeCell ref="D436:E436"/>
    <mergeCell ref="D437:E437"/>
    <mergeCell ref="F437:G437"/>
    <mergeCell ref="H437:J437"/>
    <mergeCell ref="D438:E438"/>
    <mergeCell ref="F438:G438"/>
    <mergeCell ref="H438:J438"/>
    <mergeCell ref="D439:J439"/>
    <mergeCell ref="D448:E448"/>
    <mergeCell ref="D449:E449"/>
    <mergeCell ref="F449:G449"/>
    <mergeCell ref="D450:E450"/>
    <mergeCell ref="F450:G450"/>
    <mergeCell ref="F498:G498"/>
    <mergeCell ref="H498:J498"/>
    <mergeCell ref="D496:E496"/>
    <mergeCell ref="F496:G496"/>
    <mergeCell ref="H496:J496"/>
    <mergeCell ref="D497:E497"/>
    <mergeCell ref="F497:G497"/>
    <mergeCell ref="H497:J497"/>
    <mergeCell ref="D498:E498"/>
    <mergeCell ref="F501:G501"/>
    <mergeCell ref="H501:J501"/>
    <mergeCell ref="D499:E499"/>
    <mergeCell ref="F499:G499"/>
    <mergeCell ref="H499:J499"/>
    <mergeCell ref="D500:E500"/>
    <mergeCell ref="F500:G500"/>
    <mergeCell ref="H500:J500"/>
    <mergeCell ref="D502:J502"/>
    <mergeCell ref="O713:S718"/>
    <mergeCell ref="O719:P719"/>
    <mergeCell ref="Q719:R719"/>
    <mergeCell ref="Q710:R710"/>
    <mergeCell ref="T713:U714"/>
    <mergeCell ref="V713:X714"/>
    <mergeCell ref="T715:U716"/>
    <mergeCell ref="V715:X716"/>
    <mergeCell ref="T717:U718"/>
    <mergeCell ref="V717:X718"/>
    <mergeCell ref="S719:U719"/>
    <mergeCell ref="Q692:R692"/>
    <mergeCell ref="S692:U692"/>
    <mergeCell ref="O690:P690"/>
    <mergeCell ref="Q690:R690"/>
    <mergeCell ref="S690:U690"/>
    <mergeCell ref="O691:P691"/>
    <mergeCell ref="Q691:R691"/>
    <mergeCell ref="S691:U691"/>
    <mergeCell ref="O694:U694"/>
    <mergeCell ref="O692:P692"/>
    <mergeCell ref="O696:P696"/>
    <mergeCell ref="Q696:R696"/>
    <mergeCell ref="O697:P697"/>
    <mergeCell ref="Q697:R697"/>
    <mergeCell ref="O698:P698"/>
    <mergeCell ref="Q698:R698"/>
    <mergeCell ref="Q702:R702"/>
    <mergeCell ref="Q703:R703"/>
    <mergeCell ref="O699:P699"/>
    <mergeCell ref="Q699:R699"/>
    <mergeCell ref="O700:P700"/>
    <mergeCell ref="Q700:R700"/>
    <mergeCell ref="O701:P701"/>
    <mergeCell ref="Q701:R701"/>
    <mergeCell ref="O702:P702"/>
    <mergeCell ref="O704:P704"/>
    <mergeCell ref="Q704:R704"/>
    <mergeCell ref="O705:P705"/>
    <mergeCell ref="Q705:R705"/>
    <mergeCell ref="U705:V707"/>
    <mergeCell ref="W705:X707"/>
    <mergeCell ref="Q706:R706"/>
    <mergeCell ref="Q707:R707"/>
    <mergeCell ref="O706:P706"/>
    <mergeCell ref="O707:P707"/>
    <mergeCell ref="O708:P708"/>
    <mergeCell ref="Q708:R708"/>
    <mergeCell ref="O709:P709"/>
    <mergeCell ref="Q709:R709"/>
    <mergeCell ref="O710:P710"/>
  </mergeCells>
  <drawing r:id="rId1"/>
</worksheet>
</file>